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2_Hydraulic-Comp-Model_Ms\Hydraulic model in Matlab Ver2June21\Info&amp;Calcs\"/>
    </mc:Choice>
  </mc:AlternateContent>
  <xr:revisionPtr revIDLastSave="0" documentId="8_{10B86016-FD82-4477-A93E-07C05405A671}" xr6:coauthVersionLast="47" xr6:coauthVersionMax="47" xr10:uidLastSave="{00000000-0000-0000-0000-000000000000}"/>
  <bookViews>
    <workbookView xWindow="-28920" yWindow="3270" windowWidth="29040" windowHeight="15840" tabRatio="500" activeTab="1" xr2:uid="{00000000-000D-0000-FFFF-FFFF00000000}"/>
  </bookViews>
  <sheets>
    <sheet name="hydraulic calcs" sheetId="4" r:id="rId1"/>
    <sheet name="calcium noCa data" sheetId="2" r:id="rId2"/>
    <sheet name="VO2 &amp; Fuel Scope" sheetId="3" r:id="rId3"/>
    <sheet name="push pull data" sheetId="1" r:id="rId4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2" l="1"/>
  <c r="L20" i="2"/>
  <c r="AI77" i="2"/>
  <c r="AI72" i="2"/>
  <c r="AI69" i="2"/>
  <c r="AH69" i="2"/>
  <c r="AI63" i="2"/>
  <c r="AI64" i="2"/>
  <c r="AI65" i="2"/>
  <c r="AI66" i="2"/>
  <c r="AI67" i="2"/>
  <c r="AH64" i="2"/>
  <c r="AH65" i="2"/>
  <c r="AH66" i="2"/>
  <c r="AH67" i="2"/>
  <c r="AH63" i="2"/>
  <c r="AH57" i="2"/>
  <c r="AH54" i="2"/>
  <c r="AH55" i="2"/>
  <c r="AH56" i="2"/>
  <c r="AH53" i="2"/>
  <c r="P24" i="4"/>
  <c r="P25" i="4"/>
  <c r="P26" i="4"/>
  <c r="P27" i="4"/>
  <c r="I25" i="2"/>
  <c r="Y14" i="4"/>
  <c r="Y15" i="4" s="1"/>
  <c r="Y16" i="4" s="1"/>
  <c r="Y17" i="4" s="1"/>
  <c r="Y25" i="4"/>
  <c r="Y26" i="4" s="1"/>
  <c r="Y27" i="4" s="1"/>
  <c r="Y24" i="4"/>
  <c r="AI17" i="4" l="1"/>
  <c r="AH17" i="4"/>
  <c r="AG17" i="4"/>
  <c r="AI16" i="4"/>
  <c r="AH16" i="4"/>
  <c r="AG16" i="4"/>
  <c r="AI15" i="4"/>
  <c r="AH15" i="4"/>
  <c r="AG15" i="4"/>
  <c r="AI14" i="4"/>
  <c r="AH14" i="4"/>
  <c r="AG14" i="4"/>
  <c r="AI13" i="4"/>
  <c r="AH13" i="4"/>
  <c r="AG13" i="4"/>
  <c r="N17" i="4"/>
  <c r="N16" i="4"/>
  <c r="N15" i="4"/>
  <c r="N14" i="4"/>
  <c r="N13" i="4"/>
  <c r="L17" i="4"/>
  <c r="P17" i="4" s="1"/>
  <c r="L16" i="4"/>
  <c r="L15" i="4"/>
  <c r="L14" i="4"/>
  <c r="P14" i="4" s="1"/>
  <c r="L13" i="4"/>
  <c r="J17" i="4"/>
  <c r="J16" i="4"/>
  <c r="J15" i="4"/>
  <c r="O15" i="4" s="1"/>
  <c r="J14" i="4"/>
  <c r="Q14" i="4" s="1"/>
  <c r="J13" i="4"/>
  <c r="H17" i="4"/>
  <c r="H16" i="4"/>
  <c r="H15" i="4"/>
  <c r="H14" i="4"/>
  <c r="H13" i="4"/>
  <c r="AI27" i="4"/>
  <c r="AH27" i="4"/>
  <c r="AG27" i="4"/>
  <c r="N27" i="4"/>
  <c r="N26" i="4"/>
  <c r="N25" i="4"/>
  <c r="N24" i="4"/>
  <c r="N23" i="4"/>
  <c r="L23" i="4"/>
  <c r="L24" i="4"/>
  <c r="L25" i="4"/>
  <c r="L26" i="4"/>
  <c r="L27" i="4"/>
  <c r="J27" i="4"/>
  <c r="J26" i="4"/>
  <c r="J25" i="4"/>
  <c r="J24" i="4"/>
  <c r="J23" i="4"/>
  <c r="Q23" i="4" s="1"/>
  <c r="H27" i="4"/>
  <c r="H26" i="4"/>
  <c r="H25" i="4"/>
  <c r="H24" i="4"/>
  <c r="H23" i="4"/>
  <c r="AC27" i="4"/>
  <c r="AD27" i="4" s="1"/>
  <c r="V27" i="4"/>
  <c r="W27" i="4" s="1"/>
  <c r="AC26" i="4"/>
  <c r="AD26" i="4" s="1"/>
  <c r="V26" i="4"/>
  <c r="W26" i="4" s="1"/>
  <c r="AC25" i="4"/>
  <c r="AD25" i="4" s="1"/>
  <c r="V25" i="4"/>
  <c r="W25" i="4" s="1"/>
  <c r="AC24" i="4"/>
  <c r="AD24" i="4" s="1"/>
  <c r="V24" i="4"/>
  <c r="W24" i="4" s="1"/>
  <c r="AC23" i="4"/>
  <c r="AD23" i="4" s="1"/>
  <c r="V23" i="4"/>
  <c r="W23" i="4" s="1"/>
  <c r="G57" i="4"/>
  <c r="G56" i="4"/>
  <c r="G54" i="4"/>
  <c r="G53" i="4"/>
  <c r="G51" i="4"/>
  <c r="G50" i="4"/>
  <c r="G48" i="4"/>
  <c r="G47" i="4"/>
  <c r="G45" i="4"/>
  <c r="G44" i="4"/>
  <c r="J36" i="4"/>
  <c r="J38" i="4" s="1"/>
  <c r="I33" i="4"/>
  <c r="J33" i="4" s="1"/>
  <c r="K33" i="4" s="1"/>
  <c r="M33" i="4" s="1"/>
  <c r="H33" i="4"/>
  <c r="L5" i="4"/>
  <c r="G4" i="4"/>
  <c r="S2" i="4"/>
  <c r="L6" i="2"/>
  <c r="L5" i="2"/>
  <c r="G104" i="2"/>
  <c r="G98" i="2"/>
  <c r="G97" i="2"/>
  <c r="G96" i="2"/>
  <c r="G95" i="2"/>
  <c r="F104" i="2"/>
  <c r="F98" i="2"/>
  <c r="F97" i="2"/>
  <c r="F96" i="2"/>
  <c r="F95" i="2"/>
  <c r="I99" i="2"/>
  <c r="I98" i="2"/>
  <c r="I97" i="2"/>
  <c r="I96" i="2"/>
  <c r="I95" i="2"/>
  <c r="H99" i="2"/>
  <c r="H98" i="2"/>
  <c r="H97" i="2"/>
  <c r="H96" i="2"/>
  <c r="H95" i="2"/>
  <c r="D10" i="3"/>
  <c r="C10" i="3"/>
  <c r="D9" i="3"/>
  <c r="C9" i="3"/>
  <c r="AI35" i="2"/>
  <c r="AJ35" i="2" s="1"/>
  <c r="AK35" i="2" s="1"/>
  <c r="AM35" i="2" s="1"/>
  <c r="AH35" i="2"/>
  <c r="AJ6" i="2"/>
  <c r="AF29" i="2"/>
  <c r="AG29" i="2" s="1"/>
  <c r="AH29" i="2" s="1"/>
  <c r="AF28" i="2"/>
  <c r="AG28" i="2" s="1"/>
  <c r="AH28" i="2" s="1"/>
  <c r="AF27" i="2"/>
  <c r="AG27" i="2" s="1"/>
  <c r="AH27" i="2" s="1"/>
  <c r="AF26" i="2"/>
  <c r="AG26" i="2" s="1"/>
  <c r="AH26" i="2" s="1"/>
  <c r="AF25" i="2"/>
  <c r="AG25" i="2" s="1"/>
  <c r="AH25" i="2" s="1"/>
  <c r="AF18" i="2"/>
  <c r="AG18" i="2" s="1"/>
  <c r="AH18" i="2" s="1"/>
  <c r="AF17" i="2"/>
  <c r="AG17" i="2" s="1"/>
  <c r="AH17" i="2" s="1"/>
  <c r="AF16" i="2"/>
  <c r="AG16" i="2" s="1"/>
  <c r="AH16" i="2" s="1"/>
  <c r="AF15" i="2"/>
  <c r="AG15" i="2" s="1"/>
  <c r="AH15" i="2" s="1"/>
  <c r="AF14" i="2"/>
  <c r="AG14" i="2" s="1"/>
  <c r="AH14" i="2" s="1"/>
  <c r="L18" i="2"/>
  <c r="I18" i="2"/>
  <c r="J18" i="2" s="1"/>
  <c r="N18" i="2" s="1"/>
  <c r="L17" i="2"/>
  <c r="I17" i="2"/>
  <c r="J17" i="2" s="1"/>
  <c r="L16" i="2"/>
  <c r="I16" i="2"/>
  <c r="J16" i="2" s="1"/>
  <c r="N16" i="2" s="1"/>
  <c r="L15" i="2"/>
  <c r="I15" i="2"/>
  <c r="J15" i="2" s="1"/>
  <c r="I14" i="2"/>
  <c r="J14" i="2" s="1"/>
  <c r="L14" i="2"/>
  <c r="I26" i="2"/>
  <c r="J26" i="2" s="1"/>
  <c r="L26" i="2"/>
  <c r="J25" i="2"/>
  <c r="L25" i="2"/>
  <c r="G78" i="2"/>
  <c r="J63" i="2"/>
  <c r="J65" i="2" s="1"/>
  <c r="G75" i="2"/>
  <c r="G72" i="2"/>
  <c r="H72" i="2" s="1"/>
  <c r="I72" i="2" s="1"/>
  <c r="J72" i="2" s="1"/>
  <c r="G77" i="2"/>
  <c r="H77" i="2" s="1"/>
  <c r="I77" i="2" s="1"/>
  <c r="J77" i="2" s="1"/>
  <c r="G74" i="2"/>
  <c r="G71" i="2"/>
  <c r="H71" i="2" s="1"/>
  <c r="I71" i="2" s="1"/>
  <c r="J71" i="2" s="1"/>
  <c r="G84" i="2"/>
  <c r="G83" i="2"/>
  <c r="G81" i="2"/>
  <c r="H81" i="2" s="1"/>
  <c r="I81" i="2" s="1"/>
  <c r="J81" i="2" s="1"/>
  <c r="G80" i="2"/>
  <c r="R2" i="2"/>
  <c r="G4" i="2"/>
  <c r="A26" i="2"/>
  <c r="A27" i="2" s="1"/>
  <c r="I29" i="2"/>
  <c r="J29" i="2" s="1"/>
  <c r="I28" i="2"/>
  <c r="J28" i="2"/>
  <c r="I27" i="2"/>
  <c r="J27" i="2" s="1"/>
  <c r="C25" i="2"/>
  <c r="D25" i="2" s="1"/>
  <c r="A15" i="2"/>
  <c r="C15" i="2" s="1"/>
  <c r="D15" i="2" s="1"/>
  <c r="A16" i="2"/>
  <c r="A17" i="2" s="1"/>
  <c r="C14" i="2"/>
  <c r="D14" i="2" s="1"/>
  <c r="G14" i="2" s="1"/>
  <c r="L29" i="2"/>
  <c r="L28" i="2"/>
  <c r="L27" i="2"/>
  <c r="U29" i="2"/>
  <c r="V29" i="2" s="1"/>
  <c r="Q26" i="2"/>
  <c r="R26" i="2" s="1"/>
  <c r="Y29" i="2"/>
  <c r="Z29" i="2" s="1"/>
  <c r="U28" i="2"/>
  <c r="V28" i="2" s="1"/>
  <c r="Q28" i="2"/>
  <c r="R28" i="2" s="1"/>
  <c r="Y28" i="2"/>
  <c r="Z28" i="2" s="1"/>
  <c r="AA28" i="2" s="1"/>
  <c r="AB28" i="2" s="1"/>
  <c r="U27" i="2"/>
  <c r="V27" i="2"/>
  <c r="Y27" i="2"/>
  <c r="Z27" i="2" s="1"/>
  <c r="AA27" i="2" s="1"/>
  <c r="AB27" i="2" s="1"/>
  <c r="U26" i="2"/>
  <c r="V26" i="2" s="1"/>
  <c r="Y26" i="2"/>
  <c r="Z26" i="2" s="1"/>
  <c r="AA26" i="2" s="1"/>
  <c r="AB26" i="2" s="1"/>
  <c r="U25" i="2"/>
  <c r="V25" i="2" s="1"/>
  <c r="Y25" i="2"/>
  <c r="Z25" i="2" s="1"/>
  <c r="U18" i="2"/>
  <c r="V18" i="2" s="1"/>
  <c r="U17" i="2"/>
  <c r="V17" i="2" s="1"/>
  <c r="U16" i="2"/>
  <c r="V16" i="2" s="1"/>
  <c r="U15" i="2"/>
  <c r="V15" i="2"/>
  <c r="U14" i="2"/>
  <c r="V14" i="2" s="1"/>
  <c r="Q14" i="2"/>
  <c r="R14" i="2" s="1"/>
  <c r="Y18" i="2"/>
  <c r="Z18" i="2"/>
  <c r="Y17" i="2"/>
  <c r="Z17" i="2" s="1"/>
  <c r="AA17" i="2" s="1"/>
  <c r="AB17" i="2" s="1"/>
  <c r="Y16" i="2"/>
  <c r="Z16" i="2" s="1"/>
  <c r="AA16" i="2" s="1"/>
  <c r="AB16" i="2" s="1"/>
  <c r="Y15" i="2"/>
  <c r="Z15" i="2" s="1"/>
  <c r="AA15" i="2" s="1"/>
  <c r="AB15" i="2" s="1"/>
  <c r="Y14" i="2"/>
  <c r="Z14" i="2" s="1"/>
  <c r="AA14" i="2" s="1"/>
  <c r="AB14" i="2" s="1"/>
  <c r="D22" i="1"/>
  <c r="F22" i="1"/>
  <c r="H22" i="1" s="1"/>
  <c r="C22" i="1"/>
  <c r="D21" i="1"/>
  <c r="F21" i="1"/>
  <c r="D20" i="1"/>
  <c r="J20" i="1" s="1"/>
  <c r="F20" i="1"/>
  <c r="D19" i="1"/>
  <c r="F19" i="1"/>
  <c r="H19" i="1" s="1"/>
  <c r="D18" i="1"/>
  <c r="J18" i="1" s="1"/>
  <c r="F18" i="1"/>
  <c r="H18" i="1" s="1"/>
  <c r="D17" i="1"/>
  <c r="F17" i="1"/>
  <c r="H17" i="1" s="1"/>
  <c r="D16" i="1"/>
  <c r="F16" i="1"/>
  <c r="J16" i="1"/>
  <c r="D15" i="1"/>
  <c r="J15" i="1" s="1"/>
  <c r="F15" i="1"/>
  <c r="D14" i="1"/>
  <c r="J14" i="1" s="1"/>
  <c r="F14" i="1"/>
  <c r="G22" i="1"/>
  <c r="I22" i="1" s="1"/>
  <c r="G21" i="1"/>
  <c r="I21" i="1" s="1"/>
  <c r="G20" i="1"/>
  <c r="I20" i="1"/>
  <c r="G19" i="1"/>
  <c r="I19" i="1"/>
  <c r="G18" i="1"/>
  <c r="I18" i="1"/>
  <c r="G17" i="1"/>
  <c r="I17" i="1" s="1"/>
  <c r="G16" i="1"/>
  <c r="I16" i="1"/>
  <c r="G15" i="1"/>
  <c r="I15" i="1" s="1"/>
  <c r="G14" i="1"/>
  <c r="I14" i="1" s="1"/>
  <c r="H20" i="1"/>
  <c r="H16" i="1"/>
  <c r="H15" i="1"/>
  <c r="H14" i="1"/>
  <c r="D26" i="1"/>
  <c r="E26" i="1" s="1"/>
  <c r="E18" i="1"/>
  <c r="B27" i="1"/>
  <c r="B28" i="1" s="1"/>
  <c r="C27" i="1"/>
  <c r="C28" i="1" s="1"/>
  <c r="C29" i="1" s="1"/>
  <c r="C30" i="1" s="1"/>
  <c r="E22" i="1"/>
  <c r="F30" i="1" s="1"/>
  <c r="E21" i="1"/>
  <c r="F29" i="1" s="1"/>
  <c r="E20" i="1"/>
  <c r="F28" i="1" s="1"/>
  <c r="E19" i="1"/>
  <c r="F27" i="1" s="1"/>
  <c r="E15" i="1"/>
  <c r="E16" i="1" s="1"/>
  <c r="E17" i="1" s="1"/>
  <c r="C21" i="1"/>
  <c r="C20" i="1"/>
  <c r="C19" i="1"/>
  <c r="C18" i="1"/>
  <c r="C17" i="1"/>
  <c r="C16" i="1"/>
  <c r="C15" i="1"/>
  <c r="C14" i="1"/>
  <c r="AA18" i="2" l="1"/>
  <c r="AB18" i="2" s="1"/>
  <c r="Q16" i="4"/>
  <c r="J19" i="1"/>
  <c r="J22" i="1"/>
  <c r="W18" i="2"/>
  <c r="X18" i="2" s="1"/>
  <c r="AA25" i="2"/>
  <c r="AB25" i="2" s="1"/>
  <c r="J17" i="1"/>
  <c r="J21" i="1"/>
  <c r="X17" i="4"/>
  <c r="Z17" i="4" s="1"/>
  <c r="X23" i="4"/>
  <c r="Z23" i="4" s="1"/>
  <c r="X16" i="4"/>
  <c r="Z16" i="4" s="1"/>
  <c r="X15" i="4"/>
  <c r="Z15" i="4" s="1"/>
  <c r="X14" i="4"/>
  <c r="Z14" i="4" s="1"/>
  <c r="X13" i="4"/>
  <c r="Z13" i="4" s="1"/>
  <c r="X26" i="4"/>
  <c r="Z26" i="4" s="1"/>
  <c r="X25" i="4"/>
  <c r="Z25" i="4" s="1"/>
  <c r="X24" i="4"/>
  <c r="Z24" i="4" s="1"/>
  <c r="X27" i="4"/>
  <c r="Z27" i="4" s="1"/>
  <c r="W16" i="2"/>
  <c r="X16" i="2" s="1"/>
  <c r="Q13" i="4"/>
  <c r="P16" i="4"/>
  <c r="AA29" i="2"/>
  <c r="AB29" i="2" s="1"/>
  <c r="Q15" i="4"/>
  <c r="O17" i="4"/>
  <c r="O27" i="4"/>
  <c r="P13" i="4"/>
  <c r="Q17" i="4"/>
  <c r="P15" i="4"/>
  <c r="O13" i="4"/>
  <c r="O16" i="4"/>
  <c r="P23" i="4"/>
  <c r="O14" i="4"/>
  <c r="Q26" i="4"/>
  <c r="Q27" i="4"/>
  <c r="Q24" i="4"/>
  <c r="Q25" i="4"/>
  <c r="H45" i="4"/>
  <c r="H56" i="4"/>
  <c r="H47" i="4"/>
  <c r="H57" i="4"/>
  <c r="O24" i="4"/>
  <c r="H44" i="4"/>
  <c r="H48" i="4"/>
  <c r="O23" i="4"/>
  <c r="AG24" i="4"/>
  <c r="O25" i="4"/>
  <c r="AG26" i="4"/>
  <c r="O26" i="4"/>
  <c r="AG23" i="4"/>
  <c r="L6" i="4"/>
  <c r="H54" i="4"/>
  <c r="H50" i="4"/>
  <c r="H51" i="4"/>
  <c r="H53" i="4"/>
  <c r="F26" i="1"/>
  <c r="G26" i="1"/>
  <c r="A28" i="2"/>
  <c r="C27" i="2"/>
  <c r="D27" i="2" s="1"/>
  <c r="W29" i="2"/>
  <c r="X29" i="2" s="1"/>
  <c r="AC29" i="2" s="1"/>
  <c r="N29" i="2"/>
  <c r="K71" i="2"/>
  <c r="L71" i="2"/>
  <c r="N25" i="2"/>
  <c r="W25" i="2"/>
  <c r="X25" i="2" s="1"/>
  <c r="A18" i="2"/>
  <c r="C18" i="2" s="1"/>
  <c r="D18" i="2" s="1"/>
  <c r="E18" i="2" s="1"/>
  <c r="C17" i="2"/>
  <c r="D17" i="2" s="1"/>
  <c r="L77" i="2"/>
  <c r="K77" i="2"/>
  <c r="N26" i="2"/>
  <c r="W26" i="2"/>
  <c r="X26" i="2" s="1"/>
  <c r="N17" i="2"/>
  <c r="W17" i="2"/>
  <c r="X17" i="2" s="1"/>
  <c r="AC17" i="2" s="1"/>
  <c r="L72" i="2"/>
  <c r="K72" i="2"/>
  <c r="AC14" i="2"/>
  <c r="AC25" i="2"/>
  <c r="E25" i="2"/>
  <c r="G25" i="2"/>
  <c r="W14" i="2"/>
  <c r="X14" i="2" s="1"/>
  <c r="N14" i="2"/>
  <c r="AC28" i="2"/>
  <c r="N27" i="2"/>
  <c r="W27" i="2"/>
  <c r="X27" i="2" s="1"/>
  <c r="AC27" i="2" s="1"/>
  <c r="K81" i="2"/>
  <c r="L81" i="2"/>
  <c r="H80" i="2"/>
  <c r="I80" i="2" s="1"/>
  <c r="J80" i="2" s="1"/>
  <c r="H74" i="2"/>
  <c r="I74" i="2" s="1"/>
  <c r="J74" i="2" s="1"/>
  <c r="H83" i="2"/>
  <c r="I83" i="2" s="1"/>
  <c r="J83" i="2" s="1"/>
  <c r="H75" i="2"/>
  <c r="I75" i="2" s="1"/>
  <c r="J75" i="2" s="1"/>
  <c r="N15" i="2"/>
  <c r="W15" i="2"/>
  <c r="X15" i="2" s="1"/>
  <c r="AC15" i="2" s="1"/>
  <c r="E15" i="2"/>
  <c r="G15" i="2"/>
  <c r="W28" i="2"/>
  <c r="X28" i="2" s="1"/>
  <c r="H78" i="2"/>
  <c r="I78" i="2" s="1"/>
  <c r="J78" i="2" s="1"/>
  <c r="B29" i="1"/>
  <c r="D28" i="1"/>
  <c r="E28" i="1" s="1"/>
  <c r="AC16" i="2"/>
  <c r="AC26" i="2"/>
  <c r="M14" i="2"/>
  <c r="O14" i="2" s="1"/>
  <c r="S14" i="2"/>
  <c r="T14" i="2" s="1"/>
  <c r="H84" i="2"/>
  <c r="I84" i="2" s="1"/>
  <c r="J84" i="2" s="1"/>
  <c r="D27" i="1"/>
  <c r="E27" i="1" s="1"/>
  <c r="Q17" i="2"/>
  <c r="R17" i="2" s="1"/>
  <c r="Q25" i="2"/>
  <c r="R25" i="2" s="1"/>
  <c r="C16" i="2"/>
  <c r="D16" i="2" s="1"/>
  <c r="E16" i="2" s="1"/>
  <c r="G18" i="2"/>
  <c r="C26" i="2"/>
  <c r="D26" i="2" s="1"/>
  <c r="E26" i="2" s="1"/>
  <c r="Q18" i="2"/>
  <c r="R18" i="2" s="1"/>
  <c r="H21" i="1"/>
  <c r="N28" i="2"/>
  <c r="E14" i="2"/>
  <c r="Q29" i="2"/>
  <c r="R29" i="2" s="1"/>
  <c r="Q15" i="2"/>
  <c r="R15" i="2" s="1"/>
  <c r="Q27" i="2"/>
  <c r="R27" i="2" s="1"/>
  <c r="Q16" i="2"/>
  <c r="R16" i="2" s="1"/>
  <c r="J54" i="4" l="1"/>
  <c r="K54" i="4" s="1"/>
  <c r="M54" i="4" s="1"/>
  <c r="I54" i="4"/>
  <c r="J48" i="4"/>
  <c r="K48" i="4" s="1"/>
  <c r="M48" i="4" s="1"/>
  <c r="I48" i="4"/>
  <c r="J56" i="4"/>
  <c r="K56" i="4" s="1"/>
  <c r="M56" i="4" s="1"/>
  <c r="I56" i="4"/>
  <c r="J50" i="4"/>
  <c r="K50" i="4" s="1"/>
  <c r="I50" i="4"/>
  <c r="J44" i="4"/>
  <c r="I44" i="4"/>
  <c r="J57" i="4"/>
  <c r="K57" i="4" s="1"/>
  <c r="M57" i="4" s="1"/>
  <c r="I57" i="4"/>
  <c r="J45" i="4"/>
  <c r="K45" i="4" s="1"/>
  <c r="M45" i="4" s="1"/>
  <c r="AB47" i="4" s="1"/>
  <c r="I45" i="4"/>
  <c r="J47" i="4"/>
  <c r="K47" i="4" s="1"/>
  <c r="M47" i="4" s="1"/>
  <c r="I47" i="4"/>
  <c r="J51" i="4"/>
  <c r="K51" i="4" s="1"/>
  <c r="M51" i="4" s="1"/>
  <c r="I51" i="4"/>
  <c r="J53" i="4"/>
  <c r="K53" i="4" s="1"/>
  <c r="I53" i="4"/>
  <c r="AC18" i="2"/>
  <c r="L45" i="4"/>
  <c r="L48" i="4"/>
  <c r="L47" i="4"/>
  <c r="L56" i="4"/>
  <c r="L57" i="4"/>
  <c r="AG25" i="4"/>
  <c r="M53" i="4"/>
  <c r="L53" i="4"/>
  <c r="W48" i="4"/>
  <c r="N48" i="4"/>
  <c r="AB48" i="4"/>
  <c r="M50" i="4"/>
  <c r="L50" i="4"/>
  <c r="L83" i="2"/>
  <c r="K83" i="2"/>
  <c r="E17" i="2"/>
  <c r="G17" i="2"/>
  <c r="L80" i="2"/>
  <c r="K80" i="2"/>
  <c r="P14" i="2"/>
  <c r="L74" i="2"/>
  <c r="K74" i="2"/>
  <c r="B30" i="1"/>
  <c r="D30" i="1" s="1"/>
  <c r="E30" i="1" s="1"/>
  <c r="D29" i="1"/>
  <c r="E29" i="1" s="1"/>
  <c r="G27" i="2"/>
  <c r="E27" i="2"/>
  <c r="S25" i="2"/>
  <c r="T25" i="2" s="1"/>
  <c r="M25" i="2"/>
  <c r="M72" i="2"/>
  <c r="S73" i="2"/>
  <c r="A29" i="2"/>
  <c r="C29" i="2" s="1"/>
  <c r="D29" i="2" s="1"/>
  <c r="C28" i="2"/>
  <c r="D28" i="2" s="1"/>
  <c r="M18" i="2"/>
  <c r="S18" i="2"/>
  <c r="T18" i="2" s="1"/>
  <c r="S15" i="2"/>
  <c r="T15" i="2" s="1"/>
  <c r="M15" i="2"/>
  <c r="Q75" i="2"/>
  <c r="Q73" i="2"/>
  <c r="M71" i="2"/>
  <c r="L84" i="2"/>
  <c r="K84" i="2"/>
  <c r="L78" i="2"/>
  <c r="K78" i="2"/>
  <c r="G16" i="2"/>
  <c r="AE14" i="2"/>
  <c r="AD14" i="2"/>
  <c r="L75" i="2"/>
  <c r="K75" i="2"/>
  <c r="G26" i="2"/>
  <c r="L51" i="4" l="1"/>
  <c r="L54" i="4"/>
  <c r="N45" i="4"/>
  <c r="K44" i="4"/>
  <c r="L44" i="4" s="1"/>
  <c r="AH23" i="4"/>
  <c r="AI23" i="4"/>
  <c r="AI24" i="4"/>
  <c r="AH24" i="4"/>
  <c r="AB49" i="4"/>
  <c r="N51" i="4"/>
  <c r="W49" i="4"/>
  <c r="Q74" i="2"/>
  <c r="M74" i="2"/>
  <c r="AD18" i="2"/>
  <c r="AE18" i="2"/>
  <c r="AD25" i="2"/>
  <c r="AE25" i="2"/>
  <c r="P15" i="2"/>
  <c r="O15" i="2"/>
  <c r="AD15" i="2"/>
  <c r="AE15" i="2"/>
  <c r="G28" i="2"/>
  <c r="E28" i="2"/>
  <c r="S17" i="2"/>
  <c r="T17" i="2" s="1"/>
  <c r="M17" i="2"/>
  <c r="S74" i="2"/>
  <c r="M75" i="2"/>
  <c r="M27" i="2"/>
  <c r="S27" i="2"/>
  <c r="T27" i="2" s="1"/>
  <c r="E29" i="2"/>
  <c r="G29" i="2"/>
  <c r="S26" i="2"/>
  <c r="T26" i="2" s="1"/>
  <c r="M26" i="2"/>
  <c r="O25" i="2"/>
  <c r="P25" i="2"/>
  <c r="P18" i="2"/>
  <c r="O18" i="2"/>
  <c r="S16" i="2"/>
  <c r="T16" i="2" s="1"/>
  <c r="M16" i="2"/>
  <c r="M78" i="2"/>
  <c r="N78" i="2" s="1"/>
  <c r="S75" i="2"/>
  <c r="M77" i="2"/>
  <c r="M44" i="4" l="1"/>
  <c r="AH25" i="4"/>
  <c r="AI25" i="4"/>
  <c r="AB50" i="4"/>
  <c r="AC49" i="4" s="1"/>
  <c r="P45" i="4"/>
  <c r="P48" i="4"/>
  <c r="P51" i="4"/>
  <c r="M29" i="2"/>
  <c r="S29" i="2"/>
  <c r="T29" i="2" s="1"/>
  <c r="M28" i="2"/>
  <c r="S28" i="2"/>
  <c r="T28" i="2" s="1"/>
  <c r="O26" i="2"/>
  <c r="P26" i="2"/>
  <c r="AD26" i="2"/>
  <c r="AE26" i="2"/>
  <c r="O27" i="2"/>
  <c r="P27" i="2"/>
  <c r="T74" i="2"/>
  <c r="Q76" i="2"/>
  <c r="R74" i="2" s="1"/>
  <c r="N77" i="2"/>
  <c r="N71" i="2"/>
  <c r="N74" i="2"/>
  <c r="P16" i="2"/>
  <c r="O16" i="2"/>
  <c r="AE16" i="2"/>
  <c r="AD16" i="2"/>
  <c r="P17" i="2"/>
  <c r="O17" i="2"/>
  <c r="AD17" i="2"/>
  <c r="AE17" i="2"/>
  <c r="AD27" i="2"/>
  <c r="AE27" i="2"/>
  <c r="S76" i="2"/>
  <c r="N72" i="2"/>
  <c r="N75" i="2"/>
  <c r="W47" i="4" l="1"/>
  <c r="N44" i="4"/>
  <c r="N47" i="4"/>
  <c r="N50" i="4"/>
  <c r="AI26" i="4"/>
  <c r="AH26" i="4"/>
  <c r="AC50" i="4"/>
  <c r="AC48" i="4"/>
  <c r="AC47" i="4"/>
  <c r="P28" i="2"/>
  <c r="O28" i="2"/>
  <c r="AD29" i="2"/>
  <c r="AE29" i="2"/>
  <c r="R76" i="2"/>
  <c r="R73" i="2"/>
  <c r="R75" i="2"/>
  <c r="AD28" i="2"/>
  <c r="AE28" i="2"/>
  <c r="T76" i="2"/>
  <c r="T73" i="2"/>
  <c r="T75" i="2"/>
  <c r="P29" i="2"/>
  <c r="O29" i="2"/>
  <c r="P47" i="4" l="1"/>
  <c r="P44" i="4"/>
  <c r="P50" i="4"/>
  <c r="W50" i="4"/>
  <c r="AA49" i="4" l="1"/>
  <c r="AA47" i="4"/>
  <c r="AA48" i="4"/>
  <c r="AA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Wayne Willis</author>
  </authors>
  <commentList>
    <comment ref="H37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Wayne Willis: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Wayne Willis</author>
  </authors>
  <commentList>
    <comment ref="H64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Wayne Willis: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<sst xmlns="http://schemas.openxmlformats.org/spreadsheetml/2006/main" count="501" uniqueCount="190">
  <si>
    <t>free E change</t>
  </si>
  <si>
    <t>Segment</t>
  </si>
  <si>
    <t>fuel added</t>
  </si>
  <si>
    <t>PCr added</t>
  </si>
  <si>
    <t>Jo</t>
  </si>
  <si>
    <t>Cond</t>
  </si>
  <si>
    <t>Delta Psi</t>
  </si>
  <si>
    <t>redox - Psi</t>
  </si>
  <si>
    <t>Psi</t>
  </si>
  <si>
    <t>Fuel</t>
  </si>
  <si>
    <t>nmol/min/cyt a</t>
  </si>
  <si>
    <t>kcal/mol</t>
  </si>
  <si>
    <t>Redox</t>
  </si>
  <si>
    <t>ATP</t>
  </si>
  <si>
    <t>PCr/Cr</t>
  </si>
  <si>
    <t>Pi</t>
  </si>
  <si>
    <t>ADP</t>
  </si>
  <si>
    <t>DGATP</t>
  </si>
  <si>
    <t>Redox-Psi</t>
  </si>
  <si>
    <t>PCr</t>
  </si>
  <si>
    <t>App ETC Cond</t>
  </si>
  <si>
    <t>Psi-DGATP</t>
  </si>
  <si>
    <t>App F1ANT Cond</t>
  </si>
  <si>
    <t>redox D</t>
  </si>
  <si>
    <t>from Psi -</t>
  </si>
  <si>
    <t>Gp</t>
  </si>
  <si>
    <t>No Calcium condition</t>
  </si>
  <si>
    <t>nmol/cyta/min</t>
  </si>
  <si>
    <t>NAD/NADH</t>
  </si>
  <si>
    <t>mV</t>
  </si>
  <si>
    <t>Gredox</t>
  </si>
  <si>
    <t>Cr</t>
  </si>
  <si>
    <t>M</t>
  </si>
  <si>
    <t>Kck</t>
  </si>
  <si>
    <t>Katp</t>
  </si>
  <si>
    <t>[ADP]f</t>
  </si>
  <si>
    <t>2.303RT</t>
  </si>
  <si>
    <t>R</t>
  </si>
  <si>
    <t>cal/deg/mol</t>
  </si>
  <si>
    <t>T</t>
  </si>
  <si>
    <t>deg K</t>
  </si>
  <si>
    <t>cal/mol</t>
  </si>
  <si>
    <t>Calcium condition</t>
  </si>
  <si>
    <t>Stoichiometries</t>
  </si>
  <si>
    <t>H+/2e-</t>
  </si>
  <si>
    <t>H+/ATP</t>
  </si>
  <si>
    <t>2e-/O</t>
  </si>
  <si>
    <t>ATP/O</t>
  </si>
  <si>
    <t>ATP/O2</t>
  </si>
  <si>
    <t>EhO2/H2O</t>
  </si>
  <si>
    <t>Gred ETC</t>
  </si>
  <si>
    <t>F</t>
  </si>
  <si>
    <t>cal/mV/mol</t>
  </si>
  <si>
    <t>DEh</t>
  </si>
  <si>
    <t>kcal</t>
  </si>
  <si>
    <t>Jatp</t>
  </si>
  <si>
    <t>nmol/min</t>
  </si>
  <si>
    <t>nmol/sec</t>
  </si>
  <si>
    <t>Po ATP</t>
  </si>
  <si>
    <t>ucal/nmol</t>
  </si>
  <si>
    <t>ucal/sec</t>
  </si>
  <si>
    <t>uW</t>
  </si>
  <si>
    <t>Po ETC e-</t>
  </si>
  <si>
    <t>electron transport Po</t>
  </si>
  <si>
    <t>nmol O2/sec</t>
  </si>
  <si>
    <t>nmol O2/min</t>
  </si>
  <si>
    <t>protonmotive force Po</t>
  </si>
  <si>
    <t>nmol H+/min</t>
  </si>
  <si>
    <t>nmol H+/sec</t>
  </si>
  <si>
    <t>ATP Po</t>
  </si>
  <si>
    <t>Note: all rates and power outputs below are expressed per nmol cyt a, which is ~ also per mg mito protein</t>
  </si>
  <si>
    <t>Po H+ current</t>
  </si>
  <si>
    <t>Thermodynamic Efficiencies</t>
  </si>
  <si>
    <t>ETC-&gt;PMF</t>
  </si>
  <si>
    <t>PMF-&gt;ATP</t>
  </si>
  <si>
    <t>ETC-&gt;ATP</t>
  </si>
  <si>
    <t>ETC -&gt;PMF</t>
  </si>
  <si>
    <t>Conductance Calculations</t>
  </si>
  <si>
    <t>Constants</t>
  </si>
  <si>
    <t>nmol O2</t>
  </si>
  <si>
    <t>coul</t>
  </si>
  <si>
    <t>e- per</t>
  </si>
  <si>
    <t>coul per</t>
  </si>
  <si>
    <t>nmolO2</t>
  </si>
  <si>
    <t>Path</t>
  </si>
  <si>
    <t>start</t>
  </si>
  <si>
    <t>finish</t>
  </si>
  <si>
    <t>L</t>
  </si>
  <si>
    <t>Ca</t>
  </si>
  <si>
    <t>No Ca</t>
  </si>
  <si>
    <t>Mito</t>
  </si>
  <si>
    <t>nmol/sec/kcal</t>
  </si>
  <si>
    <t>coul/sec/kcal</t>
  </si>
  <si>
    <t>amp/V</t>
  </si>
  <si>
    <t>ATPase</t>
  </si>
  <si>
    <t>Energy drops</t>
  </si>
  <si>
    <t>red-&gt;ATP</t>
  </si>
  <si>
    <t>psi-&gt;ATP</t>
  </si>
  <si>
    <t>red-&gt;psi</t>
  </si>
  <si>
    <t>NADH</t>
  </si>
  <si>
    <t>e-/coul</t>
  </si>
  <si>
    <t>coul/e-</t>
  </si>
  <si>
    <t>kcal per</t>
  </si>
  <si>
    <t>volt</t>
  </si>
  <si>
    <t>OxPhos</t>
  </si>
  <si>
    <t>ETC</t>
  </si>
  <si>
    <t>O2</t>
  </si>
  <si>
    <t>amp/kcal</t>
  </si>
  <si>
    <t>Fuel/DH</t>
  </si>
  <si>
    <t>All values per nmol cyt a</t>
  </si>
  <si>
    <t>(mS)</t>
  </si>
  <si>
    <t>(ohms)</t>
  </si>
  <si>
    <t>Resistance</t>
  </si>
  <si>
    <t>Conductance</t>
  </si>
  <si>
    <t>Cumul</t>
  </si>
  <si>
    <t>% total R</t>
  </si>
  <si>
    <t>Collated: Conductance &amp; Resistance</t>
  </si>
  <si>
    <t>(all values per nmol cyt a)</t>
  </si>
  <si>
    <t>Resistance (ohms)</t>
  </si>
  <si>
    <t>No Ca2+</t>
  </si>
  <si>
    <t>Ca2+</t>
  </si>
  <si>
    <t>Total</t>
  </si>
  <si>
    <t xml:space="preserve">R </t>
  </si>
  <si>
    <t>n</t>
  </si>
  <si>
    <t>NADH/NAD</t>
  </si>
  <si>
    <t>%Reduced</t>
  </si>
  <si>
    <t>NAD pool reduction levels</t>
  </si>
  <si>
    <t>Jp</t>
  </si>
  <si>
    <t>highest</t>
  </si>
  <si>
    <t>per g</t>
  </si>
  <si>
    <t>mW</t>
  </si>
  <si>
    <t>W</t>
  </si>
  <si>
    <t>Eff cont</t>
  </si>
  <si>
    <t>Mech Po</t>
  </si>
  <si>
    <t>W/kg</t>
  </si>
  <si>
    <t>per kg muscle</t>
  </si>
  <si>
    <t>Mito power output with 12 mg/g muscle</t>
  </si>
  <si>
    <t>state 3</t>
  </si>
  <si>
    <t>VO2</t>
  </si>
  <si>
    <t>Rest</t>
  </si>
  <si>
    <t>Max Ex</t>
  </si>
  <si>
    <t>Skeletal Muscle Metabolic Scope</t>
  </si>
  <si>
    <t>units</t>
  </si>
  <si>
    <t>CHO Ox</t>
  </si>
  <si>
    <t>per Kg per min</t>
  </si>
  <si>
    <t>umol C6</t>
  </si>
  <si>
    <t>ml O2</t>
  </si>
  <si>
    <t>Fat Ox</t>
  </si>
  <si>
    <t>cal</t>
  </si>
  <si>
    <t>umol C17</t>
  </si>
  <si>
    <t>Fuel Enthalpy</t>
  </si>
  <si>
    <t>CHO</t>
  </si>
  <si>
    <t>Fat</t>
  </si>
  <si>
    <t>mcal/umol</t>
  </si>
  <si>
    <t>uM</t>
  </si>
  <si>
    <t>[ADP]</t>
  </si>
  <si>
    <t>nmolO2/min/mg</t>
  </si>
  <si>
    <t>Km</t>
  </si>
  <si>
    <t>Vmax</t>
  </si>
  <si>
    <t>Jo/ADP</t>
  </si>
  <si>
    <t>added pts</t>
  </si>
  <si>
    <t>uJ/nmol</t>
  </si>
  <si>
    <t>kJ</t>
  </si>
  <si>
    <t>Energy drops (kJ)</t>
  </si>
  <si>
    <t>volt-mol</t>
  </si>
  <si>
    <t>amp x mol/kcal</t>
  </si>
  <si>
    <t>nmol x mol/sec/kcal</t>
  </si>
  <si>
    <t>coul x mol/sec/kcal</t>
  </si>
  <si>
    <t>amp x mol/J</t>
  </si>
  <si>
    <t>milliamps</t>
  </si>
  <si>
    <t>ohms</t>
  </si>
  <si>
    <t>Volt drop</t>
  </si>
  <si>
    <t>Eyeballed data</t>
  </si>
  <si>
    <t>DDG</t>
  </si>
  <si>
    <t>Extrapolated to in vivo (10 g mito/kg &amp; 2.5x factor)</t>
  </si>
  <si>
    <t>mmol/kg/min</t>
  </si>
  <si>
    <t>nmol/min/mg</t>
  </si>
  <si>
    <t>extrapolated</t>
  </si>
  <si>
    <t>J at 20 kcal</t>
  </si>
  <si>
    <t>mmol ATP/min/kcal</t>
  </si>
  <si>
    <t>so in vivo conductance =</t>
  </si>
  <si>
    <t>mmol ATP/sec/kcal</t>
  </si>
  <si>
    <t>or per sec in vivo conductance =</t>
  </si>
  <si>
    <t>tau = RC = C/G</t>
  </si>
  <si>
    <t>tau x G = C</t>
  </si>
  <si>
    <t>tau = 30 sec</t>
  </si>
  <si>
    <t>in vivo tau =</t>
  </si>
  <si>
    <t>sec</t>
  </si>
  <si>
    <t>thus, in vivo capacitance =</t>
  </si>
  <si>
    <t>mmol ~P/kcal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</si>
</sst>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E+00;\_x0000_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164" fontId="11" fillId="0" borderId="0" xfId="0" applyNumberFormat="1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Eadie Hofstee</a:t>
            </a:r>
            <a:r>
              <a:rPr lang="en-US" baseline="0"/>
              <a:t> for KmADP</a:t>
            </a:r>
            <a:endParaRPr lang="en-US"/>
          </a:p>
        </c:rich>
      </c:tx>
      <c:layout>
        <c:manualLayout>
          <c:xMode val="edge"/>
          <c:yMode val="edge"/>
          <c:x val="0.35420437174897851"/>
          <c:y val="1.52621334600449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56395610310171"/>
          <c:y val="0.11241897547316018"/>
          <c:w val="0.638343540390785"/>
          <c:h val="0.70370694677964396"/>
        </c:manualLayout>
      </c:layout>
      <c:scatterChart>
        <c:scatterStyle val="lineMarker"/>
        <c:varyColors val="0"/>
        <c:ser>
          <c:idx val="1"/>
          <c:order val="0"/>
          <c:tx>
            <c:v>Ca</c:v>
          </c:tx>
          <c:spPr>
            <a:ln w="47625">
              <a:noFill/>
            </a:ln>
          </c:spPr>
          <c:trendline>
            <c:trendlineType val="linear"/>
            <c:forward val="2"/>
            <c:backward val="3.9499999999999997"/>
            <c:dispRSqr val="1"/>
            <c:dispEq val="1"/>
            <c:trendlineLbl>
              <c:layout>
                <c:manualLayout>
                  <c:x val="0.15262815283180572"/>
                  <c:y val="-0.13925519218028884"/>
                </c:manualLayout>
              </c:layout>
              <c:numFmt formatCode="General" sourceLinked="0"/>
            </c:trendlineLbl>
          </c:trendline>
          <c:xVal>
            <c:numRef>
              <c:f>'hydraulic calcs'!$I$68:$I$72</c:f>
              <c:numCache>
                <c:formatCode>General</c:formatCode>
                <c:ptCount val="5"/>
              </c:numCache>
            </c:numRef>
          </c:xVal>
          <c:yVal>
            <c:numRef>
              <c:f>'hydraulic calcs'!$G$72:$G$76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D-4AC5-B585-19DD0D244A15}"/>
            </c:ext>
          </c:extLst>
        </c:ser>
        <c:ser>
          <c:idx val="0"/>
          <c:order val="1"/>
          <c:tx>
            <c:v>No Ca</c:v>
          </c:tx>
          <c:spPr>
            <a:ln w="47625">
              <a:noFill/>
            </a:ln>
          </c:spPr>
          <c:trendline>
            <c:trendlineType val="linear"/>
            <c:forward val="1"/>
            <c:backward val="1.9500000000000002"/>
            <c:dispRSqr val="1"/>
            <c:dispEq val="1"/>
            <c:trendlineLbl>
              <c:layout>
                <c:manualLayout>
                  <c:x val="0.18306123042719832"/>
                  <c:y val="-4.9404922515821237E-2"/>
                </c:manualLayout>
              </c:layout>
              <c:numFmt formatCode="General" sourceLinked="0"/>
            </c:trendlineLbl>
          </c:trendline>
          <c:xVal>
            <c:numRef>
              <c:f>'hydraulic calcs'!$H$68:$H$72</c:f>
              <c:numCache>
                <c:formatCode>General</c:formatCode>
                <c:ptCount val="5"/>
              </c:numCache>
            </c:numRef>
          </c:xVal>
          <c:yVal>
            <c:numRef>
              <c:f>'hydraulic calcs'!$F$72:$F$76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D-4AC5-B585-19DD0D24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15728"/>
        <c:axId val="353311416"/>
      </c:scatterChart>
      <c:valAx>
        <c:axId val="353315728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Jo/ADP</a:t>
                </a:r>
              </a:p>
            </c:rich>
          </c:tx>
          <c:layout>
            <c:manualLayout>
              <c:xMode val="edge"/>
              <c:yMode val="edge"/>
              <c:x val="0.467505542874391"/>
              <c:y val="0.92222023684937682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353311416"/>
        <c:crosses val="autoZero"/>
        <c:crossBetween val="midCat"/>
        <c:majorUnit val="2"/>
        <c:minorUnit val="1"/>
      </c:valAx>
      <c:valAx>
        <c:axId val="353311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Jo</a:t>
                </a:r>
                <a:r>
                  <a:rPr lang="en-US" sz="1800" baseline="0"/>
                  <a:t> (nmol O2/min/nmol cyt a)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2.1878140406554249E-2"/>
              <c:y val="0.164215231548311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anchor="ctr" anchorCtr="1"/>
          <a:lstStyle/>
          <a:p>
            <a:pPr>
              <a:defRPr sz="1800" b="1"/>
            </a:pPr>
            <a:endParaRPr lang="en-US"/>
          </a:p>
        </c:txPr>
        <c:crossAx val="35331572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4004858576393473"/>
          <c:y val="0.21788640409070065"/>
          <c:w val="0.19523600704542066"/>
          <c:h val="0.1769327454548271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'VO2 &amp; Fuel Scope'!$C$4:$D$4</c:f>
              <c:strCache>
                <c:ptCount val="2"/>
                <c:pt idx="0">
                  <c:v>Rest</c:v>
                </c:pt>
                <c:pt idx="1">
                  <c:v>Max Ex</c:v>
                </c:pt>
              </c:strCache>
            </c:strRef>
          </c:cat>
          <c:val>
            <c:numRef>
              <c:f>'VO2 &amp; Fuel Scope'!$C$5:$D$5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EBA-4F5C-8281-677BBF1FD7CB}"/>
            </c:ext>
          </c:extLst>
        </c:ser>
        <c:ser>
          <c:idx val="1"/>
          <c:order val="1"/>
          <c:invertIfNegative val="0"/>
          <c:cat>
            <c:strRef>
              <c:f>'VO2 &amp; Fuel Scope'!$C$4:$D$4</c:f>
              <c:strCache>
                <c:ptCount val="2"/>
                <c:pt idx="0">
                  <c:v>Rest</c:v>
                </c:pt>
                <c:pt idx="1">
                  <c:v>Max Ex</c:v>
                </c:pt>
              </c:strCache>
            </c:strRef>
          </c:cat>
          <c:val>
            <c:numRef>
              <c:f>'VO2 &amp; Fuel Scope'!$C$6:$D$6</c:f>
              <c:numCache>
                <c:formatCode>General</c:formatCode>
                <c:ptCount val="2"/>
                <c:pt idx="0" formatCode="0.0">
                  <c:v>2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A-4F5C-8281-677BBF1F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74208"/>
        <c:axId val="354678128"/>
      </c:barChart>
      <c:catAx>
        <c:axId val="35467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4678128"/>
        <c:crosses val="autoZero"/>
        <c:auto val="1"/>
        <c:lblAlgn val="ctr"/>
        <c:lblOffset val="100"/>
        <c:noMultiLvlLbl val="0"/>
      </c:catAx>
      <c:valAx>
        <c:axId val="35467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35467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'VO2 &amp; Fuel Scope'!$B$7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'VO2 &amp; Fuel Scope'!$C$4:$D$5</c:f>
              <c:strCache>
                <c:ptCount val="2"/>
                <c:pt idx="0">
                  <c:v>Rest</c:v>
                </c:pt>
                <c:pt idx="1">
                  <c:v>Max Ex</c:v>
                </c:pt>
              </c:strCache>
            </c:strRef>
          </c:cat>
          <c:val>
            <c:numRef>
              <c:f>'VO2 &amp; Fuel Scope'!$C$9:$D$9</c:f>
              <c:numCache>
                <c:formatCode>0</c:formatCode>
                <c:ptCount val="2"/>
                <c:pt idx="0" formatCode="0.0">
                  <c:v>2.0579999999999998</c:v>
                </c:pt>
                <c:pt idx="1">
                  <c:v>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7-406D-BE7F-20D7D490C652}"/>
            </c:ext>
          </c:extLst>
        </c:ser>
        <c:ser>
          <c:idx val="2"/>
          <c:order val="1"/>
          <c:tx>
            <c:strRef>
              <c:f>'VO2 &amp; Fuel Scope'!$B$8</c:f>
              <c:strCache>
                <c:ptCount val="1"/>
                <c:pt idx="0">
                  <c:v>Fat</c:v>
                </c:pt>
              </c:strCache>
            </c:strRef>
          </c:tx>
          <c:invertIfNegative val="0"/>
          <c:cat>
            <c:strRef>
              <c:f>'VO2 &amp; Fuel Scope'!$C$4:$D$5</c:f>
              <c:strCache>
                <c:ptCount val="2"/>
                <c:pt idx="0">
                  <c:v>Rest</c:v>
                </c:pt>
                <c:pt idx="1">
                  <c:v>Max Ex</c:v>
                </c:pt>
              </c:strCache>
            </c:strRef>
          </c:cat>
          <c:val>
            <c:numRef>
              <c:f>'VO2 &amp; Fuel Scope'!$C$10:$D$10</c:f>
              <c:numCache>
                <c:formatCode>0</c:formatCode>
                <c:ptCount val="2"/>
                <c:pt idx="0" formatCode="0.0">
                  <c:v>11.5</c:v>
                </c:pt>
                <c:pt idx="1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7-406D-BE7F-20D7D490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76168"/>
        <c:axId val="354671464"/>
      </c:barChart>
      <c:catAx>
        <c:axId val="35467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354671464"/>
        <c:crosses val="autoZero"/>
        <c:auto val="1"/>
        <c:lblAlgn val="ctr"/>
        <c:lblOffset val="100"/>
        <c:noMultiLvlLbl val="0"/>
      </c:catAx>
      <c:valAx>
        <c:axId val="354671464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354676168"/>
        <c:crosses val="autoZero"/>
        <c:crossBetween val="between"/>
        <c:minorUnit val="100"/>
      </c:valAx>
    </c:plotArea>
    <c:legend>
      <c:legendPos val="r"/>
      <c:layout>
        <c:manualLayout>
          <c:xMode val="edge"/>
          <c:yMode val="edge"/>
          <c:x val="0.76697694834014363"/>
          <c:y val="0.4124089255367433"/>
          <c:w val="0.1711084252375723"/>
          <c:h val="9.446252010287088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Gp:Jo</a:t>
            </a:r>
            <a:r>
              <a:rPr lang="en-US" baseline="0"/>
              <a:t> Relationship</a:t>
            </a:r>
            <a:endParaRPr lang="en-US"/>
          </a:p>
        </c:rich>
      </c:tx>
      <c:layout>
        <c:manualLayout>
          <c:xMode val="edge"/>
          <c:yMode val="edge"/>
          <c:x val="0.35227996888846214"/>
          <c:y val="4.0425531914893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395535235507"/>
          <c:y val="9.6405919661733605E-2"/>
          <c:w val="0.63834354039078423"/>
          <c:h val="0.70370694677964396"/>
        </c:manualLayout>
      </c:layout>
      <c:scatterChart>
        <c:scatterStyle val="lineMarker"/>
        <c:varyColors val="0"/>
        <c:ser>
          <c:idx val="0"/>
          <c:order val="0"/>
          <c:tx>
            <c:v>No Ca</c:v>
          </c:tx>
          <c:spPr>
            <a:ln w="47625">
              <a:noFill/>
            </a:ln>
          </c:spPr>
          <c:trendline>
            <c:spPr>
              <a:ln w="19050">
                <a:solidFill>
                  <a:schemeClr val="tx2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63301936496177391"/>
                  <c:y val="-6.6754296471961954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'calcium noCa data'!$G$14:$G$18</c:f>
              <c:numCache>
                <c:formatCode>0.000</c:formatCode>
                <c:ptCount val="5"/>
                <c:pt idx="0">
                  <c:v>-13.943643032121523</c:v>
                </c:pt>
                <c:pt idx="1">
                  <c:v>-13.766407575326944</c:v>
                </c:pt>
                <c:pt idx="2">
                  <c:v>-13.516608228995208</c:v>
                </c:pt>
                <c:pt idx="3">
                  <c:v>-13.339372772200628</c:v>
                </c:pt>
                <c:pt idx="4">
                  <c:v>-13.089573425868892</c:v>
                </c:pt>
              </c:numCache>
            </c:numRef>
          </c:xVal>
          <c:yVal>
            <c:numRef>
              <c:f>'calcium noCa data'!$F$14:$F$18</c:f>
              <c:numCache>
                <c:formatCode>0.0</c:formatCode>
                <c:ptCount val="5"/>
                <c:pt idx="0">
                  <c:v>62</c:v>
                </c:pt>
                <c:pt idx="1">
                  <c:v>77</c:v>
                </c:pt>
                <c:pt idx="2">
                  <c:v>94.5</c:v>
                </c:pt>
                <c:pt idx="3">
                  <c:v>110</c:v>
                </c:pt>
                <c:pt idx="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0-47E8-9445-835300110CB4}"/>
            </c:ext>
          </c:extLst>
        </c:ser>
        <c:ser>
          <c:idx val="1"/>
          <c:order val="1"/>
          <c:tx>
            <c:v>Ca</c:v>
          </c:tx>
          <c:spPr>
            <a:ln w="47625">
              <a:noFill/>
            </a:ln>
          </c:spP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linear"/>
            <c:forward val="1"/>
            <c:backward val="0.72000000000000008"/>
            <c:dispRSqr val="1"/>
            <c:dispEq val="1"/>
            <c:trendlineLbl>
              <c:layout>
                <c:manualLayout>
                  <c:x val="0.52385214147179493"/>
                  <c:y val="0.106994110002428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'calcium noCa data'!$G$25:$G$29</c:f>
              <c:numCache>
                <c:formatCode>0.000</c:formatCode>
                <c:ptCount val="5"/>
                <c:pt idx="0">
                  <c:v>-13.943643032121523</c:v>
                </c:pt>
                <c:pt idx="1">
                  <c:v>-13.766407575326944</c:v>
                </c:pt>
                <c:pt idx="2">
                  <c:v>-13.516608228995208</c:v>
                </c:pt>
                <c:pt idx="3">
                  <c:v>-13.339372772200628</c:v>
                </c:pt>
                <c:pt idx="4">
                  <c:v>-13.089573425868892</c:v>
                </c:pt>
              </c:numCache>
            </c:numRef>
          </c:xVal>
          <c:yVal>
            <c:numRef>
              <c:f>'calcium noCa data'!$F$25:$F$29</c:f>
              <c:numCache>
                <c:formatCode>0.0</c:formatCode>
                <c:ptCount val="5"/>
                <c:pt idx="0">
                  <c:v>123</c:v>
                </c:pt>
                <c:pt idx="1">
                  <c:v>151</c:v>
                </c:pt>
                <c:pt idx="2">
                  <c:v>191</c:v>
                </c:pt>
                <c:pt idx="3">
                  <c:v>225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0-47E8-9445-83530011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8888"/>
        <c:axId val="123639280"/>
      </c:scatterChart>
      <c:valAx>
        <c:axId val="123638888"/>
        <c:scaling>
          <c:orientation val="maxMin"/>
          <c:max val="-12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Gp (kcal/mol)</a:t>
                </a:r>
              </a:p>
            </c:rich>
          </c:tx>
          <c:layout>
            <c:manualLayout>
              <c:xMode val="edge"/>
              <c:yMode val="edge"/>
              <c:x val="0.3539660768210432"/>
              <c:y val="0.9107822410147989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639280"/>
        <c:crosses val="autoZero"/>
        <c:crossBetween val="midCat"/>
        <c:majorUnit val="0.5"/>
      </c:valAx>
      <c:valAx>
        <c:axId val="12363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Jo</a:t>
                </a:r>
                <a:r>
                  <a:rPr lang="en-US" sz="1800" baseline="0"/>
                  <a:t> (nmol O2/min/nmol cyt a)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5.8048214051536259E-3"/>
              <c:y val="0.20729842571805446"/>
            </c:manualLayout>
          </c:layout>
          <c:overlay val="0"/>
        </c:title>
        <c:numFmt formatCode="0" sourceLinked="0"/>
        <c:majorTickMark val="out"/>
        <c:minorTickMark val="none"/>
        <c:tickLblPos val="high"/>
        <c:txPr>
          <a:bodyPr anchor="ctr" anchorCtr="1"/>
          <a:lstStyle/>
          <a:p>
            <a:pPr>
              <a:defRPr sz="1600" b="1"/>
            </a:pPr>
            <a:endParaRPr lang="en-US"/>
          </a:p>
        </c:txPr>
        <c:crossAx val="12363888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664650825417241"/>
          <c:y val="0.36429167364717702"/>
          <c:w val="0.12788205580850695"/>
          <c:h val="0.1060177584184960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EhNAD/NADH:Jo</a:t>
            </a:r>
            <a:r>
              <a:rPr lang="en-US" baseline="0"/>
              <a:t> Relationship</a:t>
            </a:r>
            <a:endParaRPr lang="en-US"/>
          </a:p>
        </c:rich>
      </c:tx>
      <c:layout>
        <c:manualLayout>
          <c:xMode val="edge"/>
          <c:yMode val="edge"/>
          <c:x val="0.35227996888846214"/>
          <c:y val="4.0425531914893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395535235507"/>
          <c:y val="9.6405919661733605E-2"/>
          <c:w val="0.63834354039078423"/>
          <c:h val="0.70370694677964396"/>
        </c:manualLayout>
      </c:layout>
      <c:scatterChart>
        <c:scatterStyle val="lineMarker"/>
        <c:varyColors val="0"/>
        <c:ser>
          <c:idx val="0"/>
          <c:order val="0"/>
          <c:tx>
            <c:v>No Ca</c:v>
          </c:tx>
          <c:spPr>
            <a:ln w="47625">
              <a:noFill/>
            </a:ln>
          </c:spPr>
          <c:trendline>
            <c:spPr>
              <a:ln w="19050">
                <a:solidFill>
                  <a:schemeClr val="tx2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7442734518112154"/>
                  <c:y val="-3.11226952440634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'calcium noCa data'!$H$14:$H$18</c:f>
              <c:numCache>
                <c:formatCode>General</c:formatCode>
                <c:ptCount val="5"/>
                <c:pt idx="0">
                  <c:v>-315.2</c:v>
                </c:pt>
                <c:pt idx="1">
                  <c:v>-313.60000000000002</c:v>
                </c:pt>
                <c:pt idx="2">
                  <c:v>-311.7</c:v>
                </c:pt>
                <c:pt idx="3">
                  <c:v>-310.5</c:v>
                </c:pt>
                <c:pt idx="4">
                  <c:v>-308.89999999999998</c:v>
                </c:pt>
              </c:numCache>
            </c:numRef>
          </c:xVal>
          <c:yVal>
            <c:numRef>
              <c:f>'calcium noCa data'!$F$14:$F$18</c:f>
              <c:numCache>
                <c:formatCode>0.0</c:formatCode>
                <c:ptCount val="5"/>
                <c:pt idx="0">
                  <c:v>62</c:v>
                </c:pt>
                <c:pt idx="1">
                  <c:v>77</c:v>
                </c:pt>
                <c:pt idx="2">
                  <c:v>94.5</c:v>
                </c:pt>
                <c:pt idx="3">
                  <c:v>110</c:v>
                </c:pt>
                <c:pt idx="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4-4522-9213-CF9C9D3FDF25}"/>
            </c:ext>
          </c:extLst>
        </c:ser>
        <c:ser>
          <c:idx val="1"/>
          <c:order val="1"/>
          <c:tx>
            <c:v>Ca</c:v>
          </c:tx>
          <c:spPr>
            <a:ln w="47625">
              <a:noFill/>
            </a:ln>
          </c:spP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linear"/>
            <c:forward val="13"/>
            <c:backward val="7"/>
            <c:dispRSqr val="1"/>
            <c:dispEq val="1"/>
            <c:trendlineLbl>
              <c:layout>
                <c:manualLayout>
                  <c:x val="0.45804581245526099"/>
                  <c:y val="5.686336894118480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'calcium noCa data'!$H$25:$H$29</c:f>
              <c:numCache>
                <c:formatCode>General</c:formatCode>
                <c:ptCount val="5"/>
                <c:pt idx="0">
                  <c:v>-327.5</c:v>
                </c:pt>
                <c:pt idx="1">
                  <c:v>-325.10000000000002</c:v>
                </c:pt>
                <c:pt idx="2">
                  <c:v>-322.39999999999998</c:v>
                </c:pt>
                <c:pt idx="3">
                  <c:v>-321</c:v>
                </c:pt>
                <c:pt idx="4">
                  <c:v>-318.8</c:v>
                </c:pt>
              </c:numCache>
            </c:numRef>
          </c:xVal>
          <c:yVal>
            <c:numRef>
              <c:f>'calcium noCa data'!$F$25:$F$29</c:f>
              <c:numCache>
                <c:formatCode>0.0</c:formatCode>
                <c:ptCount val="5"/>
                <c:pt idx="0">
                  <c:v>123</c:v>
                </c:pt>
                <c:pt idx="1">
                  <c:v>151</c:v>
                </c:pt>
                <c:pt idx="2">
                  <c:v>191</c:v>
                </c:pt>
                <c:pt idx="3">
                  <c:v>225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4-4522-9213-CF9C9D3FD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41536"/>
        <c:axId val="360636832"/>
      </c:scatterChart>
      <c:valAx>
        <c:axId val="360641536"/>
        <c:scaling>
          <c:orientation val="maxMin"/>
          <c:max val="-305"/>
          <c:min val="-33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NADH (mV)</a:t>
                </a:r>
              </a:p>
            </c:rich>
          </c:tx>
          <c:layout>
            <c:manualLayout>
              <c:xMode val="edge"/>
              <c:yMode val="edge"/>
              <c:x val="0.40608338249249809"/>
              <c:y val="0.8814368745667507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60636832"/>
        <c:crossesAt val="-305"/>
        <c:crossBetween val="midCat"/>
        <c:majorUnit val="5"/>
      </c:valAx>
      <c:valAx>
        <c:axId val="360636832"/>
        <c:scaling>
          <c:orientation val="minMax"/>
          <c:max val="5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Jo</a:t>
                </a:r>
                <a:r>
                  <a:rPr lang="en-US" sz="1800" baseline="0"/>
                  <a:t> (nmol O2/min/nmol cyt a)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2.6205414944325628E-2"/>
              <c:y val="0.21137471553484438"/>
            </c:manualLayout>
          </c:layout>
          <c:overlay val="0"/>
        </c:title>
        <c:numFmt formatCode="0" sourceLinked="0"/>
        <c:majorTickMark val="out"/>
        <c:minorTickMark val="none"/>
        <c:tickLblPos val="high"/>
        <c:txPr>
          <a:bodyPr anchor="ctr" anchorCtr="1"/>
          <a:lstStyle/>
          <a:p>
            <a:pPr>
              <a:defRPr sz="1600" b="1"/>
            </a:pPr>
            <a:endParaRPr lang="en-US"/>
          </a:p>
        </c:txPr>
        <c:crossAx val="36064153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664650825417241"/>
          <c:y val="0.36429167364717702"/>
          <c:w val="0.12788205580850695"/>
          <c:h val="0.1060177584184960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  <a:p>
            <a:pPr>
              <a:defRPr/>
            </a:pPr>
            <a:r>
              <a:rPr lang="en-US">
                <a:latin typeface="Symbol" charset="2"/>
                <a:cs typeface="Symbol" charset="2"/>
              </a:rPr>
              <a:t>DY</a:t>
            </a:r>
            <a:r>
              <a:rPr lang="en-US"/>
              <a:t>:Jo</a:t>
            </a:r>
            <a:r>
              <a:rPr lang="en-US" baseline="0"/>
              <a:t> Relationship</a:t>
            </a:r>
            <a:endParaRPr lang="en-US"/>
          </a:p>
        </c:rich>
      </c:tx>
      <c:layout>
        <c:manualLayout>
          <c:xMode val="edge"/>
          <c:yMode val="edge"/>
          <c:x val="0.33896143392730721"/>
          <c:y val="1.48936170212765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56984543598714"/>
          <c:y val="9.2257758752184713E-2"/>
          <c:w val="0.63834354039078423"/>
          <c:h val="0.70370694677964396"/>
        </c:manualLayout>
      </c:layout>
      <c:scatterChart>
        <c:scatterStyle val="lineMarker"/>
        <c:varyColors val="0"/>
        <c:ser>
          <c:idx val="0"/>
          <c:order val="0"/>
          <c:tx>
            <c:v>No Ca</c:v>
          </c:tx>
          <c:spPr>
            <a:ln w="47625">
              <a:noFill/>
            </a:ln>
          </c:spPr>
          <c:trendline>
            <c:spPr>
              <a:ln w="19050">
                <a:solidFill>
                  <a:schemeClr val="tx2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64706341876406326"/>
                  <c:y val="-0.369569123791377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'calcium noCa data'!$K$14:$K$18</c:f>
              <c:numCache>
                <c:formatCode>General</c:formatCode>
                <c:ptCount val="5"/>
                <c:pt idx="0">
                  <c:v>-193.5</c:v>
                </c:pt>
                <c:pt idx="1">
                  <c:v>-191.5</c:v>
                </c:pt>
                <c:pt idx="2">
                  <c:v>-190.1</c:v>
                </c:pt>
                <c:pt idx="3">
                  <c:v>-188.6</c:v>
                </c:pt>
                <c:pt idx="4">
                  <c:v>-187.1</c:v>
                </c:pt>
              </c:numCache>
            </c:numRef>
          </c:xVal>
          <c:yVal>
            <c:numRef>
              <c:f>'calcium noCa data'!$F$14:$F$18</c:f>
              <c:numCache>
                <c:formatCode>0.0</c:formatCode>
                <c:ptCount val="5"/>
                <c:pt idx="0">
                  <c:v>62</c:v>
                </c:pt>
                <c:pt idx="1">
                  <c:v>77</c:v>
                </c:pt>
                <c:pt idx="2">
                  <c:v>94.5</c:v>
                </c:pt>
                <c:pt idx="3">
                  <c:v>110</c:v>
                </c:pt>
                <c:pt idx="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D-4848-9287-8A8A51CD9D29}"/>
            </c:ext>
          </c:extLst>
        </c:ser>
        <c:ser>
          <c:idx val="1"/>
          <c:order val="1"/>
          <c:tx>
            <c:v>Ca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2"/>
              </a:solidFill>
            </c:spPr>
          </c:marke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linear"/>
            <c:forward val="15"/>
            <c:backward val="18"/>
            <c:dispRSqr val="1"/>
            <c:dispEq val="1"/>
            <c:trendlineLbl>
              <c:layout>
                <c:manualLayout>
                  <c:x val="0.42870004456990002"/>
                  <c:y val="8.15520187636121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'calcium noCa data'!$K$25:$K$29</c:f>
              <c:numCache>
                <c:formatCode>0.0</c:formatCode>
                <c:ptCount val="5"/>
                <c:pt idx="0">
                  <c:v>-201.1</c:v>
                </c:pt>
                <c:pt idx="1">
                  <c:v>-199.5</c:v>
                </c:pt>
                <c:pt idx="2">
                  <c:v>-198</c:v>
                </c:pt>
                <c:pt idx="3">
                  <c:v>-196.5</c:v>
                </c:pt>
                <c:pt idx="4">
                  <c:v>-194.6</c:v>
                </c:pt>
              </c:numCache>
            </c:numRef>
          </c:xVal>
          <c:yVal>
            <c:numRef>
              <c:f>'calcium noCa data'!$F$25:$F$29</c:f>
              <c:numCache>
                <c:formatCode>0.0</c:formatCode>
                <c:ptCount val="5"/>
                <c:pt idx="0">
                  <c:v>123</c:v>
                </c:pt>
                <c:pt idx="1">
                  <c:v>151</c:v>
                </c:pt>
                <c:pt idx="2">
                  <c:v>191</c:v>
                </c:pt>
                <c:pt idx="3">
                  <c:v>225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5D-4848-9287-8A8A51CD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40360"/>
        <c:axId val="360637616"/>
      </c:scatterChart>
      <c:valAx>
        <c:axId val="360640360"/>
        <c:scaling>
          <c:orientation val="maxMin"/>
          <c:max val="-180"/>
          <c:min val="-22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>
                    <a:latin typeface="Symbol" charset="2"/>
                    <a:cs typeface="Symbol" charset="2"/>
                  </a:rPr>
                  <a:t>DY</a:t>
                </a:r>
                <a:r>
                  <a:rPr lang="en-US" sz="1800"/>
                  <a:t> (mV)</a:t>
                </a:r>
              </a:p>
            </c:rich>
          </c:tx>
          <c:layout>
            <c:manualLayout>
              <c:xMode val="edge"/>
              <c:yMode val="edge"/>
              <c:x val="0.45385512160591501"/>
              <c:y val="0.8895056123303753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60637616"/>
        <c:crossesAt val="-305"/>
        <c:crossBetween val="midCat"/>
      </c:valAx>
      <c:valAx>
        <c:axId val="360637616"/>
        <c:scaling>
          <c:orientation val="minMax"/>
          <c:max val="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Jo</a:t>
                </a:r>
                <a:r>
                  <a:rPr lang="en-US" sz="1800" baseline="0"/>
                  <a:t> (nmol O2/min/nmol cyt a)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9.6595452450164566E-4"/>
              <c:y val="0.22204531803069433"/>
            </c:manualLayout>
          </c:layout>
          <c:overlay val="0"/>
        </c:title>
        <c:numFmt formatCode="0" sourceLinked="0"/>
        <c:majorTickMark val="out"/>
        <c:minorTickMark val="none"/>
        <c:tickLblPos val="high"/>
        <c:txPr>
          <a:bodyPr anchor="ctr" anchorCtr="1"/>
          <a:lstStyle/>
          <a:p>
            <a:pPr>
              <a:defRPr sz="1600" b="1"/>
            </a:pPr>
            <a:endParaRPr lang="en-US"/>
          </a:p>
        </c:txPr>
        <c:crossAx val="36064036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664650825417241"/>
          <c:y val="0.36429167364717702"/>
          <c:w val="0.12788205580850695"/>
          <c:h val="0.1060177584184960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Gp:Jo</a:t>
            </a:r>
            <a:r>
              <a:rPr lang="en-US" baseline="0"/>
              <a:t> Relationship</a:t>
            </a:r>
            <a:endParaRPr lang="en-US"/>
          </a:p>
        </c:rich>
      </c:tx>
      <c:layout>
        <c:manualLayout>
          <c:xMode val="edge"/>
          <c:yMode val="edge"/>
          <c:x val="0.41193633301128696"/>
          <c:y val="1.53664255759572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974952511294857"/>
          <c:y val="0.11699413910730992"/>
          <c:w val="0.63834354039078445"/>
          <c:h val="0.70370694677964396"/>
        </c:manualLayout>
      </c:layout>
      <c:scatterChart>
        <c:scatterStyle val="lineMarker"/>
        <c:varyColors val="0"/>
        <c:ser>
          <c:idx val="1"/>
          <c:order val="0"/>
          <c:tx>
            <c:v>Ca</c:v>
          </c:tx>
          <c:spPr>
            <a:ln w="47625">
              <a:noFill/>
            </a:ln>
          </c:spP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'calcium noCa data'!$G$25:$G$29</c:f>
              <c:numCache>
                <c:formatCode>0.000</c:formatCode>
                <c:ptCount val="5"/>
                <c:pt idx="0">
                  <c:v>-13.943643032121523</c:v>
                </c:pt>
                <c:pt idx="1">
                  <c:v>-13.766407575326944</c:v>
                </c:pt>
                <c:pt idx="2">
                  <c:v>-13.516608228995208</c:v>
                </c:pt>
                <c:pt idx="3">
                  <c:v>-13.339372772200628</c:v>
                </c:pt>
                <c:pt idx="4">
                  <c:v>-13.089573425868892</c:v>
                </c:pt>
              </c:numCache>
            </c:numRef>
          </c:xVal>
          <c:yVal>
            <c:numRef>
              <c:f>'calcium noCa data'!$F$25:$F$29</c:f>
              <c:numCache>
                <c:formatCode>0.0</c:formatCode>
                <c:ptCount val="5"/>
                <c:pt idx="0">
                  <c:v>123</c:v>
                </c:pt>
                <c:pt idx="1">
                  <c:v>151</c:v>
                </c:pt>
                <c:pt idx="2">
                  <c:v>191</c:v>
                </c:pt>
                <c:pt idx="3">
                  <c:v>225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3-4DB6-9CA0-96E926DA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38792"/>
        <c:axId val="360641144"/>
      </c:scatterChart>
      <c:valAx>
        <c:axId val="360638792"/>
        <c:scaling>
          <c:orientation val="minMax"/>
          <c:min val="-14.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Gp (kcal/mol)</a:t>
                </a:r>
              </a:p>
            </c:rich>
          </c:tx>
          <c:layout>
            <c:manualLayout>
              <c:xMode val="edge"/>
              <c:yMode val="edge"/>
              <c:x val="0.50022032092303259"/>
              <c:y val="0.93594572775182583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360641144"/>
        <c:crosses val="autoZero"/>
        <c:crossBetween val="midCat"/>
        <c:majorUnit val="0.5"/>
        <c:minorUnit val="0.25"/>
      </c:valAx>
      <c:valAx>
        <c:axId val="360641144"/>
        <c:scaling>
          <c:orientation val="minMax"/>
          <c:max val="3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Jo</a:t>
                </a:r>
                <a:r>
                  <a:rPr lang="en-US" sz="1800" baseline="0"/>
                  <a:t> (nmol O2/min/nmol cyt a)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7.0975461037441827E-4"/>
              <c:y val="0.1870910497190597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anchor="ctr" anchorCtr="1"/>
          <a:lstStyle/>
          <a:p>
            <a:pPr>
              <a:defRPr sz="2000" b="1"/>
            </a:pPr>
            <a:endParaRPr lang="en-US"/>
          </a:p>
        </c:txPr>
        <c:crossAx val="360638792"/>
        <c:crossesAt val="-14.5"/>
        <c:crossBetween val="midCat"/>
      </c:valAx>
    </c:plotArea>
    <c:plotVisOnly val="1"/>
    <c:dispBlanksAs val="gap"/>
    <c:showDLblsOverMax val="0"/>
  </c:chart>
  <c:printSettings>
    <c:headerFooter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[ADP]:Jo</a:t>
            </a:r>
            <a:r>
              <a:rPr lang="en-US" baseline="0"/>
              <a:t> Relationship</a:t>
            </a:r>
            <a:endParaRPr lang="en-US"/>
          </a:p>
        </c:rich>
      </c:tx>
      <c:layout>
        <c:manualLayout>
          <c:xMode val="edge"/>
          <c:yMode val="edge"/>
          <c:x val="0.3542043717489784"/>
          <c:y val="1.52621334600449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56395610310171"/>
          <c:y val="0.11241897547316018"/>
          <c:w val="0.63834354039078478"/>
          <c:h val="0.70370694677964396"/>
        </c:manualLayout>
      </c:layout>
      <c:scatterChart>
        <c:scatterStyle val="smoothMarker"/>
        <c:varyColors val="0"/>
        <c:ser>
          <c:idx val="1"/>
          <c:order val="0"/>
          <c:tx>
            <c:v>Ca</c:v>
          </c:tx>
          <c:xVal>
            <c:numRef>
              <c:f>'calcium noCa data'!$E$95:$E$105</c:f>
              <c:numCache>
                <c:formatCode>0.0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16.666666666666668</c:v>
                </c:pt>
                <c:pt idx="5">
                  <c:v>22.222222222222225</c:v>
                </c:pt>
                <c:pt idx="6">
                  <c:v>33.333333333333336</c:v>
                </c:pt>
                <c:pt idx="7">
                  <c:v>44.44444444444445</c:v>
                </c:pt>
                <c:pt idx="8">
                  <c:v>66.666666666666671</c:v>
                </c:pt>
                <c:pt idx="9">
                  <c:v>100</c:v>
                </c:pt>
              </c:numCache>
            </c:numRef>
          </c:xVal>
          <c:yVal>
            <c:numRef>
              <c:f>'calcium noCa data'!$G$95:$G$104</c:f>
              <c:numCache>
                <c:formatCode>0.00</c:formatCode>
                <c:ptCount val="10"/>
                <c:pt idx="0">
                  <c:v>18.755555555555556</c:v>
                </c:pt>
                <c:pt idx="1">
                  <c:v>43.958333333333336</c:v>
                </c:pt>
                <c:pt idx="2">
                  <c:v>62.67326732673267</c:v>
                </c:pt>
                <c:pt idx="3">
                  <c:v>79.622641509433961</c:v>
                </c:pt>
                <c:pt idx="4" formatCode="General">
                  <c:v>123</c:v>
                </c:pt>
                <c:pt idx="5" formatCode="General">
                  <c:v>151</c:v>
                </c:pt>
                <c:pt idx="6" formatCode="General">
                  <c:v>191</c:v>
                </c:pt>
                <c:pt idx="7" formatCode="General">
                  <c:v>225</c:v>
                </c:pt>
                <c:pt idx="8" formatCode="General">
                  <c:v>261</c:v>
                </c:pt>
                <c:pt idx="9">
                  <c:v>295.10489510489509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5-4695-9F14-1AFD06371343}"/>
            </c:ext>
          </c:extLst>
        </c:ser>
        <c:ser>
          <c:idx val="0"/>
          <c:order val="1"/>
          <c:tx>
            <c:v>No Ca</c:v>
          </c:tx>
          <c:xVal>
            <c:numRef>
              <c:f>'calcium noCa data'!$E$95:$E$105</c:f>
              <c:numCache>
                <c:formatCode>0.0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16.666666666666668</c:v>
                </c:pt>
                <c:pt idx="5">
                  <c:v>22.222222222222225</c:v>
                </c:pt>
                <c:pt idx="6">
                  <c:v>33.333333333333336</c:v>
                </c:pt>
                <c:pt idx="7">
                  <c:v>44.44444444444445</c:v>
                </c:pt>
                <c:pt idx="8">
                  <c:v>66.666666666666671</c:v>
                </c:pt>
                <c:pt idx="9">
                  <c:v>100</c:v>
                </c:pt>
              </c:numCache>
            </c:numRef>
          </c:xVal>
          <c:yVal>
            <c:numRef>
              <c:f>'calcium noCa data'!$F$95:$F$105</c:f>
              <c:numCache>
                <c:formatCode>0.00</c:formatCode>
                <c:ptCount val="11"/>
                <c:pt idx="0">
                  <c:v>8.9555555555555557</c:v>
                </c:pt>
                <c:pt idx="1">
                  <c:v>20.989583333333332</c:v>
                </c:pt>
                <c:pt idx="2">
                  <c:v>29.925742574257427</c:v>
                </c:pt>
                <c:pt idx="3">
                  <c:v>38.018867924528301</c:v>
                </c:pt>
                <c:pt idx="4" formatCode="General">
                  <c:v>62</c:v>
                </c:pt>
                <c:pt idx="5" formatCode="General">
                  <c:v>77</c:v>
                </c:pt>
                <c:pt idx="6" formatCode="General">
                  <c:v>94.5</c:v>
                </c:pt>
                <c:pt idx="7" formatCode="General">
                  <c:v>110</c:v>
                </c:pt>
                <c:pt idx="8" formatCode="General">
                  <c:v>130</c:v>
                </c:pt>
                <c:pt idx="9">
                  <c:v>140.90909090909091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C5-4695-9F14-1AFD06371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40752"/>
        <c:axId val="360642320"/>
      </c:scatterChart>
      <c:valAx>
        <c:axId val="3606407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[ADP] (uM)</a:t>
                </a:r>
              </a:p>
            </c:rich>
          </c:tx>
          <c:layout>
            <c:manualLayout>
              <c:xMode val="edge"/>
              <c:yMode val="edge"/>
              <c:x val="0.467505542874391"/>
              <c:y val="0.9222202368493766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360642320"/>
        <c:crosses val="autoZero"/>
        <c:crossBetween val="midCat"/>
        <c:majorUnit val="25"/>
        <c:minorUnit val="5"/>
      </c:valAx>
      <c:valAx>
        <c:axId val="360642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Jo</a:t>
                </a:r>
                <a:r>
                  <a:rPr lang="en-US" sz="1800" baseline="0"/>
                  <a:t> (nmol O2/min/nmol cyt a)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2.1878140406554229E-2"/>
              <c:y val="0.164215231548311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anchor="ctr" anchorCtr="1"/>
          <a:lstStyle/>
          <a:p>
            <a:pPr>
              <a:defRPr sz="1800" b="1"/>
            </a:pPr>
            <a:endParaRPr lang="en-US"/>
          </a:p>
        </c:txPr>
        <c:crossAx val="360640752"/>
        <c:crossesAt val="-14.4"/>
        <c:crossBetween val="midCat"/>
      </c:valAx>
    </c:plotArea>
    <c:legend>
      <c:legendPos val="r"/>
      <c:layout>
        <c:manualLayout>
          <c:xMode val="edge"/>
          <c:yMode val="edge"/>
          <c:x val="0.85743690699729558"/>
          <c:y val="0.31167725859077033"/>
          <c:w val="0.12788205580850687"/>
          <c:h val="0.10601775841849602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78" r="0.75000000000000078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Eadie Hofstee</a:t>
            </a:r>
            <a:r>
              <a:rPr lang="en-US" baseline="0"/>
              <a:t> for KmADP</a:t>
            </a:r>
            <a:endParaRPr lang="en-US"/>
          </a:p>
        </c:rich>
      </c:tx>
      <c:layout>
        <c:manualLayout>
          <c:xMode val="edge"/>
          <c:yMode val="edge"/>
          <c:x val="0.35420437174897851"/>
          <c:y val="1.52621334600449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56395610310171"/>
          <c:y val="0.11241897547316018"/>
          <c:w val="0.638343540390785"/>
          <c:h val="0.70370694677964396"/>
        </c:manualLayout>
      </c:layout>
      <c:scatterChart>
        <c:scatterStyle val="lineMarker"/>
        <c:varyColors val="0"/>
        <c:ser>
          <c:idx val="1"/>
          <c:order val="0"/>
          <c:tx>
            <c:v>Ca</c:v>
          </c:tx>
          <c:spPr>
            <a:ln w="47625">
              <a:noFill/>
            </a:ln>
          </c:spPr>
          <c:trendline>
            <c:trendlineType val="linear"/>
            <c:forward val="2"/>
            <c:backward val="3.9499999999999997"/>
            <c:dispRSqr val="1"/>
            <c:dispEq val="1"/>
            <c:trendlineLbl>
              <c:layout>
                <c:manualLayout>
                  <c:x val="0.15262815283180572"/>
                  <c:y val="-0.13925519218028884"/>
                </c:manualLayout>
              </c:layout>
              <c:numFmt formatCode="General" sourceLinked="0"/>
            </c:trendlineLbl>
          </c:trendline>
          <c:xVal>
            <c:numRef>
              <c:f>'calcium noCa data'!$I$95:$I$99</c:f>
              <c:numCache>
                <c:formatCode>General</c:formatCode>
                <c:ptCount val="5"/>
                <c:pt idx="0">
                  <c:v>7.38</c:v>
                </c:pt>
                <c:pt idx="1">
                  <c:v>6.794999999999999</c:v>
                </c:pt>
                <c:pt idx="2">
                  <c:v>5.7299999999999995</c:v>
                </c:pt>
                <c:pt idx="3">
                  <c:v>5.0624999999999991</c:v>
                </c:pt>
                <c:pt idx="4">
                  <c:v>3.9149999999999996</c:v>
                </c:pt>
              </c:numCache>
            </c:numRef>
          </c:xVal>
          <c:yVal>
            <c:numRef>
              <c:f>'calcium noCa data'!$G$99:$G$103</c:f>
              <c:numCache>
                <c:formatCode>General</c:formatCode>
                <c:ptCount val="5"/>
                <c:pt idx="0">
                  <c:v>123</c:v>
                </c:pt>
                <c:pt idx="1">
                  <c:v>151</c:v>
                </c:pt>
                <c:pt idx="2">
                  <c:v>191</c:v>
                </c:pt>
                <c:pt idx="3">
                  <c:v>225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5-42FE-89C3-B6AF0978FF11}"/>
            </c:ext>
          </c:extLst>
        </c:ser>
        <c:ser>
          <c:idx val="0"/>
          <c:order val="1"/>
          <c:tx>
            <c:v>No Ca</c:v>
          </c:tx>
          <c:spPr>
            <a:ln w="47625">
              <a:noFill/>
            </a:ln>
          </c:spPr>
          <c:trendline>
            <c:trendlineType val="linear"/>
            <c:forward val="1"/>
            <c:backward val="1.9500000000000002"/>
            <c:dispRSqr val="1"/>
            <c:dispEq val="1"/>
            <c:trendlineLbl>
              <c:layout>
                <c:manualLayout>
                  <c:x val="0.18306123042719832"/>
                  <c:y val="-4.9404922515821237E-2"/>
                </c:manualLayout>
              </c:layout>
              <c:numFmt formatCode="General" sourceLinked="0"/>
            </c:trendlineLbl>
          </c:trendline>
          <c:xVal>
            <c:numRef>
              <c:f>'calcium noCa data'!$H$95:$H$99</c:f>
              <c:numCache>
                <c:formatCode>General</c:formatCode>
                <c:ptCount val="5"/>
                <c:pt idx="0">
                  <c:v>3.7199999999999998</c:v>
                </c:pt>
                <c:pt idx="1">
                  <c:v>3.4649999999999994</c:v>
                </c:pt>
                <c:pt idx="2">
                  <c:v>2.835</c:v>
                </c:pt>
                <c:pt idx="3">
                  <c:v>2.4749999999999996</c:v>
                </c:pt>
                <c:pt idx="4">
                  <c:v>1.95</c:v>
                </c:pt>
              </c:numCache>
            </c:numRef>
          </c:xVal>
          <c:yVal>
            <c:numRef>
              <c:f>'calcium noCa data'!$F$99:$F$103</c:f>
              <c:numCache>
                <c:formatCode>General</c:formatCode>
                <c:ptCount val="5"/>
                <c:pt idx="0">
                  <c:v>62</c:v>
                </c:pt>
                <c:pt idx="1">
                  <c:v>77</c:v>
                </c:pt>
                <c:pt idx="2">
                  <c:v>94.5</c:v>
                </c:pt>
                <c:pt idx="3">
                  <c:v>110</c:v>
                </c:pt>
                <c:pt idx="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2FE-89C3-B6AF0978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36048"/>
        <c:axId val="360635264"/>
      </c:scatterChart>
      <c:valAx>
        <c:axId val="360636048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Jo/ADP</a:t>
                </a:r>
              </a:p>
            </c:rich>
          </c:tx>
          <c:layout>
            <c:manualLayout>
              <c:xMode val="edge"/>
              <c:yMode val="edge"/>
              <c:x val="0.467505542874391"/>
              <c:y val="0.92222023684937682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360635264"/>
        <c:crosses val="autoZero"/>
        <c:crossBetween val="midCat"/>
        <c:majorUnit val="2"/>
        <c:minorUnit val="1"/>
      </c:valAx>
      <c:valAx>
        <c:axId val="360635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Jo</a:t>
                </a:r>
                <a:r>
                  <a:rPr lang="en-US" sz="1800" baseline="0"/>
                  <a:t> (nmol O2/min/nmol cyt a)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2.1878140406554249E-2"/>
              <c:y val="0.164215231548311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anchor="ctr" anchorCtr="1"/>
          <a:lstStyle/>
          <a:p>
            <a:pPr>
              <a:defRPr sz="1800" b="1"/>
            </a:pPr>
            <a:endParaRPr lang="en-US"/>
          </a:p>
        </c:txPr>
        <c:crossAx val="36063604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4004858576393473"/>
          <c:y val="0.21788640409070065"/>
          <c:w val="0.19523600704542066"/>
          <c:h val="0.1769327454548271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Glancy</a:t>
            </a:r>
            <a:r>
              <a:rPr lang="en-US" sz="1800" baseline="0"/>
              <a:t> Isolated Mito</a:t>
            </a:r>
          </a:p>
          <a:p>
            <a:pPr>
              <a:defRPr sz="1800"/>
            </a:pPr>
            <a:r>
              <a:rPr lang="en-US" sz="1800"/>
              <a:t>Extended Loxphos for J</a:t>
            </a:r>
            <a:r>
              <a:rPr lang="en-US" sz="1800" baseline="-25000"/>
              <a:t>O2</a:t>
            </a:r>
            <a:r>
              <a:rPr lang="en-US" sz="1800"/>
              <a:t> &amp; J</a:t>
            </a:r>
            <a:r>
              <a:rPr lang="en-US" sz="1800" baseline="-25000"/>
              <a:t>ATP</a:t>
            </a:r>
          </a:p>
        </c:rich>
      </c:tx>
      <c:layout>
        <c:manualLayout>
          <c:xMode val="edge"/>
          <c:yMode val="edge"/>
          <c:x val="0.27542108760129047"/>
          <c:y val="3.117937497300954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304057472460673"/>
          <c:y val="9.6405884614959136E-2"/>
          <c:w val="0.63834354039078423"/>
          <c:h val="0.70370694677964396"/>
        </c:manualLayout>
      </c:layout>
      <c:scatterChart>
        <c:scatterStyle val="lineMarker"/>
        <c:varyColors val="0"/>
        <c:ser>
          <c:idx val="0"/>
          <c:order val="0"/>
          <c:tx>
            <c:v>Jatp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linear"/>
            <c:forward val="3"/>
            <c:backward val="1.9"/>
            <c:dispRSqr val="1"/>
            <c:dispEq val="1"/>
            <c:trendlineLbl>
              <c:layout>
                <c:manualLayout>
                  <c:x val="-0.21537173732295684"/>
                  <c:y val="0.1735256740206651"/>
                </c:manualLayout>
              </c:layout>
              <c:tx>
                <c:rich>
                  <a:bodyPr/>
                  <a:lstStyle/>
                  <a:p>
                    <a:pPr>
                      <a:defRPr sz="1400" b="1">
                        <a:solidFill>
                          <a:srgbClr val="C00000"/>
                        </a:solidFill>
                      </a:defRPr>
                    </a:pPr>
                    <a:r>
                      <a:rPr lang="en-US" sz="1400" b="1" baseline="0">
                        <a:solidFill>
                          <a:srgbClr val="C00000"/>
                        </a:solidFill>
                      </a:rPr>
                      <a:t>y = 311x - 3968</a:t>
                    </a:r>
                    <a:br>
                      <a:rPr lang="en-US" sz="1400" b="1" baseline="0">
                        <a:solidFill>
                          <a:srgbClr val="C00000"/>
                        </a:solidFill>
                      </a:rPr>
                    </a:br>
                    <a:r>
                      <a:rPr lang="en-US" sz="1400" b="1" baseline="0">
                        <a:solidFill>
                          <a:srgbClr val="C00000"/>
                        </a:solidFill>
                      </a:rPr>
                      <a:t>R² = 0.9992</a:t>
                    </a:r>
                    <a:endParaRPr lang="en-US" sz="1400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'calcium noCa data'!$AG$53:$AG$57</c:f>
              <c:numCache>
                <c:formatCode>General</c:formatCode>
                <c:ptCount val="5"/>
                <c:pt idx="0">
                  <c:v>14.7</c:v>
                </c:pt>
                <c:pt idx="1">
                  <c:v>15.15</c:v>
                </c:pt>
                <c:pt idx="2">
                  <c:v>15.85</c:v>
                </c:pt>
                <c:pt idx="3">
                  <c:v>16.3</c:v>
                </c:pt>
                <c:pt idx="4">
                  <c:v>16.899999999999999</c:v>
                </c:pt>
              </c:numCache>
            </c:numRef>
          </c:xVal>
          <c:yVal>
            <c:numRef>
              <c:f>'calcium noCa data'!$AH$53:$AH$57</c:f>
              <c:numCache>
                <c:formatCode>General</c:formatCode>
                <c:ptCount val="5"/>
                <c:pt idx="0">
                  <c:v>600</c:v>
                </c:pt>
                <c:pt idx="1">
                  <c:v>760</c:v>
                </c:pt>
                <c:pt idx="2">
                  <c:v>970</c:v>
                </c:pt>
                <c:pt idx="3">
                  <c:v>1110</c:v>
                </c:pt>
                <c:pt idx="4">
                  <c:v>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C-4BDD-A88E-0BAAD641FC04}"/>
            </c:ext>
          </c:extLst>
        </c:ser>
        <c:ser>
          <c:idx val="1"/>
          <c:order val="1"/>
          <c:tx>
            <c:v>JO2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2225">
                <a:solidFill>
                  <a:srgbClr val="000000"/>
                </a:solidFill>
                <a:prstDash val="dash"/>
              </a:ln>
            </c:spPr>
            <c:trendlineType val="linear"/>
            <c:forward val="3"/>
            <c:backward val="1.9"/>
            <c:dispRSqr val="1"/>
            <c:dispEq val="1"/>
            <c:trendlineLbl>
              <c:layout>
                <c:manualLayout>
                  <c:x val="0.14340880682344098"/>
                  <c:y val="-8.6610196969715086E-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y = 62x - 794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0.9992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'calcium noCa data'!$AG$53:$AG$57</c:f>
              <c:numCache>
                <c:formatCode>General</c:formatCode>
                <c:ptCount val="5"/>
                <c:pt idx="0">
                  <c:v>14.7</c:v>
                </c:pt>
                <c:pt idx="1">
                  <c:v>15.15</c:v>
                </c:pt>
                <c:pt idx="2">
                  <c:v>15.85</c:v>
                </c:pt>
                <c:pt idx="3">
                  <c:v>16.3</c:v>
                </c:pt>
                <c:pt idx="4">
                  <c:v>16.899999999999999</c:v>
                </c:pt>
              </c:numCache>
            </c:numRef>
          </c:xVal>
          <c:yVal>
            <c:numRef>
              <c:f>'calcium noCa data'!$AI$53:$AI$57</c:f>
              <c:numCache>
                <c:formatCode>General</c:formatCode>
                <c:ptCount val="5"/>
                <c:pt idx="0">
                  <c:v>120</c:v>
                </c:pt>
                <c:pt idx="1">
                  <c:v>152</c:v>
                </c:pt>
                <c:pt idx="2">
                  <c:v>194</c:v>
                </c:pt>
                <c:pt idx="3">
                  <c:v>222</c:v>
                </c:pt>
                <c:pt idx="4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C-4BDD-A88E-0BAAD641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8888"/>
        <c:axId val="123639280"/>
      </c:scatterChart>
      <c:valAx>
        <c:axId val="123638888"/>
        <c:scaling>
          <c:orientation val="minMax"/>
          <c:max val="20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Symbol" panose="05050102010706020507" pitchFamily="18" charset="2"/>
                  </a:rPr>
                  <a:t>D</a:t>
                </a:r>
                <a:r>
                  <a:rPr lang="en-US" sz="2000"/>
                  <a:t>G</a:t>
                </a:r>
                <a:r>
                  <a:rPr lang="en-US" sz="2000" baseline="-25000"/>
                  <a:t>redox</a:t>
                </a:r>
                <a:r>
                  <a:rPr lang="en-US" sz="2000" baseline="0"/>
                  <a:t> - </a:t>
                </a:r>
                <a:r>
                  <a:rPr lang="en-US" sz="2000" baseline="0">
                    <a:latin typeface="Symbol" panose="05050102010706020507" pitchFamily="18" charset="2"/>
                  </a:rPr>
                  <a:t>D</a:t>
                </a:r>
                <a:r>
                  <a:rPr lang="en-US" sz="2000" baseline="0"/>
                  <a:t>G</a:t>
                </a:r>
                <a:r>
                  <a:rPr lang="en-US" sz="2000" baseline="-25000"/>
                  <a:t>ATP </a:t>
                </a:r>
                <a:r>
                  <a:rPr lang="en-US" sz="2000" baseline="0"/>
                  <a:t>(kcal) (Affinities)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27493625985297121"/>
              <c:y val="0.893421046318021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2000" b="1"/>
            </a:pPr>
            <a:endParaRPr lang="en-US"/>
          </a:p>
        </c:txPr>
        <c:crossAx val="123639280"/>
        <c:crosses val="autoZero"/>
        <c:crossBetween val="midCat"/>
        <c:majorUnit val="2"/>
        <c:minorUnit val="1"/>
      </c:valAx>
      <c:valAx>
        <c:axId val="123639280"/>
        <c:scaling>
          <c:orientation val="minMax"/>
          <c:max val="25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J</a:t>
                </a:r>
                <a:r>
                  <a:rPr lang="en-US" sz="2400" baseline="0"/>
                  <a:t> (nmol/min/mg mito)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1.6387578853424142E-3"/>
              <c:y val="0.1785306635573661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22225">
            <a:solidFill>
              <a:schemeClr val="tx1"/>
            </a:solidFill>
          </a:ln>
        </c:spPr>
        <c:txPr>
          <a:bodyPr anchor="ctr" anchorCtr="1"/>
          <a:lstStyle/>
          <a:p>
            <a:pPr>
              <a:defRPr sz="1800"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123638888"/>
        <c:crosses val="autoZero"/>
        <c:crossBetween val="midCat"/>
        <c:majorUnit val="500"/>
        <c:minorUnit val="100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00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670774768335749"/>
          <c:y val="0.34591940298354473"/>
          <c:w val="9.6208892005577265E-2"/>
          <c:h val="0.11159574621036035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1.0 kg Muscle in vivo (10 g mito/kg)</a:t>
            </a:r>
            <a:endParaRPr lang="en-US" sz="1800" baseline="0"/>
          </a:p>
          <a:p>
            <a:pPr>
              <a:defRPr sz="1800"/>
            </a:pPr>
            <a:r>
              <a:rPr lang="en-US" sz="1800"/>
              <a:t>Extended Loxphos for J</a:t>
            </a:r>
            <a:r>
              <a:rPr lang="en-US" sz="1800" baseline="-25000"/>
              <a:t>O2</a:t>
            </a:r>
            <a:r>
              <a:rPr lang="en-US" sz="1800"/>
              <a:t> &amp; J</a:t>
            </a:r>
            <a:r>
              <a:rPr lang="en-US" sz="1800" baseline="-25000"/>
              <a:t>ATP</a:t>
            </a:r>
          </a:p>
        </c:rich>
      </c:tx>
      <c:layout>
        <c:manualLayout>
          <c:xMode val="edge"/>
          <c:yMode val="edge"/>
          <c:x val="0.27542108760129047"/>
          <c:y val="3.117937497300954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304057472460673"/>
          <c:y val="9.6405884614959136E-2"/>
          <c:w val="0.63834354039078423"/>
          <c:h val="0.70370694677964396"/>
        </c:manualLayout>
      </c:layout>
      <c:scatterChart>
        <c:scatterStyle val="lineMarker"/>
        <c:varyColors val="0"/>
        <c:ser>
          <c:idx val="0"/>
          <c:order val="0"/>
          <c:tx>
            <c:v>Jatp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linear"/>
            <c:forward val="3"/>
            <c:backward val="1.9"/>
            <c:dispRSqr val="1"/>
            <c:dispEq val="1"/>
            <c:trendlineLbl>
              <c:layout>
                <c:manualLayout>
                  <c:x val="-0.23005811751509572"/>
                  <c:y val="0.19835652699320014"/>
                </c:manualLayout>
              </c:layout>
              <c:tx>
                <c:rich>
                  <a:bodyPr/>
                  <a:lstStyle/>
                  <a:p>
                    <a:pPr>
                      <a:defRPr sz="1400" b="1">
                        <a:solidFill>
                          <a:srgbClr val="C00000"/>
                        </a:solidFill>
                      </a:defRPr>
                    </a:pPr>
                    <a:r>
                      <a:rPr lang="en-US" sz="1400" b="1" baseline="0">
                        <a:solidFill>
                          <a:srgbClr val="C00000"/>
                        </a:solidFill>
                      </a:rPr>
                      <a:t>y = 7.78x - 99.19</a:t>
                    </a:r>
                    <a:br>
                      <a:rPr lang="en-US" sz="1400" b="1" baseline="0">
                        <a:solidFill>
                          <a:srgbClr val="C00000"/>
                        </a:solidFill>
                      </a:rPr>
                    </a:br>
                    <a:r>
                      <a:rPr lang="en-US" sz="1400" b="1" baseline="0">
                        <a:solidFill>
                          <a:srgbClr val="C00000"/>
                        </a:solidFill>
                      </a:rPr>
                      <a:t>R² = 0.9992</a:t>
                    </a:r>
                    <a:endParaRPr lang="en-US" sz="1400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'calcium noCa data'!$AG$63:$AG$67</c:f>
              <c:numCache>
                <c:formatCode>General</c:formatCode>
                <c:ptCount val="5"/>
                <c:pt idx="0">
                  <c:v>14.7</c:v>
                </c:pt>
                <c:pt idx="1">
                  <c:v>15.15</c:v>
                </c:pt>
                <c:pt idx="2">
                  <c:v>15.85</c:v>
                </c:pt>
                <c:pt idx="3">
                  <c:v>16.3</c:v>
                </c:pt>
                <c:pt idx="4">
                  <c:v>16.899999999999999</c:v>
                </c:pt>
              </c:numCache>
            </c:numRef>
          </c:xVal>
          <c:yVal>
            <c:numRef>
              <c:f>'calcium noCa data'!$AH$63:$AH$67</c:f>
              <c:numCache>
                <c:formatCode>0.0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24.25</c:v>
                </c:pt>
                <c:pt idx="3">
                  <c:v>27.75</c:v>
                </c:pt>
                <c:pt idx="4">
                  <c:v>32.25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A1-4702-B342-1444EDCC2DA5}"/>
            </c:ext>
          </c:extLst>
        </c:ser>
        <c:ser>
          <c:idx val="1"/>
          <c:order val="1"/>
          <c:tx>
            <c:v>JO2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2225">
                <a:solidFill>
                  <a:srgbClr val="000000"/>
                </a:solidFill>
                <a:prstDash val="dash"/>
              </a:ln>
            </c:spPr>
            <c:trendlineType val="linear"/>
            <c:forward val="3"/>
            <c:backward val="1.9"/>
            <c:dispRSqr val="1"/>
            <c:dispEq val="1"/>
            <c:trendlineLbl>
              <c:layout>
                <c:manualLayout>
                  <c:x val="8.4512226029302515E-2"/>
                  <c:y val="-7.0063778568482837E-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y = 1.557x - 19.84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0.9992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'calcium noCa data'!$AG$63:$AG$67</c:f>
              <c:numCache>
                <c:formatCode>General</c:formatCode>
                <c:ptCount val="5"/>
                <c:pt idx="0">
                  <c:v>14.7</c:v>
                </c:pt>
                <c:pt idx="1">
                  <c:v>15.15</c:v>
                </c:pt>
                <c:pt idx="2">
                  <c:v>15.85</c:v>
                </c:pt>
                <c:pt idx="3">
                  <c:v>16.3</c:v>
                </c:pt>
                <c:pt idx="4">
                  <c:v>16.899999999999999</c:v>
                </c:pt>
              </c:numCache>
            </c:numRef>
          </c:xVal>
          <c:yVal>
            <c:numRef>
              <c:f>'calcium noCa data'!$AI$63:$AI$67</c:f>
              <c:numCache>
                <c:formatCode>0.0</c:formatCode>
                <c:ptCount val="5"/>
                <c:pt idx="0">
                  <c:v>3</c:v>
                </c:pt>
                <c:pt idx="1">
                  <c:v>3.8</c:v>
                </c:pt>
                <c:pt idx="2">
                  <c:v>4.8499999999999996</c:v>
                </c:pt>
                <c:pt idx="3">
                  <c:v>5.55</c:v>
                </c:pt>
                <c:pt idx="4">
                  <c:v>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1-4702-B342-1444EDCC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8888"/>
        <c:axId val="123639280"/>
      </c:scatterChart>
      <c:valAx>
        <c:axId val="123638888"/>
        <c:scaling>
          <c:orientation val="minMax"/>
          <c:max val="20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Symbol" panose="05050102010706020507" pitchFamily="18" charset="2"/>
                  </a:rPr>
                  <a:t>D</a:t>
                </a:r>
                <a:r>
                  <a:rPr lang="en-US" sz="2000"/>
                  <a:t>G</a:t>
                </a:r>
                <a:r>
                  <a:rPr lang="en-US" sz="2000" baseline="-25000"/>
                  <a:t>redox</a:t>
                </a:r>
                <a:r>
                  <a:rPr lang="en-US" sz="2000" baseline="0"/>
                  <a:t> - </a:t>
                </a:r>
                <a:r>
                  <a:rPr lang="en-US" sz="2000" baseline="0">
                    <a:latin typeface="Symbol" panose="05050102010706020507" pitchFamily="18" charset="2"/>
                  </a:rPr>
                  <a:t>D</a:t>
                </a:r>
                <a:r>
                  <a:rPr lang="en-US" sz="2000" baseline="0"/>
                  <a:t>G</a:t>
                </a:r>
                <a:r>
                  <a:rPr lang="en-US" sz="2000" baseline="-25000"/>
                  <a:t>ATP </a:t>
                </a:r>
                <a:r>
                  <a:rPr lang="en-US" sz="2000" baseline="0"/>
                  <a:t>(kcal) (Affinities)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27493625985297121"/>
              <c:y val="0.89342104631802199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2000" b="1"/>
            </a:pPr>
            <a:endParaRPr lang="en-US"/>
          </a:p>
        </c:txPr>
        <c:crossAx val="123639280"/>
        <c:crosses val="autoZero"/>
        <c:crossBetween val="midCat"/>
        <c:majorUnit val="1"/>
        <c:minorUnit val="0.5"/>
      </c:valAx>
      <c:valAx>
        <c:axId val="123639280"/>
        <c:scaling>
          <c:orientation val="minMax"/>
          <c:max val="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J</a:t>
                </a:r>
                <a:r>
                  <a:rPr lang="en-US" sz="2400" baseline="0"/>
                  <a:t> (mmol/min/kg muscle)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1.6475185752424782E-2"/>
              <c:y val="0.1322456769639483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22225">
            <a:solidFill>
              <a:schemeClr val="tx1"/>
            </a:solidFill>
          </a:ln>
        </c:spPr>
        <c:txPr>
          <a:bodyPr anchor="ctr" anchorCtr="1"/>
          <a:lstStyle/>
          <a:p>
            <a:pPr>
              <a:defRPr sz="1800"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123638888"/>
        <c:crosses val="autoZero"/>
        <c:crossBetween val="midCat"/>
        <c:majorUnit val="10"/>
        <c:minorUnit val="5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00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5074133121363273"/>
          <c:y val="0.28979202132244275"/>
          <c:w val="0.13429828868501917"/>
          <c:h val="0.20430184046726194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4.xml"/><Relationship Id="rId7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93</xdr:row>
      <xdr:rowOff>0</xdr:rowOff>
    </xdr:from>
    <xdr:to>
      <xdr:col>22</xdr:col>
      <xdr:colOff>0</xdr:colOff>
      <xdr:row>120</xdr:row>
      <xdr:rowOff>40821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29</xdr:row>
      <xdr:rowOff>63500</xdr:rowOff>
    </xdr:from>
    <xdr:to>
      <xdr:col>9</xdr:col>
      <xdr:colOff>114300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29</xdr:row>
      <xdr:rowOff>63500</xdr:rowOff>
    </xdr:from>
    <xdr:to>
      <xdr:col>21</xdr:col>
      <xdr:colOff>114300</xdr:colOff>
      <xdr:row>58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277585</xdr:colOff>
      <xdr:row>29</xdr:row>
      <xdr:rowOff>46265</xdr:rowOff>
    </xdr:from>
    <xdr:to>
      <xdr:col>31</xdr:col>
      <xdr:colOff>285750</xdr:colOff>
      <xdr:row>59</xdr:row>
      <xdr:rowOff>122465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91</xdr:row>
      <xdr:rowOff>95250</xdr:rowOff>
    </xdr:from>
    <xdr:to>
      <xdr:col>31</xdr:col>
      <xdr:colOff>204107</xdr:colOff>
      <xdr:row>118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163285</xdr:colOff>
      <xdr:row>91</xdr:row>
      <xdr:rowOff>81644</xdr:rowOff>
    </xdr:from>
    <xdr:to>
      <xdr:col>21</xdr:col>
      <xdr:colOff>163285</xdr:colOff>
      <xdr:row>118</xdr:row>
      <xdr:rowOff>122465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120</xdr:row>
      <xdr:rowOff>0</xdr:rowOff>
    </xdr:from>
    <xdr:to>
      <xdr:col>21</xdr:col>
      <xdr:colOff>0</xdr:colOff>
      <xdr:row>147</xdr:row>
      <xdr:rowOff>40821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479425</xdr:colOff>
      <xdr:row>60</xdr:row>
      <xdr:rowOff>40716</xdr:rowOff>
    </xdr:from>
    <xdr:to>
      <xdr:col>30</xdr:col>
      <xdr:colOff>105683</xdr:colOff>
      <xdr:row>86</xdr:row>
      <xdr:rowOff>48856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2CA3F4-499C-20D2-815B-A0CF094BC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55246" y="12368787"/>
          <a:ext cx="6569076" cy="5863446"/>
        </a:xfrm>
        <a:prstGeom prst="rect">
          <a:avLst/>
        </a:prstGeom>
      </xdr:spPr>
    </xdr:pic>
    <xdr:clientData/>
  </xdr:twoCellAnchor>
  <xdr:twoCellAnchor>
    <xdr:from>
      <xdr:col>38</xdr:col>
      <xdr:colOff>311151</xdr:colOff>
      <xdr:row>32</xdr:row>
      <xdr:rowOff>92077</xdr:rowOff>
    </xdr:from>
    <xdr:to>
      <xdr:col>45</xdr:col>
      <xdr:colOff>518282</xdr:colOff>
      <xdr:row>56</xdr:row>
      <xdr:rowOff>186268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7F5D9D-330F-4E47-88E8-1842A9E6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250825</xdr:colOff>
      <xdr:row>58</xdr:row>
      <xdr:rowOff>190500</xdr:rowOff>
    </xdr:from>
    <xdr:to>
      <xdr:col>45</xdr:col>
      <xdr:colOff>464306</xdr:colOff>
      <xdr:row>83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D715DF-B8FB-4A36-A5C1-B091DE4AC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180975</xdr:rowOff>
    </xdr:from>
    <xdr:to>
      <xdr:col>9</xdr:col>
      <xdr:colOff>304800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685799</xdr:colOff>
      <xdr:row>1</xdr:row>
      <xdr:rowOff>200023</xdr:rowOff>
    </xdr:from>
    <xdr:to>
      <xdr:col>15</xdr:col>
      <xdr:colOff>47625</xdr:colOff>
      <xdr:row>32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7"/>
  <sheetViews>
    <sheetView zoomScale="70" zoomScaleNormal="70" workbookViewId="0">
      <selection activeCell="K1" sqref="K1:L6"/>
    </sheetView>
  </sheetViews>
  <sheetFormatPr defaultColWidth="11" defaultRowHeight="16" x14ac:dyDescent="0.8"/>
  <cols>
    <col min="1" max="1" width="9.875" customWidth="1"/>
    <col min="2" max="2" width="11.125" customWidth="1"/>
    <col min="3" max="3" width="7.125" customWidth="1"/>
    <col min="4" max="5" width="8.875" customWidth="1"/>
    <col min="6" max="6" width="12.25" customWidth="1"/>
    <col min="7" max="7" width="17.5" customWidth="1"/>
    <col min="8" max="8" width="16.875" customWidth="1"/>
    <col min="9" max="9" width="13.25" customWidth="1"/>
    <col min="10" max="10" width="14.5" customWidth="1"/>
    <col min="11" max="11" width="11.875" customWidth="1"/>
    <col min="12" max="12" width="13.125" customWidth="1"/>
    <col min="13" max="13" width="11.5" customWidth="1"/>
    <col min="14" max="17" width="8.125" customWidth="1"/>
    <col min="18" max="18" width="10" customWidth="1"/>
    <col min="19" max="19" width="9.625" customWidth="1"/>
    <col min="20" max="20" width="7.5" customWidth="1"/>
    <col min="21" max="21" width="7.375" customWidth="1"/>
    <col min="27" max="27" width="8.375" customWidth="1"/>
    <col min="28" max="28" width="6.125" customWidth="1"/>
    <col min="30" max="30" width="10.875" customWidth="1"/>
    <col min="31" max="31" width="8.5" customWidth="1"/>
    <col min="32" max="32" width="5.5" customWidth="1"/>
    <col min="33" max="33" width="9" customWidth="1"/>
    <col min="34" max="34" width="9.375" customWidth="1"/>
    <col min="35" max="35" width="8.875" customWidth="1"/>
    <col min="37" max="37" width="9.625" customWidth="1"/>
    <col min="38" max="38" width="8.625" customWidth="1"/>
    <col min="39" max="39" width="7.875" customWidth="1"/>
    <col min="40" max="40" width="8.625" customWidth="1"/>
    <col min="42" max="42" width="8.125" customWidth="1"/>
    <col min="43" max="43" width="10" customWidth="1"/>
  </cols>
  <sheetData>
    <row r="1" spans="1:40" x14ac:dyDescent="0.8">
      <c r="K1" s="31" t="s">
        <v>43</v>
      </c>
      <c r="L1" s="31"/>
      <c r="M1" s="21"/>
      <c r="N1" s="21"/>
      <c r="O1" s="21"/>
      <c r="P1" s="21"/>
      <c r="Q1" s="21"/>
    </row>
    <row r="2" spans="1:40" x14ac:dyDescent="0.8">
      <c r="B2" t="s">
        <v>13</v>
      </c>
      <c r="C2">
        <v>5.0000000000000001E-3</v>
      </c>
      <c r="D2" t="s">
        <v>32</v>
      </c>
      <c r="F2" s="5" t="s">
        <v>37</v>
      </c>
      <c r="G2">
        <v>1.9870000000000001</v>
      </c>
      <c r="H2" t="s">
        <v>38</v>
      </c>
      <c r="K2" t="s">
        <v>46</v>
      </c>
      <c r="L2">
        <v>1</v>
      </c>
      <c r="Q2" t="s">
        <v>101</v>
      </c>
      <c r="R2" s="11">
        <v>1.602176487E-19</v>
      </c>
      <c r="S2" s="11">
        <f>1/R2</f>
        <v>6.2415096471204168E+18</v>
      </c>
      <c r="T2" t="s">
        <v>100</v>
      </c>
    </row>
    <row r="3" spans="1:40" x14ac:dyDescent="0.8">
      <c r="B3" t="s">
        <v>15</v>
      </c>
      <c r="C3">
        <v>0.01</v>
      </c>
      <c r="D3" t="s">
        <v>32</v>
      </c>
      <c r="F3" s="5" t="s">
        <v>39</v>
      </c>
      <c r="G3">
        <v>310</v>
      </c>
      <c r="H3" t="s">
        <v>40</v>
      </c>
      <c r="K3" t="s">
        <v>44</v>
      </c>
      <c r="L3">
        <v>10</v>
      </c>
    </row>
    <row r="4" spans="1:40" x14ac:dyDescent="0.8">
      <c r="B4" t="s">
        <v>33</v>
      </c>
      <c r="C4">
        <v>150</v>
      </c>
      <c r="F4" s="5" t="s">
        <v>36</v>
      </c>
      <c r="G4" s="3">
        <f>2.303*G2*G3</f>
        <v>1418.57891</v>
      </c>
      <c r="H4" t="s">
        <v>41</v>
      </c>
      <c r="K4" t="s">
        <v>45</v>
      </c>
      <c r="L4">
        <v>3.67</v>
      </c>
    </row>
    <row r="5" spans="1:40" x14ac:dyDescent="0.8">
      <c r="B5" t="s">
        <v>34</v>
      </c>
      <c r="C5">
        <v>225000</v>
      </c>
      <c r="F5" s="5" t="s">
        <v>51</v>
      </c>
      <c r="G5">
        <v>23.062000000000001</v>
      </c>
      <c r="H5" t="s">
        <v>52</v>
      </c>
      <c r="K5" t="s">
        <v>47</v>
      </c>
      <c r="L5" s="3">
        <f>L3/L4</f>
        <v>2.7247956403269757</v>
      </c>
    </row>
    <row r="6" spans="1:40" x14ac:dyDescent="0.8">
      <c r="F6" s="5" t="s">
        <v>49</v>
      </c>
      <c r="G6">
        <v>820</v>
      </c>
      <c r="H6" t="s">
        <v>29</v>
      </c>
      <c r="K6" t="s">
        <v>48</v>
      </c>
      <c r="L6" s="3">
        <f>2*L5</f>
        <v>5.4495912806539515</v>
      </c>
      <c r="M6" s="9"/>
      <c r="N6" s="9"/>
      <c r="O6" s="9"/>
      <c r="P6" s="9"/>
      <c r="Q6" s="9"/>
      <c r="AN6" s="2"/>
    </row>
    <row r="7" spans="1:40" ht="18.5" x14ac:dyDescent="0.9">
      <c r="A7" s="32" t="s">
        <v>26</v>
      </c>
      <c r="B7" s="32"/>
      <c r="C7" s="32"/>
      <c r="D7" s="32"/>
      <c r="E7" s="22"/>
      <c r="R7" t="s">
        <v>70</v>
      </c>
    </row>
    <row r="8" spans="1:40" x14ac:dyDescent="0.8">
      <c r="AL8" s="17"/>
    </row>
    <row r="9" spans="1:40" x14ac:dyDescent="0.8">
      <c r="F9" t="s">
        <v>26</v>
      </c>
      <c r="R9" s="31" t="s">
        <v>69</v>
      </c>
      <c r="S9" s="31"/>
      <c r="T9" s="31"/>
      <c r="U9" s="31"/>
      <c r="V9" s="31" t="s">
        <v>63</v>
      </c>
      <c r="W9" s="31"/>
      <c r="X9" s="31"/>
      <c r="Y9" s="31"/>
      <c r="Z9" s="31"/>
      <c r="AA9" s="31"/>
      <c r="AB9" s="31"/>
      <c r="AC9" s="31" t="s">
        <v>66</v>
      </c>
      <c r="AD9" s="31"/>
      <c r="AE9" s="31"/>
      <c r="AF9" s="31"/>
      <c r="AG9" t="s">
        <v>72</v>
      </c>
      <c r="AL9" s="17"/>
    </row>
    <row r="10" spans="1:40" x14ac:dyDescent="0.8">
      <c r="F10" s="21" t="s">
        <v>4</v>
      </c>
      <c r="G10" s="31" t="s">
        <v>25</v>
      </c>
      <c r="H10" s="31"/>
      <c r="I10" s="31" t="s">
        <v>30</v>
      </c>
      <c r="J10" s="31"/>
      <c r="K10" s="31" t="s">
        <v>6</v>
      </c>
      <c r="L10" s="31"/>
      <c r="M10" s="31" t="s">
        <v>25</v>
      </c>
      <c r="N10" s="31"/>
      <c r="O10" s="31" t="s">
        <v>163</v>
      </c>
      <c r="P10" s="31"/>
      <c r="Q10" s="31"/>
      <c r="R10" s="31" t="s">
        <v>55</v>
      </c>
      <c r="S10" s="31"/>
      <c r="T10" s="31" t="s">
        <v>58</v>
      </c>
      <c r="U10" s="31"/>
      <c r="AA10" t="s">
        <v>62</v>
      </c>
      <c r="AE10" t="s">
        <v>71</v>
      </c>
      <c r="AL10" s="17"/>
    </row>
    <row r="11" spans="1:40" x14ac:dyDescent="0.8">
      <c r="F11" s="21" t="s">
        <v>27</v>
      </c>
      <c r="G11" s="21" t="s">
        <v>59</v>
      </c>
      <c r="H11" s="21" t="s">
        <v>161</v>
      </c>
      <c r="I11" s="21" t="s">
        <v>54</v>
      </c>
      <c r="J11" s="21" t="s">
        <v>162</v>
      </c>
      <c r="K11" s="21" t="s">
        <v>54</v>
      </c>
      <c r="L11" s="21" t="s">
        <v>162</v>
      </c>
      <c r="M11" s="21" t="s">
        <v>54</v>
      </c>
      <c r="N11" s="21" t="s">
        <v>162</v>
      </c>
      <c r="O11" s="21" t="s">
        <v>98</v>
      </c>
      <c r="P11" s="21" t="s">
        <v>97</v>
      </c>
      <c r="Q11" s="21" t="s">
        <v>96</v>
      </c>
      <c r="R11" s="21" t="s">
        <v>56</v>
      </c>
      <c r="S11" s="21" t="s">
        <v>57</v>
      </c>
      <c r="T11" s="21" t="s">
        <v>60</v>
      </c>
      <c r="U11" s="21" t="s">
        <v>61</v>
      </c>
      <c r="V11" t="s">
        <v>65</v>
      </c>
      <c r="W11" t="s">
        <v>64</v>
      </c>
      <c r="X11" s="23" t="s">
        <v>169</v>
      </c>
      <c r="Y11" s="23" t="s">
        <v>37</v>
      </c>
      <c r="Z11" s="23" t="s">
        <v>171</v>
      </c>
      <c r="AA11" t="s">
        <v>60</v>
      </c>
      <c r="AB11" t="s">
        <v>61</v>
      </c>
      <c r="AC11" t="s">
        <v>67</v>
      </c>
      <c r="AD11" t="s">
        <v>68</v>
      </c>
      <c r="AE11" t="s">
        <v>60</v>
      </c>
      <c r="AF11" t="s">
        <v>61</v>
      </c>
      <c r="AG11" t="s">
        <v>76</v>
      </c>
      <c r="AH11" t="s">
        <v>74</v>
      </c>
      <c r="AI11" t="s">
        <v>75</v>
      </c>
      <c r="AL11" s="17"/>
    </row>
    <row r="12" spans="1:40" x14ac:dyDescent="0.8">
      <c r="Y12" t="s">
        <v>170</v>
      </c>
      <c r="Z12" s="23" t="s">
        <v>29</v>
      </c>
      <c r="AL12" s="17"/>
    </row>
    <row r="13" spans="1:40" x14ac:dyDescent="0.8">
      <c r="F13" s="3">
        <v>62</v>
      </c>
      <c r="G13" s="2">
        <v>-13.943643032121523</v>
      </c>
      <c r="H13" s="2">
        <f>4.186*G13</f>
        <v>-58.368089732460696</v>
      </c>
      <c r="I13" s="2">
        <v>-52.3599648</v>
      </c>
      <c r="J13" s="2">
        <f>I13*4.186</f>
        <v>-219.17881265279999</v>
      </c>
      <c r="K13" s="2">
        <v>-44.624970000000005</v>
      </c>
      <c r="L13" s="3">
        <f>4.186*K13</f>
        <v>-186.80012442</v>
      </c>
      <c r="M13" s="2">
        <v>-37.993577744200337</v>
      </c>
      <c r="N13" s="3">
        <f>4.186*M13</f>
        <v>-159.0411164372226</v>
      </c>
      <c r="O13" s="2">
        <f>J13-L13</f>
        <v>-32.378688232799988</v>
      </c>
      <c r="P13" s="2">
        <f>L13-N13</f>
        <v>-27.759007982777405</v>
      </c>
      <c r="Q13" s="2">
        <f>J13-N13</f>
        <v>-60.137696215577392</v>
      </c>
      <c r="R13" s="4">
        <v>337.874659400545</v>
      </c>
      <c r="S13" s="3">
        <v>5.6312443233424165</v>
      </c>
      <c r="T13" s="4">
        <v>78.520060671347366</v>
      </c>
      <c r="U13" s="4">
        <v>328.68497397026005</v>
      </c>
      <c r="V13" s="9">
        <v>62</v>
      </c>
      <c r="W13" s="3">
        <v>1.0333333333333334</v>
      </c>
      <c r="X13" s="3">
        <f t="shared" ref="X13:X16" si="0">J$38*W13*1000</f>
        <v>0.3987606837606838</v>
      </c>
      <c r="Y13" s="3">
        <v>171.5</v>
      </c>
      <c r="Z13" s="3">
        <f>X13*Y13</f>
        <v>68.387457264957277</v>
      </c>
      <c r="AA13" s="4">
        <v>108.21059392000001</v>
      </c>
      <c r="AB13">
        <v>452.96954614912005</v>
      </c>
      <c r="AC13">
        <v>1240</v>
      </c>
      <c r="AD13" s="3">
        <v>20.666666666666668</v>
      </c>
      <c r="AE13" s="9">
        <v>92.224938000000023</v>
      </c>
      <c r="AF13">
        <v>386.0535904680001</v>
      </c>
      <c r="AG13" s="2">
        <f>AF13/AB13</f>
        <v>0.8522727272727274</v>
      </c>
      <c r="AH13" s="2">
        <f>U13/AF13</f>
        <v>0.85139727251806163</v>
      </c>
      <c r="AI13" s="2">
        <f>U13/AB13</f>
        <v>0.72562267544152992</v>
      </c>
      <c r="AL13" s="17"/>
    </row>
    <row r="14" spans="1:40" x14ac:dyDescent="0.8">
      <c r="F14" s="3">
        <v>77</v>
      </c>
      <c r="G14" s="2">
        <v>-13.766407575326944</v>
      </c>
      <c r="H14" s="2">
        <f t="shared" ref="H14:H17" si="1">4.186*G14</f>
        <v>-57.626182110318588</v>
      </c>
      <c r="I14" s="2">
        <v>-51.152566400000005</v>
      </c>
      <c r="J14" s="2">
        <f t="shared" ref="J14:J17" si="2">I14*4.186</f>
        <v>-214.12464295040002</v>
      </c>
      <c r="K14" s="2">
        <v>-44.163730000000001</v>
      </c>
      <c r="L14" s="3">
        <f t="shared" ref="L14:L17" si="3">4.186*K14</f>
        <v>-184.86937377999999</v>
      </c>
      <c r="M14" s="2">
        <v>-37.510647344215108</v>
      </c>
      <c r="N14" s="3">
        <f t="shared" ref="N14:N17" si="4">4.186*M14</f>
        <v>-157.01956978288445</v>
      </c>
      <c r="O14" s="2">
        <f>J14-L14</f>
        <v>-29.255269170400027</v>
      </c>
      <c r="P14" s="2">
        <f t="shared" ref="P14:P17" si="5">L14-N14</f>
        <v>-27.849803997115544</v>
      </c>
      <c r="Q14" s="2">
        <f t="shared" ref="Q14:Q17" si="6">J14-N14</f>
        <v>-57.10507316751557</v>
      </c>
      <c r="R14" s="4">
        <v>419.61852861035425</v>
      </c>
      <c r="S14" s="3">
        <v>6.9936421435059044</v>
      </c>
      <c r="T14" s="4">
        <v>96.277328183485452</v>
      </c>
      <c r="U14" s="4">
        <v>403.0168957760701</v>
      </c>
      <c r="V14" s="9">
        <v>77</v>
      </c>
      <c r="W14" s="3">
        <v>1.2833333333333334</v>
      </c>
      <c r="X14" s="3">
        <f t="shared" si="0"/>
        <v>0.49523504273504271</v>
      </c>
      <c r="Y14" s="3">
        <f>Y13</f>
        <v>171.5</v>
      </c>
      <c r="Z14" s="3">
        <f t="shared" ref="Z14:Z17" si="7">X14*Y14</f>
        <v>84.932809829059821</v>
      </c>
      <c r="AA14" s="4">
        <v>131.29158709333336</v>
      </c>
      <c r="AB14">
        <v>549.58658357269348</v>
      </c>
      <c r="AC14">
        <v>1540</v>
      </c>
      <c r="AD14" s="3">
        <v>25.666666666666668</v>
      </c>
      <c r="AE14" s="9">
        <v>113.35357366666668</v>
      </c>
      <c r="AF14">
        <v>474.4980593686667</v>
      </c>
      <c r="AG14" s="2">
        <f t="shared" ref="AG14:AG16" si="8">AF14/AB14</f>
        <v>0.86337271241976221</v>
      </c>
      <c r="AH14" s="2">
        <f t="shared" ref="AH14:AH16" si="9">U14/AF14</f>
        <v>0.84935414975626167</v>
      </c>
      <c r="AI14" s="2">
        <f t="shared" ref="AI14:AI16" si="10">U14/AB14</f>
        <v>0.73330919608004463</v>
      </c>
      <c r="AL14" s="17"/>
    </row>
    <row r="15" spans="1:40" x14ac:dyDescent="0.8">
      <c r="F15" s="3">
        <v>94.5</v>
      </c>
      <c r="G15" s="2">
        <v>-13.516608228995208</v>
      </c>
      <c r="H15" s="2">
        <f t="shared" si="1"/>
        <v>-56.58052204657394</v>
      </c>
      <c r="I15" s="2">
        <v>-51.066830800000012</v>
      </c>
      <c r="J15" s="2">
        <f t="shared" si="2"/>
        <v>-213.76575372880004</v>
      </c>
      <c r="K15" s="2">
        <v>-43.840861999999994</v>
      </c>
      <c r="L15" s="3">
        <f t="shared" si="3"/>
        <v>-183.51784833199997</v>
      </c>
      <c r="M15" s="2">
        <v>-36.82999517437387</v>
      </c>
      <c r="N15" s="3">
        <f t="shared" si="4"/>
        <v>-154.17035979992903</v>
      </c>
      <c r="O15" s="2">
        <f t="shared" ref="O15:O17" si="11">J15-L15</f>
        <v>-30.247905396800064</v>
      </c>
      <c r="P15" s="2">
        <f t="shared" si="5"/>
        <v>-29.34748853207094</v>
      </c>
      <c r="Q15" s="2">
        <f t="shared" si="6"/>
        <v>-59.595393928871005</v>
      </c>
      <c r="R15" s="4">
        <v>514.98637602179838</v>
      </c>
      <c r="S15" s="3">
        <v>8.5831062670299723</v>
      </c>
      <c r="T15" s="4">
        <v>116.01448479927767</v>
      </c>
      <c r="U15" s="4">
        <v>485.63663336977629</v>
      </c>
      <c r="V15" s="9">
        <v>94.5</v>
      </c>
      <c r="W15" s="3">
        <v>1.575</v>
      </c>
      <c r="X15" s="3">
        <f t="shared" si="0"/>
        <v>0.60778846153846144</v>
      </c>
      <c r="Y15" s="3">
        <f t="shared" ref="Y15:Y17" si="12">Y14</f>
        <v>171.5</v>
      </c>
      <c r="Z15" s="3">
        <f t="shared" si="7"/>
        <v>104.23572115384614</v>
      </c>
      <c r="AA15" s="4">
        <v>160.86051702000003</v>
      </c>
      <c r="AB15">
        <v>673.36212424572011</v>
      </c>
      <c r="AC15">
        <v>1890</v>
      </c>
      <c r="AD15" s="3">
        <v>31.5</v>
      </c>
      <c r="AE15" s="9">
        <v>138.09871529999998</v>
      </c>
      <c r="AF15">
        <v>578.08122224579995</v>
      </c>
      <c r="AG15" s="2">
        <f t="shared" si="8"/>
        <v>0.85849976027883812</v>
      </c>
      <c r="AH15" s="2">
        <f t="shared" si="9"/>
        <v>0.84008373682008952</v>
      </c>
      <c r="AI15" s="2">
        <f t="shared" si="10"/>
        <v>0.72121168667419744</v>
      </c>
      <c r="AL15" s="17"/>
    </row>
    <row r="16" spans="1:40" x14ac:dyDescent="0.8">
      <c r="F16" s="3">
        <v>110</v>
      </c>
      <c r="G16" s="2">
        <v>-13.339372772200628</v>
      </c>
      <c r="H16" s="2">
        <f t="shared" si="1"/>
        <v>-55.838614424431825</v>
      </c>
      <c r="I16" s="2">
        <v>-51.012681999999998</v>
      </c>
      <c r="J16" s="2">
        <f t="shared" si="2"/>
        <v>-213.539086852</v>
      </c>
      <c r="K16" s="2">
        <v>-43.494931999999999</v>
      </c>
      <c r="L16" s="3">
        <f t="shared" si="3"/>
        <v>-182.069785352</v>
      </c>
      <c r="M16" s="2">
        <v>-36.347064774388635</v>
      </c>
      <c r="N16" s="3">
        <f t="shared" si="4"/>
        <v>-152.14881314559082</v>
      </c>
      <c r="O16" s="2">
        <f t="shared" si="11"/>
        <v>-31.4693015</v>
      </c>
      <c r="P16" s="2">
        <f t="shared" si="5"/>
        <v>-29.920972206409175</v>
      </c>
      <c r="Q16" s="2">
        <f t="shared" si="6"/>
        <v>-61.390273706409175</v>
      </c>
      <c r="R16" s="4">
        <v>599.45504087193467</v>
      </c>
      <c r="S16" s="3">
        <v>9.9909173478655777</v>
      </c>
      <c r="T16" s="4">
        <v>133.27257083942499</v>
      </c>
      <c r="U16" s="4">
        <v>557.87898153383298</v>
      </c>
      <c r="V16" s="9">
        <v>110</v>
      </c>
      <c r="W16" s="3">
        <v>1.8333333333333333</v>
      </c>
      <c r="X16" s="3">
        <f t="shared" si="0"/>
        <v>0.70747863247863241</v>
      </c>
      <c r="Y16" s="3">
        <f t="shared" si="12"/>
        <v>171.5</v>
      </c>
      <c r="Z16" s="3">
        <f t="shared" si="7"/>
        <v>121.33258547008546</v>
      </c>
      <c r="AA16" s="4">
        <v>187.04650066666665</v>
      </c>
      <c r="AB16">
        <v>782.97665179066655</v>
      </c>
      <c r="AC16">
        <v>2200</v>
      </c>
      <c r="AD16" s="3">
        <v>36.666666666666664</v>
      </c>
      <c r="AE16" s="9">
        <v>159.48141733333333</v>
      </c>
      <c r="AF16">
        <v>667.5892129573333</v>
      </c>
      <c r="AG16" s="2">
        <f t="shared" si="8"/>
        <v>0.85262978331545092</v>
      </c>
      <c r="AH16" s="2">
        <f t="shared" si="9"/>
        <v>0.83566206689065825</v>
      </c>
      <c r="AI16" s="2">
        <f t="shared" si="10"/>
        <v>0.71251036701792381</v>
      </c>
      <c r="AL16" s="17"/>
    </row>
    <row r="17" spans="1:38" x14ac:dyDescent="0.8">
      <c r="F17" s="3">
        <v>130</v>
      </c>
      <c r="G17" s="2">
        <v>-13.089573425868892</v>
      </c>
      <c r="H17" s="2">
        <f t="shared" si="1"/>
        <v>-54.792954360687183</v>
      </c>
      <c r="I17" s="2">
        <v>-50.940483600000007</v>
      </c>
      <c r="J17" s="2">
        <f t="shared" si="2"/>
        <v>-213.23686434960004</v>
      </c>
      <c r="K17" s="2">
        <v>-43.149002000000003</v>
      </c>
      <c r="L17" s="3">
        <f t="shared" si="3"/>
        <v>-180.62172237200002</v>
      </c>
      <c r="M17" s="2">
        <v>-35.666412604547389</v>
      </c>
      <c r="N17" s="3">
        <f t="shared" si="4"/>
        <v>-149.29960316263538</v>
      </c>
      <c r="O17" s="2">
        <f t="shared" si="11"/>
        <v>-32.615141977600018</v>
      </c>
      <c r="P17" s="2">
        <f t="shared" si="5"/>
        <v>-31.322119209364644</v>
      </c>
      <c r="Q17" s="2">
        <f t="shared" si="6"/>
        <v>-63.937261186964662</v>
      </c>
      <c r="R17" s="4">
        <v>708.44686648501374</v>
      </c>
      <c r="S17" s="3">
        <v>11.807447774750228</v>
      </c>
      <c r="T17" s="4">
        <v>154.55445461970538</v>
      </c>
      <c r="U17" s="4">
        <v>646.96494703808673</v>
      </c>
      <c r="V17" s="9">
        <v>130</v>
      </c>
      <c r="W17" s="3">
        <v>2.1666666666666665</v>
      </c>
      <c r="X17" s="3">
        <f>J$38*W17*1000</f>
        <v>0.83611111111111103</v>
      </c>
      <c r="Y17" s="3">
        <f t="shared" si="12"/>
        <v>171.5</v>
      </c>
      <c r="Z17" s="3">
        <f t="shared" si="7"/>
        <v>143.39305555555555</v>
      </c>
      <c r="AA17" s="4">
        <v>220.74209560000003</v>
      </c>
      <c r="AB17">
        <v>924.02641218160011</v>
      </c>
      <c r="AC17">
        <v>2600</v>
      </c>
      <c r="AD17" s="3">
        <v>43.333333333333336</v>
      </c>
      <c r="AE17" s="9">
        <v>186.97900866666669</v>
      </c>
      <c r="AF17">
        <v>782.69413027866676</v>
      </c>
      <c r="AG17" s="2">
        <f>AF17/AB17</f>
        <v>0.84704735704550715</v>
      </c>
      <c r="AH17" s="2">
        <f>U17/AF17</f>
        <v>0.82658719672235736</v>
      </c>
      <c r="AI17" s="2">
        <f>U17/AB17</f>
        <v>0.70015850035132754</v>
      </c>
      <c r="AL17" s="17"/>
    </row>
    <row r="18" spans="1:38" ht="18.5" x14ac:dyDescent="0.9">
      <c r="E18" s="22"/>
    </row>
    <row r="19" spans="1:38" ht="18.5" x14ac:dyDescent="0.9">
      <c r="F19" s="32" t="s">
        <v>42</v>
      </c>
      <c r="G19" s="32"/>
      <c r="H19" s="32"/>
      <c r="I19" s="32"/>
      <c r="R19" s="31" t="s">
        <v>69</v>
      </c>
      <c r="S19" s="31"/>
      <c r="T19" s="31"/>
      <c r="U19" s="31"/>
      <c r="V19" s="31" t="s">
        <v>63</v>
      </c>
      <c r="W19" s="31"/>
      <c r="X19" s="31"/>
      <c r="Y19" s="31"/>
      <c r="Z19" s="31"/>
      <c r="AA19" s="31"/>
      <c r="AB19" s="31"/>
      <c r="AC19" s="31" t="s">
        <v>66</v>
      </c>
      <c r="AD19" s="31"/>
      <c r="AE19" s="31"/>
      <c r="AF19" s="31"/>
      <c r="AG19" s="30" t="s">
        <v>72</v>
      </c>
      <c r="AH19" s="30"/>
      <c r="AI19" s="30"/>
      <c r="AJ19" s="21"/>
      <c r="AK19" s="21"/>
      <c r="AL19" s="21"/>
    </row>
    <row r="20" spans="1:38" x14ac:dyDescent="0.8">
      <c r="A20" s="21"/>
      <c r="B20" s="21"/>
      <c r="C20" s="21"/>
      <c r="D20" s="21"/>
      <c r="E20" s="21"/>
      <c r="F20" s="21" t="s">
        <v>4</v>
      </c>
      <c r="G20" s="31" t="s">
        <v>25</v>
      </c>
      <c r="H20" s="31"/>
      <c r="I20" s="21" t="s">
        <v>30</v>
      </c>
      <c r="J20" s="21" t="s">
        <v>30</v>
      </c>
      <c r="K20" s="31" t="s">
        <v>6</v>
      </c>
      <c r="L20" s="31"/>
      <c r="M20" s="31" t="s">
        <v>25</v>
      </c>
      <c r="N20" s="31"/>
      <c r="O20" s="31" t="s">
        <v>163</v>
      </c>
      <c r="P20" s="31"/>
      <c r="Q20" s="31"/>
      <c r="R20" s="31" t="s">
        <v>55</v>
      </c>
      <c r="S20" s="31"/>
      <c r="T20" s="31" t="s">
        <v>58</v>
      </c>
      <c r="U20" s="31"/>
      <c r="V20" s="31"/>
      <c r="W20" s="31"/>
      <c r="X20" s="23"/>
      <c r="Y20" s="23"/>
      <c r="Z20" s="23"/>
      <c r="AA20" s="31" t="s">
        <v>62</v>
      </c>
      <c r="AB20" s="31"/>
      <c r="AC20" s="31"/>
      <c r="AD20" s="31"/>
      <c r="AE20" s="31" t="s">
        <v>71</v>
      </c>
      <c r="AF20" s="31"/>
      <c r="AG20" s="30"/>
      <c r="AH20" s="30"/>
      <c r="AI20" s="30"/>
    </row>
    <row r="21" spans="1:38" x14ac:dyDescent="0.8">
      <c r="D21" s="21"/>
      <c r="E21" s="21"/>
      <c r="F21" s="21" t="s">
        <v>27</v>
      </c>
      <c r="G21" s="21" t="s">
        <v>59</v>
      </c>
      <c r="H21" s="21" t="s">
        <v>161</v>
      </c>
      <c r="I21" s="21" t="s">
        <v>54</v>
      </c>
      <c r="J21" s="21" t="s">
        <v>162</v>
      </c>
      <c r="K21" s="21" t="s">
        <v>54</v>
      </c>
      <c r="L21" s="21" t="s">
        <v>162</v>
      </c>
      <c r="M21" s="21" t="s">
        <v>54</v>
      </c>
      <c r="N21" s="21" t="s">
        <v>162</v>
      </c>
      <c r="O21" s="21" t="s">
        <v>98</v>
      </c>
      <c r="P21" s="21" t="s">
        <v>97</v>
      </c>
      <c r="Q21" s="21" t="s">
        <v>96</v>
      </c>
      <c r="R21" s="21" t="s">
        <v>56</v>
      </c>
      <c r="S21" s="21" t="s">
        <v>57</v>
      </c>
      <c r="T21" s="21" t="s">
        <v>60</v>
      </c>
      <c r="U21" s="21" t="s">
        <v>61</v>
      </c>
      <c r="V21" s="21" t="s">
        <v>65</v>
      </c>
      <c r="W21" s="21" t="s">
        <v>64</v>
      </c>
      <c r="X21" s="23" t="s">
        <v>169</v>
      </c>
      <c r="Y21" s="23" t="s">
        <v>37</v>
      </c>
      <c r="Z21" s="23" t="s">
        <v>171</v>
      </c>
      <c r="AA21" s="21" t="s">
        <v>60</v>
      </c>
      <c r="AB21" s="21" t="s">
        <v>61</v>
      </c>
      <c r="AC21" s="21" t="s">
        <v>67</v>
      </c>
      <c r="AD21" s="21" t="s">
        <v>68</v>
      </c>
      <c r="AE21" s="21" t="s">
        <v>60</v>
      </c>
      <c r="AF21" s="21" t="s">
        <v>61</v>
      </c>
      <c r="AG21" t="s">
        <v>76</v>
      </c>
      <c r="AH21" t="s">
        <v>74</v>
      </c>
      <c r="AI21" t="s">
        <v>75</v>
      </c>
    </row>
    <row r="22" spans="1:38" x14ac:dyDescent="0.8">
      <c r="Y22" t="s">
        <v>170</v>
      </c>
      <c r="Z22" s="23" t="s">
        <v>29</v>
      </c>
    </row>
    <row r="23" spans="1:38" x14ac:dyDescent="0.8">
      <c r="A23" s="9"/>
      <c r="B23" s="3"/>
      <c r="C23" s="3"/>
      <c r="D23" s="10"/>
      <c r="E23" s="9"/>
      <c r="F23" s="9">
        <v>123</v>
      </c>
      <c r="G23" s="2">
        <v>-13.943643032121523</v>
      </c>
      <c r="H23" s="2">
        <f>4.186*G23</f>
        <v>-58.368089732460696</v>
      </c>
      <c r="I23" s="2">
        <v>-51.779789999999998</v>
      </c>
      <c r="J23" s="2">
        <f>I23*4.186</f>
        <v>-216.75020093999998</v>
      </c>
      <c r="K23" s="2">
        <v>-46.377682</v>
      </c>
      <c r="L23" s="3">
        <f>4.186*K23</f>
        <v>-194.136976852</v>
      </c>
      <c r="M23" s="2">
        <v>-37.993577744200337</v>
      </c>
      <c r="N23" s="3">
        <f>4.186*M23</f>
        <v>-159.0411164372226</v>
      </c>
      <c r="O23" s="2">
        <f>J23-L23</f>
        <v>-22.613224087999981</v>
      </c>
      <c r="P23" s="2">
        <f>L23-N23</f>
        <v>-35.095860414777405</v>
      </c>
      <c r="Q23" s="2">
        <f>J23-N23</f>
        <v>-57.709084502777387</v>
      </c>
      <c r="R23" s="4">
        <v>670.29972752043602</v>
      </c>
      <c r="S23" s="3">
        <v>11.1716621253406</v>
      </c>
      <c r="T23" s="4">
        <v>155.77366875122138</v>
      </c>
      <c r="U23" s="4">
        <v>652.06857739261272</v>
      </c>
      <c r="V23" s="9">
        <f>F23</f>
        <v>123</v>
      </c>
      <c r="W23" s="3">
        <f>V23/60</f>
        <v>2.0499999999999998</v>
      </c>
      <c r="X23" s="3">
        <f t="shared" ref="X23:X26" si="13">J$38*W23*1000</f>
        <v>0.79108974358974349</v>
      </c>
      <c r="Y23" s="3">
        <v>70.2</v>
      </c>
      <c r="Z23" s="3">
        <f>X23*Y23</f>
        <v>55.534499999999994</v>
      </c>
      <c r="AA23" s="4">
        <v>212.29713899999999</v>
      </c>
      <c r="AB23" s="4">
        <v>888.67582385399999</v>
      </c>
      <c r="AC23">
        <f>2*$L$3*F23</f>
        <v>2460</v>
      </c>
      <c r="AD23" s="3">
        <f>AC23/60</f>
        <v>41</v>
      </c>
      <c r="AE23" s="9">
        <v>190.14849620000001</v>
      </c>
      <c r="AF23" s="4">
        <v>795.96160509320009</v>
      </c>
      <c r="AG23" s="2">
        <f>AF23/AB23</f>
        <v>0.89567149654334266</v>
      </c>
      <c r="AH23" s="2">
        <f>U23/AF23</f>
        <v>0.81922114486447029</v>
      </c>
      <c r="AI23" s="2">
        <f>U23/AB23</f>
        <v>0.73375302882071047</v>
      </c>
      <c r="AJ23" s="2"/>
      <c r="AK23" s="2"/>
      <c r="AL23" s="17"/>
    </row>
    <row r="24" spans="1:38" x14ac:dyDescent="0.8">
      <c r="A24" s="9"/>
      <c r="B24" s="3"/>
      <c r="C24" s="3"/>
      <c r="D24" s="10"/>
      <c r="E24" s="9"/>
      <c r="F24" s="9">
        <v>151</v>
      </c>
      <c r="G24" s="2">
        <v>-13.766407575326944</v>
      </c>
      <c r="H24" s="2">
        <f t="shared" ref="H24:H27" si="14">4.186*G24</f>
        <v>-57.626182110318588</v>
      </c>
      <c r="I24" s="2">
        <v>-51.671492400000005</v>
      </c>
      <c r="J24" s="2">
        <f t="shared" ref="J24:J27" si="15">I24*4.186</f>
        <v>-216.29686718640002</v>
      </c>
      <c r="K24" s="2">
        <v>-46.008690000000001</v>
      </c>
      <c r="L24" s="3">
        <f t="shared" ref="L24:L27" si="16">4.186*K24</f>
        <v>-192.59237634000002</v>
      </c>
      <c r="M24" s="2">
        <v>-37.510647344215108</v>
      </c>
      <c r="N24" s="3">
        <f t="shared" ref="N24:N27" si="17">4.186*M24</f>
        <v>-157.01956978288445</v>
      </c>
      <c r="O24" s="2">
        <f>J24-L24</f>
        <v>-23.704490846400006</v>
      </c>
      <c r="P24" s="2">
        <f t="shared" ref="P24:P27" si="18">L24-N24</f>
        <v>-35.57280655711557</v>
      </c>
      <c r="Q24" s="2">
        <f t="shared" ref="Q24:Q27" si="19">J24-N24</f>
        <v>-59.277297403515576</v>
      </c>
      <c r="R24" s="4">
        <v>822.88828337874668</v>
      </c>
      <c r="S24" s="3">
        <v>13.714804722979112</v>
      </c>
      <c r="T24" s="4">
        <v>188.8035916325494</v>
      </c>
      <c r="U24" s="4">
        <v>790.33183457385178</v>
      </c>
      <c r="V24" s="9">
        <f>F24</f>
        <v>151</v>
      </c>
      <c r="W24" s="3">
        <f>V24/60</f>
        <v>2.5166666666666666</v>
      </c>
      <c r="X24" s="3">
        <f t="shared" si="13"/>
        <v>0.97117521367521364</v>
      </c>
      <c r="Y24" s="3">
        <f>Y23</f>
        <v>70.2</v>
      </c>
      <c r="Z24" s="3">
        <f t="shared" ref="Z24:Z27" si="20">X24*Y24</f>
        <v>68.176500000000004</v>
      </c>
      <c r="AA24" s="4">
        <v>260.07984508000004</v>
      </c>
      <c r="AB24" s="4">
        <v>1088.6942315048802</v>
      </c>
      <c r="AC24">
        <f>2*$L$3*F24</f>
        <v>3020</v>
      </c>
      <c r="AD24" s="3">
        <f>AC24/60</f>
        <v>50.333333333333336</v>
      </c>
      <c r="AE24" s="9">
        <v>231.57707300000001</v>
      </c>
      <c r="AF24" s="4">
        <v>969.38162757800001</v>
      </c>
      <c r="AG24" s="2">
        <f t="shared" ref="AG24:AG26" si="21">AF24/AB24</f>
        <v>0.89040760897395699</v>
      </c>
      <c r="AH24" s="2">
        <f t="shared" ref="AH24:AH26" si="22">U24/AF24</f>
        <v>0.81529483548032144</v>
      </c>
      <c r="AI24" s="2">
        <f t="shared" ref="AI24:AI26" si="23">U24/AB24</f>
        <v>0.72594472506884866</v>
      </c>
      <c r="AJ24" s="2"/>
      <c r="AK24" s="2"/>
      <c r="AL24" s="17"/>
    </row>
    <row r="25" spans="1:38" x14ac:dyDescent="0.8">
      <c r="A25" s="9"/>
      <c r="B25" s="3"/>
      <c r="C25" s="3"/>
      <c r="D25" s="10"/>
      <c r="E25" s="9"/>
      <c r="F25" s="9">
        <v>191</v>
      </c>
      <c r="G25" s="2">
        <v>-13.516608228995208</v>
      </c>
      <c r="H25" s="2">
        <f t="shared" si="14"/>
        <v>-56.58052204657394</v>
      </c>
      <c r="I25" s="2">
        <v>-51.549657600000003</v>
      </c>
      <c r="J25" s="2">
        <f t="shared" si="15"/>
        <v>-215.78686671360001</v>
      </c>
      <c r="K25" s="2">
        <v>-45.662759999999992</v>
      </c>
      <c r="L25" s="3">
        <f t="shared" si="16"/>
        <v>-191.14431335999996</v>
      </c>
      <c r="M25" s="2">
        <v>-36.82999517437387</v>
      </c>
      <c r="N25" s="3">
        <f t="shared" si="17"/>
        <v>-154.17035979992903</v>
      </c>
      <c r="O25" s="2">
        <f t="shared" ref="O25:O27" si="24">J25-L25</f>
        <v>-24.64255335360005</v>
      </c>
      <c r="P25" s="2">
        <f t="shared" si="18"/>
        <v>-36.973953560070925</v>
      </c>
      <c r="Q25" s="2">
        <f t="shared" si="19"/>
        <v>-61.616506913670975</v>
      </c>
      <c r="R25" s="4">
        <v>1040.8719346049047</v>
      </c>
      <c r="S25" s="3">
        <v>17.347865576748411</v>
      </c>
      <c r="T25" s="4">
        <v>234.48430261018029</v>
      </c>
      <c r="U25" s="4">
        <v>981.55129072621469</v>
      </c>
      <c r="V25" s="9">
        <f>F25</f>
        <v>191</v>
      </c>
      <c r="W25" s="3">
        <f t="shared" ref="W25:W27" si="25">V25/60</f>
        <v>3.1833333333333331</v>
      </c>
      <c r="X25" s="3">
        <f t="shared" si="13"/>
        <v>1.2284401709401709</v>
      </c>
      <c r="Y25" s="3">
        <f t="shared" ref="Y25:Y27" si="26">Y24</f>
        <v>70.2</v>
      </c>
      <c r="Z25" s="3">
        <f t="shared" si="20"/>
        <v>86.236500000000007</v>
      </c>
      <c r="AA25" s="4">
        <v>328.19948671999998</v>
      </c>
      <c r="AB25" s="4">
        <v>1373.84305140992</v>
      </c>
      <c r="AC25">
        <f>2*$L$3*F25</f>
        <v>3820</v>
      </c>
      <c r="AD25" s="3">
        <f t="shared" ref="AD25:AD27" si="27">AC25/60</f>
        <v>63.666666666666664</v>
      </c>
      <c r="AE25" s="9">
        <v>290.71957199999991</v>
      </c>
      <c r="AF25" s="4">
        <v>1216.9521283919996</v>
      </c>
      <c r="AG25" s="2">
        <f t="shared" si="21"/>
        <v>0.88580142188956046</v>
      </c>
      <c r="AH25" s="2">
        <f t="shared" si="22"/>
        <v>0.80656524429039944</v>
      </c>
      <c r="AI25" s="2">
        <f t="shared" si="23"/>
        <v>0.71445664023913646</v>
      </c>
      <c r="AJ25" s="2"/>
      <c r="AK25" s="2"/>
      <c r="AL25" s="17"/>
    </row>
    <row r="26" spans="1:38" x14ac:dyDescent="0.8">
      <c r="A26" s="9"/>
      <c r="B26" s="3"/>
      <c r="C26" s="3"/>
      <c r="D26" s="10"/>
      <c r="E26" s="9"/>
      <c r="F26" s="9">
        <v>225</v>
      </c>
      <c r="G26" s="2">
        <v>-13.339372772200628</v>
      </c>
      <c r="H26" s="2">
        <f t="shared" si="14"/>
        <v>-55.838614424431825</v>
      </c>
      <c r="I26" s="2">
        <v>-51.486484000000004</v>
      </c>
      <c r="J26" s="2">
        <f t="shared" si="15"/>
        <v>-215.52242202400001</v>
      </c>
      <c r="K26" s="2">
        <v>-45.316830000000003</v>
      </c>
      <c r="L26" s="3">
        <f t="shared" si="16"/>
        <v>-189.69625038000001</v>
      </c>
      <c r="M26" s="2">
        <v>-36.347064774388635</v>
      </c>
      <c r="N26" s="3">
        <f t="shared" si="17"/>
        <v>-152.14881314559082</v>
      </c>
      <c r="O26" s="2">
        <f t="shared" si="24"/>
        <v>-25.826171643999999</v>
      </c>
      <c r="P26" s="2">
        <f t="shared" si="18"/>
        <v>-37.547437234409188</v>
      </c>
      <c r="Q26" s="2">
        <f t="shared" si="19"/>
        <v>-63.373608878409186</v>
      </c>
      <c r="R26" s="4">
        <v>1226.158038147139</v>
      </c>
      <c r="S26" s="3">
        <v>20.435967302452315</v>
      </c>
      <c r="T26" s="4">
        <v>272.60298580791471</v>
      </c>
      <c r="U26" s="4">
        <v>1141.1160985919309</v>
      </c>
      <c r="V26" s="9">
        <f>F26</f>
        <v>225</v>
      </c>
      <c r="W26" s="3">
        <f t="shared" si="25"/>
        <v>3.75</v>
      </c>
      <c r="X26" s="3">
        <f t="shared" si="13"/>
        <v>1.4471153846153846</v>
      </c>
      <c r="Y26" s="3">
        <f t="shared" si="26"/>
        <v>70.2</v>
      </c>
      <c r="Z26" s="3">
        <f t="shared" si="20"/>
        <v>101.58750000000001</v>
      </c>
      <c r="AA26" s="4">
        <v>386.14863000000003</v>
      </c>
      <c r="AB26" s="4">
        <v>1616.4181651800002</v>
      </c>
      <c r="AC26">
        <f>2*$L$3*F26</f>
        <v>4500</v>
      </c>
      <c r="AD26" s="3">
        <f t="shared" si="27"/>
        <v>75</v>
      </c>
      <c r="AE26" s="9">
        <v>339.87622500000003</v>
      </c>
      <c r="AF26" s="4">
        <v>1422.7218778500001</v>
      </c>
      <c r="AG26" s="2">
        <f t="shared" si="21"/>
        <v>0.88016944408167386</v>
      </c>
      <c r="AH26" s="2">
        <f t="shared" si="22"/>
        <v>0.80206547488843827</v>
      </c>
      <c r="AI26" s="2">
        <f t="shared" si="23"/>
        <v>0.70595352314966042</v>
      </c>
      <c r="AJ26" s="2"/>
      <c r="AK26" s="2"/>
      <c r="AL26" s="17"/>
    </row>
    <row r="27" spans="1:38" x14ac:dyDescent="0.8">
      <c r="A27" s="9"/>
      <c r="B27" s="3"/>
      <c r="C27" s="3"/>
      <c r="D27" s="10"/>
      <c r="E27" s="9"/>
      <c r="F27" s="9">
        <v>261</v>
      </c>
      <c r="G27" s="2">
        <v>-13.089573425868892</v>
      </c>
      <c r="H27" s="2">
        <f t="shared" si="14"/>
        <v>-54.792954360687183</v>
      </c>
      <c r="I27" s="2">
        <v>-51.387211199999996</v>
      </c>
      <c r="J27" s="2">
        <f t="shared" si="15"/>
        <v>-215.10686608319998</v>
      </c>
      <c r="K27" s="2">
        <v>-44.878652000000002</v>
      </c>
      <c r="L27" s="3">
        <f t="shared" si="16"/>
        <v>-187.86203727200001</v>
      </c>
      <c r="M27" s="2">
        <v>-35.666412604547389</v>
      </c>
      <c r="N27" s="3">
        <f t="shared" si="17"/>
        <v>-149.29960316263538</v>
      </c>
      <c r="O27" s="2">
        <f t="shared" si="24"/>
        <v>-27.244828811199966</v>
      </c>
      <c r="P27" s="2">
        <f t="shared" si="18"/>
        <v>-38.562434109364631</v>
      </c>
      <c r="Q27" s="2">
        <f t="shared" si="19"/>
        <v>-65.807262920564597</v>
      </c>
      <c r="R27" s="4">
        <v>1422.3433242506812</v>
      </c>
      <c r="S27" s="3">
        <v>23.705722070844686</v>
      </c>
      <c r="T27" s="4">
        <v>310.29778965956228</v>
      </c>
      <c r="U27" s="4">
        <v>1298.9065475149278</v>
      </c>
      <c r="V27" s="9">
        <f>F27</f>
        <v>261</v>
      </c>
      <c r="W27" s="3">
        <f t="shared" si="25"/>
        <v>4.3499999999999996</v>
      </c>
      <c r="X27" s="3">
        <f>J$38*W27*1000</f>
        <v>1.6786538461538461</v>
      </c>
      <c r="Y27" s="3">
        <f t="shared" si="26"/>
        <v>70.2</v>
      </c>
      <c r="Z27" s="3">
        <f t="shared" si="20"/>
        <v>117.8415</v>
      </c>
      <c r="AA27" s="4">
        <v>447.06873743999995</v>
      </c>
      <c r="AB27" s="4">
        <v>1871.4297349238398</v>
      </c>
      <c r="AC27">
        <f>2*$L$3*F27</f>
        <v>5220</v>
      </c>
      <c r="AD27" s="3">
        <f t="shared" si="27"/>
        <v>87</v>
      </c>
      <c r="AE27" s="9">
        <v>390.44427239999999</v>
      </c>
      <c r="AF27" s="4">
        <v>1634.3997242664</v>
      </c>
      <c r="AG27" s="2">
        <f>AF27/AB27</f>
        <v>0.87334282114145956</v>
      </c>
      <c r="AH27" s="2">
        <f>U27/AF27</f>
        <v>0.79473003343655224</v>
      </c>
      <c r="AI27" s="2">
        <f>U27/AB27</f>
        <v>0.69407176944732496</v>
      </c>
      <c r="AJ27" s="2"/>
      <c r="AK27" s="2"/>
      <c r="AL27" s="17"/>
    </row>
    <row r="29" spans="1:38" x14ac:dyDescent="0.8">
      <c r="G29" s="31" t="s">
        <v>136</v>
      </c>
      <c r="H29" s="31"/>
      <c r="I29" s="31"/>
      <c r="J29" s="31"/>
      <c r="K29" s="31"/>
    </row>
    <row r="30" spans="1:38" x14ac:dyDescent="0.8">
      <c r="G30" s="21" t="s">
        <v>4</v>
      </c>
      <c r="H30" s="21" t="s">
        <v>127</v>
      </c>
      <c r="I30" s="21" t="s">
        <v>61</v>
      </c>
      <c r="J30" s="21" t="s">
        <v>130</v>
      </c>
      <c r="K30" s="21" t="s">
        <v>131</v>
      </c>
      <c r="L30" s="21" t="s">
        <v>132</v>
      </c>
      <c r="M30" s="21" t="s">
        <v>133</v>
      </c>
    </row>
    <row r="31" spans="1:38" x14ac:dyDescent="0.8">
      <c r="J31" s="21" t="s">
        <v>129</v>
      </c>
      <c r="K31" t="s">
        <v>135</v>
      </c>
      <c r="L31" s="21"/>
      <c r="M31" s="21" t="s">
        <v>134</v>
      </c>
    </row>
    <row r="32" spans="1:38" x14ac:dyDescent="0.8">
      <c r="F32" s="5" t="s">
        <v>128</v>
      </c>
      <c r="G32">
        <v>261</v>
      </c>
      <c r="H32">
        <v>1409</v>
      </c>
      <c r="I32">
        <v>1287</v>
      </c>
    </row>
    <row r="33" spans="1:29" x14ac:dyDescent="0.8">
      <c r="F33" s="5" t="s">
        <v>137</v>
      </c>
      <c r="G33">
        <v>460</v>
      </c>
      <c r="H33" s="4">
        <f>G33/G32*H32</f>
        <v>2483.2950191570881</v>
      </c>
      <c r="I33" s="4">
        <f>G33/G32*I32</f>
        <v>2268.2758620689656</v>
      </c>
      <c r="J33" s="3">
        <f>I33*12/1000</f>
        <v>27.219310344827587</v>
      </c>
      <c r="K33" s="3">
        <f>J33</f>
        <v>27.219310344827587</v>
      </c>
      <c r="L33" s="3">
        <v>0.5</v>
      </c>
      <c r="M33" s="3">
        <f>K33*L33</f>
        <v>13.609655172413794</v>
      </c>
    </row>
    <row r="36" spans="1:29" x14ac:dyDescent="0.8">
      <c r="B36" t="s">
        <v>77</v>
      </c>
      <c r="G36" t="s">
        <v>78</v>
      </c>
      <c r="H36" s="12" t="s">
        <v>81</v>
      </c>
      <c r="I36" t="s">
        <v>79</v>
      </c>
      <c r="J36">
        <f>4*602000000000000</f>
        <v>2408000000000000</v>
      </c>
      <c r="W36" s="2"/>
      <c r="X36" s="2"/>
      <c r="Y36" s="2"/>
      <c r="Z36" s="2"/>
    </row>
    <row r="37" spans="1:29" x14ac:dyDescent="0.8">
      <c r="H37" s="12" t="s">
        <v>81</v>
      </c>
      <c r="I37" t="s">
        <v>80</v>
      </c>
      <c r="J37" s="11">
        <v>6.24E+18</v>
      </c>
    </row>
    <row r="38" spans="1:29" x14ac:dyDescent="0.8">
      <c r="H38" t="s">
        <v>82</v>
      </c>
      <c r="I38" t="s">
        <v>83</v>
      </c>
      <c r="J38" s="11">
        <f>J36/J37</f>
        <v>3.8589743589743589E-4</v>
      </c>
    </row>
    <row r="39" spans="1:29" x14ac:dyDescent="0.8">
      <c r="H39" t="s">
        <v>102</v>
      </c>
      <c r="I39" t="s">
        <v>164</v>
      </c>
      <c r="J39">
        <v>23.062000000000001</v>
      </c>
    </row>
    <row r="40" spans="1:29" x14ac:dyDescent="0.8">
      <c r="H40" t="s">
        <v>162</v>
      </c>
      <c r="I40" t="s">
        <v>164</v>
      </c>
      <c r="J40">
        <v>96.484999999999999</v>
      </c>
    </row>
    <row r="41" spans="1:29" x14ac:dyDescent="0.8">
      <c r="F41" s="31" t="s">
        <v>109</v>
      </c>
      <c r="G41" s="31"/>
      <c r="H41" s="31"/>
      <c r="N41" s="21"/>
      <c r="W41" t="s">
        <v>116</v>
      </c>
    </row>
    <row r="42" spans="1:29" x14ac:dyDescent="0.8">
      <c r="B42" t="s">
        <v>84</v>
      </c>
      <c r="C42" t="s">
        <v>85</v>
      </c>
      <c r="D42" t="s">
        <v>86</v>
      </c>
      <c r="F42" s="21" t="s">
        <v>87</v>
      </c>
      <c r="G42" s="21" t="s">
        <v>166</v>
      </c>
      <c r="H42" s="21" t="s">
        <v>167</v>
      </c>
      <c r="I42" s="23" t="s">
        <v>168</v>
      </c>
      <c r="J42" s="21" t="s">
        <v>165</v>
      </c>
      <c r="K42" s="21" t="s">
        <v>93</v>
      </c>
      <c r="L42" s="24" t="s">
        <v>113</v>
      </c>
      <c r="M42" s="24" t="s">
        <v>112</v>
      </c>
      <c r="N42" s="21" t="s">
        <v>114</v>
      </c>
      <c r="O42" s="21"/>
      <c r="P42" t="s">
        <v>115</v>
      </c>
      <c r="W42" t="s">
        <v>117</v>
      </c>
    </row>
    <row r="43" spans="1:29" x14ac:dyDescent="0.8">
      <c r="F43" s="21"/>
      <c r="K43" s="21"/>
      <c r="L43" s="21" t="s">
        <v>110</v>
      </c>
      <c r="M43" s="21" t="s">
        <v>111</v>
      </c>
      <c r="N43" s="21" t="s">
        <v>37</v>
      </c>
    </row>
    <row r="44" spans="1:29" ht="18.5" x14ac:dyDescent="0.9">
      <c r="A44" t="s">
        <v>89</v>
      </c>
      <c r="B44" t="s">
        <v>108</v>
      </c>
      <c r="C44" t="s">
        <v>9</v>
      </c>
      <c r="D44" t="s">
        <v>99</v>
      </c>
      <c r="F44">
        <v>263.5</v>
      </c>
      <c r="G44" s="2">
        <f>F44/60</f>
        <v>4.3916666666666666</v>
      </c>
      <c r="H44" s="11">
        <f>G44*$J$38</f>
        <v>1.6947329059829059E-3</v>
      </c>
      <c r="I44" s="11">
        <f>H44*4.186/1000</f>
        <v>7.0941519444444432E-6</v>
      </c>
      <c r="J44" s="11">
        <f>H44</f>
        <v>1.6947329059829059E-3</v>
      </c>
      <c r="K44" s="11">
        <f>J44*$J$39</f>
        <v>3.9083930277777776E-2</v>
      </c>
      <c r="L44" s="9">
        <f>K44*1000</f>
        <v>39.083930277777775</v>
      </c>
      <c r="M44" s="9">
        <f>1/K44</f>
        <v>25.585963153981396</v>
      </c>
      <c r="N44" s="9">
        <f>M44</f>
        <v>25.585963153981396</v>
      </c>
      <c r="O44" s="9"/>
      <c r="P44" s="9">
        <f>M44/N$50*100</f>
        <v>9.0749866025330999</v>
      </c>
      <c r="V44" s="33" t="s">
        <v>118</v>
      </c>
      <c r="W44" s="33"/>
      <c r="X44" s="33"/>
      <c r="Y44" s="33"/>
      <c r="Z44" s="33"/>
      <c r="AA44" s="33"/>
      <c r="AB44" s="33"/>
      <c r="AC44" s="33"/>
    </row>
    <row r="45" spans="1:29" x14ac:dyDescent="0.8">
      <c r="A45" t="s">
        <v>88</v>
      </c>
      <c r="F45">
        <v>445.3</v>
      </c>
      <c r="G45" s="2">
        <f>F45/60</f>
        <v>7.4216666666666669</v>
      </c>
      <c r="H45" s="11">
        <f>G45*$J$38</f>
        <v>2.8640021367521366E-3</v>
      </c>
      <c r="I45" s="11">
        <f>H45*4.186/1000</f>
        <v>1.1988712944444444E-5</v>
      </c>
      <c r="J45" s="11">
        <f>H45</f>
        <v>2.8640021367521366E-3</v>
      </c>
      <c r="K45" s="11">
        <f>J45*$J$39</f>
        <v>6.6049617277777778E-2</v>
      </c>
      <c r="L45" s="9">
        <f>K45*1000</f>
        <v>66.049617277777784</v>
      </c>
      <c r="M45" s="9">
        <f>1/K45</f>
        <v>15.140133148605653</v>
      </c>
      <c r="N45" s="9">
        <f>M45</f>
        <v>15.140133148605653</v>
      </c>
      <c r="O45" s="9"/>
      <c r="P45" s="9">
        <f>M45/N$51*100</f>
        <v>12.575787322204532</v>
      </c>
      <c r="W45" s="31" t="s">
        <v>119</v>
      </c>
      <c r="X45" s="31"/>
      <c r="Y45" s="31"/>
      <c r="Z45" s="31"/>
      <c r="AA45" s="31"/>
      <c r="AB45" s="31" t="s">
        <v>120</v>
      </c>
      <c r="AC45" s="31"/>
    </row>
    <row r="46" spans="1:29" x14ac:dyDescent="0.8">
      <c r="G46" s="2"/>
      <c r="H46" s="11"/>
      <c r="J46" s="11"/>
      <c r="K46" s="11"/>
      <c r="L46" s="9"/>
      <c r="M46" s="9"/>
      <c r="W46" s="21" t="s">
        <v>37</v>
      </c>
      <c r="X46" s="23"/>
      <c r="Y46" s="23"/>
      <c r="Z46" s="23"/>
      <c r="AA46" s="21" t="s">
        <v>115</v>
      </c>
      <c r="AB46" s="21" t="s">
        <v>122</v>
      </c>
      <c r="AC46" s="21" t="s">
        <v>115</v>
      </c>
    </row>
    <row r="47" spans="1:29" x14ac:dyDescent="0.8">
      <c r="A47" t="s">
        <v>89</v>
      </c>
      <c r="B47" t="s">
        <v>105</v>
      </c>
      <c r="C47" t="s">
        <v>99</v>
      </c>
      <c r="D47" t="s">
        <v>106</v>
      </c>
      <c r="F47">
        <v>39.299999999999997</v>
      </c>
      <c r="G47" s="2">
        <f>F47/60</f>
        <v>0.65499999999999992</v>
      </c>
      <c r="H47" s="11">
        <f>G47*$J$38</f>
        <v>2.5276282051282046E-4</v>
      </c>
      <c r="I47" s="11">
        <f t="shared" ref="I47:I48" si="28">H47*4.186/1000</f>
        <v>1.0580651666666665E-6</v>
      </c>
      <c r="J47" s="11">
        <f>H47</f>
        <v>2.5276282051282046E-4</v>
      </c>
      <c r="K47" s="11">
        <f>J47*$J$39</f>
        <v>5.8292161666666656E-3</v>
      </c>
      <c r="L47" s="9">
        <f t="shared" ref="L47:L48" si="29">K47*1000</f>
        <v>5.829216166666666</v>
      </c>
      <c r="M47" s="9">
        <f t="shared" ref="M47:M48" si="30">1/K47</f>
        <v>171.54965117236893</v>
      </c>
      <c r="N47" s="9">
        <f>M47+M44</f>
        <v>197.13561432635032</v>
      </c>
      <c r="O47" s="9"/>
      <c r="P47" s="9">
        <f>M47/N$50*100</f>
        <v>60.846284218001841</v>
      </c>
      <c r="V47" t="s">
        <v>108</v>
      </c>
      <c r="W47" s="9">
        <f>M44</f>
        <v>25.585963153981396</v>
      </c>
      <c r="X47" s="9"/>
      <c r="Y47" s="9"/>
      <c r="Z47" s="9"/>
      <c r="AA47" s="9">
        <f>W47/W$50*100</f>
        <v>9.0749866025330999</v>
      </c>
      <c r="AB47" s="9">
        <f>M45</f>
        <v>15.140133148605653</v>
      </c>
      <c r="AC47" s="9">
        <f>AB47/AB$50*100</f>
        <v>12.575787322204532</v>
      </c>
    </row>
    <row r="48" spans="1:29" x14ac:dyDescent="0.8">
      <c r="A48" t="s">
        <v>88</v>
      </c>
      <c r="F48">
        <v>96</v>
      </c>
      <c r="G48" s="2">
        <f>F48/60</f>
        <v>1.6</v>
      </c>
      <c r="H48" s="11">
        <f>G48*$J$38</f>
        <v>6.1743589743589746E-4</v>
      </c>
      <c r="I48" s="11">
        <f t="shared" si="28"/>
        <v>2.5845866666666665E-6</v>
      </c>
      <c r="J48" s="11">
        <f>H48</f>
        <v>6.1743589743589746E-4</v>
      </c>
      <c r="K48" s="11">
        <f>J48*$J$39</f>
        <v>1.4239306666666668E-2</v>
      </c>
      <c r="L48" s="9">
        <f t="shared" si="29"/>
        <v>14.239306666666668</v>
      </c>
      <c r="M48" s="9">
        <f t="shared" si="30"/>
        <v>70.228138448688512</v>
      </c>
      <c r="N48" s="9">
        <f>M48+M45</f>
        <v>85.368271597294168</v>
      </c>
      <c r="O48" s="9"/>
      <c r="P48" s="9">
        <f>M48/N$51*100</f>
        <v>58.333313485184149</v>
      </c>
      <c r="V48" t="s">
        <v>105</v>
      </c>
      <c r="W48" s="9">
        <f>M47</f>
        <v>171.54965117236893</v>
      </c>
      <c r="X48" s="9"/>
      <c r="Y48" s="9"/>
      <c r="Z48" s="9"/>
      <c r="AA48" s="9">
        <f>W48/W$50*100</f>
        <v>60.846284218001841</v>
      </c>
      <c r="AB48" s="9">
        <f>M48</f>
        <v>70.228138448688512</v>
      </c>
      <c r="AC48" s="9">
        <f>AB48/AB$50*100</f>
        <v>58.333313485184149</v>
      </c>
    </row>
    <row r="49" spans="1:29" x14ac:dyDescent="0.8">
      <c r="L49" s="9"/>
      <c r="V49" t="s">
        <v>94</v>
      </c>
      <c r="W49" s="9">
        <f>M50</f>
        <v>84.803789824831412</v>
      </c>
      <c r="X49" s="9"/>
      <c r="Y49" s="9"/>
      <c r="Z49" s="9"/>
      <c r="AA49" s="9">
        <f>W49/W$50*100</f>
        <v>30.078729179465054</v>
      </c>
      <c r="AB49" s="9">
        <f>M51</f>
        <v>35.022863849735572</v>
      </c>
      <c r="AC49" s="9">
        <f>AB49/AB$50*100</f>
        <v>29.090899192611317</v>
      </c>
    </row>
    <row r="50" spans="1:29" x14ac:dyDescent="0.8">
      <c r="A50" t="s">
        <v>89</v>
      </c>
      <c r="B50" t="s">
        <v>94</v>
      </c>
      <c r="C50" t="s">
        <v>8</v>
      </c>
      <c r="D50" t="s">
        <v>13</v>
      </c>
      <c r="F50">
        <v>79.5</v>
      </c>
      <c r="G50" s="2">
        <f>F50/60</f>
        <v>1.325</v>
      </c>
      <c r="H50" s="11">
        <f>G50*$J$38</f>
        <v>5.1131410256410252E-4</v>
      </c>
      <c r="I50" s="11">
        <f t="shared" ref="I50:I51" si="31">H50*4.186/1000</f>
        <v>2.1403608333333329E-6</v>
      </c>
      <c r="J50" s="11">
        <f>H50</f>
        <v>5.1131410256410252E-4</v>
      </c>
      <c r="K50" s="11">
        <f>J50*$J$39</f>
        <v>1.1791925833333333E-2</v>
      </c>
      <c r="L50" s="9">
        <f t="shared" ref="L50:L51" si="32">K50*1000</f>
        <v>11.791925833333332</v>
      </c>
      <c r="M50" s="9">
        <f t="shared" ref="M50:M51" si="33">1/K50</f>
        <v>84.803789824831412</v>
      </c>
      <c r="N50" s="9">
        <f>M50+M47+M44</f>
        <v>281.93940415118175</v>
      </c>
      <c r="O50" s="9"/>
      <c r="P50" s="9">
        <f>M50/N$50*100</f>
        <v>30.078729179465054</v>
      </c>
      <c r="V50" t="s">
        <v>121</v>
      </c>
      <c r="W50" s="9">
        <f>N50</f>
        <v>281.93940415118175</v>
      </c>
      <c r="X50" s="9"/>
      <c r="Y50" s="9"/>
      <c r="Z50" s="9"/>
      <c r="AA50" s="9">
        <f>W50/W$50*100</f>
        <v>100</v>
      </c>
      <c r="AB50" s="9">
        <f>N51</f>
        <v>120.39113544702974</v>
      </c>
      <c r="AC50" s="9">
        <f>AB50/AB$50*100</f>
        <v>100</v>
      </c>
    </row>
    <row r="51" spans="1:29" x14ac:dyDescent="0.8">
      <c r="A51" t="s">
        <v>88</v>
      </c>
      <c r="F51">
        <v>192.5</v>
      </c>
      <c r="G51" s="2">
        <f>F51/60</f>
        <v>3.2083333333333335</v>
      </c>
      <c r="H51" s="11">
        <f>G51*$J$38</f>
        <v>1.2380876068376068E-3</v>
      </c>
      <c r="I51" s="11">
        <f t="shared" si="31"/>
        <v>5.1826347222222213E-6</v>
      </c>
      <c r="J51" s="11">
        <f>H51</f>
        <v>1.2380876068376068E-3</v>
      </c>
      <c r="K51" s="11">
        <f>J51*$J$39</f>
        <v>2.8552776388888888E-2</v>
      </c>
      <c r="L51" s="9">
        <f t="shared" si="32"/>
        <v>28.552776388888887</v>
      </c>
      <c r="M51" s="9">
        <f t="shared" si="33"/>
        <v>35.022863849735572</v>
      </c>
      <c r="N51" s="9">
        <f>M51+M48+M45</f>
        <v>120.39113544702974</v>
      </c>
      <c r="O51" s="9"/>
      <c r="P51" s="9">
        <f>M51/N$51*100</f>
        <v>29.090899192611317</v>
      </c>
    </row>
    <row r="52" spans="1:29" x14ac:dyDescent="0.8">
      <c r="L52" s="9"/>
    </row>
    <row r="53" spans="1:29" x14ac:dyDescent="0.8">
      <c r="A53" t="s">
        <v>89</v>
      </c>
      <c r="B53" t="s">
        <v>104</v>
      </c>
      <c r="C53" t="s">
        <v>99</v>
      </c>
      <c r="D53" t="s">
        <v>13</v>
      </c>
      <c r="F53">
        <v>29.8</v>
      </c>
      <c r="G53" s="2">
        <f>F53/60</f>
        <v>0.4966666666666667</v>
      </c>
      <c r="H53" s="11">
        <f>G53*$J$38</f>
        <v>1.9166239316239318E-4</v>
      </c>
      <c r="I53" s="11">
        <f t="shared" ref="I53:I54" si="34">H53*4.186/1000</f>
        <v>8.0229877777777788E-7</v>
      </c>
      <c r="J53" s="11">
        <f>H53</f>
        <v>1.9166239316239318E-4</v>
      </c>
      <c r="K53" s="11">
        <f>J53*$J$39</f>
        <v>4.4201181111111114E-3</v>
      </c>
      <c r="L53" s="9">
        <f>K53*1000</f>
        <v>4.4201181111111119</v>
      </c>
      <c r="M53" s="9">
        <f>1/K53</f>
        <v>226.23829835819117</v>
      </c>
    </row>
    <row r="54" spans="1:29" x14ac:dyDescent="0.8">
      <c r="A54" t="s">
        <v>88</v>
      </c>
      <c r="F54">
        <v>60.9</v>
      </c>
      <c r="G54" s="2">
        <f>F54/60</f>
        <v>1.0149999999999999</v>
      </c>
      <c r="H54" s="11">
        <f>G54*$J$38</f>
        <v>3.9168589743589737E-4</v>
      </c>
      <c r="I54" s="11">
        <f t="shared" si="34"/>
        <v>1.6395971666666664E-6</v>
      </c>
      <c r="J54" s="11">
        <f>H54</f>
        <v>3.9168589743589737E-4</v>
      </c>
      <c r="K54" s="11">
        <f>J54*$J$39</f>
        <v>9.0330601666666656E-3</v>
      </c>
      <c r="L54" s="9">
        <f>K54*1000</f>
        <v>9.0330601666666652</v>
      </c>
      <c r="M54" s="9">
        <f>1/K54</f>
        <v>110.70445469744003</v>
      </c>
    </row>
    <row r="56" spans="1:29" x14ac:dyDescent="0.8">
      <c r="A56" t="s">
        <v>89</v>
      </c>
      <c r="B56" t="s">
        <v>90</v>
      </c>
      <c r="C56" t="s">
        <v>9</v>
      </c>
      <c r="D56" t="s">
        <v>13</v>
      </c>
      <c r="F56">
        <v>29.6</v>
      </c>
      <c r="G56" s="2">
        <f>F56/60</f>
        <v>0.49333333333333335</v>
      </c>
      <c r="H56" s="11">
        <f>G56*$J$38</f>
        <v>1.9037606837606837E-4</v>
      </c>
      <c r="I56" s="11">
        <f t="shared" ref="I56:I57" si="35">H56*4.186/1000</f>
        <v>7.9691422222222224E-7</v>
      </c>
      <c r="J56" s="11">
        <f>H56</f>
        <v>1.9037606837606837E-4</v>
      </c>
      <c r="K56" s="11">
        <f>J56*$J$39</f>
        <v>4.3904528888888891E-3</v>
      </c>
      <c r="L56" s="9">
        <f t="shared" ref="L56:L57" si="36">K56*1000</f>
        <v>4.3904528888888894</v>
      </c>
      <c r="M56" s="9">
        <f t="shared" ref="M56:M57" si="37">1/K56</f>
        <v>227.76693550926004</v>
      </c>
    </row>
    <row r="57" spans="1:29" x14ac:dyDescent="0.8">
      <c r="A57" t="s">
        <v>88</v>
      </c>
      <c r="F57">
        <v>60.4</v>
      </c>
      <c r="G57" s="2">
        <f>F57/60</f>
        <v>1.0066666666666666</v>
      </c>
      <c r="H57" s="11">
        <f>G57*$J$38</f>
        <v>3.8847008547008541E-4</v>
      </c>
      <c r="I57" s="11">
        <f t="shared" si="35"/>
        <v>1.6261357777777775E-6</v>
      </c>
      <c r="J57" s="11">
        <f>H57</f>
        <v>3.8847008547008541E-4</v>
      </c>
      <c r="K57" s="11">
        <f>J57*$J$39</f>
        <v>8.9588971111111103E-3</v>
      </c>
      <c r="L57" s="9">
        <f t="shared" si="36"/>
        <v>8.95889711111111</v>
      </c>
      <c r="M57" s="9">
        <f t="shared" si="37"/>
        <v>111.62088230255129</v>
      </c>
    </row>
    <row r="65" spans="5:9" x14ac:dyDescent="0.8">
      <c r="H65" s="31"/>
      <c r="I65" s="31"/>
    </row>
    <row r="66" spans="5:9" x14ac:dyDescent="0.8">
      <c r="E66" s="21"/>
      <c r="F66" s="21"/>
      <c r="G66" s="21"/>
      <c r="H66" s="21"/>
      <c r="I66" s="21"/>
    </row>
    <row r="67" spans="5:9" x14ac:dyDescent="0.8">
      <c r="F67" s="31"/>
      <c r="G67" s="31"/>
    </row>
    <row r="68" spans="5:9" x14ac:dyDescent="0.8">
      <c r="E68" s="9"/>
      <c r="F68" s="3"/>
      <c r="G68" s="3"/>
    </row>
    <row r="69" spans="5:9" x14ac:dyDescent="0.8">
      <c r="E69" s="9"/>
      <c r="F69" s="3"/>
      <c r="G69" s="3"/>
    </row>
    <row r="70" spans="5:9" x14ac:dyDescent="0.8">
      <c r="E70" s="9"/>
      <c r="F70" s="3"/>
      <c r="G70" s="3"/>
    </row>
    <row r="71" spans="5:9" x14ac:dyDescent="0.8">
      <c r="E71" s="9"/>
      <c r="F71" s="3"/>
      <c r="G71" s="3"/>
    </row>
    <row r="72" spans="5:9" x14ac:dyDescent="0.8">
      <c r="E72" s="9"/>
    </row>
    <row r="73" spans="5:9" x14ac:dyDescent="0.8">
      <c r="E73" s="9"/>
    </row>
    <row r="74" spans="5:9" x14ac:dyDescent="0.8">
      <c r="E74" s="9"/>
    </row>
    <row r="75" spans="5:9" x14ac:dyDescent="0.8">
      <c r="E75" s="9"/>
    </row>
    <row r="76" spans="5:9" x14ac:dyDescent="0.8">
      <c r="E76" s="9"/>
    </row>
    <row r="77" spans="5:9" x14ac:dyDescent="0.8">
      <c r="E77" s="9"/>
      <c r="F77" s="3"/>
      <c r="G77" s="3"/>
    </row>
  </sheetData>
  <mergeCells count="34">
    <mergeCell ref="V19:AB19"/>
    <mergeCell ref="AC19:AF19"/>
    <mergeCell ref="W45:AA45"/>
    <mergeCell ref="AB45:AC45"/>
    <mergeCell ref="H65:I65"/>
    <mergeCell ref="V44:AC44"/>
    <mergeCell ref="V20:W20"/>
    <mergeCell ref="AA20:AB20"/>
    <mergeCell ref="AC20:AD20"/>
    <mergeCell ref="F67:G67"/>
    <mergeCell ref="F19:I19"/>
    <mergeCell ref="R19:U19"/>
    <mergeCell ref="K20:L20"/>
    <mergeCell ref="R20:S20"/>
    <mergeCell ref="T20:U20"/>
    <mergeCell ref="G29:K29"/>
    <mergeCell ref="F41:H41"/>
    <mergeCell ref="G20:H20"/>
    <mergeCell ref="AG19:AI20"/>
    <mergeCell ref="K1:L1"/>
    <mergeCell ref="A7:D7"/>
    <mergeCell ref="AE20:AF20"/>
    <mergeCell ref="M20:N20"/>
    <mergeCell ref="O20:Q20"/>
    <mergeCell ref="V9:AB9"/>
    <mergeCell ref="AC9:AF9"/>
    <mergeCell ref="G10:H10"/>
    <mergeCell ref="K10:L10"/>
    <mergeCell ref="I10:J10"/>
    <mergeCell ref="M10:N10"/>
    <mergeCell ref="O10:Q10"/>
    <mergeCell ref="R9:U9"/>
    <mergeCell ref="T10:U10"/>
    <mergeCell ref="R10:S10"/>
  </mergeCells>
  <printOptions gridLines="1"/>
  <pageMargins left="0.75" right="0.75" top="1" bottom="1" header="0.5" footer="0.5"/>
  <pageSetup scale="50" orientation="landscape" horizontalDpi="4294967294" verticalDpi="4294967294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4"/>
  <sheetViews>
    <sheetView tabSelected="1" topLeftCell="A7" zoomScale="90" zoomScaleNormal="90" workbookViewId="0">
      <selection activeCell="M21" sqref="M21"/>
    </sheetView>
  </sheetViews>
  <sheetFormatPr defaultColWidth="11" defaultRowHeight="16" x14ac:dyDescent="0.8"/>
  <cols>
    <col min="1" max="1" width="6.875" customWidth="1"/>
    <col min="2" max="2" width="6.625" customWidth="1"/>
    <col min="3" max="3" width="7.125" customWidth="1"/>
    <col min="4" max="5" width="8.875" customWidth="1"/>
    <col min="7" max="7" width="11.625" customWidth="1"/>
    <col min="8" max="8" width="11.375" customWidth="1"/>
    <col min="9" max="9" width="9" customWidth="1"/>
    <col min="10" max="10" width="8.875" customWidth="1"/>
    <col min="11" max="11" width="9.5" customWidth="1"/>
    <col min="12" max="16" width="8.125" customWidth="1"/>
    <col min="17" max="17" width="10" customWidth="1"/>
    <col min="18" max="18" width="9.625" customWidth="1"/>
    <col min="19" max="19" width="7.5" customWidth="1"/>
    <col min="20" max="20" width="7.375" customWidth="1"/>
    <col min="23" max="23" width="8.375" customWidth="1"/>
    <col min="24" max="24" width="6.125" customWidth="1"/>
    <col min="26" max="26" width="10.875" customWidth="1"/>
    <col min="27" max="27" width="8.5" customWidth="1"/>
    <col min="28" max="28" width="5.5" customWidth="1"/>
    <col min="29" max="29" width="9" customWidth="1"/>
    <col min="30" max="30" width="9.375" customWidth="1"/>
    <col min="31" max="31" width="8.875" customWidth="1"/>
    <col min="33" max="33" width="9.625" customWidth="1"/>
    <col min="34" max="34" width="8.625" customWidth="1"/>
    <col min="35" max="35" width="7.875" customWidth="1"/>
    <col min="36" max="36" width="8.625" customWidth="1"/>
    <col min="38" max="38" width="8.125" customWidth="1"/>
    <col min="39" max="39" width="10" customWidth="1"/>
  </cols>
  <sheetData>
    <row r="1" spans="1:36" x14ac:dyDescent="0.8">
      <c r="K1" s="31" t="s">
        <v>43</v>
      </c>
      <c r="L1" s="31"/>
      <c r="M1" s="8"/>
      <c r="N1" s="8"/>
      <c r="O1" s="8"/>
      <c r="P1" s="8"/>
    </row>
    <row r="2" spans="1:36" x14ac:dyDescent="0.8">
      <c r="B2" t="s">
        <v>13</v>
      </c>
      <c r="C2">
        <v>5.0000000000000001E-3</v>
      </c>
      <c r="D2" t="s">
        <v>32</v>
      </c>
      <c r="F2" s="5" t="s">
        <v>37</v>
      </c>
      <c r="G2">
        <v>1.9870000000000001</v>
      </c>
      <c r="H2" t="s">
        <v>38</v>
      </c>
      <c r="K2" t="s">
        <v>46</v>
      </c>
      <c r="L2">
        <v>1</v>
      </c>
      <c r="P2" t="s">
        <v>101</v>
      </c>
      <c r="Q2" s="11">
        <v>1.602176487E-19</v>
      </c>
      <c r="R2" s="11">
        <f>1/Q2</f>
        <v>6.2415096471204168E+18</v>
      </c>
      <c r="S2" t="s">
        <v>100</v>
      </c>
    </row>
    <row r="3" spans="1:36" x14ac:dyDescent="0.8">
      <c r="B3" t="s">
        <v>15</v>
      </c>
      <c r="C3">
        <v>0.01</v>
      </c>
      <c r="D3" t="s">
        <v>32</v>
      </c>
      <c r="F3" s="5" t="s">
        <v>39</v>
      </c>
      <c r="G3">
        <v>310</v>
      </c>
      <c r="H3" t="s">
        <v>40</v>
      </c>
      <c r="K3" t="s">
        <v>44</v>
      </c>
      <c r="L3">
        <v>10</v>
      </c>
    </row>
    <row r="4" spans="1:36" x14ac:dyDescent="0.8">
      <c r="B4" t="s">
        <v>33</v>
      </c>
      <c r="C4">
        <v>150</v>
      </c>
      <c r="F4" s="5" t="s">
        <v>36</v>
      </c>
      <c r="G4" s="3">
        <f>2.303*G2*G3</f>
        <v>1418.57891</v>
      </c>
      <c r="H4" t="s">
        <v>41</v>
      </c>
      <c r="K4" t="s">
        <v>45</v>
      </c>
      <c r="L4">
        <v>3.67</v>
      </c>
    </row>
    <row r="5" spans="1:36" x14ac:dyDescent="0.8">
      <c r="B5" t="s">
        <v>34</v>
      </c>
      <c r="C5">
        <v>225000</v>
      </c>
      <c r="F5" s="5" t="s">
        <v>51</v>
      </c>
      <c r="G5">
        <v>23.062000000000001</v>
      </c>
      <c r="H5" t="s">
        <v>52</v>
      </c>
      <c r="K5" t="s">
        <v>47</v>
      </c>
      <c r="L5" s="3">
        <f>L3/L4</f>
        <v>2.7247956403269757</v>
      </c>
      <c r="AF5" t="s">
        <v>123</v>
      </c>
      <c r="AG5" t="s">
        <v>37</v>
      </c>
      <c r="AH5" t="s">
        <v>39</v>
      </c>
      <c r="AI5" t="s">
        <v>51</v>
      </c>
    </row>
    <row r="6" spans="1:36" x14ac:dyDescent="0.8">
      <c r="F6" s="5" t="s">
        <v>49</v>
      </c>
      <c r="G6">
        <v>820</v>
      </c>
      <c r="H6" t="s">
        <v>29</v>
      </c>
      <c r="K6" t="s">
        <v>48</v>
      </c>
      <c r="L6" s="9">
        <f>2*L5</f>
        <v>5.4495912806539515</v>
      </c>
      <c r="M6" s="9"/>
      <c r="N6" s="9"/>
      <c r="O6" s="9"/>
      <c r="P6" s="9"/>
      <c r="AE6">
        <v>2.3029999999999999</v>
      </c>
      <c r="AF6">
        <v>2</v>
      </c>
      <c r="AG6">
        <v>1.9870000000000001</v>
      </c>
      <c r="AH6">
        <v>310</v>
      </c>
      <c r="AI6">
        <v>23.062000000000001</v>
      </c>
      <c r="AJ6" s="2">
        <f>AE6*AG6*AH6/AF6/AI6</f>
        <v>30.755765111438727</v>
      </c>
    </row>
    <row r="9" spans="1:36" ht="18.5" x14ac:dyDescent="0.9">
      <c r="A9" s="32" t="s">
        <v>26</v>
      </c>
      <c r="B9" s="32"/>
      <c r="C9" s="32"/>
      <c r="D9" s="32"/>
      <c r="E9" s="20"/>
      <c r="Q9" t="s">
        <v>70</v>
      </c>
    </row>
    <row r="10" spans="1:36" x14ac:dyDescent="0.8">
      <c r="N10" t="s">
        <v>95</v>
      </c>
      <c r="Q10" s="31" t="s">
        <v>69</v>
      </c>
      <c r="R10" s="31"/>
      <c r="S10" s="31"/>
      <c r="T10" s="31"/>
      <c r="U10" s="31" t="s">
        <v>63</v>
      </c>
      <c r="V10" s="31"/>
      <c r="W10" s="31"/>
      <c r="X10" s="31"/>
      <c r="Y10" s="31" t="s">
        <v>66</v>
      </c>
      <c r="Z10" s="31"/>
      <c r="AA10" s="31"/>
      <c r="AB10" s="31"/>
      <c r="AC10" s="30" t="s">
        <v>72</v>
      </c>
      <c r="AD10" s="30"/>
      <c r="AE10" s="30"/>
      <c r="AF10" s="31" t="s">
        <v>126</v>
      </c>
      <c r="AG10" s="31"/>
      <c r="AH10" s="31"/>
    </row>
    <row r="11" spans="1:36" x14ac:dyDescent="0.8">
      <c r="A11" s="7" t="s">
        <v>31</v>
      </c>
      <c r="B11" s="7" t="s">
        <v>19</v>
      </c>
      <c r="C11" s="7" t="s">
        <v>14</v>
      </c>
      <c r="D11" s="31" t="s">
        <v>35</v>
      </c>
      <c r="E11" s="31"/>
      <c r="F11" s="7" t="s">
        <v>4</v>
      </c>
      <c r="G11" s="7" t="s">
        <v>25</v>
      </c>
      <c r="H11" s="7" t="s">
        <v>28</v>
      </c>
      <c r="I11" s="7" t="s">
        <v>53</v>
      </c>
      <c r="J11" s="7" t="s">
        <v>50</v>
      </c>
      <c r="K11" s="31" t="s">
        <v>6</v>
      </c>
      <c r="L11" s="31"/>
      <c r="M11" s="8" t="s">
        <v>25</v>
      </c>
      <c r="N11" s="8" t="s">
        <v>98</v>
      </c>
      <c r="O11" s="8" t="s">
        <v>97</v>
      </c>
      <c r="P11" s="8" t="s">
        <v>96</v>
      </c>
      <c r="Q11" s="31" t="s">
        <v>55</v>
      </c>
      <c r="R11" s="31"/>
      <c r="S11" s="31" t="s">
        <v>58</v>
      </c>
      <c r="T11" s="31"/>
      <c r="U11" s="31"/>
      <c r="V11" s="31"/>
      <c r="W11" s="31" t="s">
        <v>62</v>
      </c>
      <c r="X11" s="31"/>
      <c r="Y11" s="31"/>
      <c r="Z11" s="31"/>
      <c r="AA11" s="31" t="s">
        <v>71</v>
      </c>
      <c r="AB11" s="31"/>
      <c r="AC11" s="30"/>
      <c r="AD11" s="30"/>
      <c r="AE11" s="30"/>
      <c r="AF11" t="s">
        <v>28</v>
      </c>
      <c r="AG11" t="s">
        <v>124</v>
      </c>
      <c r="AH11" t="s">
        <v>125</v>
      </c>
    </row>
    <row r="12" spans="1:36" x14ac:dyDescent="0.8">
      <c r="D12" s="7" t="s">
        <v>32</v>
      </c>
      <c r="E12" s="19" t="s">
        <v>154</v>
      </c>
      <c r="F12" s="7" t="s">
        <v>27</v>
      </c>
      <c r="G12" s="7" t="s">
        <v>59</v>
      </c>
      <c r="H12" s="7" t="s">
        <v>29</v>
      </c>
      <c r="I12" s="7" t="s">
        <v>29</v>
      </c>
      <c r="J12" s="7" t="s">
        <v>54</v>
      </c>
      <c r="K12" s="7" t="s">
        <v>29</v>
      </c>
      <c r="L12" s="7" t="s">
        <v>54</v>
      </c>
      <c r="M12" s="8" t="s">
        <v>54</v>
      </c>
      <c r="N12" s="8"/>
      <c r="O12" s="8"/>
      <c r="P12" s="8"/>
      <c r="Q12" s="7" t="s">
        <v>56</v>
      </c>
      <c r="R12" s="7" t="s">
        <v>57</v>
      </c>
      <c r="S12" s="7" t="s">
        <v>60</v>
      </c>
      <c r="T12" s="7" t="s">
        <v>61</v>
      </c>
      <c r="U12" s="7" t="s">
        <v>65</v>
      </c>
      <c r="V12" s="8" t="s">
        <v>64</v>
      </c>
      <c r="W12" s="8" t="s">
        <v>60</v>
      </c>
      <c r="X12" s="8" t="s">
        <v>61</v>
      </c>
      <c r="Y12" s="8" t="s">
        <v>67</v>
      </c>
      <c r="Z12" s="8" t="s">
        <v>68</v>
      </c>
      <c r="AA12" s="8" t="s">
        <v>60</v>
      </c>
      <c r="AB12" s="8" t="s">
        <v>61</v>
      </c>
      <c r="AC12" t="s">
        <v>73</v>
      </c>
      <c r="AD12" t="s">
        <v>74</v>
      </c>
      <c r="AE12" t="s">
        <v>75</v>
      </c>
    </row>
    <row r="14" spans="1:36" x14ac:dyDescent="0.8">
      <c r="A14" s="9">
        <v>5</v>
      </c>
      <c r="B14" s="3">
        <v>10</v>
      </c>
      <c r="C14" s="3">
        <f>B14/A14</f>
        <v>2</v>
      </c>
      <c r="D14" s="10">
        <f>C$2*1/C$4*1/C14</f>
        <v>1.6666666666666667E-5</v>
      </c>
      <c r="E14" s="9">
        <f>D14*1000000</f>
        <v>16.666666666666668</v>
      </c>
      <c r="F14" s="9">
        <v>62</v>
      </c>
      <c r="G14" s="2">
        <f>($G$4*(LOG((C$3*D14/C$2)/C$5)))/1000</f>
        <v>-13.943643032121523</v>
      </c>
      <c r="H14">
        <v>-315.2</v>
      </c>
      <c r="I14">
        <f>$G$6-H14</f>
        <v>1135.2</v>
      </c>
      <c r="J14" s="2">
        <f>(-2*$G$5*I14)/1000</f>
        <v>-52.3599648</v>
      </c>
      <c r="K14">
        <v>-193.5</v>
      </c>
      <c r="L14" s="2">
        <f>$G$5*K14*$L$3/1000</f>
        <v>-44.624970000000005</v>
      </c>
      <c r="M14" s="2">
        <f>$L$5*G14</f>
        <v>-37.993577744200337</v>
      </c>
      <c r="N14" s="2">
        <f>J14-L14</f>
        <v>-7.7349947999999955</v>
      </c>
      <c r="O14" s="2">
        <f>L14-M14</f>
        <v>-6.6313922557996676</v>
      </c>
      <c r="P14" s="2">
        <f>J14-M14</f>
        <v>-14.366387055799663</v>
      </c>
      <c r="Q14" s="4">
        <f>F14*$L$6</f>
        <v>337.874659400545</v>
      </c>
      <c r="R14" s="3">
        <f>Q14/60</f>
        <v>5.6312443233424165</v>
      </c>
      <c r="S14" s="4">
        <f>-1*G14*R14</f>
        <v>78.520060671347366</v>
      </c>
      <c r="T14" s="4">
        <f>S14*4.186</f>
        <v>328.68497397026005</v>
      </c>
      <c r="U14" s="9">
        <f>F14</f>
        <v>62</v>
      </c>
      <c r="V14" s="3">
        <f>U14/60</f>
        <v>1.0333333333333334</v>
      </c>
      <c r="W14" s="4">
        <f>-2*J14*V14</f>
        <v>108.21059392000001</v>
      </c>
      <c r="X14" s="4">
        <f>W14*4.186</f>
        <v>452.96954614912005</v>
      </c>
      <c r="Y14">
        <f>2*$L$3*F14</f>
        <v>1240</v>
      </c>
      <c r="Z14" s="3">
        <f>Y14/60</f>
        <v>20.666666666666668</v>
      </c>
      <c r="AA14" s="9">
        <f>-Z14*L14/$L$3</f>
        <v>92.224938000000023</v>
      </c>
      <c r="AB14" s="4">
        <f>AA14*4.186</f>
        <v>386.0535904680001</v>
      </c>
      <c r="AC14" s="2">
        <f>AB14/X14</f>
        <v>0.8522727272727274</v>
      </c>
      <c r="AD14" s="2">
        <f>T14/AB14</f>
        <v>0.85139727251806163</v>
      </c>
      <c r="AE14" s="2">
        <f>T14/X14</f>
        <v>0.72562267544152992</v>
      </c>
      <c r="AF14" s="2">
        <f>10^((H14+320)/AJ$6)</f>
        <v>1.4324131548108889</v>
      </c>
      <c r="AG14" s="2">
        <f>1/AF14</f>
        <v>0.69812260285477667</v>
      </c>
      <c r="AH14" s="17">
        <f>AG14/(1+AG14)</f>
        <v>0.41111436929296918</v>
      </c>
    </row>
    <row r="15" spans="1:36" x14ac:dyDescent="0.8">
      <c r="A15" s="9">
        <f>A14</f>
        <v>5</v>
      </c>
      <c r="B15" s="3">
        <v>7.5</v>
      </c>
      <c r="C15" s="3">
        <f t="shared" ref="C15:C18" si="0">B15/A15</f>
        <v>1.5</v>
      </c>
      <c r="D15" s="10">
        <f t="shared" ref="D15:D18" si="1">C$2*1/C$4*1/C15</f>
        <v>2.2222222222222223E-5</v>
      </c>
      <c r="E15" s="9">
        <f>D15*1000000</f>
        <v>22.222222222222225</v>
      </c>
      <c r="F15" s="9">
        <v>77</v>
      </c>
      <c r="G15" s="2">
        <f t="shared" ref="G15:G18" si="2">($G$4*(LOG((C$3*D15/C$2)/C$5)))/1000</f>
        <v>-13.766407575326944</v>
      </c>
      <c r="H15">
        <v>-313.60000000000002</v>
      </c>
      <c r="I15">
        <f>$G$6-H15</f>
        <v>1133.5999999999999</v>
      </c>
      <c r="J15" s="2">
        <f t="shared" ref="J15:J18" si="3">(-2*$G$5*I15+I15)/1000</f>
        <v>-51.152566400000005</v>
      </c>
      <c r="K15">
        <v>-191.5</v>
      </c>
      <c r="L15" s="2">
        <f>$G$5*K15*$L$3/1000</f>
        <v>-44.163730000000001</v>
      </c>
      <c r="M15" s="2">
        <f t="shared" ref="M15:M18" si="4">$L$5*G15</f>
        <v>-37.510647344215108</v>
      </c>
      <c r="N15" s="2">
        <f t="shared" ref="N15:N18" si="5">J15-L15</f>
        <v>-6.9888364000000038</v>
      </c>
      <c r="O15" s="2">
        <f t="shared" ref="O15:O18" si="6">L15-M15</f>
        <v>-6.6530826557848926</v>
      </c>
      <c r="P15" s="2">
        <f t="shared" ref="P15:P18" si="7">J15-M15</f>
        <v>-13.641919055784896</v>
      </c>
      <c r="Q15" s="4">
        <f>F15*$L$6</f>
        <v>419.61852861035425</v>
      </c>
      <c r="R15" s="3">
        <f t="shared" ref="R15:R18" si="8">Q15/60</f>
        <v>6.9936421435059044</v>
      </c>
      <c r="S15" s="4">
        <f>-1*G15*R15</f>
        <v>96.277328183485452</v>
      </c>
      <c r="T15" s="4">
        <f t="shared" ref="T15:T18" si="9">S15*4.186</f>
        <v>403.0168957760701</v>
      </c>
      <c r="U15" s="9">
        <f t="shared" ref="U15:U18" si="10">F15</f>
        <v>77</v>
      </c>
      <c r="V15" s="3">
        <f t="shared" ref="V15:V18" si="11">U15/60</f>
        <v>1.2833333333333334</v>
      </c>
      <c r="W15" s="4">
        <f t="shared" ref="W15:W18" si="12">-2*J15*V15</f>
        <v>131.29158709333336</v>
      </c>
      <c r="X15" s="4">
        <f t="shared" ref="X15:X18" si="13">W15*4.186</f>
        <v>549.58658357269348</v>
      </c>
      <c r="Y15">
        <f>2*$L$3*F15</f>
        <v>1540</v>
      </c>
      <c r="Z15" s="3">
        <f t="shared" ref="Z15:Z18" si="14">Y15/60</f>
        <v>25.666666666666668</v>
      </c>
      <c r="AA15" s="9">
        <f>-Z15*L15/$L$3</f>
        <v>113.35357366666668</v>
      </c>
      <c r="AB15" s="4">
        <f t="shared" ref="AB15:AB18" si="15">AA15*4.186</f>
        <v>474.4980593686667</v>
      </c>
      <c r="AC15" s="2">
        <f t="shared" ref="AC15:AC18" si="16">AB15/X15</f>
        <v>0.86337271241976221</v>
      </c>
      <c r="AD15" s="2">
        <f t="shared" ref="AD15:AD18" si="17">T15/AB15</f>
        <v>0.84935414975626167</v>
      </c>
      <c r="AE15" s="2">
        <f t="shared" ref="AE15:AE18" si="18">T15/X15</f>
        <v>0.73330919608004463</v>
      </c>
      <c r="AF15" s="2">
        <f t="shared" ref="AF15:AF18" si="19">10^((H15+320)/AJ$6)</f>
        <v>1.6146971089921405</v>
      </c>
      <c r="AG15" s="2">
        <f t="shared" ref="AG15:AG18" si="20">1/AF15</f>
        <v>0.61931119739489637</v>
      </c>
      <c r="AH15" s="17">
        <f t="shared" ref="AH15:AH18" si="21">AG15/(1+AG15)</f>
        <v>0.38245347675680086</v>
      </c>
    </row>
    <row r="16" spans="1:36" x14ac:dyDescent="0.8">
      <c r="A16" s="9">
        <f t="shared" ref="A16:A18" si="22">A15</f>
        <v>5</v>
      </c>
      <c r="B16" s="3">
        <v>5</v>
      </c>
      <c r="C16" s="3">
        <f t="shared" si="0"/>
        <v>1</v>
      </c>
      <c r="D16" s="10">
        <f t="shared" si="1"/>
        <v>3.3333333333333335E-5</v>
      </c>
      <c r="E16" s="9">
        <f t="shared" ref="E16:E18" si="23">D16*1000000</f>
        <v>33.333333333333336</v>
      </c>
      <c r="F16" s="9">
        <v>94.5</v>
      </c>
      <c r="G16" s="2">
        <f t="shared" si="2"/>
        <v>-13.516608228995208</v>
      </c>
      <c r="H16">
        <v>-311.7</v>
      </c>
      <c r="I16">
        <f>$G$6-H16</f>
        <v>1131.7</v>
      </c>
      <c r="J16" s="2">
        <f t="shared" si="3"/>
        <v>-51.066830800000012</v>
      </c>
      <c r="K16">
        <v>-190.1</v>
      </c>
      <c r="L16" s="2">
        <f>$G$5*K16*$L$3/1000</f>
        <v>-43.840861999999994</v>
      </c>
      <c r="M16" s="2">
        <f t="shared" si="4"/>
        <v>-36.82999517437387</v>
      </c>
      <c r="N16" s="2">
        <f t="shared" si="5"/>
        <v>-7.2259688000000182</v>
      </c>
      <c r="O16" s="2">
        <f t="shared" si="6"/>
        <v>-7.010866825626124</v>
      </c>
      <c r="P16" s="2">
        <f t="shared" si="7"/>
        <v>-14.236835625626142</v>
      </c>
      <c r="Q16" s="4">
        <f>F16*$L$6</f>
        <v>514.98637602179838</v>
      </c>
      <c r="R16" s="3">
        <f t="shared" si="8"/>
        <v>8.5831062670299723</v>
      </c>
      <c r="S16" s="4">
        <f>-1*G16*R16</f>
        <v>116.01448479927767</v>
      </c>
      <c r="T16" s="4">
        <f t="shared" si="9"/>
        <v>485.63663336977629</v>
      </c>
      <c r="U16" s="9">
        <f t="shared" si="10"/>
        <v>94.5</v>
      </c>
      <c r="V16" s="3">
        <f t="shared" si="11"/>
        <v>1.575</v>
      </c>
      <c r="W16" s="4">
        <f t="shared" si="12"/>
        <v>160.86051702000003</v>
      </c>
      <c r="X16" s="4">
        <f t="shared" si="13"/>
        <v>673.36212424572011</v>
      </c>
      <c r="Y16">
        <f>2*$L$3*F16</f>
        <v>1890</v>
      </c>
      <c r="Z16" s="3">
        <f t="shared" si="14"/>
        <v>31.5</v>
      </c>
      <c r="AA16" s="9">
        <f>-Z16*L16/$L$3</f>
        <v>138.09871529999998</v>
      </c>
      <c r="AB16" s="4">
        <f t="shared" si="15"/>
        <v>578.08122224579995</v>
      </c>
      <c r="AC16" s="2">
        <f t="shared" si="16"/>
        <v>0.85849976027883812</v>
      </c>
      <c r="AD16" s="2">
        <f t="shared" si="17"/>
        <v>0.84008373682008952</v>
      </c>
      <c r="AE16" s="2">
        <f t="shared" si="18"/>
        <v>0.72121168667419744</v>
      </c>
      <c r="AF16" s="2">
        <f t="shared" si="19"/>
        <v>1.8615217009158518</v>
      </c>
      <c r="AG16" s="2">
        <f t="shared" si="20"/>
        <v>0.53719491935442332</v>
      </c>
      <c r="AH16" s="17">
        <f t="shared" si="21"/>
        <v>0.34946441247674004</v>
      </c>
    </row>
    <row r="17" spans="1:39" x14ac:dyDescent="0.8">
      <c r="A17" s="9">
        <f t="shared" si="22"/>
        <v>5</v>
      </c>
      <c r="B17" s="3">
        <v>3.75</v>
      </c>
      <c r="C17" s="3">
        <f t="shared" si="0"/>
        <v>0.75</v>
      </c>
      <c r="D17" s="10">
        <f t="shared" si="1"/>
        <v>4.4444444444444447E-5</v>
      </c>
      <c r="E17" s="9">
        <f t="shared" si="23"/>
        <v>44.44444444444445</v>
      </c>
      <c r="F17" s="9">
        <v>110</v>
      </c>
      <c r="G17" s="2">
        <f t="shared" si="2"/>
        <v>-13.339372772200628</v>
      </c>
      <c r="H17">
        <v>-310.5</v>
      </c>
      <c r="I17">
        <f>$G$6-H17</f>
        <v>1130.5</v>
      </c>
      <c r="J17" s="2">
        <f t="shared" si="3"/>
        <v>-51.012681999999998</v>
      </c>
      <c r="K17">
        <v>-188.6</v>
      </c>
      <c r="L17" s="2">
        <f>$G$5*K17*$L$3/1000</f>
        <v>-43.494931999999999</v>
      </c>
      <c r="M17" s="2">
        <f t="shared" si="4"/>
        <v>-36.347064774388635</v>
      </c>
      <c r="N17" s="2">
        <f t="shared" si="5"/>
        <v>-7.5177499999999995</v>
      </c>
      <c r="O17" s="2">
        <f t="shared" si="6"/>
        <v>-7.147867225611364</v>
      </c>
      <c r="P17" s="2">
        <f t="shared" si="7"/>
        <v>-14.665617225611363</v>
      </c>
      <c r="Q17" s="4">
        <f>F17*$L$6</f>
        <v>599.45504087193467</v>
      </c>
      <c r="R17" s="3">
        <f t="shared" si="8"/>
        <v>9.9909173478655777</v>
      </c>
      <c r="S17" s="4">
        <f>-1*G17*R17</f>
        <v>133.27257083942499</v>
      </c>
      <c r="T17" s="4">
        <f t="shared" si="9"/>
        <v>557.87898153383298</v>
      </c>
      <c r="U17" s="9">
        <f t="shared" si="10"/>
        <v>110</v>
      </c>
      <c r="V17" s="3">
        <f t="shared" si="11"/>
        <v>1.8333333333333333</v>
      </c>
      <c r="W17" s="4">
        <f t="shared" si="12"/>
        <v>187.04650066666665</v>
      </c>
      <c r="X17" s="4">
        <f t="shared" si="13"/>
        <v>782.97665179066655</v>
      </c>
      <c r="Y17">
        <f>2*$L$3*F17</f>
        <v>2200</v>
      </c>
      <c r="Z17" s="3">
        <f t="shared" si="14"/>
        <v>36.666666666666664</v>
      </c>
      <c r="AA17" s="9">
        <f>-Z17*L17/$L$3</f>
        <v>159.48141733333333</v>
      </c>
      <c r="AB17" s="4">
        <f t="shared" si="15"/>
        <v>667.5892129573333</v>
      </c>
      <c r="AC17" s="2">
        <f t="shared" si="16"/>
        <v>0.85262978331545092</v>
      </c>
      <c r="AD17" s="2">
        <f t="shared" si="17"/>
        <v>0.83566206689065825</v>
      </c>
      <c r="AE17" s="2">
        <f t="shared" si="18"/>
        <v>0.71251036701792381</v>
      </c>
      <c r="AF17" s="2">
        <f t="shared" si="19"/>
        <v>2.0365035834851204</v>
      </c>
      <c r="AG17" s="2">
        <f t="shared" si="20"/>
        <v>0.49103768248159652</v>
      </c>
      <c r="AH17" s="17">
        <f t="shared" si="21"/>
        <v>0.32932613860190435</v>
      </c>
    </row>
    <row r="18" spans="1:39" x14ac:dyDescent="0.8">
      <c r="A18" s="9">
        <f t="shared" si="22"/>
        <v>5</v>
      </c>
      <c r="B18" s="3">
        <v>2.5</v>
      </c>
      <c r="C18" s="3">
        <f t="shared" si="0"/>
        <v>0.5</v>
      </c>
      <c r="D18" s="10">
        <f t="shared" si="1"/>
        <v>6.666666666666667E-5</v>
      </c>
      <c r="E18" s="9">
        <f t="shared" si="23"/>
        <v>66.666666666666671</v>
      </c>
      <c r="F18" s="9">
        <v>130</v>
      </c>
      <c r="G18" s="2">
        <f t="shared" si="2"/>
        <v>-13.089573425868892</v>
      </c>
      <c r="H18">
        <v>-308.89999999999998</v>
      </c>
      <c r="I18">
        <f>$G$6-H18</f>
        <v>1128.9000000000001</v>
      </c>
      <c r="J18" s="2">
        <f t="shared" si="3"/>
        <v>-50.940483600000007</v>
      </c>
      <c r="K18">
        <v>-187.1</v>
      </c>
      <c r="L18" s="2">
        <f>$G$5*K18*$L$3/1000</f>
        <v>-43.149002000000003</v>
      </c>
      <c r="M18" s="2">
        <f t="shared" si="4"/>
        <v>-35.666412604547389</v>
      </c>
      <c r="N18" s="2">
        <f t="shared" si="5"/>
        <v>-7.7914816000000044</v>
      </c>
      <c r="O18" s="2">
        <f t="shared" si="6"/>
        <v>-7.4825893954526137</v>
      </c>
      <c r="P18" s="2">
        <f t="shared" si="7"/>
        <v>-15.274070995452618</v>
      </c>
      <c r="Q18" s="4">
        <f>F18*$L$6</f>
        <v>708.44686648501374</v>
      </c>
      <c r="R18" s="3">
        <f t="shared" si="8"/>
        <v>11.807447774750228</v>
      </c>
      <c r="S18" s="4">
        <f>-1*G18*R18</f>
        <v>154.55445461970538</v>
      </c>
      <c r="T18" s="4">
        <f t="shared" si="9"/>
        <v>646.96494703808673</v>
      </c>
      <c r="U18" s="9">
        <f t="shared" si="10"/>
        <v>130</v>
      </c>
      <c r="V18" s="3">
        <f t="shared" si="11"/>
        <v>2.1666666666666665</v>
      </c>
      <c r="W18" s="4">
        <f t="shared" si="12"/>
        <v>220.74209560000003</v>
      </c>
      <c r="X18" s="4">
        <f t="shared" si="13"/>
        <v>924.02641218160011</v>
      </c>
      <c r="Y18">
        <f>2*$L$3*F18</f>
        <v>2600</v>
      </c>
      <c r="Z18" s="3">
        <f t="shared" si="14"/>
        <v>43.333333333333336</v>
      </c>
      <c r="AA18" s="9">
        <f>-Z18*L18/$L$3</f>
        <v>186.97900866666669</v>
      </c>
      <c r="AB18" s="4">
        <f t="shared" si="15"/>
        <v>782.69413027866676</v>
      </c>
      <c r="AC18" s="2">
        <f t="shared" si="16"/>
        <v>0.84704735704550715</v>
      </c>
      <c r="AD18" s="2">
        <f t="shared" si="17"/>
        <v>0.82658719672235736</v>
      </c>
      <c r="AE18" s="2">
        <f t="shared" si="18"/>
        <v>0.70015850035132754</v>
      </c>
      <c r="AF18" s="2">
        <f t="shared" si="19"/>
        <v>2.295662000632567</v>
      </c>
      <c r="AG18" s="2">
        <f t="shared" si="20"/>
        <v>0.43560419596806987</v>
      </c>
      <c r="AH18" s="17">
        <f t="shared" si="21"/>
        <v>0.30342917441414219</v>
      </c>
    </row>
    <row r="19" spans="1:39" x14ac:dyDescent="0.8">
      <c r="AH19" s="17"/>
    </row>
    <row r="20" spans="1:39" ht="18.5" x14ac:dyDescent="0.9">
      <c r="A20" s="32" t="s">
        <v>42</v>
      </c>
      <c r="B20" s="32"/>
      <c r="C20" s="32"/>
      <c r="D20" s="32"/>
      <c r="E20" s="20"/>
      <c r="J20" s="2">
        <f>$M20/M25*J25</f>
        <v>-21.805702152555657</v>
      </c>
      <c r="L20" s="2">
        <f>$M20/M25*L25</f>
        <v>-19.530745880157909</v>
      </c>
      <c r="M20">
        <v>-16</v>
      </c>
    </row>
    <row r="21" spans="1:39" x14ac:dyDescent="0.8">
      <c r="J21" s="3"/>
      <c r="Q21" s="31" t="s">
        <v>69</v>
      </c>
      <c r="R21" s="31"/>
      <c r="S21" s="31"/>
      <c r="T21" s="31"/>
      <c r="U21" s="31" t="s">
        <v>63</v>
      </c>
      <c r="V21" s="31"/>
      <c r="W21" s="31"/>
      <c r="X21" s="31"/>
      <c r="Y21" s="31" t="s">
        <v>66</v>
      </c>
      <c r="Z21" s="31"/>
      <c r="AA21" s="31"/>
      <c r="AB21" s="31"/>
      <c r="AC21" s="30" t="s">
        <v>72</v>
      </c>
      <c r="AD21" s="30"/>
      <c r="AE21" s="30"/>
      <c r="AF21" s="31" t="s">
        <v>126</v>
      </c>
      <c r="AG21" s="31"/>
      <c r="AH21" s="31"/>
    </row>
    <row r="22" spans="1:39" x14ac:dyDescent="0.8">
      <c r="A22" s="7" t="s">
        <v>31</v>
      </c>
      <c r="B22" s="7" t="s">
        <v>19</v>
      </c>
      <c r="C22" s="7" t="s">
        <v>14</v>
      </c>
      <c r="D22" s="7" t="s">
        <v>35</v>
      </c>
      <c r="E22" s="19"/>
      <c r="F22" s="7" t="s">
        <v>4</v>
      </c>
      <c r="G22" s="7" t="s">
        <v>25</v>
      </c>
      <c r="H22" s="7" t="s">
        <v>28</v>
      </c>
      <c r="J22" s="7" t="s">
        <v>30</v>
      </c>
      <c r="K22" s="31" t="s">
        <v>6</v>
      </c>
      <c r="L22" s="31"/>
      <c r="M22" s="25" t="s">
        <v>25</v>
      </c>
      <c r="N22" s="8"/>
      <c r="O22" s="8"/>
      <c r="P22" s="8"/>
      <c r="Q22" s="31" t="s">
        <v>55</v>
      </c>
      <c r="R22" s="31"/>
      <c r="S22" s="31" t="s">
        <v>58</v>
      </c>
      <c r="T22" s="31"/>
      <c r="U22" s="31"/>
      <c r="V22" s="31"/>
      <c r="W22" s="31" t="s">
        <v>62</v>
      </c>
      <c r="X22" s="31"/>
      <c r="Y22" s="31"/>
      <c r="Z22" s="31"/>
      <c r="AA22" s="31" t="s">
        <v>71</v>
      </c>
      <c r="AB22" s="31"/>
      <c r="AC22" s="30"/>
      <c r="AD22" s="30"/>
      <c r="AE22" s="30"/>
      <c r="AF22" t="s">
        <v>28</v>
      </c>
      <c r="AG22" t="s">
        <v>124</v>
      </c>
      <c r="AH22" t="s">
        <v>125</v>
      </c>
    </row>
    <row r="23" spans="1:39" x14ac:dyDescent="0.8">
      <c r="D23" s="7" t="s">
        <v>32</v>
      </c>
      <c r="E23" s="19"/>
      <c r="F23" s="7" t="s">
        <v>27</v>
      </c>
      <c r="G23" s="8" t="s">
        <v>59</v>
      </c>
      <c r="H23" s="7" t="s">
        <v>29</v>
      </c>
      <c r="J23" s="7" t="s">
        <v>11</v>
      </c>
      <c r="K23" s="7" t="s">
        <v>29</v>
      </c>
      <c r="L23" s="7" t="s">
        <v>11</v>
      </c>
      <c r="M23" s="25" t="s">
        <v>54</v>
      </c>
      <c r="N23" s="8"/>
      <c r="O23" s="8"/>
      <c r="P23" s="8"/>
      <c r="Q23" s="8" t="s">
        <v>56</v>
      </c>
      <c r="R23" s="8" t="s">
        <v>57</v>
      </c>
      <c r="S23" s="8" t="s">
        <v>60</v>
      </c>
      <c r="T23" s="8" t="s">
        <v>61</v>
      </c>
      <c r="U23" s="8" t="s">
        <v>65</v>
      </c>
      <c r="V23" s="8" t="s">
        <v>64</v>
      </c>
      <c r="W23" s="8" t="s">
        <v>60</v>
      </c>
      <c r="X23" s="8" t="s">
        <v>61</v>
      </c>
      <c r="Y23" s="8" t="s">
        <v>67</v>
      </c>
      <c r="Z23" s="8" t="s">
        <v>68</v>
      </c>
      <c r="AA23" s="8" t="s">
        <v>60</v>
      </c>
      <c r="AB23" s="8" t="s">
        <v>61</v>
      </c>
      <c r="AC23" t="s">
        <v>76</v>
      </c>
      <c r="AD23" t="s">
        <v>74</v>
      </c>
      <c r="AE23" t="s">
        <v>75</v>
      </c>
    </row>
    <row r="25" spans="1:39" x14ac:dyDescent="0.8">
      <c r="A25" s="9">
        <v>5</v>
      </c>
      <c r="B25" s="3">
        <v>10</v>
      </c>
      <c r="C25" s="3">
        <f>B25/A25</f>
        <v>2</v>
      </c>
      <c r="D25" s="10">
        <f>C$2*1/C$4*1/C25</f>
        <v>1.6666666666666667E-5</v>
      </c>
      <c r="E25" s="9">
        <f t="shared" ref="E25:E29" si="24">D25*1000000</f>
        <v>16.666666666666668</v>
      </c>
      <c r="F25" s="9">
        <v>123</v>
      </c>
      <c r="G25" s="2">
        <f>($G$4*(LOG((C$3*D25/C$2)/C$5)))/1000</f>
        <v>-13.943643032121523</v>
      </c>
      <c r="H25">
        <v>-327.5</v>
      </c>
      <c r="I25">
        <f>$G$6-H25</f>
        <v>1147.5</v>
      </c>
      <c r="J25" s="2">
        <f>(-2*$G$5*I25+I25)/1000</f>
        <v>-51.779789999999998</v>
      </c>
      <c r="K25" s="9">
        <v>-201.1</v>
      </c>
      <c r="L25" s="2">
        <f>$G$5*K25*$L$3/1000</f>
        <v>-46.377682</v>
      </c>
      <c r="M25" s="2">
        <f>$L$5*G25</f>
        <v>-37.993577744200337</v>
      </c>
      <c r="N25" s="2">
        <f>J25-L25</f>
        <v>-5.4021079999999984</v>
      </c>
      <c r="O25" s="2">
        <f>L25-M25</f>
        <v>-8.384104255799663</v>
      </c>
      <c r="P25" s="2">
        <f>J25-M25</f>
        <v>-13.786212255799661</v>
      </c>
      <c r="Q25" s="4">
        <f>F25*$L$6</f>
        <v>670.29972752043602</v>
      </c>
      <c r="R25" s="3">
        <f>Q25/60</f>
        <v>11.1716621253406</v>
      </c>
      <c r="S25" s="4">
        <f>-1*G25*R25</f>
        <v>155.77366875122138</v>
      </c>
      <c r="T25" s="4">
        <f>S25*4.186</f>
        <v>652.06857739261272</v>
      </c>
      <c r="U25" s="9">
        <f>F25</f>
        <v>123</v>
      </c>
      <c r="V25" s="3">
        <f>U25/60</f>
        <v>2.0499999999999998</v>
      </c>
      <c r="W25" s="4">
        <f>-2*J25*V25</f>
        <v>212.29713899999999</v>
      </c>
      <c r="X25" s="4">
        <f>W25*4.186</f>
        <v>888.67582385399999</v>
      </c>
      <c r="Y25">
        <f>2*$L$3*F25</f>
        <v>2460</v>
      </c>
      <c r="Z25" s="3">
        <f>Y25/60</f>
        <v>41</v>
      </c>
      <c r="AA25" s="9">
        <f>-Z25*L25/$L$3</f>
        <v>190.14849620000001</v>
      </c>
      <c r="AB25" s="4">
        <f>AA25*4.186</f>
        <v>795.96160509320009</v>
      </c>
      <c r="AC25" s="2">
        <f>AB25/X25</f>
        <v>0.89567149654334266</v>
      </c>
      <c r="AD25" s="2">
        <f>T25/AB25</f>
        <v>0.81922114486447029</v>
      </c>
      <c r="AE25" s="2">
        <f>T25/X25</f>
        <v>0.73375302882071047</v>
      </c>
      <c r="AF25" s="2">
        <f>10^((H25+320)/AJ$6)</f>
        <v>0.57035240876258342</v>
      </c>
      <c r="AG25" s="2">
        <f>1/AF25</f>
        <v>1.7533019667078551</v>
      </c>
      <c r="AH25" s="17">
        <f>AG25/(1+AG25)</f>
        <v>0.63679973642858079</v>
      </c>
    </row>
    <row r="26" spans="1:39" x14ac:dyDescent="0.8">
      <c r="A26" s="9">
        <f>A25</f>
        <v>5</v>
      </c>
      <c r="B26" s="3">
        <v>7.5</v>
      </c>
      <c r="C26" s="3">
        <f t="shared" ref="C26:C29" si="25">B26/A26</f>
        <v>1.5</v>
      </c>
      <c r="D26" s="10">
        <f t="shared" ref="D26:D29" si="26">C$2*1/C$4*1/C26</f>
        <v>2.2222222222222223E-5</v>
      </c>
      <c r="E26" s="9">
        <f t="shared" si="24"/>
        <v>22.222222222222225</v>
      </c>
      <c r="F26" s="9">
        <v>151</v>
      </c>
      <c r="G26" s="2">
        <f t="shared" ref="G26:G29" si="27">($G$4*(LOG((C$3*D26/C$2)/C$5)))/1000</f>
        <v>-13.766407575326944</v>
      </c>
      <c r="H26">
        <v>-325.10000000000002</v>
      </c>
      <c r="I26">
        <f>$G$6-H26</f>
        <v>1145.0999999999999</v>
      </c>
      <c r="J26" s="2">
        <f t="shared" ref="J26:J29" si="28">(-2*$G$5*I26+I26)/1000</f>
        <v>-51.671492400000005</v>
      </c>
      <c r="K26" s="9">
        <v>-199.5</v>
      </c>
      <c r="L26" s="2">
        <f>$G$5*K26*$L$3/1000</f>
        <v>-46.008690000000001</v>
      </c>
      <c r="M26" s="2">
        <f t="shared" ref="M26:M29" si="29">$L$5*G26</f>
        <v>-37.510647344215108</v>
      </c>
      <c r="N26" s="2">
        <f>J26-L26</f>
        <v>-5.6628024000000039</v>
      </c>
      <c r="O26" s="2">
        <f t="shared" ref="O26:O29" si="30">L26-M26</f>
        <v>-8.4980426557848929</v>
      </c>
      <c r="P26" s="2">
        <f t="shared" ref="P26:P29" si="31">J26-M26</f>
        <v>-14.160845055784897</v>
      </c>
      <c r="Q26" s="4">
        <f>F26*$L$6</f>
        <v>822.88828337874668</v>
      </c>
      <c r="R26" s="3">
        <f t="shared" ref="R26:R29" si="32">Q26/60</f>
        <v>13.714804722979112</v>
      </c>
      <c r="S26" s="4">
        <f>-1*G26*R26</f>
        <v>188.8035916325494</v>
      </c>
      <c r="T26" s="4">
        <f t="shared" ref="T26:T29" si="33">S26*4.186</f>
        <v>790.33183457385178</v>
      </c>
      <c r="U26" s="9">
        <f>F26</f>
        <v>151</v>
      </c>
      <c r="V26" s="3">
        <f>U26/60</f>
        <v>2.5166666666666666</v>
      </c>
      <c r="W26" s="4">
        <f>-2*J26*V26</f>
        <v>260.07984508000004</v>
      </c>
      <c r="X26" s="4">
        <f>W26*4.186</f>
        <v>1088.6942315048802</v>
      </c>
      <c r="Y26">
        <f>2*$L$3*F26</f>
        <v>3020</v>
      </c>
      <c r="Z26" s="3">
        <f>Y26/60</f>
        <v>50.333333333333336</v>
      </c>
      <c r="AA26" s="9">
        <f>-Z26*L26/$L$3</f>
        <v>231.57707300000001</v>
      </c>
      <c r="AB26" s="4">
        <f>AA26*4.186</f>
        <v>969.38162757800001</v>
      </c>
      <c r="AC26" s="2">
        <f t="shared" ref="AC26:AC29" si="34">AB26/X26</f>
        <v>0.89040760897395699</v>
      </c>
      <c r="AD26" s="2">
        <f t="shared" ref="AD26:AD29" si="35">T26/AB26</f>
        <v>0.81529483548032144</v>
      </c>
      <c r="AE26" s="2">
        <f t="shared" ref="AE26:AE29" si="36">T26/X26</f>
        <v>0.72594472506884866</v>
      </c>
      <c r="AF26" s="2">
        <f t="shared" ref="AF26:AF29" si="37">10^((H26+320)/AJ$6)</f>
        <v>0.68261751964936346</v>
      </c>
      <c r="AG26" s="2">
        <f t="shared" ref="AG26:AG29" si="38">1/AF26</f>
        <v>1.4649492156510497</v>
      </c>
      <c r="AH26" s="17">
        <f t="shared" ref="AH26:AH29" si="39">AG26/(1+AG26)</f>
        <v>0.5943121287649421</v>
      </c>
    </row>
    <row r="27" spans="1:39" x14ac:dyDescent="0.8">
      <c r="A27" s="9">
        <f t="shared" ref="A27:A29" si="40">A26</f>
        <v>5</v>
      </c>
      <c r="B27" s="3">
        <v>5</v>
      </c>
      <c r="C27" s="3">
        <f t="shared" si="25"/>
        <v>1</v>
      </c>
      <c r="D27" s="10">
        <f t="shared" si="26"/>
        <v>3.3333333333333335E-5</v>
      </c>
      <c r="E27" s="9">
        <f t="shared" si="24"/>
        <v>33.333333333333336</v>
      </c>
      <c r="F27" s="9">
        <v>191</v>
      </c>
      <c r="G27" s="2">
        <f t="shared" si="27"/>
        <v>-13.516608228995208</v>
      </c>
      <c r="H27">
        <v>-322.39999999999998</v>
      </c>
      <c r="I27">
        <f>$G$6-H27</f>
        <v>1142.4000000000001</v>
      </c>
      <c r="J27" s="2">
        <f t="shared" si="28"/>
        <v>-51.549657600000003</v>
      </c>
      <c r="K27" s="9">
        <v>-198</v>
      </c>
      <c r="L27" s="2">
        <f>$G$5*K27*$L$3/1000</f>
        <v>-45.662759999999992</v>
      </c>
      <c r="M27" s="2">
        <f t="shared" si="29"/>
        <v>-36.82999517437387</v>
      </c>
      <c r="N27" s="2">
        <f t="shared" ref="N27:N29" si="41">J27-L27</f>
        <v>-5.8868976000000117</v>
      </c>
      <c r="O27" s="2">
        <f t="shared" si="30"/>
        <v>-8.8327648256261213</v>
      </c>
      <c r="P27" s="2">
        <f t="shared" si="31"/>
        <v>-14.719662425626133</v>
      </c>
      <c r="Q27" s="4">
        <f>F27*$L$6</f>
        <v>1040.8719346049047</v>
      </c>
      <c r="R27" s="3">
        <f t="shared" si="32"/>
        <v>17.347865576748411</v>
      </c>
      <c r="S27" s="4">
        <f>-1*G27*R27</f>
        <v>234.48430261018029</v>
      </c>
      <c r="T27" s="4">
        <f t="shared" si="33"/>
        <v>981.55129072621469</v>
      </c>
      <c r="U27" s="9">
        <f>F27</f>
        <v>191</v>
      </c>
      <c r="V27" s="3">
        <f t="shared" ref="V27:V29" si="42">U27/60</f>
        <v>3.1833333333333331</v>
      </c>
      <c r="W27" s="4">
        <f t="shared" ref="W27:W29" si="43">-2*J27*V27</f>
        <v>328.19948671999998</v>
      </c>
      <c r="X27" s="4">
        <f t="shared" ref="X27:X29" si="44">W27*4.186</f>
        <v>1373.84305140992</v>
      </c>
      <c r="Y27">
        <f>2*$L$3*F27</f>
        <v>3820</v>
      </c>
      <c r="Z27" s="3">
        <f t="shared" ref="Z27:Z29" si="45">Y27/60</f>
        <v>63.666666666666664</v>
      </c>
      <c r="AA27" s="9">
        <f>-Z27*L27/$L$3</f>
        <v>290.71957199999991</v>
      </c>
      <c r="AB27" s="4">
        <f t="shared" ref="AB27:AB29" si="46">AA27*4.186</f>
        <v>1216.9521283919996</v>
      </c>
      <c r="AC27" s="2">
        <f t="shared" si="34"/>
        <v>0.88580142188956046</v>
      </c>
      <c r="AD27" s="2">
        <f t="shared" si="35"/>
        <v>0.80656524429039944</v>
      </c>
      <c r="AE27" s="2">
        <f t="shared" si="36"/>
        <v>0.71445664023913646</v>
      </c>
      <c r="AF27" s="2">
        <f t="shared" si="37"/>
        <v>0.83553731386143348</v>
      </c>
      <c r="AG27" s="2">
        <f t="shared" si="38"/>
        <v>1.1968346397104668</v>
      </c>
      <c r="AH27" s="17">
        <f t="shared" si="39"/>
        <v>0.54479960306352615</v>
      </c>
    </row>
    <row r="28" spans="1:39" x14ac:dyDescent="0.8">
      <c r="A28" s="9">
        <f t="shared" si="40"/>
        <v>5</v>
      </c>
      <c r="B28" s="3">
        <v>3.75</v>
      </c>
      <c r="C28" s="3">
        <f t="shared" si="25"/>
        <v>0.75</v>
      </c>
      <c r="D28" s="10">
        <f t="shared" si="26"/>
        <v>4.4444444444444447E-5</v>
      </c>
      <c r="E28" s="9">
        <f t="shared" si="24"/>
        <v>44.44444444444445</v>
      </c>
      <c r="F28" s="9">
        <v>225</v>
      </c>
      <c r="G28" s="2">
        <f t="shared" si="27"/>
        <v>-13.339372772200628</v>
      </c>
      <c r="H28">
        <v>-321</v>
      </c>
      <c r="I28">
        <f>$G$6-H28</f>
        <v>1141</v>
      </c>
      <c r="J28" s="2">
        <f t="shared" si="28"/>
        <v>-51.486484000000004</v>
      </c>
      <c r="K28" s="9">
        <v>-196.5</v>
      </c>
      <c r="L28" s="2">
        <f>$G$5*K28*$L$3/1000</f>
        <v>-45.316830000000003</v>
      </c>
      <c r="M28" s="2">
        <f t="shared" si="29"/>
        <v>-36.347064774388635</v>
      </c>
      <c r="N28" s="2">
        <f t="shared" si="41"/>
        <v>-6.1696540000000013</v>
      </c>
      <c r="O28" s="2">
        <f t="shared" si="30"/>
        <v>-8.9697652256113685</v>
      </c>
      <c r="P28" s="2">
        <f t="shared" si="31"/>
        <v>-15.13941922561137</v>
      </c>
      <c r="Q28" s="4">
        <f>F28*$L$6</f>
        <v>1226.158038147139</v>
      </c>
      <c r="R28" s="3">
        <f t="shared" si="32"/>
        <v>20.435967302452315</v>
      </c>
      <c r="S28" s="4">
        <f>-1*G28*R28</f>
        <v>272.60298580791471</v>
      </c>
      <c r="T28" s="4">
        <f t="shared" si="33"/>
        <v>1141.1160985919309</v>
      </c>
      <c r="U28" s="9">
        <f>F28</f>
        <v>225</v>
      </c>
      <c r="V28" s="3">
        <f t="shared" si="42"/>
        <v>3.75</v>
      </c>
      <c r="W28" s="4">
        <f t="shared" si="43"/>
        <v>386.14863000000003</v>
      </c>
      <c r="X28" s="4">
        <f t="shared" si="44"/>
        <v>1616.4181651800002</v>
      </c>
      <c r="Y28">
        <f>2*$L$3*F28</f>
        <v>4500</v>
      </c>
      <c r="Z28" s="3">
        <f t="shared" si="45"/>
        <v>75</v>
      </c>
      <c r="AA28" s="9">
        <f>-Z28*L28/$L$3</f>
        <v>339.87622500000003</v>
      </c>
      <c r="AB28" s="4">
        <f t="shared" si="46"/>
        <v>1422.7218778500001</v>
      </c>
      <c r="AC28" s="2">
        <f t="shared" si="34"/>
        <v>0.88016944408167386</v>
      </c>
      <c r="AD28" s="2">
        <f t="shared" si="35"/>
        <v>0.80206547488843827</v>
      </c>
      <c r="AE28" s="2">
        <f t="shared" si="36"/>
        <v>0.70595352314966042</v>
      </c>
      <c r="AF28" s="2">
        <f t="shared" si="37"/>
        <v>0.92786708877007285</v>
      </c>
      <c r="AG28" s="2">
        <f t="shared" si="38"/>
        <v>1.0777405644654801</v>
      </c>
      <c r="AH28" s="17">
        <f t="shared" si="39"/>
        <v>0.51870795752728627</v>
      </c>
    </row>
    <row r="29" spans="1:39" x14ac:dyDescent="0.8">
      <c r="A29" s="9">
        <f t="shared" si="40"/>
        <v>5</v>
      </c>
      <c r="B29" s="3">
        <v>2.5</v>
      </c>
      <c r="C29" s="3">
        <f t="shared" si="25"/>
        <v>0.5</v>
      </c>
      <c r="D29" s="10">
        <f t="shared" si="26"/>
        <v>6.666666666666667E-5</v>
      </c>
      <c r="E29" s="9">
        <f t="shared" si="24"/>
        <v>66.666666666666671</v>
      </c>
      <c r="F29" s="9">
        <v>261</v>
      </c>
      <c r="G29" s="2">
        <f t="shared" si="27"/>
        <v>-13.089573425868892</v>
      </c>
      <c r="H29">
        <v>-318.8</v>
      </c>
      <c r="I29">
        <f>$G$6-H29</f>
        <v>1138.8</v>
      </c>
      <c r="J29" s="2">
        <f t="shared" si="28"/>
        <v>-51.387211199999996</v>
      </c>
      <c r="K29" s="9">
        <v>-194.6</v>
      </c>
      <c r="L29" s="2">
        <f>$G$5*K29*$L$3/1000</f>
        <v>-44.878652000000002</v>
      </c>
      <c r="M29" s="2">
        <f t="shared" si="29"/>
        <v>-35.666412604547389</v>
      </c>
      <c r="N29" s="2">
        <f t="shared" si="41"/>
        <v>-6.5085591999999934</v>
      </c>
      <c r="O29" s="2">
        <f t="shared" si="30"/>
        <v>-9.2122393954526132</v>
      </c>
      <c r="P29" s="2">
        <f t="shared" si="31"/>
        <v>-15.720798595452607</v>
      </c>
      <c r="Q29" s="4">
        <f>F29*$L$6</f>
        <v>1422.3433242506812</v>
      </c>
      <c r="R29" s="3">
        <f t="shared" si="32"/>
        <v>23.705722070844686</v>
      </c>
      <c r="S29" s="4">
        <f>-1*G29*R29</f>
        <v>310.29778965956228</v>
      </c>
      <c r="T29" s="4">
        <f t="shared" si="33"/>
        <v>1298.9065475149278</v>
      </c>
      <c r="U29" s="9">
        <f>F29</f>
        <v>261</v>
      </c>
      <c r="V29" s="3">
        <f t="shared" si="42"/>
        <v>4.3499999999999996</v>
      </c>
      <c r="W29" s="4">
        <f t="shared" si="43"/>
        <v>447.06873743999995</v>
      </c>
      <c r="X29" s="4">
        <f t="shared" si="44"/>
        <v>1871.4297349238398</v>
      </c>
      <c r="Y29">
        <f>2*$L$3*F29</f>
        <v>5220</v>
      </c>
      <c r="Z29" s="3">
        <f t="shared" si="45"/>
        <v>87</v>
      </c>
      <c r="AA29" s="9">
        <f>-Z29*L29/$L$3</f>
        <v>390.44427239999999</v>
      </c>
      <c r="AB29" s="4">
        <f t="shared" si="46"/>
        <v>1634.3997242664</v>
      </c>
      <c r="AC29" s="2">
        <f t="shared" si="34"/>
        <v>0.87334282114145956</v>
      </c>
      <c r="AD29" s="2">
        <f t="shared" si="35"/>
        <v>0.79473003343655224</v>
      </c>
      <c r="AE29" s="2">
        <f t="shared" si="36"/>
        <v>0.69407176944732496</v>
      </c>
      <c r="AF29" s="2">
        <f t="shared" si="37"/>
        <v>1.0939993782952835</v>
      </c>
      <c r="AG29" s="2">
        <f t="shared" si="38"/>
        <v>0.91407730190691938</v>
      </c>
      <c r="AH29" s="17">
        <f t="shared" si="39"/>
        <v>0.47755506060087566</v>
      </c>
    </row>
    <row r="30" spans="1:39" x14ac:dyDescent="0.8">
      <c r="U30" s="9"/>
      <c r="V30" s="3"/>
      <c r="W30" s="4"/>
      <c r="X30" s="4"/>
      <c r="Z30" s="3"/>
      <c r="AA30" s="9"/>
      <c r="AB30" s="4"/>
    </row>
    <row r="31" spans="1:39" x14ac:dyDescent="0.8">
      <c r="AG31" s="31" t="s">
        <v>136</v>
      </c>
      <c r="AH31" s="31"/>
      <c r="AI31" s="31"/>
      <c r="AJ31" s="31"/>
      <c r="AK31" s="31"/>
    </row>
    <row r="32" spans="1:39" x14ac:dyDescent="0.8">
      <c r="AG32" s="16" t="s">
        <v>4</v>
      </c>
      <c r="AH32" s="16" t="s">
        <v>127</v>
      </c>
      <c r="AI32" s="16" t="s">
        <v>61</v>
      </c>
      <c r="AJ32" s="16" t="s">
        <v>130</v>
      </c>
      <c r="AK32" s="16" t="s">
        <v>131</v>
      </c>
      <c r="AL32" s="16" t="s">
        <v>132</v>
      </c>
      <c r="AM32" s="16" t="s">
        <v>133</v>
      </c>
    </row>
    <row r="33" spans="32:39" x14ac:dyDescent="0.8">
      <c r="AJ33" s="16" t="s">
        <v>129</v>
      </c>
      <c r="AK33" t="s">
        <v>135</v>
      </c>
      <c r="AL33" s="16"/>
      <c r="AM33" s="16" t="s">
        <v>134</v>
      </c>
    </row>
    <row r="34" spans="32:39" x14ac:dyDescent="0.8">
      <c r="AF34" s="5" t="s">
        <v>128</v>
      </c>
      <c r="AG34">
        <v>261</v>
      </c>
      <c r="AH34">
        <v>1409</v>
      </c>
      <c r="AI34">
        <v>1287</v>
      </c>
    </row>
    <row r="35" spans="32:39" x14ac:dyDescent="0.8">
      <c r="AF35" s="5" t="s">
        <v>137</v>
      </c>
      <c r="AG35">
        <v>460</v>
      </c>
      <c r="AH35" s="4">
        <f>AG35/AG34*AH34</f>
        <v>2483.2950191570881</v>
      </c>
      <c r="AI35" s="4">
        <f>AG35/AG34*AI34</f>
        <v>2268.2758620689656</v>
      </c>
      <c r="AJ35" s="3">
        <f>AI35*12/1000</f>
        <v>27.219310344827587</v>
      </c>
      <c r="AK35" s="3">
        <f>AJ35</f>
        <v>27.219310344827587</v>
      </c>
      <c r="AL35" s="3">
        <v>0.5</v>
      </c>
      <c r="AM35" s="3">
        <f>AK35*AL35</f>
        <v>13.609655172413794</v>
      </c>
    </row>
    <row r="49" spans="2:35" ht="18.5" x14ac:dyDescent="0.9">
      <c r="AG49" s="27" t="s">
        <v>172</v>
      </c>
    </row>
    <row r="51" spans="2:35" ht="18.5" x14ac:dyDescent="0.9">
      <c r="AG51" s="26" t="s">
        <v>173</v>
      </c>
      <c r="AH51" s="26" t="s">
        <v>127</v>
      </c>
      <c r="AI51" s="26" t="s">
        <v>4</v>
      </c>
    </row>
    <row r="52" spans="2:35" ht="18.5" x14ac:dyDescent="0.9">
      <c r="AG52" s="26" t="s">
        <v>54</v>
      </c>
      <c r="AH52" s="35" t="s">
        <v>176</v>
      </c>
      <c r="AI52" s="35"/>
    </row>
    <row r="53" spans="2:35" ht="18.5" x14ac:dyDescent="0.9">
      <c r="AG53" s="27">
        <v>14.7</v>
      </c>
      <c r="AH53" s="27">
        <f>5*AI53</f>
        <v>600</v>
      </c>
      <c r="AI53" s="27">
        <v>120</v>
      </c>
    </row>
    <row r="54" spans="2:35" ht="18.5" x14ac:dyDescent="0.9">
      <c r="AG54" s="27">
        <v>15.15</v>
      </c>
      <c r="AH54" s="27">
        <f t="shared" ref="AH54:AH56" si="47">5*AI54</f>
        <v>760</v>
      </c>
      <c r="AI54" s="27">
        <v>152</v>
      </c>
    </row>
    <row r="55" spans="2:35" ht="18.5" x14ac:dyDescent="0.9">
      <c r="AG55" s="27">
        <v>15.85</v>
      </c>
      <c r="AH55" s="27">
        <f t="shared" si="47"/>
        <v>970</v>
      </c>
      <c r="AI55" s="27">
        <v>194</v>
      </c>
    </row>
    <row r="56" spans="2:35" ht="18.5" x14ac:dyDescent="0.9">
      <c r="AG56" s="27">
        <v>16.3</v>
      </c>
      <c r="AH56" s="27">
        <f t="shared" si="47"/>
        <v>1110</v>
      </c>
      <c r="AI56" s="27">
        <v>222</v>
      </c>
    </row>
    <row r="57" spans="2:35" ht="18.5" x14ac:dyDescent="0.9">
      <c r="AG57" s="27">
        <v>16.899999999999999</v>
      </c>
      <c r="AH57" s="27">
        <f>5*AI57</f>
        <v>1290</v>
      </c>
      <c r="AI57" s="27">
        <v>258</v>
      </c>
    </row>
    <row r="59" spans="2:35" x14ac:dyDescent="0.8">
      <c r="AG59" t="s">
        <v>174</v>
      </c>
    </row>
    <row r="61" spans="2:35" ht="18.5" x14ac:dyDescent="0.9">
      <c r="AG61" s="26" t="s">
        <v>173</v>
      </c>
      <c r="AH61" s="26" t="s">
        <v>127</v>
      </c>
      <c r="AI61" s="26" t="s">
        <v>4</v>
      </c>
    </row>
    <row r="62" spans="2:35" ht="18.5" x14ac:dyDescent="0.9">
      <c r="AG62" s="26" t="s">
        <v>54</v>
      </c>
      <c r="AH62" s="35" t="s">
        <v>175</v>
      </c>
      <c r="AI62" s="35"/>
    </row>
    <row r="63" spans="2:35" ht="18.5" x14ac:dyDescent="0.9">
      <c r="B63" t="s">
        <v>77</v>
      </c>
      <c r="G63" t="s">
        <v>78</v>
      </c>
      <c r="H63" s="12" t="s">
        <v>81</v>
      </c>
      <c r="I63" t="s">
        <v>79</v>
      </c>
      <c r="J63">
        <f>4*602000000000000</f>
        <v>2408000000000000</v>
      </c>
      <c r="V63" s="2"/>
      <c r="AG63" s="27">
        <v>14.7</v>
      </c>
      <c r="AH63" s="28">
        <f>AH53*10*2.5/1000</f>
        <v>15</v>
      </c>
      <c r="AI63" s="28">
        <f>AI53*10*2.5/1000</f>
        <v>3</v>
      </c>
    </row>
    <row r="64" spans="2:35" ht="18.5" x14ac:dyDescent="0.9">
      <c r="H64" s="12" t="s">
        <v>81</v>
      </c>
      <c r="I64" t="s">
        <v>80</v>
      </c>
      <c r="J64" s="11">
        <v>6.24E+18</v>
      </c>
      <c r="AG64" s="27">
        <v>15.15</v>
      </c>
      <c r="AH64" s="28">
        <f t="shared" ref="AH64:AI67" si="48">AH54*10*2.5/1000</f>
        <v>19</v>
      </c>
      <c r="AI64" s="28">
        <f t="shared" si="48"/>
        <v>3.8</v>
      </c>
    </row>
    <row r="65" spans="1:37" ht="18.5" x14ac:dyDescent="0.9">
      <c r="H65" t="s">
        <v>82</v>
      </c>
      <c r="I65" t="s">
        <v>83</v>
      </c>
      <c r="J65" s="11">
        <f>J63/J64</f>
        <v>3.8589743589743589E-4</v>
      </c>
      <c r="AG65" s="27">
        <v>15.85</v>
      </c>
      <c r="AH65" s="28">
        <f t="shared" si="48"/>
        <v>24.25</v>
      </c>
      <c r="AI65" s="28">
        <f t="shared" si="48"/>
        <v>4.8499999999999996</v>
      </c>
    </row>
    <row r="66" spans="1:37" ht="18.5" x14ac:dyDescent="0.9">
      <c r="H66" t="s">
        <v>102</v>
      </c>
      <c r="I66" t="s">
        <v>103</v>
      </c>
      <c r="J66">
        <v>23.062000000000001</v>
      </c>
      <c r="AG66" s="27">
        <v>16.3</v>
      </c>
      <c r="AH66" s="28">
        <f t="shared" si="48"/>
        <v>27.75</v>
      </c>
      <c r="AI66" s="28">
        <f t="shared" si="48"/>
        <v>5.55</v>
      </c>
    </row>
    <row r="67" spans="1:37" ht="18.5" x14ac:dyDescent="0.9">
      <c r="Q67" t="s">
        <v>116</v>
      </c>
      <c r="AG67" s="27">
        <v>16.899999999999999</v>
      </c>
      <c r="AH67" s="28">
        <f t="shared" si="48"/>
        <v>32.25</v>
      </c>
      <c r="AI67" s="28">
        <f t="shared" si="48"/>
        <v>6.45</v>
      </c>
    </row>
    <row r="68" spans="1:37" x14ac:dyDescent="0.8">
      <c r="J68" s="31" t="s">
        <v>109</v>
      </c>
      <c r="K68" s="31"/>
      <c r="L68" s="31"/>
      <c r="M68" s="13" t="s">
        <v>114</v>
      </c>
      <c r="N68" t="s">
        <v>115</v>
      </c>
      <c r="Q68" t="s">
        <v>117</v>
      </c>
      <c r="AF68" s="5" t="s">
        <v>177</v>
      </c>
    </row>
    <row r="69" spans="1:37" ht="18.5" x14ac:dyDescent="0.9">
      <c r="B69" t="s">
        <v>84</v>
      </c>
      <c r="C69" t="s">
        <v>85</v>
      </c>
      <c r="D69" t="s">
        <v>86</v>
      </c>
      <c r="F69" s="8" t="s">
        <v>87</v>
      </c>
      <c r="G69" t="s">
        <v>91</v>
      </c>
      <c r="H69" t="s">
        <v>92</v>
      </c>
      <c r="I69" t="s">
        <v>107</v>
      </c>
      <c r="J69" s="13" t="s">
        <v>93</v>
      </c>
      <c r="K69" s="15" t="s">
        <v>113</v>
      </c>
      <c r="L69" s="15" t="s">
        <v>112</v>
      </c>
      <c r="M69" s="13" t="s">
        <v>37</v>
      </c>
      <c r="AF69" s="5" t="s">
        <v>178</v>
      </c>
      <c r="AH69" s="28">
        <f>7.78*20-99.19</f>
        <v>56.41</v>
      </c>
      <c r="AI69" s="28">
        <f>1.557*20-19.84</f>
        <v>11.3</v>
      </c>
    </row>
    <row r="70" spans="1:37" ht="18.5" x14ac:dyDescent="0.9">
      <c r="F70" s="13"/>
      <c r="J70" s="13"/>
      <c r="K70" s="13" t="s">
        <v>110</v>
      </c>
      <c r="L70" s="13" t="s">
        <v>111</v>
      </c>
      <c r="P70" s="33" t="s">
        <v>118</v>
      </c>
      <c r="Q70" s="33"/>
      <c r="R70" s="33"/>
      <c r="S70" s="33"/>
      <c r="T70" s="33"/>
    </row>
    <row r="71" spans="1:37" ht="18.5" x14ac:dyDescent="0.9">
      <c r="A71" t="s">
        <v>89</v>
      </c>
      <c r="B71" t="s">
        <v>108</v>
      </c>
      <c r="C71" t="s">
        <v>9</v>
      </c>
      <c r="D71" t="s">
        <v>99</v>
      </c>
      <c r="F71">
        <v>263.5</v>
      </c>
      <c r="G71" s="2">
        <f>F71/60</f>
        <v>4.3916666666666666</v>
      </c>
      <c r="H71" s="11">
        <f>G71*$J$65</f>
        <v>1.6947329059829059E-3</v>
      </c>
      <c r="I71" s="11">
        <f>H71</f>
        <v>1.6947329059829059E-3</v>
      </c>
      <c r="J71" s="11">
        <f>I71*$J$66</f>
        <v>3.9083930277777776E-2</v>
      </c>
      <c r="K71" s="9">
        <f>J71*1000</f>
        <v>39.083930277777775</v>
      </c>
      <c r="L71" s="9">
        <f>1/J71</f>
        <v>25.585963153981396</v>
      </c>
      <c r="M71" s="9">
        <f>L71</f>
        <v>25.585963153981396</v>
      </c>
      <c r="N71" s="9">
        <f>L71/M$77*100</f>
        <v>9.0749866025330999</v>
      </c>
      <c r="Q71" s="31" t="s">
        <v>119</v>
      </c>
      <c r="R71" s="31"/>
      <c r="S71" s="31" t="s">
        <v>120</v>
      </c>
      <c r="T71" s="31"/>
      <c r="AF71" s="36" t="s">
        <v>180</v>
      </c>
      <c r="AG71" s="36"/>
      <c r="AH71" s="36"/>
      <c r="AI71" s="27">
        <v>7.78</v>
      </c>
      <c r="AJ71" s="27" t="s">
        <v>179</v>
      </c>
      <c r="AK71" s="27"/>
    </row>
    <row r="72" spans="1:37" ht="18.5" x14ac:dyDescent="0.9">
      <c r="A72" t="s">
        <v>88</v>
      </c>
      <c r="F72">
        <v>445.3</v>
      </c>
      <c r="G72" s="2">
        <f>F72/60</f>
        <v>7.4216666666666669</v>
      </c>
      <c r="H72" s="11">
        <f>G72*$J$65</f>
        <v>2.8640021367521366E-3</v>
      </c>
      <c r="I72" s="11">
        <f>H72</f>
        <v>2.8640021367521366E-3</v>
      </c>
      <c r="J72" s="11">
        <f>I72*$J$66</f>
        <v>6.6049617277777778E-2</v>
      </c>
      <c r="K72" s="9">
        <f>J72*1000</f>
        <v>66.049617277777784</v>
      </c>
      <c r="L72" s="9">
        <f>1/J72</f>
        <v>15.140133148605653</v>
      </c>
      <c r="M72" s="9">
        <f>L72</f>
        <v>15.140133148605653</v>
      </c>
      <c r="N72" s="9">
        <f>L72/M$78*100</f>
        <v>12.575787322204532</v>
      </c>
      <c r="Q72" s="14" t="s">
        <v>37</v>
      </c>
      <c r="R72" s="14" t="s">
        <v>115</v>
      </c>
      <c r="S72" s="14" t="s">
        <v>122</v>
      </c>
      <c r="T72" s="14" t="s">
        <v>115</v>
      </c>
      <c r="AF72" s="36" t="s">
        <v>182</v>
      </c>
      <c r="AG72" s="36"/>
      <c r="AH72" s="36"/>
      <c r="AI72" s="29">
        <f>AI71/60</f>
        <v>0.12966666666666668</v>
      </c>
      <c r="AJ72" s="27" t="s">
        <v>181</v>
      </c>
    </row>
    <row r="73" spans="1:37" ht="18.5" x14ac:dyDescent="0.9">
      <c r="G73" s="2"/>
      <c r="H73" s="11"/>
      <c r="I73" s="11"/>
      <c r="J73" s="11"/>
      <c r="K73" s="9"/>
      <c r="L73" s="9"/>
      <c r="P73" t="s">
        <v>108</v>
      </c>
      <c r="Q73" s="9">
        <f>L71</f>
        <v>25.585963153981396</v>
      </c>
      <c r="R73" s="9">
        <f>Q73/Q$76*100</f>
        <v>9.0749866025330999</v>
      </c>
      <c r="S73" s="9">
        <f>L72</f>
        <v>15.140133148605653</v>
      </c>
      <c r="T73" s="9">
        <f>S73/S$76*100</f>
        <v>12.575787322204532</v>
      </c>
      <c r="AF73" s="34" t="s">
        <v>186</v>
      </c>
      <c r="AG73" s="34"/>
      <c r="AH73" s="34"/>
      <c r="AI73" s="27">
        <v>30</v>
      </c>
      <c r="AJ73" s="27" t="s">
        <v>187</v>
      </c>
    </row>
    <row r="74" spans="1:37" x14ac:dyDescent="0.8">
      <c r="A74" t="s">
        <v>89</v>
      </c>
      <c r="B74" t="s">
        <v>105</v>
      </c>
      <c r="C74" t="s">
        <v>99</v>
      </c>
      <c r="D74" t="s">
        <v>106</v>
      </c>
      <c r="F74">
        <v>39.299999999999997</v>
      </c>
      <c r="G74" s="2">
        <f>F74/60</f>
        <v>0.65499999999999992</v>
      </c>
      <c r="H74" s="11">
        <f>G74*$J$65</f>
        <v>2.5276282051282046E-4</v>
      </c>
      <c r="I74" s="11">
        <f>H74</f>
        <v>2.5276282051282046E-4</v>
      </c>
      <c r="J74" s="11">
        <f>I74*$J$66</f>
        <v>5.8292161666666656E-3</v>
      </c>
      <c r="K74" s="9">
        <f t="shared" ref="K74:K75" si="49">J74*1000</f>
        <v>5.829216166666666</v>
      </c>
      <c r="L74" s="9">
        <f t="shared" ref="L74:L75" si="50">1/J74</f>
        <v>171.54965117236893</v>
      </c>
      <c r="M74" s="9">
        <f>L74+L71</f>
        <v>197.13561432635032</v>
      </c>
      <c r="N74" s="9">
        <f>L74/M$77*100</f>
        <v>60.846284218001841</v>
      </c>
      <c r="P74" t="s">
        <v>105</v>
      </c>
      <c r="Q74" s="9">
        <f>L74</f>
        <v>171.54965117236893</v>
      </c>
      <c r="R74" s="9">
        <f t="shared" ref="R74:T76" si="51">Q74/Q$76*100</f>
        <v>60.846284218001841</v>
      </c>
      <c r="S74" s="9">
        <f>L75</f>
        <v>70.228138448688512</v>
      </c>
      <c r="T74" s="9">
        <f t="shared" si="51"/>
        <v>58.333313485184149</v>
      </c>
      <c r="AF74" t="s">
        <v>183</v>
      </c>
    </row>
    <row r="75" spans="1:37" x14ac:dyDescent="0.8">
      <c r="A75" t="s">
        <v>88</v>
      </c>
      <c r="F75">
        <v>96</v>
      </c>
      <c r="G75" s="2">
        <f>F75/60</f>
        <v>1.6</v>
      </c>
      <c r="H75" s="11">
        <f>G75*$J$65</f>
        <v>6.1743589743589746E-4</v>
      </c>
      <c r="I75" s="11">
        <f>H75</f>
        <v>6.1743589743589746E-4</v>
      </c>
      <c r="J75" s="11">
        <f>I75*$J$66</f>
        <v>1.4239306666666668E-2</v>
      </c>
      <c r="K75" s="9">
        <f t="shared" si="49"/>
        <v>14.239306666666668</v>
      </c>
      <c r="L75" s="9">
        <f t="shared" si="50"/>
        <v>70.228138448688512</v>
      </c>
      <c r="M75" s="9">
        <f>L75+L72</f>
        <v>85.368271597294168</v>
      </c>
      <c r="N75" s="9">
        <f>L75/M$78*100</f>
        <v>58.333313485184149</v>
      </c>
      <c r="P75" t="s">
        <v>94</v>
      </c>
      <c r="Q75" s="9">
        <f>L77</f>
        <v>84.803789824831412</v>
      </c>
      <c r="R75" s="9">
        <f t="shared" si="51"/>
        <v>30.078729179465054</v>
      </c>
      <c r="S75" s="9">
        <f>L78</f>
        <v>35.022863849735572</v>
      </c>
      <c r="T75" s="9">
        <f t="shared" si="51"/>
        <v>29.090899192611317</v>
      </c>
      <c r="AF75" t="s">
        <v>184</v>
      </c>
    </row>
    <row r="76" spans="1:37" x14ac:dyDescent="0.8">
      <c r="K76" s="9"/>
      <c r="P76" t="s">
        <v>121</v>
      </c>
      <c r="Q76" s="9">
        <f>M77</f>
        <v>281.93940415118175</v>
      </c>
      <c r="R76" s="9">
        <f t="shared" si="51"/>
        <v>100</v>
      </c>
      <c r="S76" s="9">
        <f>M78</f>
        <v>120.39113544702974</v>
      </c>
      <c r="T76" s="9">
        <f t="shared" si="51"/>
        <v>100</v>
      </c>
      <c r="AF76" t="s">
        <v>185</v>
      </c>
    </row>
    <row r="77" spans="1:37" ht="18.5" x14ac:dyDescent="0.9">
      <c r="A77" t="s">
        <v>89</v>
      </c>
      <c r="B77" t="s">
        <v>94</v>
      </c>
      <c r="C77" t="s">
        <v>8</v>
      </c>
      <c r="D77" t="s">
        <v>13</v>
      </c>
      <c r="F77">
        <v>79.5</v>
      </c>
      <c r="G77" s="2">
        <f>F77/60</f>
        <v>1.325</v>
      </c>
      <c r="H77" s="11">
        <f>G77*$J$65</f>
        <v>5.1131410256410252E-4</v>
      </c>
      <c r="I77" s="11">
        <f>H77</f>
        <v>5.1131410256410252E-4</v>
      </c>
      <c r="J77" s="11">
        <f>I77*$J$66</f>
        <v>1.1791925833333333E-2</v>
      </c>
      <c r="K77" s="9">
        <f t="shared" ref="K77:K78" si="52">J77*1000</f>
        <v>11.791925833333332</v>
      </c>
      <c r="L77" s="9">
        <f t="shared" ref="L77:L78" si="53">1/J77</f>
        <v>84.803789824831412</v>
      </c>
      <c r="M77" s="9">
        <f>L77+L74+L71</f>
        <v>281.93940415118175</v>
      </c>
      <c r="N77" s="9">
        <f>L77/M$77*100</f>
        <v>30.078729179465054</v>
      </c>
      <c r="AF77" s="34" t="s">
        <v>188</v>
      </c>
      <c r="AG77" s="34"/>
      <c r="AH77" s="34"/>
      <c r="AI77" s="27">
        <f>AI73*AI72</f>
        <v>3.8900000000000006</v>
      </c>
      <c r="AJ77" s="27" t="s">
        <v>189</v>
      </c>
    </row>
    <row r="78" spans="1:37" x14ac:dyDescent="0.8">
      <c r="A78" t="s">
        <v>88</v>
      </c>
      <c r="F78">
        <v>192.5</v>
      </c>
      <c r="G78" s="2">
        <f>F78/60</f>
        <v>3.2083333333333335</v>
      </c>
      <c r="H78" s="11">
        <f>G78*$J$65</f>
        <v>1.2380876068376068E-3</v>
      </c>
      <c r="I78" s="11">
        <f>H78</f>
        <v>1.2380876068376068E-3</v>
      </c>
      <c r="J78" s="11">
        <f>I78*$J$66</f>
        <v>2.8552776388888888E-2</v>
      </c>
      <c r="K78" s="9">
        <f t="shared" si="52"/>
        <v>28.552776388888887</v>
      </c>
      <c r="L78" s="9">
        <f t="shared" si="53"/>
        <v>35.022863849735572</v>
      </c>
      <c r="M78" s="9">
        <f>L78+L75+L72</f>
        <v>120.39113544702974</v>
      </c>
      <c r="N78" s="9">
        <f>L78/M$78*100</f>
        <v>29.090899192611317</v>
      </c>
    </row>
    <row r="79" spans="1:37" x14ac:dyDescent="0.8">
      <c r="K79" s="9"/>
    </row>
    <row r="80" spans="1:37" x14ac:dyDescent="0.8">
      <c r="A80" t="s">
        <v>89</v>
      </c>
      <c r="B80" t="s">
        <v>104</v>
      </c>
      <c r="C80" t="s">
        <v>99</v>
      </c>
      <c r="D80" t="s">
        <v>13</v>
      </c>
      <c r="F80">
        <v>29.8</v>
      </c>
      <c r="G80" s="2">
        <f>F80/60</f>
        <v>0.4966666666666667</v>
      </c>
      <c r="H80" s="11">
        <f>G80*$J$65</f>
        <v>1.9166239316239318E-4</v>
      </c>
      <c r="I80" s="11">
        <f>H80</f>
        <v>1.9166239316239318E-4</v>
      </c>
      <c r="J80" s="11">
        <f>I80*$J$66</f>
        <v>4.4201181111111114E-3</v>
      </c>
      <c r="K80" s="9">
        <f>J80*1000</f>
        <v>4.4201181111111119</v>
      </c>
      <c r="L80" s="9">
        <f>1/J80</f>
        <v>226.23829835819117</v>
      </c>
    </row>
    <row r="81" spans="1:12" x14ac:dyDescent="0.8">
      <c r="A81" t="s">
        <v>88</v>
      </c>
      <c r="F81">
        <v>60.9</v>
      </c>
      <c r="G81" s="2">
        <f>F81/60</f>
        <v>1.0149999999999999</v>
      </c>
      <c r="H81" s="11">
        <f>G81*$J$65</f>
        <v>3.9168589743589737E-4</v>
      </c>
      <c r="I81" s="11">
        <f>H81</f>
        <v>3.9168589743589737E-4</v>
      </c>
      <c r="J81" s="11">
        <f>I81*$J$66</f>
        <v>9.0330601666666656E-3</v>
      </c>
      <c r="K81" s="9">
        <f>J81*1000</f>
        <v>9.0330601666666652</v>
      </c>
      <c r="L81" s="9">
        <f>1/J81</f>
        <v>110.70445469744003</v>
      </c>
    </row>
    <row r="83" spans="1:12" x14ac:dyDescent="0.8">
      <c r="A83" t="s">
        <v>89</v>
      </c>
      <c r="B83" t="s">
        <v>90</v>
      </c>
      <c r="C83" t="s">
        <v>9</v>
      </c>
      <c r="D83" t="s">
        <v>13</v>
      </c>
      <c r="F83">
        <v>29.6</v>
      </c>
      <c r="G83" s="2">
        <f>F83/60</f>
        <v>0.49333333333333335</v>
      </c>
      <c r="H83" s="11">
        <f>G83*$J$65</f>
        <v>1.9037606837606837E-4</v>
      </c>
      <c r="I83" s="11">
        <f>H83</f>
        <v>1.9037606837606837E-4</v>
      </c>
      <c r="J83" s="11">
        <f>I83*$J$66</f>
        <v>4.3904528888888891E-3</v>
      </c>
      <c r="K83" s="9">
        <f t="shared" ref="K83:K84" si="54">J83*1000</f>
        <v>4.3904528888888894</v>
      </c>
      <c r="L83" s="9">
        <f t="shared" ref="L83:L84" si="55">1/J83</f>
        <v>227.76693550926004</v>
      </c>
    </row>
    <row r="84" spans="1:12" x14ac:dyDescent="0.8">
      <c r="A84" t="s">
        <v>88</v>
      </c>
      <c r="F84">
        <v>60.4</v>
      </c>
      <c r="G84" s="2">
        <f>F84/60</f>
        <v>1.0066666666666666</v>
      </c>
      <c r="H84" s="11">
        <f>G84*$J$65</f>
        <v>3.8847008547008541E-4</v>
      </c>
      <c r="I84" s="11">
        <f>H84</f>
        <v>3.8847008547008541E-4</v>
      </c>
      <c r="J84" s="11">
        <f>I84*$J$66</f>
        <v>8.9588971111111103E-3</v>
      </c>
      <c r="K84" s="9">
        <f t="shared" si="54"/>
        <v>8.95889711111111</v>
      </c>
      <c r="L84" s="9">
        <f t="shared" si="55"/>
        <v>111.62088230255129</v>
      </c>
    </row>
    <row r="90" spans="1:12" x14ac:dyDescent="0.8">
      <c r="E90" t="s">
        <v>157</v>
      </c>
      <c r="F90">
        <v>43</v>
      </c>
      <c r="G90">
        <v>43</v>
      </c>
    </row>
    <row r="91" spans="1:12" x14ac:dyDescent="0.8">
      <c r="E91" t="s">
        <v>158</v>
      </c>
      <c r="F91">
        <v>201.5</v>
      </c>
      <c r="G91">
        <v>422</v>
      </c>
    </row>
    <row r="92" spans="1:12" x14ac:dyDescent="0.8">
      <c r="H92" s="31" t="s">
        <v>159</v>
      </c>
      <c r="I92" s="31"/>
    </row>
    <row r="93" spans="1:12" x14ac:dyDescent="0.8">
      <c r="E93" s="19" t="s">
        <v>155</v>
      </c>
      <c r="F93" s="19" t="s">
        <v>89</v>
      </c>
      <c r="G93" s="19" t="s">
        <v>88</v>
      </c>
      <c r="H93" s="19" t="s">
        <v>89</v>
      </c>
      <c r="I93" s="19" t="s">
        <v>88</v>
      </c>
    </row>
    <row r="94" spans="1:12" x14ac:dyDescent="0.8">
      <c r="E94" t="s">
        <v>154</v>
      </c>
      <c r="F94" s="31" t="s">
        <v>156</v>
      </c>
      <c r="G94" s="31"/>
    </row>
    <row r="95" spans="1:12" x14ac:dyDescent="0.8">
      <c r="E95" s="9">
        <v>2</v>
      </c>
      <c r="F95" s="3">
        <f>F$91*E95/(F$90+E95)</f>
        <v>8.9555555555555557</v>
      </c>
      <c r="G95" s="3">
        <f>G$91*E95/(G$90+E95)</f>
        <v>18.755555555555556</v>
      </c>
      <c r="H95">
        <f>F99/E99</f>
        <v>3.7199999999999998</v>
      </c>
      <c r="I95">
        <f>G99/E99</f>
        <v>7.38</v>
      </c>
    </row>
    <row r="96" spans="1:12" x14ac:dyDescent="0.8">
      <c r="E96" s="9">
        <v>5</v>
      </c>
      <c r="F96" s="3">
        <f>F$91*E96/(F$90+E96)</f>
        <v>20.989583333333332</v>
      </c>
      <c r="G96" s="3">
        <f>G$91*E96/(G$90+E96)</f>
        <v>43.958333333333336</v>
      </c>
      <c r="H96">
        <f>F100/E100</f>
        <v>3.4649999999999994</v>
      </c>
      <c r="I96">
        <f>G100/E100</f>
        <v>6.794999999999999</v>
      </c>
    </row>
    <row r="97" spans="4:9" x14ac:dyDescent="0.8">
      <c r="E97" s="9">
        <v>7.5</v>
      </c>
      <c r="F97" s="3">
        <f>F$91*E97/(F$90+E97)</f>
        <v>29.925742574257427</v>
      </c>
      <c r="G97" s="3">
        <f>G$91*E97/(G$90+E97)</f>
        <v>62.67326732673267</v>
      </c>
      <c r="H97">
        <f>F101/E101</f>
        <v>2.835</v>
      </c>
      <c r="I97">
        <f>G101/E101</f>
        <v>5.7299999999999995</v>
      </c>
    </row>
    <row r="98" spans="4:9" x14ac:dyDescent="0.8">
      <c r="E98" s="9">
        <v>10</v>
      </c>
      <c r="F98" s="3">
        <f>F$91*E98/(F$90+E98)</f>
        <v>38.018867924528301</v>
      </c>
      <c r="G98" s="3">
        <f>G$91*E98/(G$90+E98)</f>
        <v>79.622641509433961</v>
      </c>
      <c r="H98">
        <f>F102/E102</f>
        <v>2.4749999999999996</v>
      </c>
      <c r="I98">
        <f>G102/E102</f>
        <v>5.0624999999999991</v>
      </c>
    </row>
    <row r="99" spans="4:9" x14ac:dyDescent="0.8">
      <c r="E99" s="9">
        <v>16.666666666666668</v>
      </c>
      <c r="F99">
        <v>62</v>
      </c>
      <c r="G99">
        <v>123</v>
      </c>
      <c r="H99">
        <f>F103/E103</f>
        <v>1.95</v>
      </c>
      <c r="I99">
        <f>G103/E103</f>
        <v>3.9149999999999996</v>
      </c>
    </row>
    <row r="100" spans="4:9" x14ac:dyDescent="0.8">
      <c r="D100" t="s">
        <v>160</v>
      </c>
      <c r="E100" s="9">
        <v>22.222222222222225</v>
      </c>
      <c r="F100">
        <v>77</v>
      </c>
      <c r="G100">
        <v>151</v>
      </c>
    </row>
    <row r="101" spans="4:9" x14ac:dyDescent="0.8">
      <c r="E101" s="9">
        <v>33.333333333333336</v>
      </c>
      <c r="F101">
        <v>94.5</v>
      </c>
      <c r="G101">
        <v>191</v>
      </c>
    </row>
    <row r="102" spans="4:9" x14ac:dyDescent="0.8">
      <c r="E102" s="9">
        <v>44.44444444444445</v>
      </c>
      <c r="F102">
        <v>110</v>
      </c>
      <c r="G102">
        <v>225</v>
      </c>
    </row>
    <row r="103" spans="4:9" x14ac:dyDescent="0.8">
      <c r="E103" s="9">
        <v>66.666666666666671</v>
      </c>
      <c r="F103">
        <v>130</v>
      </c>
      <c r="G103">
        <v>261</v>
      </c>
    </row>
    <row r="104" spans="4:9" x14ac:dyDescent="0.8">
      <c r="E104" s="9">
        <v>100</v>
      </c>
      <c r="F104" s="3">
        <f>F$91*E104/(F$90+E104)</f>
        <v>140.90909090909091</v>
      </c>
      <c r="G104" s="3">
        <f>G$91*E104/(G$90+E104)</f>
        <v>295.10489510489509</v>
      </c>
    </row>
  </sheetData>
  <mergeCells count="41">
    <mergeCell ref="A9:D9"/>
    <mergeCell ref="AC10:AE11"/>
    <mergeCell ref="AC21:AE22"/>
    <mergeCell ref="Q10:T10"/>
    <mergeCell ref="Q21:T21"/>
    <mergeCell ref="U21:X21"/>
    <mergeCell ref="Y21:AB21"/>
    <mergeCell ref="U22:V22"/>
    <mergeCell ref="W22:X22"/>
    <mergeCell ref="Y22:Z22"/>
    <mergeCell ref="AA22:AB22"/>
    <mergeCell ref="W11:X11"/>
    <mergeCell ref="U10:X10"/>
    <mergeCell ref="Y11:Z11"/>
    <mergeCell ref="AA11:AB11"/>
    <mergeCell ref="D11:E11"/>
    <mergeCell ref="K1:L1"/>
    <mergeCell ref="Y10:AB10"/>
    <mergeCell ref="Q11:R11"/>
    <mergeCell ref="S11:T11"/>
    <mergeCell ref="Q22:R22"/>
    <mergeCell ref="S22:T22"/>
    <mergeCell ref="U11:V11"/>
    <mergeCell ref="AF10:AH10"/>
    <mergeCell ref="AF21:AH21"/>
    <mergeCell ref="J68:L68"/>
    <mergeCell ref="Q71:R71"/>
    <mergeCell ref="S71:T71"/>
    <mergeCell ref="P70:T70"/>
    <mergeCell ref="K11:L11"/>
    <mergeCell ref="K22:L22"/>
    <mergeCell ref="AG31:AK31"/>
    <mergeCell ref="AH52:AI52"/>
    <mergeCell ref="AH62:AI62"/>
    <mergeCell ref="AF71:AH71"/>
    <mergeCell ref="AF73:AH73"/>
    <mergeCell ref="AF77:AH77"/>
    <mergeCell ref="A20:D20"/>
    <mergeCell ref="F94:G94"/>
    <mergeCell ref="H92:I92"/>
    <mergeCell ref="AF72:AH72"/>
  </mergeCells>
  <phoneticPr fontId="4" type="noConversion"/>
  <printOptions gridLines="1"/>
  <pageMargins left="0.75" right="0.75" top="1" bottom="1" header="0.5" footer="0.5"/>
  <pageSetup scale="50" orientation="landscape" horizontalDpi="4294967294" verticalDpi="4294967294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6"/>
  <sheetViews>
    <sheetView workbookViewId="0">
      <selection activeCell="P35" sqref="P35"/>
    </sheetView>
  </sheetViews>
  <sheetFormatPr defaultRowHeight="16" x14ac:dyDescent="0.8"/>
  <cols>
    <col min="5" max="5" width="9" style="18"/>
  </cols>
  <sheetData>
    <row r="2" spans="1:5" x14ac:dyDescent="0.8">
      <c r="C2" t="s">
        <v>141</v>
      </c>
    </row>
    <row r="3" spans="1:5" x14ac:dyDescent="0.8">
      <c r="C3" s="31" t="s">
        <v>144</v>
      </c>
      <c r="D3" s="31"/>
    </row>
    <row r="4" spans="1:5" x14ac:dyDescent="0.8">
      <c r="C4" s="18" t="s">
        <v>139</v>
      </c>
      <c r="D4" s="18" t="s">
        <v>140</v>
      </c>
      <c r="E4" s="18" t="s">
        <v>142</v>
      </c>
    </row>
    <row r="6" spans="1:5" x14ac:dyDescent="0.8">
      <c r="B6" t="s">
        <v>138</v>
      </c>
      <c r="C6" s="9">
        <v>2</v>
      </c>
      <c r="D6">
        <v>400</v>
      </c>
      <c r="E6" s="18" t="s">
        <v>146</v>
      </c>
    </row>
    <row r="7" spans="1:5" x14ac:dyDescent="0.8">
      <c r="B7" t="s">
        <v>151</v>
      </c>
      <c r="C7">
        <v>3</v>
      </c>
      <c r="D7">
        <v>3000</v>
      </c>
      <c r="E7" s="18" t="s">
        <v>145</v>
      </c>
    </row>
    <row r="8" spans="1:5" x14ac:dyDescent="0.8">
      <c r="B8" t="s">
        <v>152</v>
      </c>
      <c r="C8">
        <v>5</v>
      </c>
      <c r="D8">
        <v>250</v>
      </c>
      <c r="E8" s="18" t="s">
        <v>149</v>
      </c>
    </row>
    <row r="9" spans="1:5" x14ac:dyDescent="0.8">
      <c r="B9" t="s">
        <v>143</v>
      </c>
      <c r="C9" s="9">
        <f>C7*$B$14/1000</f>
        <v>2.0579999999999998</v>
      </c>
      <c r="D9" s="4">
        <f>D7*$B$14/1000</f>
        <v>2058</v>
      </c>
      <c r="E9" s="18" t="s">
        <v>148</v>
      </c>
    </row>
    <row r="10" spans="1:5" x14ac:dyDescent="0.8">
      <c r="B10" t="s">
        <v>147</v>
      </c>
      <c r="C10" s="9">
        <f>C8*$B$16/1000</f>
        <v>11.5</v>
      </c>
      <c r="D10" s="4">
        <f>D8*$B$16/1000</f>
        <v>575</v>
      </c>
      <c r="E10" s="18" t="s">
        <v>148</v>
      </c>
    </row>
    <row r="12" spans="1:5" x14ac:dyDescent="0.8">
      <c r="B12" t="s">
        <v>150</v>
      </c>
    </row>
    <row r="13" spans="1:5" x14ac:dyDescent="0.8">
      <c r="A13" t="s">
        <v>151</v>
      </c>
      <c r="B13">
        <v>686</v>
      </c>
      <c r="C13" t="s">
        <v>11</v>
      </c>
    </row>
    <row r="14" spans="1:5" x14ac:dyDescent="0.8">
      <c r="B14">
        <v>686</v>
      </c>
      <c r="C14" t="s">
        <v>153</v>
      </c>
    </row>
    <row r="15" spans="1:5" x14ac:dyDescent="0.8">
      <c r="A15" t="s">
        <v>152</v>
      </c>
      <c r="B15">
        <v>2300</v>
      </c>
      <c r="C15" t="s">
        <v>11</v>
      </c>
    </row>
    <row r="16" spans="1:5" x14ac:dyDescent="0.8">
      <c r="B16">
        <v>2300</v>
      </c>
      <c r="C16" t="s">
        <v>153</v>
      </c>
    </row>
  </sheetData>
  <mergeCells count="1"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workbookViewId="0">
      <selection activeCell="F33" sqref="F33"/>
    </sheetView>
  </sheetViews>
  <sheetFormatPr defaultColWidth="11" defaultRowHeight="16" x14ac:dyDescent="0.8"/>
  <cols>
    <col min="2" max="2" width="12.875" customWidth="1"/>
    <col min="3" max="4" width="10.125" customWidth="1"/>
    <col min="5" max="5" width="10.375" customWidth="1"/>
    <col min="8" max="8" width="12.375" customWidth="1"/>
    <col min="9" max="9" width="14.5" customWidth="1"/>
    <col min="10" max="10" width="9.375" customWidth="1"/>
  </cols>
  <sheetData>
    <row r="1" spans="1:12" x14ac:dyDescent="0.8">
      <c r="D1" t="s">
        <v>1</v>
      </c>
    </row>
    <row r="2" spans="1:12" x14ac:dyDescent="0.8">
      <c r="A2" s="31" t="s">
        <v>0</v>
      </c>
      <c r="B2" s="31"/>
      <c r="D2" s="31" t="s">
        <v>2</v>
      </c>
      <c r="E2" s="31"/>
      <c r="F2" s="31"/>
      <c r="G2" s="31" t="s">
        <v>3</v>
      </c>
      <c r="H2" s="31"/>
      <c r="I2" s="31"/>
    </row>
    <row r="3" spans="1:12" x14ac:dyDescent="0.8">
      <c r="A3" t="s">
        <v>7</v>
      </c>
      <c r="B3" t="s">
        <v>8</v>
      </c>
      <c r="D3" t="s">
        <v>4</v>
      </c>
      <c r="E3" t="s">
        <v>5</v>
      </c>
      <c r="F3" t="s">
        <v>6</v>
      </c>
      <c r="G3" t="s">
        <v>4</v>
      </c>
      <c r="H3" t="s">
        <v>5</v>
      </c>
      <c r="I3" t="s">
        <v>6</v>
      </c>
    </row>
    <row r="4" spans="1:12" x14ac:dyDescent="0.8">
      <c r="A4">
        <v>6</v>
      </c>
      <c r="B4">
        <v>41</v>
      </c>
    </row>
    <row r="5" spans="1:12" x14ac:dyDescent="0.8">
      <c r="A5">
        <v>7</v>
      </c>
      <c r="B5">
        <v>42</v>
      </c>
    </row>
    <row r="6" spans="1:12" x14ac:dyDescent="0.8">
      <c r="A6">
        <v>8</v>
      </c>
      <c r="B6">
        <v>43</v>
      </c>
    </row>
    <row r="7" spans="1:12" x14ac:dyDescent="0.8">
      <c r="A7">
        <v>9</v>
      </c>
      <c r="B7">
        <v>44</v>
      </c>
    </row>
    <row r="8" spans="1:12" x14ac:dyDescent="0.8">
      <c r="A8">
        <v>10</v>
      </c>
      <c r="B8">
        <v>45</v>
      </c>
    </row>
    <row r="9" spans="1:12" x14ac:dyDescent="0.8">
      <c r="B9">
        <v>46</v>
      </c>
    </row>
    <row r="10" spans="1:12" x14ac:dyDescent="0.8">
      <c r="B10">
        <v>47</v>
      </c>
      <c r="J10" t="s">
        <v>24</v>
      </c>
    </row>
    <row r="11" spans="1:12" x14ac:dyDescent="0.8">
      <c r="J11" t="s">
        <v>23</v>
      </c>
    </row>
    <row r="12" spans="1:12" x14ac:dyDescent="0.8">
      <c r="B12" s="1" t="s">
        <v>4</v>
      </c>
      <c r="C12" s="1" t="s">
        <v>12</v>
      </c>
      <c r="D12" s="1" t="s">
        <v>8</v>
      </c>
      <c r="E12" s="1" t="s">
        <v>13</v>
      </c>
      <c r="F12" s="1" t="s">
        <v>18</v>
      </c>
      <c r="G12" s="1" t="s">
        <v>21</v>
      </c>
      <c r="H12" s="1" t="s">
        <v>20</v>
      </c>
      <c r="I12" s="1" t="s">
        <v>22</v>
      </c>
      <c r="J12" s="1" t="s">
        <v>12</v>
      </c>
    </row>
    <row r="13" spans="1:12" x14ac:dyDescent="0.8">
      <c r="B13" s="1" t="s">
        <v>10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J13" s="1" t="s">
        <v>11</v>
      </c>
    </row>
    <row r="14" spans="1:12" x14ac:dyDescent="0.8">
      <c r="A14" s="5" t="s">
        <v>9</v>
      </c>
      <c r="B14">
        <v>57</v>
      </c>
      <c r="C14" s="2">
        <f>(B14+2278.1)/-170.09</f>
        <v>-13.728614263037215</v>
      </c>
      <c r="D14" s="2">
        <f>(B14+1745)/-43.955</f>
        <v>-40.996473666249578</v>
      </c>
      <c r="E14" s="2">
        <v>38</v>
      </c>
      <c r="F14" s="2">
        <f>(B14-640.47)/55.266</f>
        <v>-10.557485615025513</v>
      </c>
      <c r="G14" s="2">
        <f>(B14+75.161)/-43.955</f>
        <v>-3.0067341599362987</v>
      </c>
      <c r="H14" s="6">
        <f t="shared" ref="H14:H22" si="0">B14/F14</f>
        <v>-5.3990128027147923</v>
      </c>
      <c r="I14" s="6">
        <f>B14/G14</f>
        <v>-18.957445842570802</v>
      </c>
      <c r="J14" s="2">
        <f>D14+F14</f>
        <v>-51.553959281275091</v>
      </c>
      <c r="K14" s="3"/>
      <c r="L14" s="2"/>
    </row>
    <row r="15" spans="1:12" x14ac:dyDescent="0.8">
      <c r="A15" s="5"/>
      <c r="B15">
        <v>90</v>
      </c>
      <c r="C15" s="2">
        <f>(B15+2278.1)/-170.09</f>
        <v>-13.922629196307836</v>
      </c>
      <c r="D15" s="2">
        <f>(B15+1745)/-43.955</f>
        <v>-41.747241496985552</v>
      </c>
      <c r="E15" s="2">
        <f>E14</f>
        <v>38</v>
      </c>
      <c r="F15" s="2">
        <f>(B15-640.47)/55.266</f>
        <v>-9.9603734665074377</v>
      </c>
      <c r="G15" s="2">
        <f t="shared" ref="G15:G18" si="1">(B15+75.161)/-43.955</f>
        <v>-3.7575019906722789</v>
      </c>
      <c r="H15" s="6">
        <f t="shared" si="0"/>
        <v>-9.035805765981797</v>
      </c>
      <c r="I15" s="6">
        <f t="shared" ref="I15:I22" si="2">B15/G15</f>
        <v>-23.952083118896105</v>
      </c>
      <c r="J15" s="2">
        <f t="shared" ref="J15:J22" si="3">D15+F15</f>
        <v>-51.707614963492986</v>
      </c>
      <c r="K15" s="3"/>
      <c r="L15" s="2"/>
    </row>
    <row r="16" spans="1:12" x14ac:dyDescent="0.8">
      <c r="A16" s="5"/>
      <c r="B16">
        <v>140</v>
      </c>
      <c r="C16" s="2">
        <f>(B16+2278.1)/-170.09</f>
        <v>-14.216591216414839</v>
      </c>
      <c r="D16" s="2">
        <f>(B16+1745)/-43.955</f>
        <v>-42.88476851325219</v>
      </c>
      <c r="E16" s="2">
        <f t="shared" ref="E16:E17" si="4">E15</f>
        <v>38</v>
      </c>
      <c r="F16" s="2">
        <f>(B16-640.47)/55.266</f>
        <v>-9.0556580899648971</v>
      </c>
      <c r="G16" s="2">
        <f t="shared" si="1"/>
        <v>-4.8950290069389153</v>
      </c>
      <c r="H16" s="6">
        <f t="shared" si="0"/>
        <v>-15.459947649209743</v>
      </c>
      <c r="I16" s="6">
        <f t="shared" si="2"/>
        <v>-28.600443388904122</v>
      </c>
      <c r="J16" s="2">
        <f t="shared" si="3"/>
        <v>-51.940426603217091</v>
      </c>
      <c r="K16" s="3"/>
      <c r="L16" s="2"/>
    </row>
    <row r="17" spans="1:12" x14ac:dyDescent="0.8">
      <c r="A17" s="5"/>
      <c r="B17">
        <v>175</v>
      </c>
      <c r="C17" s="2">
        <f>(B17+2278.1)/-170.09</f>
        <v>-14.42236463048974</v>
      </c>
      <c r="D17" s="2">
        <f>(B17+1745)/-43.955</f>
        <v>-43.681037424638838</v>
      </c>
      <c r="E17" s="2">
        <f t="shared" si="4"/>
        <v>38</v>
      </c>
      <c r="F17" s="2">
        <f>(B17-640.47)/55.266</f>
        <v>-8.4223573263851197</v>
      </c>
      <c r="G17" s="2">
        <f t="shared" si="1"/>
        <v>-5.6912979183255601</v>
      </c>
      <c r="H17" s="6">
        <f t="shared" si="0"/>
        <v>-20.77803080757084</v>
      </c>
      <c r="I17" s="6">
        <f t="shared" si="2"/>
        <v>-30.748697838591948</v>
      </c>
      <c r="J17" s="2">
        <f t="shared" si="3"/>
        <v>-52.103394751023956</v>
      </c>
      <c r="K17" s="3"/>
      <c r="L17" s="2"/>
    </row>
    <row r="18" spans="1:12" x14ac:dyDescent="0.8">
      <c r="A18" s="5"/>
      <c r="B18">
        <v>210</v>
      </c>
      <c r="C18" s="2">
        <f>(B18+2278.1)/-170.09</f>
        <v>-14.628138044564642</v>
      </c>
      <c r="D18" s="2">
        <f>(B18+1745)/-43.955</f>
        <v>-44.477306336025485</v>
      </c>
      <c r="E18" s="2">
        <f>(B18-1082)/22.828</f>
        <v>-38.198703346767132</v>
      </c>
      <c r="F18" s="2">
        <f>(B18-640.47)/55.266</f>
        <v>-7.7890565628053423</v>
      </c>
      <c r="G18" s="2">
        <f t="shared" si="1"/>
        <v>-6.4875668297122058</v>
      </c>
      <c r="H18" s="6">
        <f t="shared" si="0"/>
        <v>-26.960903198829183</v>
      </c>
      <c r="I18" s="6">
        <f t="shared" si="2"/>
        <v>-32.369608747339221</v>
      </c>
      <c r="J18" s="2">
        <f t="shared" si="3"/>
        <v>-52.266362898830828</v>
      </c>
      <c r="K18" s="3"/>
      <c r="L18" s="2"/>
    </row>
    <row r="19" spans="1:12" x14ac:dyDescent="0.8">
      <c r="A19" s="5" t="s">
        <v>19</v>
      </c>
      <c r="B19">
        <v>170</v>
      </c>
      <c r="C19" s="2">
        <f>(B19-1915.6)/116.05</f>
        <v>-15.041792330891857</v>
      </c>
      <c r="D19" s="2">
        <f>(B19-2493)/51.044</f>
        <v>-45.50975628869211</v>
      </c>
      <c r="E19" s="2">
        <f>(B19-1082)/22.828</f>
        <v>-39.950937445242687</v>
      </c>
      <c r="F19" s="2">
        <f>(B19+351.75)/-73.781</f>
        <v>-7.0716038004364261</v>
      </c>
      <c r="G19" s="2">
        <f>(B19+59.368)/-41.268</f>
        <v>-5.5580110497237563</v>
      </c>
      <c r="H19" s="6">
        <f t="shared" si="0"/>
        <v>-24.039808337326306</v>
      </c>
      <c r="I19" s="6">
        <f t="shared" si="2"/>
        <v>-30.586481113320083</v>
      </c>
      <c r="J19" s="2">
        <f t="shared" si="3"/>
        <v>-52.581360089128538</v>
      </c>
      <c r="K19" s="3"/>
      <c r="L19" s="2"/>
    </row>
    <row r="20" spans="1:12" x14ac:dyDescent="0.8">
      <c r="B20">
        <v>150</v>
      </c>
      <c r="C20" s="2">
        <f>(B20-1915.6)/116.05</f>
        <v>-15.214131839724256</v>
      </c>
      <c r="D20" s="2">
        <f>(B20-2493)/51.044</f>
        <v>-45.901575111668365</v>
      </c>
      <c r="E20" s="2">
        <f t="shared" ref="E20:E22" si="5">(B20-1082)/22.828</f>
        <v>-40.827054494480464</v>
      </c>
      <c r="F20" s="2">
        <f>(B20+351.75)/-73.781</f>
        <v>-6.8005313020967453</v>
      </c>
      <c r="G20" s="2">
        <f t="shared" ref="G20:G22" si="6">(B20+59.368)/-41.268</f>
        <v>-5.0733740428419116</v>
      </c>
      <c r="H20" s="6">
        <f t="shared" si="0"/>
        <v>-22.057100149476831</v>
      </c>
      <c r="I20" s="6">
        <f t="shared" si="2"/>
        <v>-29.566122807687897</v>
      </c>
      <c r="J20" s="2">
        <f t="shared" si="3"/>
        <v>-52.702106413765108</v>
      </c>
      <c r="K20" s="3"/>
      <c r="L20" s="2"/>
    </row>
    <row r="21" spans="1:12" x14ac:dyDescent="0.8">
      <c r="B21">
        <v>130</v>
      </c>
      <c r="C21" s="2">
        <f>(B21-1915.6)/116.05</f>
        <v>-15.386471348556656</v>
      </c>
      <c r="D21" s="2">
        <f>(B21-2493)/51.044</f>
        <v>-46.293393934644627</v>
      </c>
      <c r="E21" s="2">
        <f t="shared" si="5"/>
        <v>-41.703171543718241</v>
      </c>
      <c r="F21" s="2">
        <f>(B21+351.75)/-73.781</f>
        <v>-6.5294588037570644</v>
      </c>
      <c r="G21" s="2">
        <f t="shared" si="6"/>
        <v>-4.5887370359600661</v>
      </c>
      <c r="H21" s="6">
        <f t="shared" si="0"/>
        <v>-19.909766476388171</v>
      </c>
      <c r="I21" s="6">
        <f t="shared" si="2"/>
        <v>-28.330235309027923</v>
      </c>
      <c r="J21" s="2">
        <f t="shared" si="3"/>
        <v>-52.822852738401693</v>
      </c>
      <c r="K21" s="3"/>
      <c r="L21" s="2"/>
    </row>
    <row r="22" spans="1:12" x14ac:dyDescent="0.8">
      <c r="B22">
        <v>120</v>
      </c>
      <c r="C22" s="2">
        <f>(B22-1915.6)/116.05</f>
        <v>-15.472641102972856</v>
      </c>
      <c r="D22" s="2">
        <f>(B22-2493)/51.044</f>
        <v>-46.489303346132751</v>
      </c>
      <c r="E22" s="2">
        <f t="shared" si="5"/>
        <v>-42.14123006833713</v>
      </c>
      <c r="F22" s="2">
        <f>(B22+351.75)/-73.781</f>
        <v>-6.393922554587224</v>
      </c>
      <c r="G22" s="2">
        <f t="shared" si="6"/>
        <v>-4.3464185325191433</v>
      </c>
      <c r="H22" s="6">
        <f t="shared" si="0"/>
        <v>-18.767821939586646</v>
      </c>
      <c r="I22" s="6">
        <f t="shared" si="2"/>
        <v>-27.60893804915035</v>
      </c>
      <c r="J22" s="2">
        <f t="shared" si="3"/>
        <v>-52.883225900719978</v>
      </c>
      <c r="K22" s="3"/>
      <c r="L22" s="2"/>
    </row>
    <row r="25" spans="1:12" x14ac:dyDescent="0.8">
      <c r="A25" t="s">
        <v>14</v>
      </c>
      <c r="B25" t="s">
        <v>13</v>
      </c>
      <c r="C25" t="s">
        <v>15</v>
      </c>
      <c r="D25" t="s">
        <v>16</v>
      </c>
      <c r="E25" t="s">
        <v>17</v>
      </c>
    </row>
    <row r="26" spans="1:12" x14ac:dyDescent="0.8">
      <c r="A26">
        <v>0.25</v>
      </c>
      <c r="B26">
        <v>5.0000000000000001E-3</v>
      </c>
      <c r="C26">
        <v>0.01</v>
      </c>
      <c r="D26">
        <f>1/150*1/A26*B26</f>
        <v>1.3333333333333334E-4</v>
      </c>
      <c r="E26" s="4">
        <f>1419*LOG((D26*C26/B26)/225000)</f>
        <v>-12666.297362105657</v>
      </c>
      <c r="F26" s="4">
        <f>E26*3</f>
        <v>-37998.89208631697</v>
      </c>
      <c r="G26" s="4">
        <f>2.5*E26</f>
        <v>-31665.743405264144</v>
      </c>
    </row>
    <row r="27" spans="1:12" x14ac:dyDescent="0.8">
      <c r="A27">
        <v>0.5</v>
      </c>
      <c r="B27">
        <f>B26</f>
        <v>5.0000000000000001E-3</v>
      </c>
      <c r="C27">
        <f>C26</f>
        <v>0.01</v>
      </c>
      <c r="D27">
        <f t="shared" ref="D27:D30" si="7">1/150*1/A27*B27</f>
        <v>6.666666666666667E-5</v>
      </c>
      <c r="E27" s="4">
        <f t="shared" ref="E27:E30" si="8">1419*LOG((D27*C27/B27)/225000)</f>
        <v>-13093.458925952846</v>
      </c>
      <c r="F27" s="4">
        <f>E19/3*1000</f>
        <v>-13316.979148414228</v>
      </c>
    </row>
    <row r="28" spans="1:12" x14ac:dyDescent="0.8">
      <c r="A28">
        <v>1</v>
      </c>
      <c r="B28">
        <f t="shared" ref="B28:C30" si="9">B27</f>
        <v>5.0000000000000001E-3</v>
      </c>
      <c r="C28">
        <f t="shared" si="9"/>
        <v>0.01</v>
      </c>
      <c r="D28">
        <f t="shared" si="7"/>
        <v>3.3333333333333335E-5</v>
      </c>
      <c r="E28" s="4">
        <f t="shared" si="8"/>
        <v>-13520.620489800036</v>
      </c>
      <c r="F28" s="4">
        <f>E20/3*1000</f>
        <v>-13609.018164826821</v>
      </c>
    </row>
    <row r="29" spans="1:12" x14ac:dyDescent="0.8">
      <c r="A29">
        <v>2</v>
      </c>
      <c r="B29">
        <f t="shared" si="9"/>
        <v>5.0000000000000001E-3</v>
      </c>
      <c r="C29">
        <f t="shared" si="9"/>
        <v>0.01</v>
      </c>
      <c r="D29">
        <f t="shared" si="7"/>
        <v>1.6666666666666667E-5</v>
      </c>
      <c r="E29" s="4">
        <f t="shared" si="8"/>
        <v>-13947.782053647225</v>
      </c>
      <c r="F29" s="4">
        <f>E21/3*1000</f>
        <v>-13901.057181239414</v>
      </c>
    </row>
    <row r="30" spans="1:12" x14ac:dyDescent="0.8">
      <c r="A30">
        <v>3</v>
      </c>
      <c r="B30">
        <f t="shared" si="9"/>
        <v>5.0000000000000001E-3</v>
      </c>
      <c r="C30">
        <f t="shared" si="9"/>
        <v>0.01</v>
      </c>
      <c r="D30">
        <f t="shared" si="7"/>
        <v>1.1111111111111112E-5</v>
      </c>
      <c r="E30" s="4">
        <f t="shared" si="8"/>
        <v>-14197.655550247237</v>
      </c>
      <c r="F30" s="4">
        <f>E22/3*1000</f>
        <v>-14047.07668944571</v>
      </c>
    </row>
    <row r="34" spans="6:6" x14ac:dyDescent="0.8">
      <c r="F34" s="4"/>
    </row>
  </sheetData>
  <mergeCells count="3">
    <mergeCell ref="D2:F2"/>
    <mergeCell ref="G2:I2"/>
    <mergeCell ref="A2:B2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hydraulic calcs</vt:lpstr>
      <vt:lpstr>calcium noCa data</vt:lpstr>
      <vt:lpstr>VO2 &amp; Fuel Scope</vt:lpstr>
      <vt:lpstr>push pull data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Willis</dc:creator>
  <cp:lastModifiedBy>Wayne Willis</cp:lastModifiedBy>
  <cp:lastPrinted>2013-03-25T02:15:14Z</cp:lastPrinted>
  <dcterms:created xsi:type="dcterms:W3CDTF">2012-07-09T20:59:13Z</dcterms:created>
  <dcterms:modified xsi:type="dcterms:W3CDTF">2022-07-16T13:17:11Z</dcterms:modified>
</cp:coreProperties>
</file>