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19th\"/>
    </mc:Choice>
  </mc:AlternateContent>
  <xr:revisionPtr revIDLastSave="0" documentId="13_ncr:1_{A29C6C4E-EDF4-43D3-BC01-58E709226E70}" xr6:coauthVersionLast="47" xr6:coauthVersionMax="47" xr10:uidLastSave="{00000000-0000-0000-0000-000000000000}"/>
  <bookViews>
    <workbookView xWindow="-120" yWindow="-120" windowWidth="29040" windowHeight="15840" activeTab="6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8" l="1"/>
  <c r="F50" i="18"/>
  <c r="E50" i="18"/>
  <c r="D50" i="18"/>
  <c r="T4" i="13"/>
  <c r="T5" i="13"/>
  <c r="T6" i="13"/>
  <c r="N8" i="16" s="1"/>
  <c r="T7" i="13"/>
  <c r="I8" i="16" s="1"/>
  <c r="I38" i="16" s="1"/>
  <c r="T8" i="13"/>
  <c r="T9" i="13"/>
  <c r="G8" i="16" s="1"/>
  <c r="T10" i="13"/>
  <c r="F8" i="16" s="1"/>
  <c r="T11" i="13"/>
  <c r="M8" i="16" s="1"/>
  <c r="M38" i="16" s="1"/>
  <c r="T12" i="13"/>
  <c r="L8" i="16" s="1"/>
  <c r="T13" i="13"/>
  <c r="K8" i="16" s="1"/>
  <c r="T14" i="13"/>
  <c r="J8" i="16" s="1"/>
  <c r="T15" i="13"/>
  <c r="E8" i="16" s="1"/>
  <c r="E38" i="16" s="1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T25" i="13"/>
  <c r="G18" i="16" s="1"/>
  <c r="T26" i="13"/>
  <c r="F18" i="16" s="1"/>
  <c r="T27" i="13"/>
  <c r="T28" i="13"/>
  <c r="L18" i="16" s="1"/>
  <c r="T29" i="13"/>
  <c r="K18" i="16" s="1"/>
  <c r="T30" i="13"/>
  <c r="J18" i="16" s="1"/>
  <c r="T31" i="13"/>
  <c r="T32" i="13"/>
  <c r="D18" i="16" s="1"/>
  <c r="T33" i="13"/>
  <c r="C18" i="16" s="1"/>
  <c r="T34" i="13"/>
  <c r="B18" i="16" s="1"/>
  <c r="T35" i="13"/>
  <c r="T36" i="13"/>
  <c r="P28" i="16" s="1"/>
  <c r="T37" i="13"/>
  <c r="O28" i="16" s="1"/>
  <c r="T38" i="13"/>
  <c r="N28" i="16" s="1"/>
  <c r="T39" i="13"/>
  <c r="T40" i="13"/>
  <c r="H28" i="16" s="1"/>
  <c r="T41" i="13"/>
  <c r="G28" i="16" s="1"/>
  <c r="T42" i="13"/>
  <c r="F28" i="16" s="1"/>
  <c r="T43" i="13"/>
  <c r="T44" i="13"/>
  <c r="T45" i="13"/>
  <c r="K28" i="16" s="1"/>
  <c r="T46" i="13"/>
  <c r="J28" i="16" s="1"/>
  <c r="T47" i="13"/>
  <c r="T48" i="13"/>
  <c r="D28" i="16" s="1"/>
  <c r="T49" i="13"/>
  <c r="C28" i="16" s="1"/>
  <c r="T50" i="13"/>
  <c r="B28" i="16" s="1"/>
  <c r="O4" i="13"/>
  <c r="P7" i="16" s="1"/>
  <c r="O5" i="13"/>
  <c r="O7" i="16" s="1"/>
  <c r="O6" i="13"/>
  <c r="N7" i="16" s="1"/>
  <c r="O7" i="13"/>
  <c r="I7" i="16" s="1"/>
  <c r="I37" i="16" s="1"/>
  <c r="O8" i="13"/>
  <c r="H7" i="16" s="1"/>
  <c r="O9" i="13"/>
  <c r="G7" i="16" s="1"/>
  <c r="O10" i="13"/>
  <c r="F7" i="16" s="1"/>
  <c r="O11" i="13"/>
  <c r="M7" i="16" s="1"/>
  <c r="M37" i="16" s="1"/>
  <c r="O12" i="13"/>
  <c r="L7" i="16" s="1"/>
  <c r="O13" i="13"/>
  <c r="K7" i="16" s="1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H17" i="16" s="1"/>
  <c r="O25" i="13"/>
  <c r="G17" i="16" s="1"/>
  <c r="O26" i="13"/>
  <c r="F17" i="16" s="1"/>
  <c r="O27" i="13"/>
  <c r="O28" i="13"/>
  <c r="L17" i="16" s="1"/>
  <c r="O29" i="13"/>
  <c r="K17" i="16" s="1"/>
  <c r="O30" i="13"/>
  <c r="J17" i="16" s="1"/>
  <c r="O31" i="13"/>
  <c r="O32" i="13"/>
  <c r="D17" i="16" s="1"/>
  <c r="O33" i="13"/>
  <c r="O34" i="13"/>
  <c r="B17" i="16" s="1"/>
  <c r="O35" i="13"/>
  <c r="O36" i="13"/>
  <c r="P27" i="16" s="1"/>
  <c r="O37" i="13"/>
  <c r="O27" i="16" s="1"/>
  <c r="O38" i="13"/>
  <c r="N27" i="16" s="1"/>
  <c r="O39" i="13"/>
  <c r="O40" i="13"/>
  <c r="H27" i="16" s="1"/>
  <c r="O41" i="13"/>
  <c r="G27" i="16" s="1"/>
  <c r="O42" i="13"/>
  <c r="F27" i="16" s="1"/>
  <c r="O43" i="13"/>
  <c r="O44" i="13"/>
  <c r="L27" i="16" s="1"/>
  <c r="O45" i="13"/>
  <c r="K27" i="16" s="1"/>
  <c r="O46" i="13"/>
  <c r="J27" i="16" s="1"/>
  <c r="O47" i="13"/>
  <c r="O48" i="13"/>
  <c r="D27" i="16" s="1"/>
  <c r="O49" i="13"/>
  <c r="C27" i="16" s="1"/>
  <c r="O50" i="13"/>
  <c r="B27" i="16" s="1"/>
  <c r="C17" i="16"/>
  <c r="J4" i="13"/>
  <c r="P6" i="16" s="1"/>
  <c r="J5" i="13"/>
  <c r="O6" i="16" s="1"/>
  <c r="J6" i="13"/>
  <c r="N6" i="16" s="1"/>
  <c r="J7" i="13"/>
  <c r="I6" i="16" s="1"/>
  <c r="I36" i="16" s="1"/>
  <c r="J8" i="13"/>
  <c r="H6" i="16" s="1"/>
  <c r="J9" i="13"/>
  <c r="G6" i="16" s="1"/>
  <c r="J10" i="13"/>
  <c r="F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C16" i="16" s="1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E5" i="13"/>
  <c r="E6" i="13"/>
  <c r="E7" i="13"/>
  <c r="I5" i="16" s="1"/>
  <c r="I35" i="16" s="1"/>
  <c r="E8" i="13"/>
  <c r="H5" i="16" s="1"/>
  <c r="E9" i="13"/>
  <c r="G5" i="16" s="1"/>
  <c r="E10" i="13"/>
  <c r="F5" i="16" s="1"/>
  <c r="E11" i="13"/>
  <c r="M5" i="16" s="1"/>
  <c r="M35" i="16" s="1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E25" i="13"/>
  <c r="G15" i="16" s="1"/>
  <c r="E26" i="13"/>
  <c r="F15" i="16" s="1"/>
  <c r="E27" i="13"/>
  <c r="E28" i="13"/>
  <c r="L15" i="16" s="1"/>
  <c r="E29" i="13"/>
  <c r="K15" i="16" s="1"/>
  <c r="E30" i="13"/>
  <c r="E31" i="13"/>
  <c r="E32" i="13"/>
  <c r="D15" i="16" s="1"/>
  <c r="E33" i="13"/>
  <c r="C15" i="16" s="1"/>
  <c r="E34" i="13"/>
  <c r="B15" i="16" s="1"/>
  <c r="E35" i="13"/>
  <c r="E36" i="13"/>
  <c r="E37" i="13"/>
  <c r="O25" i="16" s="1"/>
  <c r="E38" i="13"/>
  <c r="E39" i="13"/>
  <c r="E40" i="13"/>
  <c r="H25" i="16" s="1"/>
  <c r="E41" i="13"/>
  <c r="G25" i="16" s="1"/>
  <c r="E42" i="13"/>
  <c r="F25" i="16" s="1"/>
  <c r="E43" i="13"/>
  <c r="E44" i="13"/>
  <c r="L25" i="16" s="1"/>
  <c r="E45" i="13"/>
  <c r="E46" i="13"/>
  <c r="J25" i="16" s="1"/>
  <c r="E47" i="13"/>
  <c r="E48" i="13"/>
  <c r="D25" i="16" s="1"/>
  <c r="E49" i="13"/>
  <c r="C25" i="16" s="1"/>
  <c r="E50" i="13"/>
  <c r="B25" i="16" s="1"/>
  <c r="H15" i="16"/>
  <c r="J15" i="16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F18" i="7" s="1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F7" i="7" s="1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L28" i="16"/>
  <c r="K26" i="16"/>
  <c r="P25" i="16"/>
  <c r="N25" i="16"/>
  <c r="K25" i="16"/>
  <c r="A25" i="16"/>
  <c r="A26" i="16" s="1"/>
  <c r="A27" i="16" s="1"/>
  <c r="A28" i="16" s="1"/>
  <c r="H18" i="16"/>
  <c r="A15" i="16"/>
  <c r="A16" i="16" s="1"/>
  <c r="A17" i="16" s="1"/>
  <c r="A18" i="16" s="1"/>
  <c r="P8" i="16"/>
  <c r="O8" i="16"/>
  <c r="H8" i="16"/>
  <c r="P5" i="16"/>
  <c r="O5" i="16"/>
  <c r="N5" i="16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J2" i="7"/>
  <c r="B2" i="7"/>
  <c r="I6" i="11"/>
  <c r="C6" i="11"/>
  <c r="F36" i="16" l="1"/>
  <c r="G36" i="16"/>
  <c r="F9" i="7"/>
  <c r="P19" i="7"/>
  <c r="F19" i="7"/>
  <c r="D38" i="16"/>
  <c r="H36" i="16"/>
  <c r="O19" i="7"/>
  <c r="D36" i="16"/>
  <c r="D19" i="7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N5" i="7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K8" i="7"/>
  <c r="K7" i="7"/>
  <c r="K6" i="7"/>
  <c r="K5" i="7"/>
  <c r="K9" i="7" s="1"/>
  <c r="J8" i="7"/>
  <c r="J7" i="7"/>
  <c r="J6" i="7"/>
  <c r="J5" i="7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G8" i="7"/>
  <c r="G7" i="7"/>
  <c r="G6" i="7"/>
  <c r="G5" i="7"/>
  <c r="G9" i="7" s="1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B9" i="7" s="1"/>
  <c r="J12" i="7"/>
  <c r="J32" i="7"/>
  <c r="B32" i="7"/>
  <c r="J22" i="7"/>
  <c r="B22" i="7"/>
  <c r="B12" i="7"/>
  <c r="N19" i="7" l="1"/>
  <c r="H9" i="7"/>
  <c r="L9" i="7"/>
  <c r="O9" i="7"/>
  <c r="J9" i="7"/>
  <c r="N9" i="7"/>
  <c r="B39" i="16"/>
  <c r="C18" i="11" s="1" a="1"/>
  <c r="C18" i="11" s="1"/>
  <c r="C21" i="11" s="1"/>
  <c r="L39" i="16"/>
  <c r="K18" i="11" s="1" a="1"/>
  <c r="K18" i="11" s="1"/>
  <c r="K21" i="11" s="1"/>
  <c r="D35" i="7"/>
  <c r="D9" i="7"/>
  <c r="C9" i="7"/>
  <c r="O39" i="16"/>
  <c r="M18" i="11" s="1" a="1"/>
  <c r="M18" i="11" s="1"/>
  <c r="M21" i="11" s="1"/>
  <c r="K39" i="16"/>
  <c r="J18" i="11" s="1" a="1"/>
  <c r="J18" i="11" s="1"/>
  <c r="J21" i="11" s="1"/>
  <c r="D39" i="16"/>
  <c r="E18" i="11" s="1" a="1"/>
  <c r="E18" i="11" s="1"/>
  <c r="E21" i="11" s="1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N21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39" i="16"/>
  <c r="I18" i="11" s="1" a="1"/>
  <c r="I18" i="11" s="1"/>
  <c r="I21" i="11" s="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G9" i="11" s="1"/>
  <c r="G12" i="11" s="1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C15" i="12" l="1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<sst xmlns="http://schemas.openxmlformats.org/spreadsheetml/2006/main" count="1064" uniqueCount="81">
  <si>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</si>
  <si>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</si>
  <si>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</si>
  <si>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</si>
  <si>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</si>
  <si>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</si>
  <si>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</si>
  <si>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</si>
  <si>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</si>
  <si>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</si>
  <si>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</si>
  <si>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</si>
  <si>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</si>
  <si>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</si>
  <si>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</si>
  <si>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</si>
  <si>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</si>
  <si>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</si>
  <si>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</si>
  <si>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</si>
  <si>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</si>
  <si>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</si>
  <si>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</si>
  <si>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</si>
  <si>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</si>
  <si>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</si>
  <si>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</si>
  <si>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</si>
  <si>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</si>
  <si>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</si>
  <si>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</si>
  <si>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</si>
  <si>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</si>
  <si>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</si>
  <si>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</si>
  <si>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</si>
  <si>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</si>
  <si>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</si>
  <si>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</si>
  <si>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</si>
  <si>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</si>
  <si>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</si>
  <si>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</si>
  <si>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</si>
  <si>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</si>
  <si>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</si>
  <si>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</si>
  <si>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</si>
  <si>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</si>
  <si>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</si>
  <si>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</si>
  <si>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</si>
  <si>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</si>
  <si>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</si>
  <si>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</si>
  <si>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</si>
  <si>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</si>
  <si>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</si>
  <si>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</si>
  <si>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</si>
  <si>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</si>
  <si>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</si>
  <si>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</si>
  <si>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</si>
  <si>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08:00-08:15</t>
  </si>
  <si>
    <t>08:15-08:30</t>
  </si>
  <si>
    <t>08:30-08:45</t>
  </si>
  <si>
    <t>08:45-09:00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</si>
  <si>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</si>
  <si>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</si>
  <si>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</si>
  <si>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</si>
  <si>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</si>
  <si>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</si>
  <si>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</si>
  <si>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</si>
  <si>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</si>
  <si>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</si>
  <si>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</si>
  <si>
    <t>Logan</t>
  </si>
  <si>
    <t>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</si>
</sst>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79</v>
      </c>
    </row>
    <row r="2" spans="1:3" x14ac:dyDescent="0.25">
      <c r="A2" t="s">
        <v>48</v>
      </c>
      <c r="B2" t="s">
        <v>80</v>
      </c>
    </row>
    <row r="3" spans="1:3" x14ac:dyDescent="0.25">
      <c r="A3" t="s">
        <v>50</v>
      </c>
      <c r="B3" s="36">
        <v>45391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0.69791666666666663</v>
      </c>
    </row>
    <row r="8" spans="1:3" x14ac:dyDescent="0.25">
      <c r="A8" t="s">
        <v>55</v>
      </c>
      <c r="B8" s="44">
        <v>0.375</v>
      </c>
      <c r="C8" s="44">
        <v>0.73958333333333337</v>
      </c>
    </row>
    <row r="10" spans="1:3" x14ac:dyDescent="0.25">
      <c r="A10" t="s">
        <v>53</v>
      </c>
      <c r="B10" t="s">
        <v>60</v>
      </c>
      <c r="C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475</v>
      </c>
      <c r="C11" s="35">
        <f>SUM(B11)</f>
        <v>475</v>
      </c>
    </row>
    <row r="12" spans="1:3" x14ac:dyDescent="0.25">
      <c r="A12" s="46"/>
      <c r="B12" s="35">
        <f>'Tables AM'!R36</f>
        <v>495</v>
      </c>
      <c r="C12" s="35">
        <f t="shared" ref="C12:C14" si="0">SUM(B12)</f>
        <v>495</v>
      </c>
    </row>
    <row r="13" spans="1:3" x14ac:dyDescent="0.25">
      <c r="A13" s="46"/>
      <c r="B13" s="35">
        <f>'Tables AM'!R37</f>
        <v>480</v>
      </c>
      <c r="C13" s="35">
        <f t="shared" si="0"/>
        <v>480</v>
      </c>
    </row>
    <row r="14" spans="1:3" x14ac:dyDescent="0.25">
      <c r="A14" s="46"/>
      <c r="B14" s="35">
        <f>'Tables AM'!R38</f>
        <v>565</v>
      </c>
      <c r="C14" s="35">
        <f t="shared" si="0"/>
        <v>565</v>
      </c>
    </row>
    <row r="15" spans="1:3" x14ac:dyDescent="0.25">
      <c r="C15" s="35">
        <f>SUM(C11:C14)</f>
        <v>2015</v>
      </c>
    </row>
    <row r="16" spans="1:3" x14ac:dyDescent="0.25">
      <c r="C16" s="19">
        <f>C15/(4*MAX(C11:C14))</f>
        <v>0.8915929203539823</v>
      </c>
    </row>
    <row r="17" spans="1:3" x14ac:dyDescent="0.25">
      <c r="A17" s="46" t="s">
        <v>58</v>
      </c>
      <c r="B17" s="35">
        <f>'Tables PM'!R35</f>
        <v>353</v>
      </c>
      <c r="C17" s="35">
        <f>SUM(B17)</f>
        <v>353</v>
      </c>
    </row>
    <row r="18" spans="1:3" x14ac:dyDescent="0.25">
      <c r="A18" s="46"/>
      <c r="B18" s="35">
        <f>'Tables PM'!R36</f>
        <v>495</v>
      </c>
      <c r="C18" s="35">
        <f t="shared" ref="C18:C20" si="1">SUM(B18)</f>
        <v>495</v>
      </c>
    </row>
    <row r="19" spans="1:3" x14ac:dyDescent="0.25">
      <c r="A19" s="46"/>
      <c r="B19" s="35">
        <f>'Tables PM'!R37</f>
        <v>480</v>
      </c>
      <c r="C19" s="35">
        <f t="shared" si="1"/>
        <v>480</v>
      </c>
    </row>
    <row r="20" spans="1:3" x14ac:dyDescent="0.25">
      <c r="A20" s="46"/>
      <c r="B20" s="35">
        <f>'Tables PM'!R38</f>
        <v>565</v>
      </c>
      <c r="C20" s="35">
        <f t="shared" si="1"/>
        <v>565</v>
      </c>
    </row>
    <row r="21" spans="1:3" x14ac:dyDescent="0.25">
      <c r="C21" s="35">
        <f>SUM(C17:C20)</f>
        <v>1893</v>
      </c>
    </row>
    <row r="22" spans="1:3" x14ac:dyDescent="0.25">
      <c r="C22" s="19">
        <f>C21/(4*MAX(C17:C20))</f>
        <v>0.8376106194690266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0.8915929203539823</v>
      </c>
    </row>
    <row r="3" spans="1:18" x14ac:dyDescent="0.25">
      <c r="A3" s="10" t="s">
        <v>59</v>
      </c>
      <c r="B3" s="12">
        <f>PHF!C22</f>
        <v>0.8376106194690266</v>
      </c>
    </row>
    <row r="6" spans="1:18" ht="15" customHeight="1" x14ac:dyDescent="0.25">
      <c r="C6" s="48" t="str">
        <f>'General Info'!B1</f>
        <v>Logan</v>
      </c>
      <c r="D6" s="48"/>
      <c r="E6" s="48"/>
      <c r="F6" s="48"/>
      <c r="G6" s="48"/>
      <c r="H6" s="48"/>
      <c r="I6" s="48" t="str">
        <f>'General Info'!B2</f>
        <v>19th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Logan</v>
      </c>
      <c r="R8" s="16" t="str">
        <f>STREET_NBSB</f>
        <v>19th</v>
      </c>
    </row>
    <row r="9" spans="1:18" x14ac:dyDescent="0.25">
      <c r="A9" s="47" t="s">
        <v>2</v>
      </c>
      <c r="B9" s="14" t="s">
        <v>12</v>
      </c>
      <c r="C9" s="37">
        <f>TOT_VEH_EBL_AM</f>
        <v>159</v>
      </c>
      <c r="D9" s="37">
        <f>TOT_VEH_EBT_AM</f>
        <v>1192</v>
      </c>
      <c r="E9" s="37">
        <f>TOT_VEH_EBR_AM</f>
        <v>664</v>
      </c>
      <c r="F9" s="37">
        <f>TOT_VEH_WBL_AM</f>
        <v>0</v>
      </c>
      <c r="G9" s="37">
        <f>TOT_VEH_WBT_AM</f>
        <v>0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2015</v>
      </c>
      <c r="Q9" s="17">
        <f>SUM(C9:H9)</f>
        <v>2015</v>
      </c>
      <c r="R9" s="17">
        <f>SUM(I9:N9)</f>
        <v>0</v>
      </c>
    </row>
    <row r="10" spans="1:18" x14ac:dyDescent="0.25">
      <c r="A10" s="47"/>
      <c r="B10" s="14" t="s">
        <v>13</v>
      </c>
      <c r="C10" s="37">
        <f>TOT_PED_SB_AM</f>
        <v>0</v>
      </c>
      <c r="D10" s="45"/>
      <c r="E10" s="37">
        <f>TOT_PED_NB_AM</f>
        <v>154</v>
      </c>
      <c r="F10" s="37">
        <f>TOT_PED_NB_AM</f>
        <v>154</v>
      </c>
      <c r="G10" s="45"/>
      <c r="H10" s="37">
        <f>TOT_PED_SB_AM</f>
        <v>0</v>
      </c>
      <c r="I10" s="37">
        <f>TOT_PED_EB_AM</f>
        <v>40</v>
      </c>
      <c r="J10" s="45"/>
      <c r="K10" s="37">
        <f>TOT_PED_WB_AM</f>
        <v>69</v>
      </c>
      <c r="L10" s="37">
        <f>TOT_PED_WB_AM</f>
        <v>69</v>
      </c>
      <c r="M10" s="45"/>
      <c r="N10" s="37">
        <f>TOT_PED_EB_AM</f>
        <v>40</v>
      </c>
    </row>
    <row r="11" spans="1:18" x14ac:dyDescent="0.25">
      <c r="A11" s="47"/>
      <c r="B11" s="14" t="s">
        <v>14</v>
      </c>
      <c r="C11" s="37"/>
      <c r="D11" s="37">
        <f>TOT_BIK_EB_AM</f>
        <v>125</v>
      </c>
      <c r="E11" s="37"/>
      <c r="F11" s="37"/>
      <c r="G11" s="37">
        <f>TOT_BIK_WB_AM</f>
        <v>0</v>
      </c>
      <c r="H11" s="37"/>
      <c r="I11" s="37"/>
      <c r="J11" s="37">
        <f>TOT_BIK_NB_AM</f>
        <v>0</v>
      </c>
      <c r="K11" s="37"/>
      <c r="L11" s="37"/>
      <c r="M11" s="37">
        <f>TOT_BIK_SB_AM</f>
        <v>0</v>
      </c>
      <c r="N11" s="37"/>
    </row>
    <row r="12" spans="1:18" x14ac:dyDescent="0.25">
      <c r="A12" s="47"/>
      <c r="B12" s="14" t="s">
        <v>15</v>
      </c>
      <c r="C12" s="45">
        <f>TOT_HV_EBL_AM/C9</f>
        <v>1.2578616352201259E-2</v>
      </c>
      <c r="D12" s="45">
        <f>TOT_HV_EBT_AM/D9</f>
        <v>2.5167785234899327E-3</v>
      </c>
      <c r="E12" s="45">
        <f>TOT_HV_EBR_AM/E9</f>
        <v>1.6566265060240965E-2</v>
      </c>
      <c r="F12" s="45" t="e">
        <f>TOT_HV_WBL_AM/F9</f>
        <v>#DIV/0!</v>
      </c>
      <c r="G12" s="45" t="e">
        <f>TOT_HV_WBT_AM/G9</f>
        <v>#DIV/0!</v>
      </c>
      <c r="H12" s="45" t="e">
        <f>TOT_HV_WBR_AM/H9</f>
        <v>#DIV/0!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 t="e">
        <f>TOT_HV_SBL_AM/L9</f>
        <v>#DIV/0!</v>
      </c>
      <c r="M12" s="45" t="e">
        <f>TOT_HV_SBT_AM/M9</f>
        <v>#DIV/0!</v>
      </c>
      <c r="N12" s="45" t="e">
        <f>TOT_HV_SBR_AM/N9</f>
        <v>#DIV/0!</v>
      </c>
    </row>
    <row r="15" spans="1:18" x14ac:dyDescent="0.25">
      <c r="C15" s="48" t="str">
        <f>'General Info'!B1</f>
        <v>Logan</v>
      </c>
      <c r="D15" s="48"/>
      <c r="E15" s="48"/>
      <c r="F15" s="48"/>
      <c r="G15" s="48"/>
      <c r="H15" s="48"/>
      <c r="I15" s="48" t="str">
        <f>'General Info'!B2</f>
        <v>19th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Logan</v>
      </c>
      <c r="R17" s="16" t="str">
        <f>STREET_NBSB</f>
        <v>19th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128</v>
      </c>
      <c r="D18" s="37" cm="1">
        <f t="array" ref="D18">TOT_VEH_EBT_PM</f>
        <v>1127</v>
      </c>
      <c r="E18" s="37" cm="1">
        <f t="array" ref="E18">TOT_VEH_EBR_PM</f>
        <v>637</v>
      </c>
      <c r="F18" s="37" cm="1">
        <f t="array" ref="F18">TOT_VEH_WBL_PM</f>
        <v>0</v>
      </c>
      <c r="G18" s="37" cm="1">
        <f t="array" ref="G18">TOT_VEH_WBT_PM</f>
        <v>1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1893</v>
      </c>
      <c r="Q18" s="17">
        <f>SUM(C18:H18)</f>
        <v>1893</v>
      </c>
      <c r="R18" s="17">
        <f>SUM(I18:N18)</f>
        <v>0</v>
      </c>
    </row>
    <row r="19" spans="1:18" x14ac:dyDescent="0.25">
      <c r="A19" s="47"/>
      <c r="B19" s="14" t="s">
        <v>13</v>
      </c>
      <c r="C19" s="37" cm="1">
        <f t="array" ref="C19">TOT_PED_SB_PM</f>
        <v>0</v>
      </c>
      <c r="D19" s="45"/>
      <c r="E19" s="37" cm="1">
        <f t="array" ref="E19">TOT_PED_NB_PM</f>
        <v>185</v>
      </c>
      <c r="F19" s="37" cm="1">
        <f t="array" ref="F19">TOT_PED_NB_PM</f>
        <v>185</v>
      </c>
      <c r="G19" s="45"/>
      <c r="H19" s="37" cm="1">
        <f t="array" ref="H19">TOT_PED_SB_PM</f>
        <v>0</v>
      </c>
      <c r="I19" s="37" cm="1">
        <f t="array" ref="I19">TOT_PED_EB_PM</f>
        <v>29</v>
      </c>
      <c r="J19" s="45"/>
      <c r="K19" s="37" cm="1">
        <f t="array" ref="K19">TOT_PED_WB_PM</f>
        <v>54</v>
      </c>
      <c r="L19" s="37" cm="1">
        <f t="array" ref="L19">TOT_PED_WB_PM</f>
        <v>54</v>
      </c>
      <c r="M19" s="45"/>
      <c r="N19" s="37" cm="1">
        <f t="array" ref="N19">TOT_PED_EB_PM</f>
        <v>29</v>
      </c>
    </row>
    <row r="20" spans="1:18" x14ac:dyDescent="0.25">
      <c r="A20" s="47"/>
      <c r="B20" s="14" t="s">
        <v>14</v>
      </c>
      <c r="C20" s="37"/>
      <c r="D20" s="37">
        <f>TOT_BIK_EB_PM</f>
        <v>106</v>
      </c>
      <c r="E20" s="37"/>
      <c r="F20" s="37"/>
      <c r="G20" s="37">
        <f>TOT_BIK_WB_PM</f>
        <v>3</v>
      </c>
      <c r="H20" s="37"/>
      <c r="I20" s="37"/>
      <c r="J20" s="37">
        <f>TOT_BIK_NB_PM</f>
        <v>0</v>
      </c>
      <c r="K20" s="37"/>
      <c r="L20" s="37"/>
      <c r="M20" s="37">
        <f>TOT_BIK_SB_PM</f>
        <v>0</v>
      </c>
      <c r="N20" s="37"/>
    </row>
    <row r="21" spans="1:18" x14ac:dyDescent="0.25">
      <c r="A21" s="47"/>
      <c r="B21" s="14" t="s">
        <v>15</v>
      </c>
      <c r="C21" s="45">
        <f>TOT_HV_EBL_PM/C18</f>
        <v>1.5625E-2</v>
      </c>
      <c r="D21" s="45">
        <f>TOT_HV_EBT_PM/D18</f>
        <v>5.3238686779059448E-3</v>
      </c>
      <c r="E21" s="45">
        <f>TOT_HV_EBR_PM/E18</f>
        <v>2.197802197802198E-2</v>
      </c>
      <c r="F21" s="45" t="e">
        <f>TOT_HV_WBL_PM/F18</f>
        <v>#DIV/0!</v>
      </c>
      <c r="G21" s="45">
        <f>TOT_HV_WBT_PM/G18</f>
        <v>0</v>
      </c>
      <c r="H21" s="45" t="e">
        <f>TOT_HV_WBR_PM/H18</f>
        <v>#DIV/0!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 t="e">
        <f>TOT_HV_SBL_PM/L18</f>
        <v>#DIV/0!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25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68</v>
      </c>
      <c r="B3" t="s">
        <v>25</v>
      </c>
      <c r="C3" t="s">
        <v>69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 t="s">
        <v>25</v>
      </c>
      <c r="C4" t="s">
        <v>70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15</v>
      </c>
      <c r="E6">
        <v>14</v>
      </c>
      <c r="F6">
        <v>17</v>
      </c>
      <c r="G6">
        <v>23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68</v>
      </c>
      <c r="B9" t="s">
        <v>29</v>
      </c>
      <c r="C9" t="s">
        <v>71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68</v>
      </c>
      <c r="B10" t="s">
        <v>33</v>
      </c>
      <c r="C10" t="s">
        <v>13</v>
      </c>
      <c r="D10">
        <v>37</v>
      </c>
      <c r="E10">
        <v>48</v>
      </c>
      <c r="F10">
        <v>35</v>
      </c>
      <c r="G10">
        <v>34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11</v>
      </c>
      <c r="E14">
        <v>12</v>
      </c>
      <c r="F14">
        <v>4</v>
      </c>
      <c r="G14">
        <v>13</v>
      </c>
    </row>
    <row r="15" spans="1:7" x14ac:dyDescent="0.25">
      <c r="A15" t="s">
        <v>68</v>
      </c>
      <c r="B15" t="s">
        <v>37</v>
      </c>
      <c r="C15" t="s">
        <v>69</v>
      </c>
      <c r="D15">
        <v>130</v>
      </c>
      <c r="E15">
        <v>175</v>
      </c>
      <c r="F15">
        <v>159</v>
      </c>
      <c r="G15">
        <v>189</v>
      </c>
    </row>
    <row r="16" spans="1:7" x14ac:dyDescent="0.25">
      <c r="A16" t="s">
        <v>68</v>
      </c>
      <c r="B16" t="s">
        <v>37</v>
      </c>
      <c r="C16" t="s">
        <v>70</v>
      </c>
      <c r="D16">
        <v>288</v>
      </c>
      <c r="E16">
        <v>270</v>
      </c>
      <c r="F16">
        <v>294</v>
      </c>
      <c r="G16">
        <v>337</v>
      </c>
    </row>
    <row r="17" spans="1:7" x14ac:dyDescent="0.25">
      <c r="A17" t="s">
        <v>68</v>
      </c>
      <c r="B17" t="s">
        <v>37</v>
      </c>
      <c r="C17" t="s">
        <v>71</v>
      </c>
      <c r="D17">
        <v>55</v>
      </c>
      <c r="E17">
        <v>45</v>
      </c>
      <c r="F17">
        <v>23</v>
      </c>
      <c r="G17">
        <v>34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2</v>
      </c>
      <c r="E31">
        <v>2</v>
      </c>
      <c r="F31">
        <v>4</v>
      </c>
      <c r="G31">
        <v>3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1</v>
      </c>
      <c r="F32">
        <v>0</v>
      </c>
      <c r="G32">
        <v>2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2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12</v>
      </c>
      <c r="E47">
        <v>4</v>
      </c>
      <c r="F47">
        <v>12</v>
      </c>
      <c r="G47">
        <v>10</v>
      </c>
    </row>
    <row r="48" spans="1:7" x14ac:dyDescent="0.25">
      <c r="A48" t="s">
        <v>73</v>
      </c>
      <c r="B48" t="s">
        <v>37</v>
      </c>
      <c r="C48" t="s">
        <v>70</v>
      </c>
      <c r="D48">
        <v>17</v>
      </c>
      <c r="E48">
        <v>20</v>
      </c>
      <c r="F48">
        <v>19</v>
      </c>
      <c r="G48">
        <v>29</v>
      </c>
    </row>
    <row r="49" spans="1:7" x14ac:dyDescent="0.25">
      <c r="A49" t="s">
        <v>73</v>
      </c>
      <c r="B49" t="s">
        <v>37</v>
      </c>
      <c r="C49" t="s">
        <v>71</v>
      </c>
      <c r="D49">
        <v>1</v>
      </c>
      <c r="E49">
        <v>1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AM'!D2</f>
        <v>0</v>
      </c>
      <c r="F3" s="5"/>
      <c r="G3" s="65" t="s">
        <v>25</v>
      </c>
      <c r="H3" s="32" t="s">
        <v>13</v>
      </c>
      <c r="I3" s="32">
        <v>1</v>
      </c>
      <c r="J3" s="31">
        <f>'App Input AM'!E2</f>
        <v>0</v>
      </c>
      <c r="K3" s="5"/>
      <c r="L3" s="65" t="s">
        <v>25</v>
      </c>
      <c r="M3" s="32" t="s">
        <v>13</v>
      </c>
      <c r="N3" s="32">
        <v>1</v>
      </c>
      <c r="O3" s="31">
        <f>'App Input AM'!F2</f>
        <v>0</v>
      </c>
      <c r="P3" s="5"/>
      <c r="Q3" s="65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AM'!D3</f>
        <v>0</v>
      </c>
      <c r="F4" s="5"/>
      <c r="G4" s="52"/>
      <c r="H4" s="32" t="s">
        <v>26</v>
      </c>
      <c r="I4" s="32">
        <v>2</v>
      </c>
      <c r="J4" s="32">
        <f>'App Input AM'!E3</f>
        <v>0</v>
      </c>
      <c r="K4" s="5"/>
      <c r="L4" s="52"/>
      <c r="M4" s="32" t="s">
        <v>26</v>
      </c>
      <c r="N4" s="32">
        <v>2</v>
      </c>
      <c r="O4" s="32">
        <f>'App Input AM'!F3</f>
        <v>0</v>
      </c>
      <c r="P4" s="5"/>
      <c r="Q4" s="52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AM'!D4</f>
        <v>0</v>
      </c>
      <c r="F5" s="5"/>
      <c r="G5" s="52"/>
      <c r="H5" s="32" t="s">
        <v>27</v>
      </c>
      <c r="I5" s="32">
        <v>3</v>
      </c>
      <c r="J5" s="32">
        <f>'App Input AM'!E4</f>
        <v>0</v>
      </c>
      <c r="K5" s="5"/>
      <c r="L5" s="52"/>
      <c r="M5" s="32" t="s">
        <v>27</v>
      </c>
      <c r="N5" s="32">
        <v>3</v>
      </c>
      <c r="O5" s="32">
        <f>'App Input AM'!F4</f>
        <v>0</v>
      </c>
      <c r="P5" s="5"/>
      <c r="Q5" s="52"/>
      <c r="R5" s="32" t="s">
        <v>27</v>
      </c>
      <c r="S5" s="32">
        <v>3</v>
      </c>
      <c r="T5" s="32">
        <f>'App Input AM'!G4</f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AM'!D5</f>
        <v>0</v>
      </c>
      <c r="F6" s="5"/>
      <c r="G6" s="52"/>
      <c r="H6" s="32" t="s">
        <v>28</v>
      </c>
      <c r="I6" s="32">
        <v>4</v>
      </c>
      <c r="J6" s="32">
        <f>'App Input AM'!E5</f>
        <v>0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AM'!D6</f>
        <v>15</v>
      </c>
      <c r="F7" s="6"/>
      <c r="G7" s="53" t="s">
        <v>29</v>
      </c>
      <c r="H7" s="33" t="s">
        <v>13</v>
      </c>
      <c r="I7" s="33">
        <v>5</v>
      </c>
      <c r="J7" s="33">
        <f>'App Input AM'!E6</f>
        <v>14</v>
      </c>
      <c r="K7" s="6"/>
      <c r="L7" s="53" t="s">
        <v>29</v>
      </c>
      <c r="M7" s="33" t="s">
        <v>13</v>
      </c>
      <c r="N7" s="33">
        <v>5</v>
      </c>
      <c r="O7" s="33">
        <f>'App Input AM'!F6</f>
        <v>17</v>
      </c>
      <c r="P7" s="6"/>
      <c r="Q7" s="53" t="s">
        <v>29</v>
      </c>
      <c r="R7" s="33" t="s">
        <v>13</v>
      </c>
      <c r="S7" s="33">
        <v>5</v>
      </c>
      <c r="T7" s="33">
        <f>'App Input AM'!G6</f>
        <v>23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AM'!D7</f>
        <v>0</v>
      </c>
      <c r="F8" s="6"/>
      <c r="G8" s="53"/>
      <c r="H8" s="33" t="s">
        <v>30</v>
      </c>
      <c r="I8" s="33">
        <v>6</v>
      </c>
      <c r="J8" s="33">
        <f>'App Input AM'!E7</f>
        <v>0</v>
      </c>
      <c r="K8" s="6"/>
      <c r="L8" s="53"/>
      <c r="M8" s="33" t="s">
        <v>30</v>
      </c>
      <c r="N8" s="33">
        <v>6</v>
      </c>
      <c r="O8" s="33">
        <f>'App Input AM'!F7</f>
        <v>0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AM'!D8</f>
        <v>0</v>
      </c>
      <c r="F9" s="6"/>
      <c r="G9" s="53"/>
      <c r="H9" s="33" t="s">
        <v>31</v>
      </c>
      <c r="I9" s="33">
        <v>7</v>
      </c>
      <c r="J9" s="33">
        <f>'App Input AM'!E8</f>
        <v>0</v>
      </c>
      <c r="K9" s="6"/>
      <c r="L9" s="53"/>
      <c r="M9" s="33" t="s">
        <v>31</v>
      </c>
      <c r="N9" s="33">
        <v>7</v>
      </c>
      <c r="O9" s="33">
        <f>'App Input AM'!F8</f>
        <v>0</v>
      </c>
      <c r="P9" s="6"/>
      <c r="Q9" s="53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AM'!D9</f>
        <v>0</v>
      </c>
      <c r="F10" s="6"/>
      <c r="G10" s="53"/>
      <c r="H10" s="33" t="s">
        <v>32</v>
      </c>
      <c r="I10" s="33">
        <v>8</v>
      </c>
      <c r="J10" s="33">
        <f>'App Input AM'!E9</f>
        <v>0</v>
      </c>
      <c r="K10" s="6"/>
      <c r="L10" s="53"/>
      <c r="M10" s="33" t="s">
        <v>32</v>
      </c>
      <c r="N10" s="33">
        <v>8</v>
      </c>
      <c r="O10" s="33">
        <f>'App Input AM'!F9</f>
        <v>0</v>
      </c>
      <c r="P10" s="6"/>
      <c r="Q10" s="53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AM'!D10</f>
        <v>37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48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35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34</v>
      </c>
    </row>
    <row r="12" spans="2:21" x14ac:dyDescent="0.25">
      <c r="B12" s="52"/>
      <c r="C12" s="32" t="s">
        <v>34</v>
      </c>
      <c r="D12" s="32">
        <v>10</v>
      </c>
      <c r="E12" s="32">
        <f>'App Input AM'!D11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AM'!D12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AM'!D13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AM'!D14</f>
        <v>11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12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4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13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AM'!D15</f>
        <v>130</v>
      </c>
      <c r="F16" s="23"/>
      <c r="G16" s="53"/>
      <c r="H16" s="21" t="s">
        <v>38</v>
      </c>
      <c r="I16" s="21">
        <v>14</v>
      </c>
      <c r="J16" s="21">
        <f>'App Input AM'!E15</f>
        <v>175</v>
      </c>
      <c r="K16" s="23"/>
      <c r="L16" s="53"/>
      <c r="M16" s="21" t="s">
        <v>38</v>
      </c>
      <c r="N16" s="21">
        <v>14</v>
      </c>
      <c r="O16" s="21">
        <f>'App Input AM'!F15</f>
        <v>159</v>
      </c>
      <c r="P16" s="23"/>
      <c r="Q16" s="53"/>
      <c r="R16" s="21" t="s">
        <v>38</v>
      </c>
      <c r="S16" s="21">
        <v>14</v>
      </c>
      <c r="T16" s="21">
        <f>'App Input AM'!G15</f>
        <v>189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AM'!D16</f>
        <v>288</v>
      </c>
      <c r="F17" s="23"/>
      <c r="G17" s="53"/>
      <c r="H17" s="21" t="s">
        <v>39</v>
      </c>
      <c r="I17" s="21">
        <v>15</v>
      </c>
      <c r="J17" s="21">
        <f>'App Input AM'!E16</f>
        <v>270</v>
      </c>
      <c r="K17" s="23"/>
      <c r="L17" s="53"/>
      <c r="M17" s="21" t="s">
        <v>39</v>
      </c>
      <c r="N17" s="21">
        <v>15</v>
      </c>
      <c r="O17" s="21">
        <f>'App Input AM'!F16</f>
        <v>294</v>
      </c>
      <c r="P17" s="23"/>
      <c r="Q17" s="53"/>
      <c r="R17" s="21" t="s">
        <v>39</v>
      </c>
      <c r="S17" s="21">
        <v>15</v>
      </c>
      <c r="T17" s="21">
        <f>'App Input AM'!G16</f>
        <v>337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AM'!D17</f>
        <v>55</v>
      </c>
      <c r="F18" s="23"/>
      <c r="G18" s="53"/>
      <c r="H18" s="21" t="s">
        <v>40</v>
      </c>
      <c r="I18" s="21">
        <v>16</v>
      </c>
      <c r="J18" s="21">
        <f>'App Input AM'!E17</f>
        <v>45</v>
      </c>
      <c r="K18" s="23"/>
      <c r="L18" s="53"/>
      <c r="M18" s="21" t="s">
        <v>40</v>
      </c>
      <c r="N18" s="21">
        <v>16</v>
      </c>
      <c r="O18" s="21">
        <f>'App Input AM'!F17</f>
        <v>23</v>
      </c>
      <c r="P18" s="23"/>
      <c r="Q18" s="53"/>
      <c r="R18" s="21" t="s">
        <v>40</v>
      </c>
      <c r="S18" s="21">
        <v>16</v>
      </c>
      <c r="T18" s="21">
        <f>'App Input AM'!G17</f>
        <v>34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AM'!D19</f>
        <v>0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AM'!D20</f>
        <v>0</v>
      </c>
      <c r="F21" s="5"/>
      <c r="G21" s="52"/>
      <c r="H21" s="32" t="s">
        <v>27</v>
      </c>
      <c r="I21" s="32">
        <v>19</v>
      </c>
      <c r="J21" s="32">
        <f>'App Input AM'!E20</f>
        <v>0</v>
      </c>
      <c r="K21" s="5"/>
      <c r="L21" s="52"/>
      <c r="M21" s="32" t="s">
        <v>27</v>
      </c>
      <c r="N21" s="32">
        <v>19</v>
      </c>
      <c r="O21" s="32">
        <f>'App Input AM'!F20</f>
        <v>0</v>
      </c>
      <c r="P21" s="5"/>
      <c r="Q21" s="52"/>
      <c r="R21" s="32" t="s">
        <v>27</v>
      </c>
      <c r="S21" s="32">
        <v>19</v>
      </c>
      <c r="T21" s="32">
        <f>'App Input AM'!G20</f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AM'!D21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AM'!D23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AM'!D24</f>
        <v>0</v>
      </c>
      <c r="F25" s="6"/>
      <c r="G25" s="53"/>
      <c r="H25" s="33" t="s">
        <v>31</v>
      </c>
      <c r="I25" s="33">
        <v>23</v>
      </c>
      <c r="J25" s="33">
        <f>'App Input AM'!E24</f>
        <v>0</v>
      </c>
      <c r="K25" s="6"/>
      <c r="L25" s="53"/>
      <c r="M25" s="33" t="s">
        <v>31</v>
      </c>
      <c r="N25" s="33">
        <v>23</v>
      </c>
      <c r="O25" s="33">
        <f>'App Input AM'!F24</f>
        <v>0</v>
      </c>
      <c r="P25" s="6"/>
      <c r="Q25" s="53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AM'!D25</f>
        <v>0</v>
      </c>
      <c r="F26" s="6"/>
      <c r="G26" s="53"/>
      <c r="H26" s="33" t="s">
        <v>32</v>
      </c>
      <c r="I26" s="33">
        <v>24</v>
      </c>
      <c r="J26" s="33">
        <f>'App Input AM'!E25</f>
        <v>0</v>
      </c>
      <c r="K26" s="6"/>
      <c r="L26" s="53"/>
      <c r="M26" s="33" t="s">
        <v>32</v>
      </c>
      <c r="N26" s="33">
        <v>24</v>
      </c>
      <c r="O26" s="33">
        <f>'App Input AM'!F25</f>
        <v>0</v>
      </c>
      <c r="P26" s="6"/>
      <c r="Q26" s="53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AM'!D27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AM'!D28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AM'!D29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AM'!D31</f>
        <v>2</v>
      </c>
      <c r="F32" s="23"/>
      <c r="G32" s="52"/>
      <c r="H32" s="21" t="s">
        <v>38</v>
      </c>
      <c r="I32" s="21">
        <v>30</v>
      </c>
      <c r="J32" s="21">
        <f>'App Input AM'!E31</f>
        <v>2</v>
      </c>
      <c r="K32" s="23"/>
      <c r="L32" s="52"/>
      <c r="M32" s="21" t="s">
        <v>38</v>
      </c>
      <c r="N32" s="21">
        <v>30</v>
      </c>
      <c r="O32" s="21">
        <f>'App Input AM'!F31</f>
        <v>4</v>
      </c>
      <c r="P32" s="23"/>
      <c r="Q32" s="52"/>
      <c r="R32" s="21" t="s">
        <v>38</v>
      </c>
      <c r="S32" s="21">
        <v>30</v>
      </c>
      <c r="T32" s="21">
        <f>'App Input AM'!G31</f>
        <v>3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AM'!D32</f>
        <v>0</v>
      </c>
      <c r="F33" s="23"/>
      <c r="G33" s="52"/>
      <c r="H33" s="21" t="s">
        <v>39</v>
      </c>
      <c r="I33" s="21">
        <v>31</v>
      </c>
      <c r="J33" s="21">
        <f>'App Input AM'!E32</f>
        <v>1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AM'!D33</f>
        <v>0</v>
      </c>
      <c r="F34" s="26"/>
      <c r="G34" s="55"/>
      <c r="H34" s="24" t="s">
        <v>40</v>
      </c>
      <c r="I34" s="24">
        <v>32</v>
      </c>
      <c r="J34" s="24">
        <f>'App Input AM'!E33</f>
        <v>2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AM'!D35</f>
        <v>0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0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AM'!D36</f>
        <v>0</v>
      </c>
      <c r="F37" s="5"/>
      <c r="G37" s="52"/>
      <c r="H37" s="32" t="s">
        <v>27</v>
      </c>
      <c r="I37" s="32">
        <v>35</v>
      </c>
      <c r="J37" s="32">
        <f>'App Input AM'!E36</f>
        <v>0</v>
      </c>
      <c r="K37" s="5"/>
      <c r="L37" s="52"/>
      <c r="M37" s="32" t="s">
        <v>27</v>
      </c>
      <c r="N37" s="32">
        <v>35</v>
      </c>
      <c r="O37" s="32">
        <f>'App Input AM'!F36</f>
        <v>0</v>
      </c>
      <c r="P37" s="5"/>
      <c r="Q37" s="52"/>
      <c r="R37" s="32" t="s">
        <v>27</v>
      </c>
      <c r="S37" s="32">
        <v>35</v>
      </c>
      <c r="T37" s="32">
        <f>'App Input AM'!G36</f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AM'!D37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AM'!D39</f>
        <v>0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AM'!D40</f>
        <v>0</v>
      </c>
      <c r="F41" s="27"/>
      <c r="G41" s="53"/>
      <c r="H41" s="33" t="s">
        <v>31</v>
      </c>
      <c r="I41" s="33">
        <v>39</v>
      </c>
      <c r="J41" s="33">
        <f>'App Input AM'!E40</f>
        <v>0</v>
      </c>
      <c r="K41" s="27"/>
      <c r="L41" s="53"/>
      <c r="M41" s="33" t="s">
        <v>31</v>
      </c>
      <c r="N41" s="33">
        <v>39</v>
      </c>
      <c r="O41" s="33">
        <f>'App Input AM'!F40</f>
        <v>0</v>
      </c>
      <c r="P41" s="6"/>
      <c r="Q41" s="53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AM'!D41</f>
        <v>0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0</v>
      </c>
      <c r="P42" s="6"/>
      <c r="Q42" s="53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AM'!D43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AM'!D44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AM'!D45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AM'!D47</f>
        <v>12</v>
      </c>
      <c r="F48" s="6"/>
      <c r="G48" s="53"/>
      <c r="H48" s="33" t="s">
        <v>38</v>
      </c>
      <c r="I48" s="33">
        <v>46</v>
      </c>
      <c r="J48" s="33">
        <f>'App Input AM'!E47</f>
        <v>4</v>
      </c>
      <c r="K48" s="6"/>
      <c r="L48" s="53"/>
      <c r="M48" s="33" t="s">
        <v>38</v>
      </c>
      <c r="N48" s="33">
        <v>46</v>
      </c>
      <c r="O48" s="33">
        <f>'App Input AM'!F47</f>
        <v>12</v>
      </c>
      <c r="P48" s="6"/>
      <c r="Q48" s="53"/>
      <c r="R48" s="33" t="s">
        <v>38</v>
      </c>
      <c r="S48" s="33">
        <v>46</v>
      </c>
      <c r="T48" s="33">
        <f>'App Input AM'!G47</f>
        <v>10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AM'!D48</f>
        <v>17</v>
      </c>
      <c r="F49" s="6"/>
      <c r="G49" s="53"/>
      <c r="H49" s="33" t="s">
        <v>39</v>
      </c>
      <c r="I49" s="33">
        <v>47</v>
      </c>
      <c r="J49" s="33">
        <f>'App Input AM'!E48</f>
        <v>20</v>
      </c>
      <c r="K49" s="6"/>
      <c r="L49" s="53"/>
      <c r="M49" s="33" t="s">
        <v>39</v>
      </c>
      <c r="N49" s="33">
        <v>47</v>
      </c>
      <c r="O49" s="33">
        <f>'App Input AM'!F48</f>
        <v>19</v>
      </c>
      <c r="P49" s="6"/>
      <c r="Q49" s="53"/>
      <c r="R49" s="33" t="s">
        <v>39</v>
      </c>
      <c r="S49" s="33">
        <v>47</v>
      </c>
      <c r="T49" s="33">
        <f>'App Input AM'!G48</f>
        <v>29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AM'!D49</f>
        <v>1</v>
      </c>
      <c r="F50" s="7"/>
      <c r="G50" s="54"/>
      <c r="H50" s="34" t="s">
        <v>40</v>
      </c>
      <c r="I50" s="34">
        <v>48</v>
      </c>
      <c r="J50" s="34">
        <f>'App Input AM'!E49</f>
        <v>1</v>
      </c>
      <c r="K50" s="7"/>
      <c r="L50" s="54"/>
      <c r="M50" s="34" t="s">
        <v>40</v>
      </c>
      <c r="N50" s="34">
        <v>48</v>
      </c>
      <c r="O50" s="34">
        <f>'App Input AM'!F49</f>
        <v>0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Logan</v>
      </c>
      <c r="C2" s="71"/>
      <c r="D2" s="71"/>
      <c r="E2" s="71"/>
      <c r="F2" s="71"/>
      <c r="G2" s="71"/>
      <c r="H2" s="71"/>
      <c r="I2" s="71"/>
      <c r="J2" s="71" t="str">
        <f>'General Info'!B2</f>
        <v>19th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55</v>
      </c>
      <c r="C5" s="13">
        <f>'Input Count AM'!E17</f>
        <v>288</v>
      </c>
      <c r="D5" s="13">
        <f>'Input Count AM'!E16</f>
        <v>130</v>
      </c>
      <c r="E5" s="35">
        <f>'Input Count AM'!E15</f>
        <v>11</v>
      </c>
      <c r="F5" s="35">
        <f>'Input Count AM'!E10</f>
        <v>0</v>
      </c>
      <c r="G5" s="35">
        <f>'Input Count AM'!E9</f>
        <v>0</v>
      </c>
      <c r="H5" s="35">
        <f>'Input Count AM'!E8</f>
        <v>0</v>
      </c>
      <c r="I5" s="35">
        <f>'Input Count AM'!E7</f>
        <v>15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37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0</v>
      </c>
    </row>
    <row r="6" spans="1:17" x14ac:dyDescent="0.25">
      <c r="A6" s="15">
        <f>A5+TIME(0,15,0)</f>
        <v>0.34375</v>
      </c>
      <c r="B6" s="13">
        <f>'Input Count AM'!J18</f>
        <v>45</v>
      </c>
      <c r="C6" s="13">
        <f>'Input Count AM'!J17</f>
        <v>270</v>
      </c>
      <c r="D6" s="13">
        <f>'Input Count AM'!J16</f>
        <v>175</v>
      </c>
      <c r="E6" s="35">
        <f>'Input Count AM'!J15</f>
        <v>12</v>
      </c>
      <c r="F6" s="35">
        <f>'Input Count AM'!J10</f>
        <v>0</v>
      </c>
      <c r="G6" s="35">
        <f>'Input Count AM'!J9</f>
        <v>0</v>
      </c>
      <c r="H6" s="35">
        <f>'Input Count AM'!J8</f>
        <v>0</v>
      </c>
      <c r="I6" s="35">
        <f>'Input Count AM'!J7</f>
        <v>14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48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0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23</v>
      </c>
      <c r="C7" s="13">
        <f>'Input Count AM'!O17</f>
        <v>294</v>
      </c>
      <c r="D7" s="13">
        <f>'Input Count AM'!O16</f>
        <v>159</v>
      </c>
      <c r="E7" s="35">
        <f>'Input Count AM'!O15</f>
        <v>4</v>
      </c>
      <c r="F7" s="35">
        <f>'Input Count AM'!O10</f>
        <v>0</v>
      </c>
      <c r="G7" s="35">
        <f>'Input Count AM'!O9</f>
        <v>0</v>
      </c>
      <c r="H7" s="35">
        <f>'Input Count AM'!O8</f>
        <v>0</v>
      </c>
      <c r="I7" s="35">
        <f>'Input Count AM'!O7</f>
        <v>17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35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0</v>
      </c>
    </row>
    <row r="8" spans="1:17" x14ac:dyDescent="0.25">
      <c r="A8" s="15">
        <f t="shared" si="0"/>
        <v>0.36458333333333337</v>
      </c>
      <c r="B8" s="13">
        <f>'Input Count AM'!T18</f>
        <v>34</v>
      </c>
      <c r="C8" s="13">
        <f>'Input Count AM'!T17</f>
        <v>337</v>
      </c>
      <c r="D8" s="13">
        <f>'Input Count AM'!T16</f>
        <v>189</v>
      </c>
      <c r="E8" s="35">
        <f>'Input Count AM'!T15</f>
        <v>13</v>
      </c>
      <c r="F8" s="35">
        <f>'Input Count AM'!T10</f>
        <v>0</v>
      </c>
      <c r="G8" s="35">
        <f>'Input Count AM'!T9</f>
        <v>0</v>
      </c>
      <c r="H8" s="35">
        <f>'Input Count AM'!T8</f>
        <v>0</v>
      </c>
      <c r="I8" s="35">
        <f>'Input Count AM'!T7</f>
        <v>23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34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0</v>
      </c>
    </row>
    <row r="9" spans="1:17" x14ac:dyDescent="0.25">
      <c r="A9" t="s">
        <v>1</v>
      </c>
      <c r="B9" s="35">
        <f>SUM(B5:B8)</f>
        <v>157</v>
      </c>
      <c r="C9" s="35">
        <f>SUM(C5:C8)</f>
        <v>1189</v>
      </c>
      <c r="D9" s="35">
        <f>SUM(D5:D8)</f>
        <v>653</v>
      </c>
      <c r="E9" s="1"/>
      <c r="F9" s="35">
        <f>SUM(F5:F8)</f>
        <v>0</v>
      </c>
      <c r="G9" s="35">
        <f>SUM(G5:G8)</f>
        <v>0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0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Logan</v>
      </c>
      <c r="C12" s="71"/>
      <c r="D12" s="71"/>
      <c r="E12" s="71"/>
      <c r="F12" s="71"/>
      <c r="G12" s="71"/>
      <c r="H12" s="71"/>
      <c r="I12" s="71"/>
      <c r="J12" s="71" t="str">
        <f>J$2</f>
        <v>19th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0.33333333333333331</v>
      </c>
      <c r="B15" s="13">
        <f>'Input Count AM'!E34</f>
        <v>0</v>
      </c>
      <c r="C15" s="13">
        <f>'Input Count AM'!E33</f>
        <v>0</v>
      </c>
      <c r="D15" s="13">
        <f>'Input Count AM'!E32</f>
        <v>2</v>
      </c>
      <c r="E15" s="35"/>
      <c r="F15" s="35">
        <f>'Input Count AM'!E26</f>
        <v>0</v>
      </c>
      <c r="G15" s="35">
        <f>'Input Count AM'!E25</f>
        <v>0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0</v>
      </c>
      <c r="O15" s="35">
        <f>'Input Count AM'!E21</f>
        <v>0</v>
      </c>
      <c r="P15" s="35">
        <f>'Input Count AM'!E20</f>
        <v>0</v>
      </c>
      <c r="Q15" s="35"/>
    </row>
    <row r="16" spans="1:17" x14ac:dyDescent="0.25">
      <c r="A16" s="15">
        <f>A15+TIME(0,15,0)</f>
        <v>0.34375</v>
      </c>
      <c r="B16" s="13">
        <f>'Input Count AM'!J34</f>
        <v>2</v>
      </c>
      <c r="C16" s="13">
        <f>'Input Count AM'!J33</f>
        <v>1</v>
      </c>
      <c r="D16" s="13">
        <f>'Input Count AM'!J32</f>
        <v>2</v>
      </c>
      <c r="E16" s="35"/>
      <c r="F16" s="35">
        <f>'Input Count AM'!J26</f>
        <v>0</v>
      </c>
      <c r="G16" s="35">
        <f>'Input Count AM'!J25</f>
        <v>0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0</v>
      </c>
      <c r="O16" s="35">
        <f>'Input Count AM'!J21</f>
        <v>0</v>
      </c>
      <c r="P16" s="35">
        <f>'Input Count AM'!J20</f>
        <v>0</v>
      </c>
      <c r="Q16" s="35"/>
    </row>
    <row r="17" spans="1:17" x14ac:dyDescent="0.25">
      <c r="A17" s="15">
        <f t="shared" ref="A17:A18" si="1">A16+TIME(0,15,0)</f>
        <v>0.35416666666666669</v>
      </c>
      <c r="B17" s="13">
        <f>'Input Count AM'!O34</f>
        <v>0</v>
      </c>
      <c r="C17" s="13">
        <f>'Input Count AM'!O33</f>
        <v>0</v>
      </c>
      <c r="D17" s="13">
        <f>'Input Count AM'!O32</f>
        <v>4</v>
      </c>
      <c r="E17" s="35"/>
      <c r="F17" s="35">
        <f>'Input Count AM'!O26</f>
        <v>0</v>
      </c>
      <c r="G17" s="35">
        <f>'Input Count AM'!O25</f>
        <v>0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0</v>
      </c>
      <c r="O17" s="35">
        <f>'Input Count AM'!O21</f>
        <v>0</v>
      </c>
      <c r="P17" s="35">
        <f>'Input Count AM'!O20</f>
        <v>0</v>
      </c>
      <c r="Q17" s="35"/>
    </row>
    <row r="18" spans="1:17" x14ac:dyDescent="0.25">
      <c r="A18" s="15">
        <f t="shared" si="1"/>
        <v>0.36458333333333337</v>
      </c>
      <c r="B18" s="13">
        <f>'Input Count AM'!T34</f>
        <v>0</v>
      </c>
      <c r="C18" s="13">
        <f>'Input Count AM'!T33</f>
        <v>2</v>
      </c>
      <c r="D18" s="13">
        <f>'Input Count AM'!T32</f>
        <v>3</v>
      </c>
      <c r="E18" s="35"/>
      <c r="F18" s="35">
        <f>'Input Count AM'!T26</f>
        <v>0</v>
      </c>
      <c r="G18" s="35">
        <f>'Input Count AM'!T25</f>
        <v>0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0</v>
      </c>
      <c r="O18" s="35">
        <f>'Input Count AM'!T21</f>
        <v>0</v>
      </c>
      <c r="P18" s="35">
        <f>'Input Count AM'!T20</f>
        <v>0</v>
      </c>
      <c r="Q18" s="35"/>
    </row>
    <row r="19" spans="1:17" x14ac:dyDescent="0.25">
      <c r="A19" t="s">
        <v>1</v>
      </c>
      <c r="B19" s="35">
        <f>SUM(B15:B18)</f>
        <v>2</v>
      </c>
      <c r="C19" s="35">
        <f>SUM(C15:C18)</f>
        <v>3</v>
      </c>
      <c r="D19" s="35">
        <f>SUM(D15:D18)</f>
        <v>11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0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Logan</v>
      </c>
      <c r="C22" s="71"/>
      <c r="D22" s="71"/>
      <c r="E22" s="71"/>
      <c r="F22" s="71"/>
      <c r="G22" s="71"/>
      <c r="H22" s="71"/>
      <c r="I22" s="71"/>
      <c r="J22" s="71" t="str">
        <f>J$2</f>
        <v>19th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0.33333333333333331</v>
      </c>
      <c r="B25" s="35">
        <f>'Input Count AM'!E50</f>
        <v>1</v>
      </c>
      <c r="C25" s="35">
        <f>'Input Count AM'!E49</f>
        <v>17</v>
      </c>
      <c r="D25" s="35">
        <f>'Input Count AM'!E48</f>
        <v>12</v>
      </c>
      <c r="E25" s="35"/>
      <c r="F25" s="35">
        <f>'Input Count AM'!E42</f>
        <v>0</v>
      </c>
      <c r="G25" s="35">
        <f>'Input Count AM'!E41</f>
        <v>0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0</v>
      </c>
      <c r="O25" s="35">
        <f>'Input Count AM'!E37</f>
        <v>0</v>
      </c>
      <c r="P25" s="35">
        <f>'Input Count AM'!E36</f>
        <v>0</v>
      </c>
      <c r="Q25" s="35"/>
    </row>
    <row r="26" spans="1:17" x14ac:dyDescent="0.25">
      <c r="A26" s="15">
        <f>A25+TIME(0,15,0)</f>
        <v>0.34375</v>
      </c>
      <c r="B26" s="35">
        <f>'Input Count AM'!J50</f>
        <v>1</v>
      </c>
      <c r="C26" s="35">
        <f>'Input Count AM'!J49</f>
        <v>20</v>
      </c>
      <c r="D26" s="35">
        <f>'Input Count AM'!J48</f>
        <v>4</v>
      </c>
      <c r="E26" s="35"/>
      <c r="F26" s="35">
        <f>'Input Count AM'!J42</f>
        <v>0</v>
      </c>
      <c r="G26" s="35">
        <f>'Input Count AM'!J41</f>
        <v>0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0</v>
      </c>
      <c r="O26" s="35">
        <f>'Input Count AM'!J37</f>
        <v>0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0.35416666666666669</v>
      </c>
      <c r="B27" s="35">
        <f>'Input Count AM'!O50</f>
        <v>0</v>
      </c>
      <c r="C27" s="35">
        <f>'Input Count AM'!O49</f>
        <v>19</v>
      </c>
      <c r="D27" s="35">
        <f>'Input Count AM'!O48</f>
        <v>12</v>
      </c>
      <c r="E27" s="35"/>
      <c r="F27" s="35">
        <f>'Input Count AM'!O42</f>
        <v>0</v>
      </c>
      <c r="G27" s="35">
        <f>'Input Count AM'!O41</f>
        <v>0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0</v>
      </c>
      <c r="P27" s="35">
        <f>'Input Count AM'!O36</f>
        <v>0</v>
      </c>
      <c r="Q27" s="35"/>
    </row>
    <row r="28" spans="1:17" x14ac:dyDescent="0.25">
      <c r="A28" s="15">
        <f t="shared" si="2"/>
        <v>0.36458333333333337</v>
      </c>
      <c r="B28" s="35">
        <f>'Input Count AM'!T50</f>
        <v>0</v>
      </c>
      <c r="C28" s="35">
        <f>'Input Count AM'!T49</f>
        <v>29</v>
      </c>
      <c r="D28" s="35">
        <f>'Input Count AM'!T48</f>
        <v>10</v>
      </c>
      <c r="E28" s="35"/>
      <c r="F28" s="35">
        <f>'Input Count AM'!T42</f>
        <v>0</v>
      </c>
      <c r="G28" s="35">
        <f>'Input Count AM'!T41</f>
        <v>0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0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0</v>
      </c>
      <c r="P28" s="35">
        <f>'Input Count AM'!T36</f>
        <v>0</v>
      </c>
      <c r="Q28" s="35"/>
    </row>
    <row r="29" spans="1:17" x14ac:dyDescent="0.25">
      <c r="A29" t="s">
        <v>1</v>
      </c>
      <c r="B29" s="66">
        <f>SUM(B25:D28)</f>
        <v>125</v>
      </c>
      <c r="C29" s="67"/>
      <c r="D29" s="68"/>
      <c r="E29" s="1"/>
      <c r="F29" s="66">
        <f>SUM(F25:H28)</f>
        <v>0</v>
      </c>
      <c r="G29" s="67"/>
      <c r="H29" s="68"/>
      <c r="I29" s="1"/>
      <c r="J29" s="66">
        <f>SUM(J25:L28)</f>
        <v>0</v>
      </c>
      <c r="K29" s="67"/>
      <c r="L29" s="68"/>
      <c r="M29" s="1"/>
      <c r="N29" s="66">
        <f>SUM(N25:P28)</f>
        <v>0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Logan</v>
      </c>
      <c r="C32" s="71"/>
      <c r="D32" s="71"/>
      <c r="E32" s="71"/>
      <c r="F32" s="71"/>
      <c r="G32" s="71"/>
      <c r="H32" s="71"/>
      <c r="I32" s="71"/>
      <c r="J32" s="71" t="str">
        <f>J$2</f>
        <v>19th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PEAK_START_AM</f>
        <v>0.33333333333333331</v>
      </c>
      <c r="B35" s="35">
        <f t="shared" ref="B35:D38" si="3">B5+B15</f>
        <v>55</v>
      </c>
      <c r="C35" s="35">
        <f t="shared" si="3"/>
        <v>288</v>
      </c>
      <c r="D35" s="35">
        <f t="shared" si="3"/>
        <v>132</v>
      </c>
      <c r="E35" s="35">
        <f>E5</f>
        <v>11</v>
      </c>
      <c r="F35" s="35">
        <f t="shared" ref="F35:H36" si="4">F5+F15</f>
        <v>0</v>
      </c>
      <c r="G35" s="35">
        <f t="shared" si="4"/>
        <v>0</v>
      </c>
      <c r="H35" s="35">
        <f t="shared" si="4"/>
        <v>0</v>
      </c>
      <c r="I35" s="35">
        <f>I5</f>
        <v>15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37</v>
      </c>
      <c r="N35" s="35">
        <f t="shared" ref="N35:P38" si="6">N5+N15</f>
        <v>0</v>
      </c>
      <c r="O35" s="35">
        <f t="shared" si="6"/>
        <v>0</v>
      </c>
      <c r="P35" s="35">
        <f t="shared" si="6"/>
        <v>0</v>
      </c>
      <c r="Q35" s="35">
        <f>Q5</f>
        <v>0</v>
      </c>
      <c r="R35" s="35">
        <f>SUM(B35:D35,F35:H35,J35:L35,N35:P35)</f>
        <v>475</v>
      </c>
    </row>
    <row r="36" spans="1:18" x14ac:dyDescent="0.25">
      <c r="A36" s="15">
        <f>A35+TIME(0,15,0)</f>
        <v>0.34375</v>
      </c>
      <c r="B36" s="35">
        <f t="shared" si="3"/>
        <v>47</v>
      </c>
      <c r="C36" s="35">
        <f t="shared" si="3"/>
        <v>271</v>
      </c>
      <c r="D36" s="35">
        <f t="shared" si="3"/>
        <v>177</v>
      </c>
      <c r="E36" s="35">
        <f>E6</f>
        <v>12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14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48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Q6</f>
        <v>0</v>
      </c>
      <c r="R36" s="35">
        <f>SUM(B36:D36,F36:H36,J36:L36,N36:P36)</f>
        <v>495</v>
      </c>
    </row>
    <row r="37" spans="1:18" x14ac:dyDescent="0.25">
      <c r="A37" s="15">
        <f t="shared" ref="A37:A38" si="8">A36+TIME(0,15,0)</f>
        <v>0.35416666666666669</v>
      </c>
      <c r="B37" s="35">
        <f t="shared" si="3"/>
        <v>23</v>
      </c>
      <c r="C37" s="35">
        <f t="shared" si="3"/>
        <v>294</v>
      </c>
      <c r="D37" s="35">
        <f t="shared" si="3"/>
        <v>163</v>
      </c>
      <c r="E37" s="35">
        <f>E7</f>
        <v>4</v>
      </c>
      <c r="F37" s="35">
        <f>F7+F17</f>
        <v>0</v>
      </c>
      <c r="G37" s="35">
        <f t="shared" ref="G37:H37" si="9">G7+G17</f>
        <v>0</v>
      </c>
      <c r="H37" s="35">
        <f t="shared" si="9"/>
        <v>0</v>
      </c>
      <c r="I37" s="35">
        <f>I7</f>
        <v>17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35</v>
      </c>
      <c r="N37" s="35">
        <f t="shared" si="6"/>
        <v>0</v>
      </c>
      <c r="O37" s="35">
        <f t="shared" si="6"/>
        <v>0</v>
      </c>
      <c r="P37" s="35">
        <f t="shared" si="6"/>
        <v>0</v>
      </c>
      <c r="Q37" s="35">
        <f>Q7</f>
        <v>0</v>
      </c>
      <c r="R37" s="35">
        <f t="shared" ref="R37" si="10">SUM(B37:D37,F37:H37,J37:L37,N37:P37)</f>
        <v>480</v>
      </c>
    </row>
    <row r="38" spans="1:18" ht="15.75" thickBot="1" x14ac:dyDescent="0.3">
      <c r="A38" s="15">
        <f t="shared" si="8"/>
        <v>0.36458333333333337</v>
      </c>
      <c r="B38" s="42">
        <f t="shared" si="3"/>
        <v>34</v>
      </c>
      <c r="C38" s="42">
        <f t="shared" si="3"/>
        <v>339</v>
      </c>
      <c r="D38" s="42">
        <f t="shared" si="3"/>
        <v>192</v>
      </c>
      <c r="E38" s="42">
        <f>E8</f>
        <v>13</v>
      </c>
      <c r="F38" s="42">
        <f>F8+F18</f>
        <v>0</v>
      </c>
      <c r="G38" s="42">
        <f>G8+G18</f>
        <v>0</v>
      </c>
      <c r="H38" s="42">
        <f t="shared" ref="H38" si="11">H8+H18</f>
        <v>0</v>
      </c>
      <c r="I38" s="42">
        <f>I8</f>
        <v>23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34</v>
      </c>
      <c r="N38" s="42">
        <f t="shared" si="6"/>
        <v>0</v>
      </c>
      <c r="O38" s="42">
        <f t="shared" si="6"/>
        <v>0</v>
      </c>
      <c r="P38" s="42">
        <f t="shared" si="6"/>
        <v>0</v>
      </c>
      <c r="Q38" s="42">
        <f>Q8</f>
        <v>0</v>
      </c>
      <c r="R38" s="42">
        <f>SUM(B38:D38,F38:H38,J38:L38,N38:P38)</f>
        <v>565</v>
      </c>
    </row>
    <row r="39" spans="1:18" x14ac:dyDescent="0.25">
      <c r="A39" t="s">
        <v>1</v>
      </c>
      <c r="B39" s="28">
        <f>SUM(B35:B38)</f>
        <v>159</v>
      </c>
      <c r="C39" s="28">
        <f t="shared" ref="C39:R39" si="12">SUM(C35:C38)</f>
        <v>1192</v>
      </c>
      <c r="D39" s="28">
        <f t="shared" si="12"/>
        <v>664</v>
      </c>
      <c r="E39" s="28">
        <f>SUM(E35:E38)</f>
        <v>40</v>
      </c>
      <c r="F39" s="28">
        <f t="shared" si="12"/>
        <v>0</v>
      </c>
      <c r="G39" s="28">
        <f t="shared" si="12"/>
        <v>0</v>
      </c>
      <c r="H39" s="28">
        <f t="shared" si="12"/>
        <v>0</v>
      </c>
      <c r="I39" s="28">
        <f t="shared" si="12"/>
        <v>69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154</v>
      </c>
      <c r="N39" s="28">
        <f t="shared" si="12"/>
        <v>0</v>
      </c>
      <c r="O39" s="28">
        <f t="shared" si="12"/>
        <v>0</v>
      </c>
      <c r="P39" s="28">
        <f t="shared" si="12"/>
        <v>0</v>
      </c>
      <c r="Q39" s="28">
        <f t="shared" si="12"/>
        <v>0</v>
      </c>
      <c r="R39" s="28">
        <f t="shared" si="12"/>
        <v>2015</v>
      </c>
    </row>
  </sheetData>
  <mergeCells count="33">
    <mergeCell ref="B2:I2"/>
    <mergeCell ref="J2:Q2"/>
    <mergeCell ref="B3:E3"/>
    <mergeCell ref="F3:I3"/>
    <mergeCell ref="J3:M3"/>
    <mergeCell ref="N3:Q3"/>
    <mergeCell ref="B12:I12"/>
    <mergeCell ref="J12:Q12"/>
    <mergeCell ref="B13:E13"/>
    <mergeCell ref="F13:I13"/>
    <mergeCell ref="J13:M13"/>
    <mergeCell ref="N13:Q13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29:D29"/>
    <mergeCell ref="F29:H29"/>
    <mergeCell ref="J29:L29"/>
    <mergeCell ref="N29:P29"/>
    <mergeCell ref="R33:R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50"/>
  <sheetViews>
    <sheetView tabSelected="1"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68</v>
      </c>
      <c r="B2" t="s">
        <v>25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68</v>
      </c>
      <c r="B3" t="s">
        <v>25</v>
      </c>
      <c r="C3" t="s">
        <v>69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 t="s">
        <v>25</v>
      </c>
      <c r="C4" t="s">
        <v>70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68</v>
      </c>
      <c r="B9" t="s">
        <v>29</v>
      </c>
      <c r="C9" t="s">
        <v>71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68</v>
      </c>
      <c r="B10" t="s">
        <v>33</v>
      </c>
      <c r="C10" t="s">
        <v>13</v>
      </c>
      <c r="D10">
        <v>68</v>
      </c>
      <c r="E10">
        <v>70</v>
      </c>
      <c r="F10">
        <v>61</v>
      </c>
      <c r="G10">
        <v>87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68</v>
      </c>
      <c r="B15" t="s">
        <v>37</v>
      </c>
      <c r="C15" t="s">
        <v>69</v>
      </c>
      <c r="D15">
        <v>100</v>
      </c>
      <c r="E15">
        <v>93</v>
      </c>
      <c r="F15">
        <v>97</v>
      </c>
      <c r="G15">
        <v>87</v>
      </c>
    </row>
    <row r="16" spans="1:7" x14ac:dyDescent="0.25">
      <c r="A16" t="s">
        <v>68</v>
      </c>
      <c r="B16" t="s">
        <v>37</v>
      </c>
      <c r="C16" t="s">
        <v>70</v>
      </c>
      <c r="D16">
        <v>220</v>
      </c>
      <c r="E16">
        <v>270</v>
      </c>
      <c r="F16">
        <v>211</v>
      </c>
      <c r="G16">
        <v>184</v>
      </c>
    </row>
    <row r="17" spans="1:7" x14ac:dyDescent="0.25">
      <c r="A17" t="s">
        <v>68</v>
      </c>
      <c r="B17" t="s">
        <v>37</v>
      </c>
      <c r="C17" t="s">
        <v>71</v>
      </c>
      <c r="D17">
        <v>24</v>
      </c>
      <c r="E17">
        <v>36</v>
      </c>
      <c r="F17">
        <v>49</v>
      </c>
      <c r="G17">
        <v>31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5</v>
      </c>
      <c r="E31">
        <v>3</v>
      </c>
      <c r="F31">
        <v>4</v>
      </c>
      <c r="G31">
        <v>4</v>
      </c>
    </row>
    <row r="32" spans="1:7" x14ac:dyDescent="0.25">
      <c r="A32" t="s">
        <v>72</v>
      </c>
      <c r="B32" t="s">
        <v>37</v>
      </c>
      <c r="C32" t="s">
        <v>70</v>
      </c>
      <c r="D32">
        <v>3</v>
      </c>
      <c r="E32">
        <v>1</v>
      </c>
      <c r="F32">
        <v>1</v>
      </c>
      <c r="G32">
        <v>2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3</v>
      </c>
      <c r="E40">
        <v>1</v>
      </c>
      <c r="F40">
        <v>0</v>
      </c>
      <c r="G40">
        <v>1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1</v>
      </c>
      <c r="E47">
        <v>0</v>
      </c>
      <c r="F47">
        <v>5</v>
      </c>
      <c r="G47">
        <v>1</v>
      </c>
    </row>
    <row r="48" spans="1:7" x14ac:dyDescent="0.25">
      <c r="A48" t="s">
        <v>73</v>
      </c>
      <c r="B48" t="s">
        <v>37</v>
      </c>
      <c r="C48" t="s">
        <v>70</v>
      </c>
      <c r="D48">
        <v>10</v>
      </c>
      <c r="E48">
        <v>1</v>
      </c>
      <c r="F48">
        <v>12</v>
      </c>
      <c r="G48">
        <v>11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 x14ac:dyDescent="0.25">
      <c r="D50">
        <f>SUM(D15:D17)</f>
        <v>344</v>
      </c>
      <c r="E50">
        <f>SUM(E15:E17)</f>
        <v>399</v>
      </c>
      <c r="F50">
        <f>SUM(F15:F17)</f>
        <v>357</v>
      </c>
      <c r="G50">
        <f>SUM(G15:G17)</f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PM'!D2</f>
        <v>0</v>
      </c>
      <c r="F3" s="5"/>
      <c r="G3" s="65" t="s">
        <v>25</v>
      </c>
      <c r="H3" s="32" t="s">
        <v>13</v>
      </c>
      <c r="I3" s="32">
        <v>1</v>
      </c>
      <c r="J3" s="31">
        <f>'App Input AM'!E2</f>
        <v>0</v>
      </c>
      <c r="K3" s="5"/>
      <c r="L3" s="65" t="s">
        <v>25</v>
      </c>
      <c r="M3" s="32" t="s">
        <v>13</v>
      </c>
      <c r="N3" s="32">
        <v>1</v>
      </c>
      <c r="O3" s="31">
        <f>'App Input AM'!F2</f>
        <v>0</v>
      </c>
      <c r="P3" s="5"/>
      <c r="Q3" s="65" t="s">
        <v>25</v>
      </c>
      <c r="R3" s="32" t="s">
        <v>13</v>
      </c>
      <c r="S3" s="32">
        <v>1</v>
      </c>
      <c r="T3" s="31">
        <f>'App Input AM'!G2</f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PM'!D3</f>
        <v>0</v>
      </c>
      <c r="F4" s="5"/>
      <c r="G4" s="52"/>
      <c r="H4" s="32" t="s">
        <v>26</v>
      </c>
      <c r="I4" s="32">
        <v>2</v>
      </c>
      <c r="J4" s="32">
        <f>'App Input AM'!E3</f>
        <v>0</v>
      </c>
      <c r="K4" s="5"/>
      <c r="L4" s="52"/>
      <c r="M4" s="32" t="s">
        <v>26</v>
      </c>
      <c r="N4" s="32">
        <v>2</v>
      </c>
      <c r="O4" s="32">
        <f>'App Input AM'!F3</f>
        <v>0</v>
      </c>
      <c r="P4" s="5"/>
      <c r="Q4" s="52"/>
      <c r="R4" s="32" t="s">
        <v>26</v>
      </c>
      <c r="S4" s="32">
        <v>2</v>
      </c>
      <c r="T4" s="32">
        <f>'App Input AM'!G3</f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PM'!D4</f>
        <v>0</v>
      </c>
      <c r="F5" s="5"/>
      <c r="G5" s="52"/>
      <c r="H5" s="32" t="s">
        <v>27</v>
      </c>
      <c r="I5" s="32">
        <v>3</v>
      </c>
      <c r="J5" s="32">
        <f>'App Input AM'!E4</f>
        <v>0</v>
      </c>
      <c r="K5" s="5"/>
      <c r="L5" s="52"/>
      <c r="M5" s="32" t="s">
        <v>27</v>
      </c>
      <c r="N5" s="32">
        <v>3</v>
      </c>
      <c r="O5" s="32">
        <f>'App Input AM'!F4</f>
        <v>0</v>
      </c>
      <c r="P5" s="5"/>
      <c r="Q5" s="52"/>
      <c r="R5" s="32" t="s">
        <v>27</v>
      </c>
      <c r="S5" s="32">
        <v>3</v>
      </c>
      <c r="T5" s="32">
        <f>'App Input AM'!G4</f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PM'!D5</f>
        <v>0</v>
      </c>
      <c r="F6" s="5"/>
      <c r="G6" s="52"/>
      <c r="H6" s="32" t="s">
        <v>28</v>
      </c>
      <c r="I6" s="32">
        <v>4</v>
      </c>
      <c r="J6" s="32">
        <f>'App Input AM'!E5</f>
        <v>0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PM'!D6</f>
        <v>0</v>
      </c>
      <c r="F7" s="6"/>
      <c r="G7" s="53" t="s">
        <v>29</v>
      </c>
      <c r="H7" s="33" t="s">
        <v>13</v>
      </c>
      <c r="I7" s="33">
        <v>5</v>
      </c>
      <c r="J7" s="33">
        <f>'App Input AM'!E6</f>
        <v>14</v>
      </c>
      <c r="K7" s="6"/>
      <c r="L7" s="53" t="s">
        <v>29</v>
      </c>
      <c r="M7" s="33" t="s">
        <v>13</v>
      </c>
      <c r="N7" s="33">
        <v>5</v>
      </c>
      <c r="O7" s="33">
        <f>'App Input AM'!F6</f>
        <v>17</v>
      </c>
      <c r="P7" s="6"/>
      <c r="Q7" s="53" t="s">
        <v>29</v>
      </c>
      <c r="R7" s="33" t="s">
        <v>13</v>
      </c>
      <c r="S7" s="33">
        <v>5</v>
      </c>
      <c r="T7" s="33">
        <f>'App Input AM'!G6</f>
        <v>23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PM'!D7</f>
        <v>0</v>
      </c>
      <c r="F8" s="6"/>
      <c r="G8" s="53"/>
      <c r="H8" s="33" t="s">
        <v>30</v>
      </c>
      <c r="I8" s="33">
        <v>6</v>
      </c>
      <c r="J8" s="33">
        <f>'App Input AM'!E7</f>
        <v>0</v>
      </c>
      <c r="K8" s="6"/>
      <c r="L8" s="53"/>
      <c r="M8" s="33" t="s">
        <v>30</v>
      </c>
      <c r="N8" s="33">
        <v>6</v>
      </c>
      <c r="O8" s="33">
        <f>'App Input AM'!F7</f>
        <v>0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PM'!D8</f>
        <v>1</v>
      </c>
      <c r="F9" s="6"/>
      <c r="G9" s="53"/>
      <c r="H9" s="33" t="s">
        <v>31</v>
      </c>
      <c r="I9" s="33">
        <v>7</v>
      </c>
      <c r="J9" s="33">
        <f>'App Input AM'!E8</f>
        <v>0</v>
      </c>
      <c r="K9" s="6"/>
      <c r="L9" s="53"/>
      <c r="M9" s="33" t="s">
        <v>31</v>
      </c>
      <c r="N9" s="33">
        <v>7</v>
      </c>
      <c r="O9" s="33">
        <f>'App Input AM'!F8</f>
        <v>0</v>
      </c>
      <c r="P9" s="6"/>
      <c r="Q9" s="53"/>
      <c r="R9" s="33" t="s">
        <v>31</v>
      </c>
      <c r="S9" s="33">
        <v>7</v>
      </c>
      <c r="T9" s="33">
        <f>'App Input AM'!G8</f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PM'!D9</f>
        <v>0</v>
      </c>
      <c r="F10" s="6"/>
      <c r="G10" s="53"/>
      <c r="H10" s="33" t="s">
        <v>32</v>
      </c>
      <c r="I10" s="33">
        <v>8</v>
      </c>
      <c r="J10" s="33">
        <f>'App Input AM'!E9</f>
        <v>0</v>
      </c>
      <c r="K10" s="6"/>
      <c r="L10" s="53"/>
      <c r="M10" s="33" t="s">
        <v>32</v>
      </c>
      <c r="N10" s="33">
        <v>8</v>
      </c>
      <c r="O10" s="33">
        <f>'App Input AM'!F9</f>
        <v>0</v>
      </c>
      <c r="P10" s="6"/>
      <c r="Q10" s="53"/>
      <c r="R10" s="33" t="s">
        <v>32</v>
      </c>
      <c r="S10" s="33">
        <v>8</v>
      </c>
      <c r="T10" s="33">
        <f>'App Input AM'!G9</f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PM'!D10</f>
        <v>68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48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35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34</v>
      </c>
    </row>
    <row r="12" spans="2:21" x14ac:dyDescent="0.25">
      <c r="B12" s="52"/>
      <c r="C12" s="32" t="s">
        <v>34</v>
      </c>
      <c r="D12" s="32">
        <v>10</v>
      </c>
      <c r="E12" s="32">
        <f>'App Input PM'!D11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PM'!D12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PM'!D13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PM'!D14</f>
        <v>0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12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4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13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PM'!D15</f>
        <v>100</v>
      </c>
      <c r="F16" s="23"/>
      <c r="G16" s="53"/>
      <c r="H16" s="21" t="s">
        <v>38</v>
      </c>
      <c r="I16" s="21">
        <v>14</v>
      </c>
      <c r="J16" s="21">
        <f>'App Input AM'!E15</f>
        <v>175</v>
      </c>
      <c r="K16" s="23"/>
      <c r="L16" s="53"/>
      <c r="M16" s="21" t="s">
        <v>38</v>
      </c>
      <c r="N16" s="21">
        <v>14</v>
      </c>
      <c r="O16" s="21">
        <f>'App Input AM'!F15</f>
        <v>159</v>
      </c>
      <c r="P16" s="23"/>
      <c r="Q16" s="53"/>
      <c r="R16" s="21" t="s">
        <v>38</v>
      </c>
      <c r="S16" s="21">
        <v>14</v>
      </c>
      <c r="T16" s="21">
        <f>'App Input AM'!G15</f>
        <v>189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PM'!D16</f>
        <v>220</v>
      </c>
      <c r="F17" s="23"/>
      <c r="G17" s="53"/>
      <c r="H17" s="21" t="s">
        <v>39</v>
      </c>
      <c r="I17" s="21">
        <v>15</v>
      </c>
      <c r="J17" s="21">
        <f>'App Input AM'!E16</f>
        <v>270</v>
      </c>
      <c r="K17" s="23"/>
      <c r="L17" s="53"/>
      <c r="M17" s="21" t="s">
        <v>39</v>
      </c>
      <c r="N17" s="21">
        <v>15</v>
      </c>
      <c r="O17" s="21">
        <f>'App Input AM'!F16</f>
        <v>294</v>
      </c>
      <c r="P17" s="23"/>
      <c r="Q17" s="53"/>
      <c r="R17" s="21" t="s">
        <v>39</v>
      </c>
      <c r="S17" s="21">
        <v>15</v>
      </c>
      <c r="T17" s="21">
        <f>'App Input AM'!G16</f>
        <v>337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PM'!D17</f>
        <v>24</v>
      </c>
      <c r="F18" s="23"/>
      <c r="G18" s="53"/>
      <c r="H18" s="21" t="s">
        <v>40</v>
      </c>
      <c r="I18" s="21">
        <v>16</v>
      </c>
      <c r="J18" s="21">
        <f>'App Input AM'!E17</f>
        <v>45</v>
      </c>
      <c r="K18" s="23"/>
      <c r="L18" s="53"/>
      <c r="M18" s="21" t="s">
        <v>40</v>
      </c>
      <c r="N18" s="21">
        <v>16</v>
      </c>
      <c r="O18" s="21">
        <f>'App Input AM'!F17</f>
        <v>23</v>
      </c>
      <c r="P18" s="23"/>
      <c r="Q18" s="53"/>
      <c r="R18" s="21" t="s">
        <v>40</v>
      </c>
      <c r="S18" s="21">
        <v>16</v>
      </c>
      <c r="T18" s="21">
        <f>'App Input AM'!G17</f>
        <v>34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PM'!D19</f>
        <v>0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PM'!D20</f>
        <v>0</v>
      </c>
      <c r="F21" s="5"/>
      <c r="G21" s="52"/>
      <c r="H21" s="32" t="s">
        <v>27</v>
      </c>
      <c r="I21" s="32">
        <v>19</v>
      </c>
      <c r="J21" s="32">
        <f>'App Input AM'!E20</f>
        <v>0</v>
      </c>
      <c r="K21" s="5"/>
      <c r="L21" s="52"/>
      <c r="M21" s="32" t="s">
        <v>27</v>
      </c>
      <c r="N21" s="32">
        <v>19</v>
      </c>
      <c r="O21" s="32">
        <f>'App Input AM'!F20</f>
        <v>0</v>
      </c>
      <c r="P21" s="5"/>
      <c r="Q21" s="52"/>
      <c r="R21" s="32" t="s">
        <v>27</v>
      </c>
      <c r="S21" s="32">
        <v>19</v>
      </c>
      <c r="T21" s="32">
        <f>'App Input AM'!G20</f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PM'!D21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PM'!D23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PM'!D24</f>
        <v>0</v>
      </c>
      <c r="F25" s="6"/>
      <c r="G25" s="53"/>
      <c r="H25" s="33" t="s">
        <v>31</v>
      </c>
      <c r="I25" s="33">
        <v>23</v>
      </c>
      <c r="J25" s="33">
        <f>'App Input AM'!E24</f>
        <v>0</v>
      </c>
      <c r="K25" s="6"/>
      <c r="L25" s="53"/>
      <c r="M25" s="33" t="s">
        <v>31</v>
      </c>
      <c r="N25" s="33">
        <v>23</v>
      </c>
      <c r="O25" s="33">
        <f>'App Input AM'!F24</f>
        <v>0</v>
      </c>
      <c r="P25" s="6"/>
      <c r="Q25" s="53"/>
      <c r="R25" s="33" t="s">
        <v>31</v>
      </c>
      <c r="S25" s="33">
        <v>23</v>
      </c>
      <c r="T25" s="33">
        <f>'App Input AM'!G24</f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PM'!D25</f>
        <v>0</v>
      </c>
      <c r="F26" s="6"/>
      <c r="G26" s="53"/>
      <c r="H26" s="33" t="s">
        <v>32</v>
      </c>
      <c r="I26" s="33">
        <v>24</v>
      </c>
      <c r="J26" s="33">
        <f>'App Input AM'!E25</f>
        <v>0</v>
      </c>
      <c r="K26" s="6"/>
      <c r="L26" s="53"/>
      <c r="M26" s="33" t="s">
        <v>32</v>
      </c>
      <c r="N26" s="33">
        <v>24</v>
      </c>
      <c r="O26" s="33">
        <f>'App Input AM'!F25</f>
        <v>0</v>
      </c>
      <c r="P26" s="6"/>
      <c r="Q26" s="53"/>
      <c r="R26" s="33" t="s">
        <v>32</v>
      </c>
      <c r="S26" s="33">
        <v>24</v>
      </c>
      <c r="T26" s="33">
        <f>'App Input AM'!G25</f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PM'!D27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PM'!D28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PM'!D29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PM'!D31</f>
        <v>5</v>
      </c>
      <c r="F32" s="23"/>
      <c r="G32" s="52"/>
      <c r="H32" s="21" t="s">
        <v>38</v>
      </c>
      <c r="I32" s="21">
        <v>30</v>
      </c>
      <c r="J32" s="21">
        <f>'App Input AM'!E31</f>
        <v>2</v>
      </c>
      <c r="K32" s="23"/>
      <c r="L32" s="52"/>
      <c r="M32" s="21" t="s">
        <v>38</v>
      </c>
      <c r="N32" s="21">
        <v>30</v>
      </c>
      <c r="O32" s="21">
        <f>'App Input AM'!F31</f>
        <v>4</v>
      </c>
      <c r="P32" s="23"/>
      <c r="Q32" s="52"/>
      <c r="R32" s="21" t="s">
        <v>38</v>
      </c>
      <c r="S32" s="21">
        <v>30</v>
      </c>
      <c r="T32" s="21">
        <f>'App Input AM'!G31</f>
        <v>3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PM'!D32</f>
        <v>3</v>
      </c>
      <c r="F33" s="23"/>
      <c r="G33" s="52"/>
      <c r="H33" s="21" t="s">
        <v>39</v>
      </c>
      <c r="I33" s="21">
        <v>31</v>
      </c>
      <c r="J33" s="21">
        <f>'App Input AM'!E32</f>
        <v>1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PM'!D33</f>
        <v>0</v>
      </c>
      <c r="F34" s="26"/>
      <c r="G34" s="55"/>
      <c r="H34" s="24" t="s">
        <v>40</v>
      </c>
      <c r="I34" s="24">
        <v>32</v>
      </c>
      <c r="J34" s="24">
        <f>'App Input AM'!E33</f>
        <v>2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PM'!D35</f>
        <v>0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0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PM'!D36</f>
        <v>0</v>
      </c>
      <c r="F37" s="5"/>
      <c r="G37" s="52"/>
      <c r="H37" s="32" t="s">
        <v>27</v>
      </c>
      <c r="I37" s="32">
        <v>35</v>
      </c>
      <c r="J37" s="32">
        <f>'App Input AM'!E36</f>
        <v>0</v>
      </c>
      <c r="K37" s="5"/>
      <c r="L37" s="52"/>
      <c r="M37" s="32" t="s">
        <v>27</v>
      </c>
      <c r="N37" s="32">
        <v>35</v>
      </c>
      <c r="O37" s="32">
        <f>'App Input AM'!F36</f>
        <v>0</v>
      </c>
      <c r="P37" s="5"/>
      <c r="Q37" s="52"/>
      <c r="R37" s="32" t="s">
        <v>27</v>
      </c>
      <c r="S37" s="32">
        <v>35</v>
      </c>
      <c r="T37" s="32">
        <f>'App Input AM'!G36</f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PM'!D37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PM'!D39</f>
        <v>0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PM'!D40</f>
        <v>3</v>
      </c>
      <c r="F41" s="27"/>
      <c r="G41" s="53"/>
      <c r="H41" s="33" t="s">
        <v>31</v>
      </c>
      <c r="I41" s="33">
        <v>39</v>
      </c>
      <c r="J41" s="33">
        <f>'App Input AM'!E40</f>
        <v>0</v>
      </c>
      <c r="K41" s="27"/>
      <c r="L41" s="53"/>
      <c r="M41" s="33" t="s">
        <v>31</v>
      </c>
      <c r="N41" s="33">
        <v>39</v>
      </c>
      <c r="O41" s="33">
        <f>'App Input AM'!F40</f>
        <v>0</v>
      </c>
      <c r="P41" s="6"/>
      <c r="Q41" s="53"/>
      <c r="R41" s="33" t="s">
        <v>31</v>
      </c>
      <c r="S41" s="33">
        <v>39</v>
      </c>
      <c r="T41" s="33">
        <f>'App Input AM'!G40</f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PM'!D41</f>
        <v>0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0</v>
      </c>
      <c r="P42" s="6"/>
      <c r="Q42" s="53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PM'!D43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PM'!D44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PM'!D45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PM'!D47</f>
        <v>1</v>
      </c>
      <c r="F48" s="6"/>
      <c r="G48" s="53"/>
      <c r="H48" s="33" t="s">
        <v>38</v>
      </c>
      <c r="I48" s="33">
        <v>46</v>
      </c>
      <c r="J48" s="33">
        <f>'App Input AM'!E47</f>
        <v>4</v>
      </c>
      <c r="K48" s="6"/>
      <c r="L48" s="53"/>
      <c r="M48" s="33" t="s">
        <v>38</v>
      </c>
      <c r="N48" s="33">
        <v>46</v>
      </c>
      <c r="O48" s="33">
        <f>'App Input AM'!F47</f>
        <v>12</v>
      </c>
      <c r="P48" s="6"/>
      <c r="Q48" s="53"/>
      <c r="R48" s="33" t="s">
        <v>38</v>
      </c>
      <c r="S48" s="33">
        <v>46</v>
      </c>
      <c r="T48" s="33">
        <f>'App Input AM'!G47</f>
        <v>10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PM'!D48</f>
        <v>10</v>
      </c>
      <c r="F49" s="6"/>
      <c r="G49" s="53"/>
      <c r="H49" s="33" t="s">
        <v>39</v>
      </c>
      <c r="I49" s="33">
        <v>47</v>
      </c>
      <c r="J49" s="33">
        <f>'App Input AM'!E48</f>
        <v>20</v>
      </c>
      <c r="K49" s="6"/>
      <c r="L49" s="53"/>
      <c r="M49" s="33" t="s">
        <v>39</v>
      </c>
      <c r="N49" s="33">
        <v>47</v>
      </c>
      <c r="O49" s="33">
        <f>'App Input AM'!F48</f>
        <v>19</v>
      </c>
      <c r="P49" s="6"/>
      <c r="Q49" s="53"/>
      <c r="R49" s="33" t="s">
        <v>39</v>
      </c>
      <c r="S49" s="33">
        <v>47</v>
      </c>
      <c r="T49" s="33">
        <f>'App Input AM'!G48</f>
        <v>29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PM'!D49</f>
        <v>0</v>
      </c>
      <c r="F50" s="7"/>
      <c r="G50" s="54"/>
      <c r="H50" s="34" t="s">
        <v>40</v>
      </c>
      <c r="I50" s="34">
        <v>48</v>
      </c>
      <c r="J50" s="34">
        <f>'App Input AM'!E49</f>
        <v>1</v>
      </c>
      <c r="K50" s="7"/>
      <c r="L50" s="54"/>
      <c r="M50" s="34" t="s">
        <v>40</v>
      </c>
      <c r="N50" s="34">
        <v>48</v>
      </c>
      <c r="O50" s="34">
        <f>'App Input AM'!F49</f>
        <v>0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Logan</v>
      </c>
      <c r="C2" s="71"/>
      <c r="D2" s="71"/>
      <c r="E2" s="71"/>
      <c r="F2" s="71"/>
      <c r="G2" s="71"/>
      <c r="H2" s="71"/>
      <c r="I2" s="71"/>
      <c r="J2" s="71" t="str">
        <f>'General Info'!B2</f>
        <v>19th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24</v>
      </c>
      <c r="C5" s="13">
        <f>'Input Count PM'!E17</f>
        <v>220</v>
      </c>
      <c r="D5" s="13">
        <f>'Input Count PM'!E16</f>
        <v>100</v>
      </c>
      <c r="E5" s="35">
        <f>'Input Count PM'!E15</f>
        <v>0</v>
      </c>
      <c r="F5" s="35">
        <f>'Input Count PM'!E10</f>
        <v>0</v>
      </c>
      <c r="G5" s="35">
        <f>'Input Count PM'!E9</f>
        <v>1</v>
      </c>
      <c r="H5" s="35">
        <f>'Input Count PM'!E8</f>
        <v>0</v>
      </c>
      <c r="I5" s="35">
        <f>'Input Count PM'!E7</f>
        <v>0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68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0</v>
      </c>
    </row>
    <row r="6" spans="1:17" x14ac:dyDescent="0.25">
      <c r="A6" s="15">
        <f>A5+TIME(0,15,0)</f>
        <v>0.70833333333333326</v>
      </c>
      <c r="B6" s="13">
        <f>'Input Count PM'!J18</f>
        <v>45</v>
      </c>
      <c r="C6" s="13">
        <f>'Input Count PM'!J17</f>
        <v>270</v>
      </c>
      <c r="D6" s="13">
        <f>'Input Count PM'!J16</f>
        <v>175</v>
      </c>
      <c r="E6" s="35">
        <f>'Input Count PM'!J15</f>
        <v>12</v>
      </c>
      <c r="F6" s="35">
        <f>'Input Count PM'!J10</f>
        <v>0</v>
      </c>
      <c r="G6" s="35">
        <f>'Input Count PM'!J9</f>
        <v>0</v>
      </c>
      <c r="H6" s="35">
        <f>'Input Count PM'!J8</f>
        <v>0</v>
      </c>
      <c r="I6" s="35">
        <f>'Input Count PM'!J7</f>
        <v>14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48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0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23</v>
      </c>
      <c r="C7" s="13">
        <f>'Input Count PM'!O17</f>
        <v>294</v>
      </c>
      <c r="D7" s="13">
        <f>'Input Count PM'!O16</f>
        <v>159</v>
      </c>
      <c r="E7" s="35">
        <f>'Input Count PM'!O15</f>
        <v>4</v>
      </c>
      <c r="F7" s="35">
        <f>'Input Count PM'!O10</f>
        <v>0</v>
      </c>
      <c r="G7" s="35">
        <f>'Input Count PM'!O9</f>
        <v>0</v>
      </c>
      <c r="H7" s="35">
        <f>'Input Count PM'!O8</f>
        <v>0</v>
      </c>
      <c r="I7" s="35">
        <f>'Input Count PM'!O7</f>
        <v>17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35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0</v>
      </c>
    </row>
    <row r="8" spans="1:17" x14ac:dyDescent="0.25">
      <c r="A8" s="15">
        <f t="shared" si="0"/>
        <v>0.72916666666666652</v>
      </c>
      <c r="B8" s="13">
        <f>'Input Count PM'!T18</f>
        <v>34</v>
      </c>
      <c r="C8" s="13">
        <f>'Input Count PM'!T17</f>
        <v>337</v>
      </c>
      <c r="D8" s="13">
        <f>'Input Count PM'!T16</f>
        <v>189</v>
      </c>
      <c r="E8" s="35">
        <f>'Input Count PM'!T15</f>
        <v>13</v>
      </c>
      <c r="F8" s="35">
        <f>'Input Count PM'!T10</f>
        <v>0</v>
      </c>
      <c r="G8" s="35">
        <f>'Input Count PM'!T9</f>
        <v>0</v>
      </c>
      <c r="H8" s="35">
        <f>'Input Count PM'!T8</f>
        <v>0</v>
      </c>
      <c r="I8" s="35">
        <f>'Input Count PM'!T7</f>
        <v>23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34</v>
      </c>
      <c r="N8" s="35">
        <f>'Input Count PM'!T6</f>
        <v>0</v>
      </c>
      <c r="O8" s="35">
        <f>'Input Count PM'!T5</f>
        <v>0</v>
      </c>
      <c r="P8" s="35">
        <f>'Input Count PM'!T4</f>
        <v>0</v>
      </c>
      <c r="Q8" s="35">
        <f>'Input Count PM'!T3</f>
        <v>0</v>
      </c>
    </row>
    <row r="9" spans="1:17" x14ac:dyDescent="0.25">
      <c r="A9" t="s">
        <v>1</v>
      </c>
      <c r="B9" s="35">
        <f>SUM(B5:B8)</f>
        <v>126</v>
      </c>
      <c r="C9" s="35">
        <f>SUM(C5:C8)</f>
        <v>1121</v>
      </c>
      <c r="D9" s="35">
        <f>SUM(D5:D8)</f>
        <v>623</v>
      </c>
      <c r="E9" s="1"/>
      <c r="F9" s="35">
        <f>SUM(F5:F8)</f>
        <v>0</v>
      </c>
      <c r="G9" s="35">
        <f>SUM(G5:G8)</f>
        <v>1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0</v>
      </c>
      <c r="P9" s="35">
        <f>SUM(P5:P8)</f>
        <v>0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Logan</v>
      </c>
      <c r="C12" s="71"/>
      <c r="D12" s="71"/>
      <c r="E12" s="71"/>
      <c r="F12" s="71"/>
      <c r="G12" s="71"/>
      <c r="H12" s="71"/>
      <c r="I12" s="71"/>
      <c r="J12" s="71" t="str">
        <f>J$2</f>
        <v>19th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3</v>
      </c>
      <c r="D15" s="13">
        <f>'Input Count PM'!E32</f>
        <v>5</v>
      </c>
      <c r="E15" s="35"/>
      <c r="F15" s="35">
        <f>'Input Count PM'!E26</f>
        <v>0</v>
      </c>
      <c r="G15" s="35">
        <f>'Input Count PM'!E25</f>
        <v>0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0</v>
      </c>
      <c r="O15" s="35">
        <f>'Input Count PM'!E21</f>
        <v>0</v>
      </c>
      <c r="P15" s="35">
        <f>'Input Count PM'!E20</f>
        <v>0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2</v>
      </c>
      <c r="C16" s="13">
        <f>'Input Count PM'!J33</f>
        <v>1</v>
      </c>
      <c r="D16" s="13">
        <f>'Input Count PM'!J32</f>
        <v>2</v>
      </c>
      <c r="E16" s="35"/>
      <c r="F16" s="35">
        <f>'Input Count PM'!J26</f>
        <v>0</v>
      </c>
      <c r="G16" s="35">
        <f>'Input Count PM'!J25</f>
        <v>0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0</v>
      </c>
      <c r="O16" s="35">
        <f>'Input Count PM'!J21</f>
        <v>0</v>
      </c>
      <c r="P16" s="35">
        <f>'Input Count PM'!J20</f>
        <v>0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0</v>
      </c>
      <c r="D17" s="13">
        <f>'Input Count PM'!O32</f>
        <v>4</v>
      </c>
      <c r="E17" s="35"/>
      <c r="F17" s="35">
        <f>'Input Count PM'!O26</f>
        <v>0</v>
      </c>
      <c r="G17" s="35">
        <f>'Input Count PM'!O25</f>
        <v>0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0</v>
      </c>
      <c r="O17" s="35">
        <f>'Input Count PM'!O21</f>
        <v>0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2</v>
      </c>
      <c r="D18" s="13">
        <f>'Input Count PM'!T32</f>
        <v>3</v>
      </c>
      <c r="E18" s="35"/>
      <c r="F18" s="35">
        <f>'Input Count PM'!T26</f>
        <v>0</v>
      </c>
      <c r="G18" s="35">
        <f>'Input Count PM'!T25</f>
        <v>0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0</v>
      </c>
      <c r="O18" s="35">
        <f>'Input Count PM'!T21</f>
        <v>0</v>
      </c>
      <c r="P18" s="35">
        <f>'Input Count PM'!T20</f>
        <v>0</v>
      </c>
      <c r="Q18" s="35"/>
    </row>
    <row r="19" spans="1:17" x14ac:dyDescent="0.25">
      <c r="A19" t="s">
        <v>1</v>
      </c>
      <c r="B19" s="35">
        <f>SUM(B15:B18)</f>
        <v>2</v>
      </c>
      <c r="C19" s="35">
        <f>SUM(C15:C18)</f>
        <v>6</v>
      </c>
      <c r="D19" s="35">
        <f>SUM(D15:D18)</f>
        <v>14</v>
      </c>
      <c r="E19" s="1"/>
      <c r="F19" s="35">
        <f>SUM(F15:F18)</f>
        <v>0</v>
      </c>
      <c r="G19" s="35">
        <f>SUM(G15:G18)</f>
        <v>0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0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Logan</v>
      </c>
      <c r="C22" s="71"/>
      <c r="D22" s="71"/>
      <c r="E22" s="71"/>
      <c r="F22" s="71"/>
      <c r="G22" s="71"/>
      <c r="H22" s="71"/>
      <c r="I22" s="71"/>
      <c r="J22" s="71" t="str">
        <f>J$2</f>
        <v>19th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10</v>
      </c>
      <c r="D25" s="35">
        <f>'Input Count PM'!E48</f>
        <v>1</v>
      </c>
      <c r="E25" s="35"/>
      <c r="F25" s="35">
        <f>'Input Count PM'!E42</f>
        <v>0</v>
      </c>
      <c r="G25" s="35">
        <f>'Input Count PM'!E41</f>
        <v>3</v>
      </c>
      <c r="H25" s="35">
        <f>'Input Count PM'!E40</f>
        <v>0</v>
      </c>
      <c r="I25" s="35"/>
      <c r="J25" s="35">
        <f>'Input Count PM'!E46</f>
        <v>0</v>
      </c>
      <c r="K25" s="35">
        <f>'Input Count PM'!E45</f>
        <v>0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0</v>
      </c>
      <c r="P25" s="35">
        <f>'Input Count PM'!E36</f>
        <v>0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1</v>
      </c>
      <c r="C26" s="35">
        <f>'Input Count PM'!J49</f>
        <v>20</v>
      </c>
      <c r="D26" s="35">
        <f>'Input Count PM'!J48</f>
        <v>4</v>
      </c>
      <c r="E26" s="35"/>
      <c r="F26" s="35">
        <f>'Input Count PM'!J42</f>
        <v>0</v>
      </c>
      <c r="G26" s="35">
        <f>'Input Count PM'!J41</f>
        <v>0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0</v>
      </c>
      <c r="O26" s="35">
        <f>'Input Count PM'!J37</f>
        <v>0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0</v>
      </c>
      <c r="C27" s="35">
        <f>'Input Count PM'!O49</f>
        <v>19</v>
      </c>
      <c r="D27" s="35">
        <f>'Input Count PM'!O48</f>
        <v>12</v>
      </c>
      <c r="E27" s="35"/>
      <c r="F27" s="35">
        <f>'Input Count PM'!O42</f>
        <v>0</v>
      </c>
      <c r="G27" s="35">
        <f>'Input Count PM'!O41</f>
        <v>0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0</v>
      </c>
      <c r="P27" s="35">
        <f>'Input Count PM'!O36</f>
        <v>0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29</v>
      </c>
      <c r="D28" s="35">
        <f>'Input Count PM'!T48</f>
        <v>10</v>
      </c>
      <c r="E28" s="35"/>
      <c r="F28" s="35">
        <f>'Input Count PM'!T42</f>
        <v>0</v>
      </c>
      <c r="G28" s="35">
        <f>'Input Count PM'!T41</f>
        <v>0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0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0</v>
      </c>
      <c r="P28" s="35">
        <f>'Input Count PM'!T36</f>
        <v>0</v>
      </c>
      <c r="Q28" s="35"/>
    </row>
    <row r="29" spans="1:17" x14ac:dyDescent="0.25">
      <c r="A29" t="s">
        <v>1</v>
      </c>
      <c r="B29" s="66">
        <f>SUM(B25:D28)</f>
        <v>106</v>
      </c>
      <c r="C29" s="67"/>
      <c r="D29" s="68"/>
      <c r="E29" s="1"/>
      <c r="F29" s="66">
        <f>SUM(F25:H28)</f>
        <v>3</v>
      </c>
      <c r="G29" s="67"/>
      <c r="H29" s="68"/>
      <c r="I29" s="1"/>
      <c r="J29" s="66">
        <f>SUM(J25:L28)</f>
        <v>0</v>
      </c>
      <c r="K29" s="67"/>
      <c r="L29" s="68"/>
      <c r="M29" s="1"/>
      <c r="N29" s="66">
        <f>SUM(N25:P28)</f>
        <v>0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Logan</v>
      </c>
      <c r="C32" s="71"/>
      <c r="D32" s="71"/>
      <c r="E32" s="71"/>
      <c r="F32" s="71"/>
      <c r="G32" s="71"/>
      <c r="H32" s="71"/>
      <c r="I32" s="71"/>
      <c r="J32" s="71" t="str">
        <f>J$2</f>
        <v>19th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PEAK_START_PM</f>
        <v>0.69791666666666663</v>
      </c>
      <c r="B35" s="35">
        <f t="shared" ref="B35:D38" si="3">B5+B15</f>
        <v>24</v>
      </c>
      <c r="C35" s="35">
        <f t="shared" si="3"/>
        <v>223</v>
      </c>
      <c r="D35" s="35">
        <f t="shared" si="3"/>
        <v>105</v>
      </c>
      <c r="E35" s="35">
        <f>E5</f>
        <v>0</v>
      </c>
      <c r="F35" s="35">
        <f t="shared" ref="F35:H38" si="4">F5+F15</f>
        <v>0</v>
      </c>
      <c r="G35" s="35">
        <f t="shared" si="4"/>
        <v>1</v>
      </c>
      <c r="H35" s="35">
        <f t="shared" si="4"/>
        <v>0</v>
      </c>
      <c r="I35" s="35">
        <f>I5</f>
        <v>0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68</v>
      </c>
      <c r="N35" s="35">
        <f t="shared" ref="N35:P38" si="6">N5+N15</f>
        <v>0</v>
      </c>
      <c r="O35" s="35">
        <f t="shared" si="6"/>
        <v>0</v>
      </c>
      <c r="P35" s="35">
        <f t="shared" si="6"/>
        <v>0</v>
      </c>
      <c r="Q35" s="35">
        <f>Q5</f>
        <v>0</v>
      </c>
      <c r="R35" s="35">
        <f>SUM(B35:D35,F35:H35,J35:L35,N35:P35)</f>
        <v>353</v>
      </c>
    </row>
    <row r="36" spans="1:18" x14ac:dyDescent="0.25">
      <c r="A36" s="15">
        <f>A35+TIME(0,15,0)</f>
        <v>0.70833333333333326</v>
      </c>
      <c r="B36" s="35">
        <f t="shared" si="3"/>
        <v>47</v>
      </c>
      <c r="C36" s="35">
        <f t="shared" si="3"/>
        <v>271</v>
      </c>
      <c r="D36" s="35">
        <f t="shared" si="3"/>
        <v>177</v>
      </c>
      <c r="E36" s="35">
        <f>E6</f>
        <v>12</v>
      </c>
      <c r="F36" s="35">
        <f t="shared" si="4"/>
        <v>0</v>
      </c>
      <c r="G36" s="35">
        <f t="shared" si="4"/>
        <v>0</v>
      </c>
      <c r="H36" s="35">
        <f t="shared" si="4"/>
        <v>0</v>
      </c>
      <c r="I36" s="35">
        <f>I6</f>
        <v>14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48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Q6</f>
        <v>0</v>
      </c>
      <c r="R36" s="35">
        <f>SUM(B36:D36,F36:H36,J36:L36,N36:P36)</f>
        <v>495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23</v>
      </c>
      <c r="C37" s="35">
        <f t="shared" si="3"/>
        <v>294</v>
      </c>
      <c r="D37" s="35">
        <f t="shared" si="3"/>
        <v>163</v>
      </c>
      <c r="E37" s="35">
        <f>E7</f>
        <v>4</v>
      </c>
      <c r="F37" s="35">
        <f t="shared" si="4"/>
        <v>0</v>
      </c>
      <c r="G37" s="35">
        <f t="shared" si="4"/>
        <v>0</v>
      </c>
      <c r="H37" s="35">
        <f t="shared" si="4"/>
        <v>0</v>
      </c>
      <c r="I37" s="35">
        <f>I7</f>
        <v>17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35</v>
      </c>
      <c r="N37" s="35">
        <f t="shared" si="6"/>
        <v>0</v>
      </c>
      <c r="O37" s="35">
        <f t="shared" si="6"/>
        <v>0</v>
      </c>
      <c r="P37" s="35">
        <f t="shared" si="6"/>
        <v>0</v>
      </c>
      <c r="Q37" s="35">
        <f>Q7</f>
        <v>0</v>
      </c>
      <c r="R37" s="35">
        <f t="shared" ref="R37" si="9">SUM(B37:D37,F37:H37,J37:L37,N37:P37)</f>
        <v>480</v>
      </c>
    </row>
    <row r="38" spans="1:18" ht="15.75" thickBot="1" x14ac:dyDescent="0.3">
      <c r="A38" s="15">
        <f t="shared" si="8"/>
        <v>0.72916666666666652</v>
      </c>
      <c r="B38" s="42">
        <f t="shared" si="3"/>
        <v>34</v>
      </c>
      <c r="C38" s="42">
        <f t="shared" si="3"/>
        <v>339</v>
      </c>
      <c r="D38" s="42">
        <f t="shared" si="3"/>
        <v>192</v>
      </c>
      <c r="E38" s="42">
        <f>E8</f>
        <v>13</v>
      </c>
      <c r="F38" s="42">
        <f t="shared" si="4"/>
        <v>0</v>
      </c>
      <c r="G38" s="42">
        <f t="shared" si="4"/>
        <v>0</v>
      </c>
      <c r="H38" s="42">
        <f t="shared" si="4"/>
        <v>0</v>
      </c>
      <c r="I38" s="42">
        <f>I8</f>
        <v>23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34</v>
      </c>
      <c r="N38" s="42">
        <f t="shared" si="6"/>
        <v>0</v>
      </c>
      <c r="O38" s="42">
        <f t="shared" si="6"/>
        <v>0</v>
      </c>
      <c r="P38" s="42">
        <f t="shared" si="6"/>
        <v>0</v>
      </c>
      <c r="Q38" s="42">
        <f>Q8</f>
        <v>0</v>
      </c>
      <c r="R38" s="42">
        <f>SUM(B38:D38,F38:H38,J38:L38,N38:P38)</f>
        <v>565</v>
      </c>
    </row>
    <row r="39" spans="1:18" x14ac:dyDescent="0.25">
      <c r="A39" t="s">
        <v>1</v>
      </c>
      <c r="B39" s="28">
        <f>SUM(B35:B38)</f>
        <v>128</v>
      </c>
      <c r="C39" s="28">
        <f t="shared" ref="C39:R39" si="10">SUM(C35:C38)</f>
        <v>1127</v>
      </c>
      <c r="D39" s="28">
        <f t="shared" si="10"/>
        <v>637</v>
      </c>
      <c r="E39" s="28">
        <f>SUM(E35:E38)</f>
        <v>29</v>
      </c>
      <c r="F39" s="28">
        <f t="shared" si="10"/>
        <v>0</v>
      </c>
      <c r="G39" s="28">
        <f t="shared" si="10"/>
        <v>1</v>
      </c>
      <c r="H39" s="28">
        <f t="shared" si="10"/>
        <v>0</v>
      </c>
      <c r="I39" s="28">
        <f t="shared" si="10"/>
        <v>54</v>
      </c>
      <c r="J39" s="28">
        <f t="shared" si="10"/>
        <v>0</v>
      </c>
      <c r="K39" s="28">
        <f t="shared" si="10"/>
        <v>0</v>
      </c>
      <c r="L39" s="28">
        <f t="shared" si="10"/>
        <v>0</v>
      </c>
      <c r="M39" s="28">
        <f t="shared" si="10"/>
        <v>185</v>
      </c>
      <c r="N39" s="28">
        <f t="shared" si="10"/>
        <v>0</v>
      </c>
      <c r="O39" s="28">
        <f t="shared" si="10"/>
        <v>0</v>
      </c>
      <c r="P39" s="28">
        <f t="shared" si="10"/>
        <v>0</v>
      </c>
      <c r="Q39" s="28">
        <f t="shared" si="10"/>
        <v>0</v>
      </c>
      <c r="R39" s="28">
        <f t="shared" si="10"/>
        <v>1893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1:Q11"/>
    <mergeCell ref="B12:I12"/>
    <mergeCell ref="J12:Q12"/>
    <mergeCell ref="B13:E13"/>
    <mergeCell ref="F13:I13"/>
    <mergeCell ref="J13:M13"/>
    <mergeCell ref="N13:Q13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33:E33"/>
    <mergeCell ref="F33:I33"/>
    <mergeCell ref="J33:M33"/>
    <mergeCell ref="N33:Q33"/>
    <mergeCell ref="R33:R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