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F6BEDAB4-FD67-4D98-8D43-DDCEF988EC33}" xr6:coauthVersionLast="47" xr6:coauthVersionMax="47" xr10:uidLastSave="{00000000-0000-0000-0000-000000000000}"/>
  <bookViews>
    <workbookView xWindow="-120" yWindow="-120" windowWidth="29040" windowHeight="15840" activeTab="3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E8" i="16"/>
  <c r="E37" i="16" s="1"/>
  <c r="D8" i="16"/>
  <c r="C8" i="16"/>
  <c r="B8" i="16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E35" i="16" s="1"/>
  <c r="D6" i="16"/>
  <c r="C6" i="16"/>
  <c r="B6" i="16"/>
  <c r="Q5" i="16"/>
  <c r="Q34" i="16" s="1"/>
  <c r="P5" i="16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P34" i="16" l="1"/>
  <c r="K37" i="16"/>
  <c r="L37" i="16"/>
  <c r="N36" i="16"/>
  <c r="B35" i="16"/>
  <c r="C35" i="16"/>
  <c r="D18" i="16"/>
  <c r="B37" i="16"/>
  <c r="C37" i="16"/>
  <c r="D37" i="16"/>
  <c r="O37" i="16"/>
  <c r="F37" i="16"/>
  <c r="H35" i="16"/>
  <c r="F28" i="16"/>
  <c r="G20" i="11" s="1"/>
  <c r="P36" i="16"/>
  <c r="O36" i="16"/>
  <c r="G35" i="16"/>
  <c r="J35" i="16"/>
  <c r="F18" i="16"/>
  <c r="G18" i="16"/>
  <c r="L35" i="16"/>
  <c r="N35" i="16"/>
  <c r="O34" i="16"/>
  <c r="D35" i="16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K38" i="16" l="1"/>
  <c r="J18" i="11" s="1" a="1"/>
  <c r="J18" i="11" s="1"/>
  <c r="J21" i="11" s="1"/>
  <c r="F38" i="16"/>
  <c r="F18" i="11" s="1" a="1"/>
  <c r="F18" i="11" s="1"/>
  <c r="F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<sst xmlns="http://schemas.openxmlformats.org/spreadsheetml/2006/main" count="760" uniqueCount="63">
  <si>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</si>
  <si>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</si>
  <si>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</si>
  <si>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</si>
  <si>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</si>
  <si>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</si>
  <si>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</si>
  <si>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</si>
  <si>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</si>
  <si>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</si>
  <si>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</si>
  <si>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</si>
  <si>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</si>
  <si>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</si>
  <si>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</si>
  <si>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</si>
  <si>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</si>
  <si>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</si>
  <si>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</si>
  <si>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</si>
  <si>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</si>
  <si>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</si>
  <si>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</si>
  <si>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</si>
  <si>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</si>
  <si>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</si>
  <si>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</si>
  <si>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</si>
  <si>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</si>
  <si>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</si>
  <si>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</si>
  <si>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</si>
  <si>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</si>
  <si>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</si>
  <si>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</si>
  <si>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</si>
  <si>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</si>
  <si>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</si>
  <si>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</si>
  <si>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</si>
  <si>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</si>
  <si>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</si>
  <si>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</si>
  <si>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</si>
  <si>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</si>
  <si>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</si>
  <si>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</si>
  <si>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</si>
  <si>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</si>
  <si>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</si>
  <si>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</si>
  <si>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</si>
  <si>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</si>
  <si>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</si>
  <si>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</si>
  <si>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</si>
  <si>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</si>
  <si>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</si>
  <si>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</si>
  <si>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</si>
  <si>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Grays Ferry</t>
  </si>
  <si>
    <t>AS</t>
  </si>
  <si>
    <t>Paschall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</si>
</sst>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60</v>
      </c>
    </row>
    <row r="2" spans="1:3" x14ac:dyDescent="0.25">
      <c r="A2" t="s">
        <v>48</v>
      </c>
      <c r="B2" t="s">
        <v>62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61</v>
      </c>
      <c r="C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462</v>
      </c>
      <c r="C11" s="35">
        <f>SUM(B11)</f>
        <v>462</v>
      </c>
    </row>
    <row r="12" spans="1:3" x14ac:dyDescent="0.25">
      <c r="A12" s="46"/>
      <c r="B12" s="35">
        <f>'Tables AM'!R35</f>
        <v>467</v>
      </c>
      <c r="C12" s="35">
        <f t="shared" ref="C12:C14" si="0">SUM(B12)</f>
        <v>467</v>
      </c>
    </row>
    <row r="13" spans="1:3" x14ac:dyDescent="0.25">
      <c r="A13" s="46"/>
      <c r="B13" s="35">
        <f>'Tables AM'!R36</f>
        <v>508</v>
      </c>
      <c r="C13" s="35">
        <f t="shared" si="0"/>
        <v>508</v>
      </c>
    </row>
    <row r="14" spans="1:3" x14ac:dyDescent="0.25">
      <c r="A14" s="46"/>
      <c r="B14" s="35">
        <f>'Tables AM'!R37</f>
        <v>441</v>
      </c>
      <c r="C14" s="35">
        <f t="shared" si="0"/>
        <v>441</v>
      </c>
    </row>
    <row r="15" spans="1:3" x14ac:dyDescent="0.25">
      <c r="C15" s="35">
        <f>SUM(C11:C14)</f>
        <v>1878</v>
      </c>
    </row>
    <row r="16" spans="1:3" x14ac:dyDescent="0.25">
      <c r="C16" s="19">
        <f>C15/(4*MAX(C11:C14))</f>
        <v>0.92421259842519687</v>
      </c>
    </row>
    <row r="17" spans="1:3" x14ac:dyDescent="0.25">
      <c r="A17" s="46" t="s">
        <v>58</v>
      </c>
      <c r="B17" s="35">
        <f>'Tables PM'!R34</f>
        <v>561</v>
      </c>
      <c r="C17" s="35">
        <f>SUM(B17)</f>
        <v>561</v>
      </c>
    </row>
    <row r="18" spans="1:3" x14ac:dyDescent="0.25">
      <c r="A18" s="46"/>
      <c r="B18" s="35">
        <f>'Tables PM'!R35</f>
        <v>539</v>
      </c>
      <c r="C18" s="35">
        <f t="shared" ref="C18:C20" si="1">SUM(B18)</f>
        <v>539</v>
      </c>
    </row>
    <row r="19" spans="1:3" x14ac:dyDescent="0.25">
      <c r="A19" s="46"/>
      <c r="B19" s="35">
        <f>'Tables PM'!R36</f>
        <v>549</v>
      </c>
      <c r="C19" s="35">
        <f t="shared" si="1"/>
        <v>549</v>
      </c>
    </row>
    <row r="20" spans="1:3" x14ac:dyDescent="0.25">
      <c r="A20" s="46"/>
      <c r="B20" s="35">
        <f>'Tables PM'!R37</f>
        <v>515</v>
      </c>
      <c r="C20" s="35">
        <f t="shared" si="1"/>
        <v>515</v>
      </c>
    </row>
    <row r="21" spans="1:3" x14ac:dyDescent="0.25">
      <c r="C21" s="35">
        <f>SUM(C17:C20)</f>
        <v>2164</v>
      </c>
    </row>
    <row r="22" spans="1:3" x14ac:dyDescent="0.25">
      <c r="C22" s="19">
        <f>C21/(4*MAX(C17:C20))</f>
        <v>0.964349376114082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B36" sqref="B36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0.92421259842519687</v>
      </c>
    </row>
    <row r="3" spans="1:18" x14ac:dyDescent="0.25">
      <c r="A3" s="10" t="s">
        <v>59</v>
      </c>
      <c r="B3" s="12">
        <f>PHF!C22</f>
        <v>0.964349376114082</v>
      </c>
    </row>
    <row r="6" spans="1:18" ht="15" customHeight="1" x14ac:dyDescent="0.25">
      <c r="C6" s="48" t="str">
        <f>'General Info'!B1</f>
        <v>Grays Ferry</v>
      </c>
      <c r="D6" s="48"/>
      <c r="E6" s="48"/>
      <c r="F6" s="48"/>
      <c r="G6" s="48"/>
      <c r="H6" s="48"/>
      <c r="I6" s="48" t="str">
        <f>'General Info'!B2</f>
        <v>Paschall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Grays Ferry</v>
      </c>
      <c r="R8" s="16" t="str">
        <f>STREET_NBSB</f>
        <v>Paschall</v>
      </c>
    </row>
    <row r="9" spans="1:18" x14ac:dyDescent="0.25">
      <c r="A9" s="47" t="s">
        <v>2</v>
      </c>
      <c r="B9" s="14" t="s">
        <v>12</v>
      </c>
      <c r="C9" s="37">
        <f>TOT_VEH_EBL_AM</f>
        <v>2</v>
      </c>
      <c r="D9" s="37">
        <f>TOT_VEH_EBT_AM</f>
        <v>85</v>
      </c>
      <c r="E9" s="37">
        <f>TOT_VEH_EBR_AM</f>
        <v>271</v>
      </c>
      <c r="F9" s="37">
        <f>TOT_VEH_WBL_AM</f>
        <v>164</v>
      </c>
      <c r="G9" s="37">
        <f>TOT_VEH_WBT_AM</f>
        <v>22</v>
      </c>
      <c r="H9" s="37">
        <f>TOT_VEH_WBR_AM</f>
        <v>17</v>
      </c>
      <c r="I9" s="37">
        <f>TOT_VEH_NBL_AM</f>
        <v>273</v>
      </c>
      <c r="J9" s="37">
        <f>TOT_VEH_NBT_AM</f>
        <v>394</v>
      </c>
      <c r="K9" s="37">
        <f>TOT_VEH_NBR_AM</f>
        <v>1</v>
      </c>
      <c r="L9" s="37">
        <f>TOT_VEH_SBL_AM</f>
        <v>1</v>
      </c>
      <c r="M9" s="37">
        <f>TOT_VEH_SBT_AM</f>
        <v>646</v>
      </c>
      <c r="N9" s="37">
        <f>TOT_VEH_SBR_AM</f>
        <v>2</v>
      </c>
      <c r="P9" s="17">
        <f>SUM(C9:N9)</f>
        <v>1878</v>
      </c>
      <c r="Q9" s="17">
        <f>SUM(C9:H9)</f>
        <v>561</v>
      </c>
      <c r="R9" s="17">
        <f>SUM(I9:N9)</f>
        <v>1317</v>
      </c>
    </row>
    <row r="10" spans="1:18" x14ac:dyDescent="0.25">
      <c r="A10" s="47"/>
      <c r="B10" s="14" t="s">
        <v>13</v>
      </c>
      <c r="C10" s="37">
        <f>TOT_PED_SB_AM</f>
        <v>1</v>
      </c>
      <c r="D10" s="45"/>
      <c r="E10" s="37">
        <f>TOT_PED_NB_AM</f>
        <v>1</v>
      </c>
      <c r="F10" s="37">
        <f>TOT_PED_NB_AM</f>
        <v>1</v>
      </c>
      <c r="G10" s="45"/>
      <c r="H10" s="37">
        <f>TOT_PED_SB_AM</f>
        <v>1</v>
      </c>
      <c r="I10" s="37">
        <f>TOT_PED_EB_AM</f>
        <v>0</v>
      </c>
      <c r="J10" s="45"/>
      <c r="K10" s="37">
        <f>TOT_PED_WB_AM</f>
        <v>0</v>
      </c>
      <c r="L10" s="37">
        <f>TOT_PED_WB_AM</f>
        <v>0</v>
      </c>
      <c r="M10" s="45"/>
      <c r="N10" s="37">
        <f>TOT_PED_EB_AM</f>
        <v>0</v>
      </c>
    </row>
    <row r="11" spans="1:18" x14ac:dyDescent="0.25">
      <c r="A11" s="47"/>
      <c r="B11" s="14" t="s">
        <v>14</v>
      </c>
      <c r="C11" s="37"/>
      <c r="D11" s="37">
        <f>TOT_BIK_EB_AM</f>
        <v>0</v>
      </c>
      <c r="E11" s="37"/>
      <c r="F11" s="37"/>
      <c r="G11" s="37">
        <f>TOT_BIK_WB_AM</f>
        <v>3</v>
      </c>
      <c r="H11" s="37"/>
      <c r="I11" s="37"/>
      <c r="J11" s="37">
        <f>TOT_BIK_NB_AM</f>
        <v>4</v>
      </c>
      <c r="K11" s="37"/>
      <c r="L11" s="37"/>
      <c r="M11" s="37">
        <f>TOT_BIK_SB_AM</f>
        <v>5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1.1764705882352941E-2</v>
      </c>
      <c r="E12" s="45">
        <f>TOT_HV_EBR_AM/E9</f>
        <v>8.8560885608856083E-2</v>
      </c>
      <c r="F12" s="45">
        <f>TOT_HV_WBL_AM/F9</f>
        <v>6.0975609756097563E-3</v>
      </c>
      <c r="G12" s="45">
        <f>TOT_HV_WBT_AM/G9</f>
        <v>0</v>
      </c>
      <c r="H12" s="45">
        <f>TOT_HV_WBR_AM/H9</f>
        <v>0</v>
      </c>
      <c r="I12" s="45">
        <f>TOT_HV_NBL_AM/I9</f>
        <v>8.0586080586080591E-2</v>
      </c>
      <c r="J12" s="45">
        <f>TOT_HV_NBT_AM/J9</f>
        <v>2.5380710659898477E-2</v>
      </c>
      <c r="K12" s="45">
        <f>TOT_HV_NBR_AM/K9</f>
        <v>0</v>
      </c>
      <c r="L12" s="45">
        <f>TOT_HV_SBL_AM/L9</f>
        <v>0</v>
      </c>
      <c r="M12" s="45">
        <f>TOT_HV_SBT_AM/M9</f>
        <v>1.0835913312693499E-2</v>
      </c>
      <c r="N12" s="45">
        <f>TOT_HV_SBR_AM/N9</f>
        <v>0</v>
      </c>
    </row>
    <row r="15" spans="1:18" x14ac:dyDescent="0.25">
      <c r="C15" s="48" t="str">
        <f>'General Info'!B1</f>
        <v>Grays Ferry</v>
      </c>
      <c r="D15" s="48"/>
      <c r="E15" s="48"/>
      <c r="F15" s="48"/>
      <c r="G15" s="48"/>
      <c r="H15" s="48"/>
      <c r="I15" s="48" t="str">
        <f>'General Info'!B2</f>
        <v>Paschall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Grays Ferry</v>
      </c>
      <c r="R17" s="16" t="str">
        <f>STREET_NBSB</f>
        <v>Paschall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6</v>
      </c>
      <c r="D18" s="37" cm="1">
        <f t="array" ref="D18">TOT_VEH_EBT_PM</f>
        <v>44</v>
      </c>
      <c r="E18" s="37" cm="1">
        <f t="array" ref="E18">TOT_VEH_EBR_PM</f>
        <v>293</v>
      </c>
      <c r="F18" s="37" cm="1">
        <f t="array" ref="F18">TOT_VEH_WBL_PM</f>
        <v>242</v>
      </c>
      <c r="G18" s="37" cm="1">
        <f t="array" ref="G18">TOT_VEH_WBT_PM</f>
        <v>59</v>
      </c>
      <c r="H18" s="37" cm="1">
        <f t="array" ref="H18">TOT_VEH_WBR_PM</f>
        <v>7</v>
      </c>
      <c r="I18" s="37" cm="1">
        <f t="array" ref="I18">TOT_VEH_NBL_PM</f>
        <v>334</v>
      </c>
      <c r="J18" s="37" cm="1">
        <f t="array" ref="J18">TOT_VEH_NBT_PM</f>
        <v>484</v>
      </c>
      <c r="K18" s="37" cm="1">
        <f t="array" ref="K18">TOT_VEH_NBR_PM</f>
        <v>3</v>
      </c>
      <c r="L18" s="37" cm="1">
        <f t="array" ref="L18">TOT_VEH_SBL_PM</f>
        <v>9</v>
      </c>
      <c r="M18" s="37" cm="1">
        <f t="array" ref="M18">TOT_VEH_SBT_PM</f>
        <v>668</v>
      </c>
      <c r="N18" s="37" cm="1">
        <f t="array" ref="N18">TOT_VEH_SBR_PM</f>
        <v>15</v>
      </c>
      <c r="P18" s="17">
        <f>SUM(C18:N18)</f>
        <v>2164</v>
      </c>
      <c r="Q18" s="17">
        <f>SUM(C18:H18)</f>
        <v>651</v>
      </c>
      <c r="R18" s="17">
        <f>SUM(I18:N18)</f>
        <v>1513</v>
      </c>
    </row>
    <row r="19" spans="1:18" x14ac:dyDescent="0.25">
      <c r="A19" s="47"/>
      <c r="B19" s="14" t="s">
        <v>13</v>
      </c>
      <c r="C19" s="37" cm="1">
        <f t="array" ref="C19">TOT_PED_SB_PM</f>
        <v>4</v>
      </c>
      <c r="D19" s="45"/>
      <c r="E19" s="37" cm="1">
        <f t="array" ref="E19">TOT_PED_NB_PM</f>
        <v>1</v>
      </c>
      <c r="F19" s="37" cm="1">
        <f t="array" ref="F19">TOT_PED_NB_PM</f>
        <v>1</v>
      </c>
      <c r="G19" s="45"/>
      <c r="H19" s="37" cm="1">
        <f t="array" ref="H19">TOT_PED_SB_PM</f>
        <v>4</v>
      </c>
      <c r="I19" s="37" cm="1">
        <f t="array" ref="I19">TOT_PED_EB_PM</f>
        <v>2</v>
      </c>
      <c r="J19" s="45"/>
      <c r="K19" s="37" cm="1">
        <f t="array" ref="K19">TOT_PED_WB_PM</f>
        <v>2</v>
      </c>
      <c r="L19" s="37" cm="1">
        <f t="array" ref="L19">TOT_PED_WB_PM</f>
        <v>2</v>
      </c>
      <c r="M19" s="45"/>
      <c r="N19" s="37" cm="1">
        <f t="array" ref="N19">TOT_PED_EB_PM</f>
        <v>2</v>
      </c>
    </row>
    <row r="20" spans="1:18" x14ac:dyDescent="0.25">
      <c r="A20" s="47"/>
      <c r="B20" s="14" t="s">
        <v>14</v>
      </c>
      <c r="C20" s="37"/>
      <c r="D20" s="37">
        <f>TOT_BIK_EB_PM</f>
        <v>3</v>
      </c>
      <c r="E20" s="37"/>
      <c r="F20" s="37"/>
      <c r="G20" s="37">
        <f>TOT_BIK_WB_PM</f>
        <v>0</v>
      </c>
      <c r="H20" s="37"/>
      <c r="I20" s="37"/>
      <c r="J20" s="37">
        <f>TOT_BIK_NB_PM</f>
        <v>0</v>
      </c>
      <c r="K20" s="37"/>
      <c r="L20" s="37"/>
      <c r="M20" s="37">
        <f>TOT_BIK_SB_PM</f>
        <v>3</v>
      </c>
      <c r="N20" s="37"/>
    </row>
    <row r="21" spans="1:18" x14ac:dyDescent="0.25">
      <c r="A21" s="47"/>
      <c r="B21" s="14" t="s">
        <v>15</v>
      </c>
      <c r="C21" s="45">
        <f>TOT_HV_EBL_PM/C18</f>
        <v>0.16666666666666666</v>
      </c>
      <c r="D21" s="45">
        <f>TOT_HV_EBT_PM/D18</f>
        <v>4.5454545454545456E-2</v>
      </c>
      <c r="E21" s="45">
        <f>TOT_HV_EBR_PM/E18</f>
        <v>3.4129692832764506E-2</v>
      </c>
      <c r="F21" s="45">
        <f>TOT_HV_WBL_PM/F18</f>
        <v>0</v>
      </c>
      <c r="G21" s="45">
        <f>TOT_HV_WBT_PM/G18</f>
        <v>1.6949152542372881E-2</v>
      </c>
      <c r="H21" s="45">
        <f>TOT_HV_WBR_PM/H18</f>
        <v>0</v>
      </c>
      <c r="I21" s="45">
        <f>TOT_HV_NBL_PM/I18</f>
        <v>5.089820359281437E-2</v>
      </c>
      <c r="J21" s="45">
        <f>TOT_HV_NBT_PM/J18</f>
        <v>2.0661157024793389E-2</v>
      </c>
      <c r="K21" s="45">
        <f>TOT_HV_NBR_PM/K18</f>
        <v>0</v>
      </c>
      <c r="L21" s="45">
        <f>TOT_HV_SBL_PM/L18</f>
        <v>0.1111111111111111</v>
      </c>
      <c r="M21" s="45">
        <f>TOT_HV_SBT_PM/M18</f>
        <v>2.0958083832335328E-2</v>
      </c>
      <c r="N21" s="45">
        <f>TOT_HV_SBR_PM/N18</f>
        <v>0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abSelected="1" zoomScale="120" zoomScaleNormal="120" workbookViewId="0">
      <selection activeCell="O18" sqref="O18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1</v>
      </c>
      <c r="F3" s="5"/>
      <c r="G3" s="55" t="s">
        <v>25</v>
      </c>
      <c r="H3" s="32" t="s">
        <v>13</v>
      </c>
      <c r="I3" s="32">
        <v>1</v>
      </c>
      <c r="J3" s="31">
        <v>0</v>
      </c>
      <c r="K3" s="5"/>
      <c r="L3" s="55" t="s">
        <v>25</v>
      </c>
      <c r="M3" s="32" t="s">
        <v>13</v>
      </c>
      <c r="N3" s="32">
        <v>1</v>
      </c>
      <c r="O3" s="31">
        <v>0</v>
      </c>
      <c r="P3" s="5"/>
      <c r="Q3" s="55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v>0</v>
      </c>
      <c r="F4" s="5"/>
      <c r="G4" s="56"/>
      <c r="H4" s="32" t="s">
        <v>26</v>
      </c>
      <c r="I4" s="32">
        <v>2</v>
      </c>
      <c r="J4" s="32">
        <v>0</v>
      </c>
      <c r="K4" s="5"/>
      <c r="L4" s="56"/>
      <c r="M4" s="32" t="s">
        <v>26</v>
      </c>
      <c r="N4" s="32">
        <v>2</v>
      </c>
      <c r="O4" s="32">
        <v>1</v>
      </c>
      <c r="P4" s="5"/>
      <c r="Q4" s="56"/>
      <c r="R4" s="32" t="s">
        <v>26</v>
      </c>
      <c r="S4" s="32">
        <v>2</v>
      </c>
      <c r="T4" s="32">
        <v>1</v>
      </c>
      <c r="U4" s="32"/>
    </row>
    <row r="5" spans="2:21" x14ac:dyDescent="0.25">
      <c r="B5" s="54"/>
      <c r="C5" s="32" t="s">
        <v>27</v>
      </c>
      <c r="D5" s="32">
        <v>3</v>
      </c>
      <c r="E5" s="32">
        <v>164</v>
      </c>
      <c r="F5" s="5"/>
      <c r="G5" s="56"/>
      <c r="H5" s="32" t="s">
        <v>27</v>
      </c>
      <c r="I5" s="32">
        <v>3</v>
      </c>
      <c r="J5" s="32">
        <v>182</v>
      </c>
      <c r="K5" s="5"/>
      <c r="L5" s="56"/>
      <c r="M5" s="32" t="s">
        <v>27</v>
      </c>
      <c r="N5" s="32">
        <v>3</v>
      </c>
      <c r="O5" s="32">
        <v>171</v>
      </c>
      <c r="P5" s="5"/>
      <c r="Q5" s="56"/>
      <c r="R5" s="32" t="s">
        <v>27</v>
      </c>
      <c r="S5" s="32">
        <v>3</v>
      </c>
      <c r="T5" s="32">
        <v>122</v>
      </c>
      <c r="U5" s="32"/>
    </row>
    <row r="6" spans="2:21" x14ac:dyDescent="0.25">
      <c r="B6" s="54"/>
      <c r="C6" s="32" t="s">
        <v>28</v>
      </c>
      <c r="D6" s="32">
        <v>4</v>
      </c>
      <c r="E6" s="32">
        <v>1</v>
      </c>
      <c r="F6" s="5"/>
      <c r="G6" s="56"/>
      <c r="H6" s="32" t="s">
        <v>28</v>
      </c>
      <c r="I6" s="32">
        <v>4</v>
      </c>
      <c r="J6" s="32">
        <v>0</v>
      </c>
      <c r="K6" s="5"/>
      <c r="L6" s="56"/>
      <c r="M6" s="32" t="s">
        <v>28</v>
      </c>
      <c r="N6" s="32">
        <v>4</v>
      </c>
      <c r="O6" s="32">
        <v>0</v>
      </c>
      <c r="P6" s="5"/>
      <c r="Q6" s="56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7" t="s">
        <v>29</v>
      </c>
      <c r="C7" s="33" t="s">
        <v>13</v>
      </c>
      <c r="D7" s="33">
        <v>5</v>
      </c>
      <c r="E7" s="33">
        <v>0</v>
      </c>
      <c r="F7" s="6"/>
      <c r="G7" s="58" t="s">
        <v>29</v>
      </c>
      <c r="H7" s="33" t="s">
        <v>13</v>
      </c>
      <c r="I7" s="33">
        <v>5</v>
      </c>
      <c r="J7" s="33">
        <v>0</v>
      </c>
      <c r="K7" s="6"/>
      <c r="L7" s="58" t="s">
        <v>29</v>
      </c>
      <c r="M7" s="33" t="s">
        <v>13</v>
      </c>
      <c r="N7" s="33">
        <v>5</v>
      </c>
      <c r="O7" s="33">
        <v>0</v>
      </c>
      <c r="P7" s="6"/>
      <c r="Q7" s="58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7"/>
      <c r="C8" s="33" t="s">
        <v>30</v>
      </c>
      <c r="D8" s="33">
        <v>6</v>
      </c>
      <c r="E8" s="33">
        <v>1</v>
      </c>
      <c r="F8" s="6"/>
      <c r="G8" s="58"/>
      <c r="H8" s="33" t="s">
        <v>30</v>
      </c>
      <c r="I8" s="33">
        <v>6</v>
      </c>
      <c r="J8" s="33">
        <v>13</v>
      </c>
      <c r="K8" s="6"/>
      <c r="L8" s="58"/>
      <c r="M8" s="33" t="s">
        <v>30</v>
      </c>
      <c r="N8" s="33">
        <v>6</v>
      </c>
      <c r="O8" s="33">
        <v>3</v>
      </c>
      <c r="P8" s="6"/>
      <c r="Q8" s="58"/>
      <c r="R8" s="33" t="s">
        <v>30</v>
      </c>
      <c r="S8" s="33">
        <v>6</v>
      </c>
      <c r="T8" s="33">
        <v>0</v>
      </c>
      <c r="U8" s="3"/>
    </row>
    <row r="9" spans="2:21" x14ac:dyDescent="0.25">
      <c r="B9" s="57"/>
      <c r="C9" s="33" t="s">
        <v>31</v>
      </c>
      <c r="D9" s="33">
        <v>7</v>
      </c>
      <c r="E9" s="33">
        <v>3</v>
      </c>
      <c r="F9" s="6"/>
      <c r="G9" s="58"/>
      <c r="H9" s="33" t="s">
        <v>31</v>
      </c>
      <c r="I9" s="33">
        <v>7</v>
      </c>
      <c r="J9" s="33">
        <v>6</v>
      </c>
      <c r="K9" s="6"/>
      <c r="L9" s="58"/>
      <c r="M9" s="33" t="s">
        <v>31</v>
      </c>
      <c r="N9" s="33">
        <v>7</v>
      </c>
      <c r="O9" s="33">
        <v>4</v>
      </c>
      <c r="P9" s="6"/>
      <c r="Q9" s="58"/>
      <c r="R9" s="33" t="s">
        <v>31</v>
      </c>
      <c r="S9" s="33">
        <v>7</v>
      </c>
      <c r="T9" s="33">
        <v>9</v>
      </c>
      <c r="U9" s="3"/>
    </row>
    <row r="10" spans="2:21" x14ac:dyDescent="0.25">
      <c r="B10" s="57"/>
      <c r="C10" s="33" t="s">
        <v>32</v>
      </c>
      <c r="D10" s="33">
        <v>8</v>
      </c>
      <c r="E10" s="33">
        <v>40</v>
      </c>
      <c r="F10" s="6"/>
      <c r="G10" s="58"/>
      <c r="H10" s="33" t="s">
        <v>32</v>
      </c>
      <c r="I10" s="33">
        <v>8</v>
      </c>
      <c r="J10" s="33">
        <v>31</v>
      </c>
      <c r="K10" s="6"/>
      <c r="L10" s="58"/>
      <c r="M10" s="33" t="s">
        <v>32</v>
      </c>
      <c r="N10" s="33">
        <v>8</v>
      </c>
      <c r="O10" s="33">
        <v>49</v>
      </c>
      <c r="P10" s="6"/>
      <c r="Q10" s="58"/>
      <c r="R10" s="33" t="s">
        <v>32</v>
      </c>
      <c r="S10" s="33">
        <v>8</v>
      </c>
      <c r="T10" s="33">
        <v>43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0</v>
      </c>
      <c r="F11" s="5"/>
      <c r="G11" s="56" t="s">
        <v>33</v>
      </c>
      <c r="H11" s="32" t="s">
        <v>13</v>
      </c>
      <c r="I11" s="32">
        <v>9</v>
      </c>
      <c r="J11" s="32">
        <v>1</v>
      </c>
      <c r="K11" s="5"/>
      <c r="L11" s="56" t="s">
        <v>33</v>
      </c>
      <c r="M11" s="32" t="s">
        <v>13</v>
      </c>
      <c r="N11" s="32">
        <v>9</v>
      </c>
      <c r="O11" s="32">
        <v>0</v>
      </c>
      <c r="P11" s="5"/>
      <c r="Q11" s="56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4"/>
      <c r="C12" s="32" t="s">
        <v>34</v>
      </c>
      <c r="D12" s="32">
        <v>10</v>
      </c>
      <c r="E12" s="32">
        <v>0</v>
      </c>
      <c r="F12" s="5"/>
      <c r="G12" s="56"/>
      <c r="H12" s="32" t="s">
        <v>34</v>
      </c>
      <c r="I12" s="32">
        <v>10</v>
      </c>
      <c r="J12" s="32">
        <v>1</v>
      </c>
      <c r="K12" s="5"/>
      <c r="L12" s="56"/>
      <c r="M12" s="32" t="s">
        <v>34</v>
      </c>
      <c r="N12" s="32">
        <v>10</v>
      </c>
      <c r="O12" s="32">
        <v>0</v>
      </c>
      <c r="P12" s="5"/>
      <c r="Q12" s="56"/>
      <c r="R12" s="32" t="s">
        <v>34</v>
      </c>
      <c r="S12" s="32">
        <v>10</v>
      </c>
      <c r="T12" s="32">
        <v>0</v>
      </c>
    </row>
    <row r="13" spans="2:21" x14ac:dyDescent="0.25">
      <c r="B13" s="54"/>
      <c r="C13" s="32" t="s">
        <v>35</v>
      </c>
      <c r="D13" s="32">
        <v>11</v>
      </c>
      <c r="E13" s="32">
        <v>86</v>
      </c>
      <c r="F13" s="5"/>
      <c r="G13" s="56"/>
      <c r="H13" s="32" t="s">
        <v>35</v>
      </c>
      <c r="I13" s="32">
        <v>11</v>
      </c>
      <c r="J13" s="32">
        <v>88</v>
      </c>
      <c r="K13" s="5"/>
      <c r="L13" s="56"/>
      <c r="M13" s="32" t="s">
        <v>35</v>
      </c>
      <c r="N13" s="32">
        <v>11</v>
      </c>
      <c r="O13" s="32">
        <v>106</v>
      </c>
      <c r="P13" s="5"/>
      <c r="Q13" s="56"/>
      <c r="R13" s="32" t="s">
        <v>35</v>
      </c>
      <c r="S13" s="32">
        <v>11</v>
      </c>
      <c r="T13" s="32">
        <v>104</v>
      </c>
    </row>
    <row r="14" spans="2:21" x14ac:dyDescent="0.25">
      <c r="B14" s="54"/>
      <c r="C14" s="32" t="s">
        <v>36</v>
      </c>
      <c r="D14" s="32">
        <v>12</v>
      </c>
      <c r="E14" s="32">
        <v>56</v>
      </c>
      <c r="F14" s="5"/>
      <c r="G14" s="56"/>
      <c r="H14" s="32" t="s">
        <v>36</v>
      </c>
      <c r="I14" s="32">
        <v>12</v>
      </c>
      <c r="J14" s="32">
        <v>51</v>
      </c>
      <c r="K14" s="5"/>
      <c r="L14" s="56"/>
      <c r="M14" s="32" t="s">
        <v>36</v>
      </c>
      <c r="N14" s="32">
        <v>12</v>
      </c>
      <c r="O14" s="32">
        <v>74</v>
      </c>
      <c r="P14" s="5"/>
      <c r="Q14" s="56"/>
      <c r="R14" s="32" t="s">
        <v>36</v>
      </c>
      <c r="S14" s="32">
        <v>12</v>
      </c>
      <c r="T14" s="32">
        <v>70</v>
      </c>
    </row>
    <row r="15" spans="2:21" x14ac:dyDescent="0.25">
      <c r="B15" s="57" t="s">
        <v>37</v>
      </c>
      <c r="C15" s="33" t="s">
        <v>13</v>
      </c>
      <c r="D15" s="33">
        <v>13</v>
      </c>
      <c r="E15" s="33">
        <v>0</v>
      </c>
      <c r="F15" s="6"/>
      <c r="G15" s="58" t="s">
        <v>37</v>
      </c>
      <c r="H15" s="33" t="s">
        <v>13</v>
      </c>
      <c r="I15" s="33">
        <v>13</v>
      </c>
      <c r="J15" s="33">
        <v>0</v>
      </c>
      <c r="K15" s="6"/>
      <c r="L15" s="58" t="s">
        <v>37</v>
      </c>
      <c r="M15" s="33" t="s">
        <v>13</v>
      </c>
      <c r="N15" s="33">
        <v>13</v>
      </c>
      <c r="O15" s="33">
        <v>0</v>
      </c>
      <c r="P15" s="6"/>
      <c r="Q15" s="58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7"/>
      <c r="C16" s="21" t="s">
        <v>38</v>
      </c>
      <c r="D16" s="21">
        <v>14</v>
      </c>
      <c r="E16" s="21">
        <v>70</v>
      </c>
      <c r="F16" s="23"/>
      <c r="G16" s="58"/>
      <c r="H16" s="21" t="s">
        <v>38</v>
      </c>
      <c r="I16" s="21">
        <v>14</v>
      </c>
      <c r="J16" s="21">
        <v>58</v>
      </c>
      <c r="K16" s="23"/>
      <c r="L16" s="58"/>
      <c r="M16" s="21" t="s">
        <v>38</v>
      </c>
      <c r="N16" s="21">
        <v>14</v>
      </c>
      <c r="O16" s="21">
        <v>66</v>
      </c>
      <c r="P16" s="23"/>
      <c r="Q16" s="58"/>
      <c r="R16" s="21" t="s">
        <v>38</v>
      </c>
      <c r="S16" s="21">
        <v>14</v>
      </c>
      <c r="T16" s="21">
        <v>53</v>
      </c>
      <c r="U16" s="38"/>
    </row>
    <row r="17" spans="1:21" x14ac:dyDescent="0.25">
      <c r="B17" s="57"/>
      <c r="C17" s="21" t="s">
        <v>39</v>
      </c>
      <c r="D17" s="21">
        <v>15</v>
      </c>
      <c r="E17" s="21">
        <v>23</v>
      </c>
      <c r="F17" s="23"/>
      <c r="G17" s="58"/>
      <c r="H17" s="21" t="s">
        <v>39</v>
      </c>
      <c r="I17" s="21">
        <v>15</v>
      </c>
      <c r="J17" s="21">
        <v>20</v>
      </c>
      <c r="K17" s="23"/>
      <c r="L17" s="58"/>
      <c r="M17" s="21" t="s">
        <v>39</v>
      </c>
      <c r="N17" s="21">
        <v>15</v>
      </c>
      <c r="O17" s="21">
        <v>18</v>
      </c>
      <c r="P17" s="23"/>
      <c r="Q17" s="58"/>
      <c r="R17" s="21" t="s">
        <v>39</v>
      </c>
      <c r="S17" s="21">
        <v>15</v>
      </c>
      <c r="T17" s="21">
        <v>23</v>
      </c>
      <c r="U17" s="22"/>
    </row>
    <row r="18" spans="1:21" x14ac:dyDescent="0.25">
      <c r="B18" s="66"/>
      <c r="C18" s="21" t="s">
        <v>40</v>
      </c>
      <c r="D18" s="21">
        <v>16</v>
      </c>
      <c r="E18" s="21">
        <v>2</v>
      </c>
      <c r="F18" s="23"/>
      <c r="G18" s="67"/>
      <c r="H18" s="21" t="s">
        <v>40</v>
      </c>
      <c r="I18" s="21">
        <v>16</v>
      </c>
      <c r="J18" s="21">
        <v>0</v>
      </c>
      <c r="K18" s="23"/>
      <c r="L18" s="67"/>
      <c r="M18" s="21" t="s">
        <v>40</v>
      </c>
      <c r="N18" s="21">
        <v>16</v>
      </c>
      <c r="O18" s="21">
        <v>0</v>
      </c>
      <c r="P18" s="23"/>
      <c r="Q18" s="67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9" t="s">
        <v>41</v>
      </c>
      <c r="B19" s="62" t="s">
        <v>25</v>
      </c>
      <c r="C19" s="39" t="s">
        <v>42</v>
      </c>
      <c r="D19" s="39">
        <v>17</v>
      </c>
      <c r="E19" s="39">
        <v>0</v>
      </c>
      <c r="F19" s="40"/>
      <c r="G19" s="64" t="s">
        <v>25</v>
      </c>
      <c r="H19" s="39" t="s">
        <v>42</v>
      </c>
      <c r="I19" s="39">
        <v>17</v>
      </c>
      <c r="J19" s="39">
        <v>0</v>
      </c>
      <c r="K19" s="40"/>
      <c r="L19" s="64" t="s">
        <v>25</v>
      </c>
      <c r="M19" s="39" t="s">
        <v>42</v>
      </c>
      <c r="N19" s="39">
        <v>17</v>
      </c>
      <c r="O19" s="39">
        <v>0</v>
      </c>
      <c r="P19" s="40"/>
      <c r="Q19" s="64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60"/>
      <c r="B20" s="63"/>
      <c r="C20" s="32" t="s">
        <v>26</v>
      </c>
      <c r="D20" s="32">
        <v>18</v>
      </c>
      <c r="E20" s="32">
        <v>0</v>
      </c>
      <c r="F20" s="5"/>
      <c r="G20" s="56"/>
      <c r="H20" s="32" t="s">
        <v>26</v>
      </c>
      <c r="I20" s="32">
        <v>18</v>
      </c>
      <c r="J20" s="32">
        <v>0</v>
      </c>
      <c r="K20" s="5"/>
      <c r="L20" s="56"/>
      <c r="M20" s="32" t="s">
        <v>26</v>
      </c>
      <c r="N20" s="32">
        <v>18</v>
      </c>
      <c r="O20" s="32">
        <v>0</v>
      </c>
      <c r="P20" s="5"/>
      <c r="Q20" s="56"/>
      <c r="R20" s="32" t="s">
        <v>26</v>
      </c>
      <c r="S20" s="32">
        <v>18</v>
      </c>
      <c r="T20" s="32">
        <v>0</v>
      </c>
    </row>
    <row r="21" spans="1:21" x14ac:dyDescent="0.25">
      <c r="A21" s="60"/>
      <c r="B21" s="63"/>
      <c r="C21" s="32" t="s">
        <v>27</v>
      </c>
      <c r="D21" s="32">
        <v>19</v>
      </c>
      <c r="E21" s="32">
        <v>2</v>
      </c>
      <c r="F21" s="5"/>
      <c r="G21" s="56"/>
      <c r="H21" s="32" t="s">
        <v>27</v>
      </c>
      <c r="I21" s="32">
        <v>19</v>
      </c>
      <c r="J21" s="32">
        <v>1</v>
      </c>
      <c r="K21" s="5"/>
      <c r="L21" s="56"/>
      <c r="M21" s="32" t="s">
        <v>27</v>
      </c>
      <c r="N21" s="32">
        <v>19</v>
      </c>
      <c r="O21" s="32">
        <v>1</v>
      </c>
      <c r="P21" s="5"/>
      <c r="Q21" s="56"/>
      <c r="R21" s="32" t="s">
        <v>27</v>
      </c>
      <c r="S21" s="32">
        <v>19</v>
      </c>
      <c r="T21" s="32">
        <v>3</v>
      </c>
    </row>
    <row r="22" spans="1:21" x14ac:dyDescent="0.25">
      <c r="A22" s="60"/>
      <c r="B22" s="63"/>
      <c r="C22" s="32" t="s">
        <v>28</v>
      </c>
      <c r="D22" s="32">
        <v>20</v>
      </c>
      <c r="E22" s="32">
        <v>0</v>
      </c>
      <c r="F22" s="5"/>
      <c r="G22" s="56"/>
      <c r="H22" s="32" t="s">
        <v>28</v>
      </c>
      <c r="I22" s="32">
        <v>20</v>
      </c>
      <c r="J22" s="32">
        <v>0</v>
      </c>
      <c r="K22" s="5"/>
      <c r="L22" s="56"/>
      <c r="M22" s="32" t="s">
        <v>28</v>
      </c>
      <c r="N22" s="32">
        <v>20</v>
      </c>
      <c r="O22" s="32">
        <v>0</v>
      </c>
      <c r="P22" s="5"/>
      <c r="Q22" s="56"/>
      <c r="R22" s="32" t="s">
        <v>28</v>
      </c>
      <c r="S22" s="32">
        <v>20</v>
      </c>
      <c r="T22" s="32">
        <v>0</v>
      </c>
    </row>
    <row r="23" spans="1:21" x14ac:dyDescent="0.25">
      <c r="A23" s="60"/>
      <c r="B23" s="65" t="s">
        <v>29</v>
      </c>
      <c r="C23" s="33" t="s">
        <v>42</v>
      </c>
      <c r="D23" s="33">
        <v>21</v>
      </c>
      <c r="E23" s="33">
        <v>0</v>
      </c>
      <c r="F23" s="6"/>
      <c r="G23" s="58" t="s">
        <v>29</v>
      </c>
      <c r="H23" s="33" t="s">
        <v>42</v>
      </c>
      <c r="I23" s="33">
        <v>21</v>
      </c>
      <c r="J23" s="33">
        <v>0</v>
      </c>
      <c r="K23" s="6"/>
      <c r="L23" s="58" t="s">
        <v>29</v>
      </c>
      <c r="M23" s="33" t="s">
        <v>42</v>
      </c>
      <c r="N23" s="33">
        <v>21</v>
      </c>
      <c r="O23" s="33">
        <v>0</v>
      </c>
      <c r="P23" s="6"/>
      <c r="Q23" s="58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60"/>
      <c r="B24" s="65"/>
      <c r="C24" s="33" t="s">
        <v>30</v>
      </c>
      <c r="D24" s="33">
        <v>22</v>
      </c>
      <c r="E24" s="33">
        <v>0</v>
      </c>
      <c r="F24" s="6"/>
      <c r="G24" s="58"/>
      <c r="H24" s="33" t="s">
        <v>30</v>
      </c>
      <c r="I24" s="33">
        <v>22</v>
      </c>
      <c r="J24" s="33">
        <v>0</v>
      </c>
      <c r="K24" s="6"/>
      <c r="L24" s="58"/>
      <c r="M24" s="33" t="s">
        <v>30</v>
      </c>
      <c r="N24" s="33">
        <v>22</v>
      </c>
      <c r="O24" s="33">
        <v>0</v>
      </c>
      <c r="P24" s="6"/>
      <c r="Q24" s="58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60"/>
      <c r="B25" s="65"/>
      <c r="C25" s="33" t="s">
        <v>31</v>
      </c>
      <c r="D25" s="33">
        <v>23</v>
      </c>
      <c r="E25" s="33">
        <v>0</v>
      </c>
      <c r="F25" s="6"/>
      <c r="G25" s="58"/>
      <c r="H25" s="33" t="s">
        <v>31</v>
      </c>
      <c r="I25" s="33">
        <v>23</v>
      </c>
      <c r="J25" s="33">
        <v>0</v>
      </c>
      <c r="K25" s="6"/>
      <c r="L25" s="58"/>
      <c r="M25" s="33" t="s">
        <v>31</v>
      </c>
      <c r="N25" s="33">
        <v>23</v>
      </c>
      <c r="O25" s="33">
        <v>0</v>
      </c>
      <c r="P25" s="6"/>
      <c r="Q25" s="58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60"/>
      <c r="B26" s="65"/>
      <c r="C26" s="33" t="s">
        <v>32</v>
      </c>
      <c r="D26" s="33">
        <v>24</v>
      </c>
      <c r="E26" s="33">
        <v>0</v>
      </c>
      <c r="F26" s="6"/>
      <c r="G26" s="58"/>
      <c r="H26" s="33" t="s">
        <v>32</v>
      </c>
      <c r="I26" s="33">
        <v>24</v>
      </c>
      <c r="J26" s="33">
        <v>0</v>
      </c>
      <c r="K26" s="6"/>
      <c r="L26" s="58"/>
      <c r="M26" s="33" t="s">
        <v>32</v>
      </c>
      <c r="N26" s="33">
        <v>24</v>
      </c>
      <c r="O26" s="33">
        <v>1</v>
      </c>
      <c r="P26" s="6"/>
      <c r="Q26" s="58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60"/>
      <c r="B27" s="63" t="s">
        <v>33</v>
      </c>
      <c r="C27" s="32" t="s">
        <v>42</v>
      </c>
      <c r="D27" s="32">
        <v>25</v>
      </c>
      <c r="E27" s="32">
        <v>0</v>
      </c>
      <c r="F27" s="5"/>
      <c r="G27" s="56" t="s">
        <v>33</v>
      </c>
      <c r="H27" s="32" t="s">
        <v>42</v>
      </c>
      <c r="I27" s="32">
        <v>25</v>
      </c>
      <c r="J27" s="32">
        <v>0</v>
      </c>
      <c r="K27" s="5"/>
      <c r="L27" s="56" t="s">
        <v>33</v>
      </c>
      <c r="M27" s="32" t="s">
        <v>42</v>
      </c>
      <c r="N27" s="32">
        <v>25</v>
      </c>
      <c r="O27" s="32">
        <v>0</v>
      </c>
      <c r="P27" s="5"/>
      <c r="Q27" s="56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60"/>
      <c r="B28" s="63"/>
      <c r="C28" s="32" t="s">
        <v>34</v>
      </c>
      <c r="D28" s="32">
        <v>26</v>
      </c>
      <c r="E28" s="32">
        <v>0</v>
      </c>
      <c r="F28" s="5"/>
      <c r="G28" s="56"/>
      <c r="H28" s="32" t="s">
        <v>34</v>
      </c>
      <c r="I28" s="32">
        <v>26</v>
      </c>
      <c r="J28" s="32">
        <v>0</v>
      </c>
      <c r="K28" s="5"/>
      <c r="L28" s="56"/>
      <c r="M28" s="32" t="s">
        <v>34</v>
      </c>
      <c r="N28" s="32">
        <v>26</v>
      </c>
      <c r="O28" s="32">
        <v>0</v>
      </c>
      <c r="P28" s="5"/>
      <c r="Q28" s="56"/>
      <c r="R28" s="32" t="s">
        <v>34</v>
      </c>
      <c r="S28" s="32">
        <v>26</v>
      </c>
      <c r="T28" s="32">
        <v>0</v>
      </c>
    </row>
    <row r="29" spans="1:21" x14ac:dyDescent="0.25">
      <c r="A29" s="60"/>
      <c r="B29" s="63"/>
      <c r="C29" s="32" t="s">
        <v>35</v>
      </c>
      <c r="D29" s="32">
        <v>27</v>
      </c>
      <c r="E29" s="32">
        <v>4</v>
      </c>
      <c r="F29" s="5"/>
      <c r="G29" s="56"/>
      <c r="H29" s="32" t="s">
        <v>35</v>
      </c>
      <c r="I29" s="32">
        <v>27</v>
      </c>
      <c r="J29" s="32">
        <v>2</v>
      </c>
      <c r="K29" s="5"/>
      <c r="L29" s="56"/>
      <c r="M29" s="32" t="s">
        <v>35</v>
      </c>
      <c r="N29" s="32">
        <v>27</v>
      </c>
      <c r="O29" s="32">
        <v>3</v>
      </c>
      <c r="P29" s="5"/>
      <c r="Q29" s="56"/>
      <c r="R29" s="32" t="s">
        <v>35</v>
      </c>
      <c r="S29" s="32">
        <v>27</v>
      </c>
      <c r="T29" s="32">
        <v>1</v>
      </c>
    </row>
    <row r="30" spans="1:21" x14ac:dyDescent="0.25">
      <c r="A30" s="60"/>
      <c r="B30" s="63"/>
      <c r="C30" s="32" t="s">
        <v>36</v>
      </c>
      <c r="D30" s="32">
        <v>28</v>
      </c>
      <c r="E30" s="32">
        <v>4</v>
      </c>
      <c r="F30" s="5"/>
      <c r="G30" s="56"/>
      <c r="H30" s="32" t="s">
        <v>36</v>
      </c>
      <c r="I30" s="32">
        <v>28</v>
      </c>
      <c r="J30" s="32">
        <v>7</v>
      </c>
      <c r="K30" s="5"/>
      <c r="L30" s="56"/>
      <c r="M30" s="32" t="s">
        <v>36</v>
      </c>
      <c r="N30" s="32">
        <v>28</v>
      </c>
      <c r="O30" s="32">
        <v>4</v>
      </c>
      <c r="P30" s="5"/>
      <c r="Q30" s="56"/>
      <c r="R30" s="32" t="s">
        <v>36</v>
      </c>
      <c r="S30" s="32">
        <v>28</v>
      </c>
      <c r="T30" s="32">
        <v>7</v>
      </c>
    </row>
    <row r="31" spans="1:21" x14ac:dyDescent="0.25">
      <c r="A31" s="60"/>
      <c r="B31" s="54" t="s">
        <v>37</v>
      </c>
      <c r="C31" s="32" t="s">
        <v>42</v>
      </c>
      <c r="D31" s="32">
        <v>29</v>
      </c>
      <c r="E31" s="32">
        <v>0</v>
      </c>
      <c r="F31" s="5"/>
      <c r="G31" s="56" t="s">
        <v>37</v>
      </c>
      <c r="H31" s="32" t="s">
        <v>42</v>
      </c>
      <c r="I31" s="32">
        <v>29</v>
      </c>
      <c r="J31" s="32">
        <v>0</v>
      </c>
      <c r="K31" s="5"/>
      <c r="L31" s="56" t="s">
        <v>37</v>
      </c>
      <c r="M31" s="32" t="s">
        <v>42</v>
      </c>
      <c r="N31" s="32">
        <v>29</v>
      </c>
      <c r="O31" s="32">
        <v>0</v>
      </c>
      <c r="P31" s="5"/>
      <c r="Q31" s="56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60"/>
      <c r="B32" s="54"/>
      <c r="C32" s="21" t="s">
        <v>38</v>
      </c>
      <c r="D32" s="21">
        <v>30</v>
      </c>
      <c r="E32" s="21">
        <v>6</v>
      </c>
      <c r="F32" s="23"/>
      <c r="G32" s="56"/>
      <c r="H32" s="21" t="s">
        <v>38</v>
      </c>
      <c r="I32" s="21">
        <v>30</v>
      </c>
      <c r="J32" s="21">
        <v>6</v>
      </c>
      <c r="K32" s="23"/>
      <c r="L32" s="56"/>
      <c r="M32" s="21" t="s">
        <v>38</v>
      </c>
      <c r="N32" s="21">
        <v>30</v>
      </c>
      <c r="O32" s="21">
        <v>7</v>
      </c>
      <c r="P32" s="23"/>
      <c r="Q32" s="56"/>
      <c r="R32" s="21" t="s">
        <v>38</v>
      </c>
      <c r="S32" s="21">
        <v>30</v>
      </c>
      <c r="T32" s="21">
        <v>5</v>
      </c>
      <c r="U32" s="38"/>
    </row>
    <row r="33" spans="1:21" x14ac:dyDescent="0.25">
      <c r="A33" s="60"/>
      <c r="B33" s="54"/>
      <c r="C33" s="21" t="s">
        <v>39</v>
      </c>
      <c r="D33" s="21">
        <v>31</v>
      </c>
      <c r="E33" s="21">
        <v>0</v>
      </c>
      <c r="F33" s="23"/>
      <c r="G33" s="56"/>
      <c r="H33" s="21" t="s">
        <v>39</v>
      </c>
      <c r="I33" s="21">
        <v>31</v>
      </c>
      <c r="J33" s="21">
        <v>1</v>
      </c>
      <c r="K33" s="23"/>
      <c r="L33" s="56"/>
      <c r="M33" s="21" t="s">
        <v>39</v>
      </c>
      <c r="N33" s="21">
        <v>31</v>
      </c>
      <c r="O33" s="21">
        <v>0</v>
      </c>
      <c r="P33" s="23"/>
      <c r="Q33" s="56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61"/>
      <c r="B34" s="68"/>
      <c r="C34" s="24" t="s">
        <v>40</v>
      </c>
      <c r="D34" s="24">
        <v>32</v>
      </c>
      <c r="E34" s="24">
        <v>0</v>
      </c>
      <c r="F34" s="26"/>
      <c r="G34" s="69"/>
      <c r="H34" s="24" t="s">
        <v>40</v>
      </c>
      <c r="I34" s="24">
        <v>32</v>
      </c>
      <c r="J34" s="24">
        <v>0</v>
      </c>
      <c r="K34" s="26"/>
      <c r="L34" s="69"/>
      <c r="M34" s="24" t="s">
        <v>40</v>
      </c>
      <c r="N34" s="24">
        <v>32</v>
      </c>
      <c r="O34" s="24">
        <v>0</v>
      </c>
      <c r="P34" s="26"/>
      <c r="Q34" s="69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60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64" t="s">
        <v>25</v>
      </c>
      <c r="H35" s="21" t="s">
        <v>42</v>
      </c>
      <c r="I35" s="21">
        <v>33</v>
      </c>
      <c r="J35" s="21">
        <v>0</v>
      </c>
      <c r="K35" s="23"/>
      <c r="L35" s="64" t="s">
        <v>25</v>
      </c>
      <c r="M35" s="21" t="s">
        <v>42</v>
      </c>
      <c r="N35" s="21">
        <v>33</v>
      </c>
      <c r="O35" s="21">
        <v>0</v>
      </c>
      <c r="P35" s="23"/>
      <c r="Q35" s="6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60"/>
      <c r="B36" s="54"/>
      <c r="C36" s="32" t="s">
        <v>26</v>
      </c>
      <c r="D36" s="32">
        <v>34</v>
      </c>
      <c r="E36" s="32">
        <v>0</v>
      </c>
      <c r="F36" s="5"/>
      <c r="G36" s="56"/>
      <c r="H36" s="32" t="s">
        <v>26</v>
      </c>
      <c r="I36" s="32">
        <v>34</v>
      </c>
      <c r="J36" s="32">
        <v>0</v>
      </c>
      <c r="K36" s="5"/>
      <c r="L36" s="56"/>
      <c r="M36" s="32" t="s">
        <v>26</v>
      </c>
      <c r="N36" s="32">
        <v>34</v>
      </c>
      <c r="O36" s="32">
        <v>0</v>
      </c>
      <c r="P36" s="5"/>
      <c r="Q36" s="56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60"/>
      <c r="B37" s="54"/>
      <c r="C37" s="32" t="s">
        <v>27</v>
      </c>
      <c r="D37" s="32">
        <v>35</v>
      </c>
      <c r="E37" s="32">
        <v>1</v>
      </c>
      <c r="F37" s="5"/>
      <c r="G37" s="56"/>
      <c r="H37" s="32" t="s">
        <v>27</v>
      </c>
      <c r="I37" s="32">
        <v>35</v>
      </c>
      <c r="J37" s="32">
        <v>2</v>
      </c>
      <c r="K37" s="5"/>
      <c r="L37" s="56"/>
      <c r="M37" s="32" t="s">
        <v>27</v>
      </c>
      <c r="N37" s="32">
        <v>35</v>
      </c>
      <c r="O37" s="32">
        <v>2</v>
      </c>
      <c r="P37" s="5"/>
      <c r="Q37" s="56"/>
      <c r="R37" s="32" t="s">
        <v>27</v>
      </c>
      <c r="S37" s="32">
        <v>35</v>
      </c>
      <c r="T37" s="32">
        <v>0</v>
      </c>
    </row>
    <row r="38" spans="1:21" x14ac:dyDescent="0.25">
      <c r="A38" s="60"/>
      <c r="B38" s="54"/>
      <c r="C38" s="32" t="s">
        <v>28</v>
      </c>
      <c r="D38" s="32">
        <v>36</v>
      </c>
      <c r="E38" s="32">
        <v>0</v>
      </c>
      <c r="F38" s="5"/>
      <c r="G38" s="56"/>
      <c r="H38" s="32" t="s">
        <v>28</v>
      </c>
      <c r="I38" s="32">
        <v>36</v>
      </c>
      <c r="J38" s="32">
        <v>0</v>
      </c>
      <c r="K38" s="5"/>
      <c r="L38" s="56"/>
      <c r="M38" s="32" t="s">
        <v>28</v>
      </c>
      <c r="N38" s="32">
        <v>36</v>
      </c>
      <c r="O38" s="32">
        <v>0</v>
      </c>
      <c r="P38" s="5"/>
      <c r="Q38" s="56"/>
      <c r="R38" s="32" t="s">
        <v>28</v>
      </c>
      <c r="S38" s="32">
        <v>36</v>
      </c>
      <c r="T38" s="32">
        <v>0</v>
      </c>
    </row>
    <row r="39" spans="1:21" x14ac:dyDescent="0.25">
      <c r="A39" s="60"/>
      <c r="B39" s="57" t="s">
        <v>29</v>
      </c>
      <c r="C39" s="21" t="s">
        <v>42</v>
      </c>
      <c r="D39" s="21">
        <v>37</v>
      </c>
      <c r="E39" s="21">
        <v>0</v>
      </c>
      <c r="F39" s="23"/>
      <c r="G39" s="58" t="s">
        <v>29</v>
      </c>
      <c r="H39" s="21" t="s">
        <v>42</v>
      </c>
      <c r="I39" s="21">
        <v>37</v>
      </c>
      <c r="J39" s="21">
        <v>0</v>
      </c>
      <c r="K39" s="23"/>
      <c r="L39" s="58" t="s">
        <v>29</v>
      </c>
      <c r="M39" s="21" t="s">
        <v>42</v>
      </c>
      <c r="N39" s="21">
        <v>37</v>
      </c>
      <c r="O39" s="21">
        <v>0</v>
      </c>
      <c r="P39" s="23"/>
      <c r="Q39" s="58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60"/>
      <c r="B40" s="57"/>
      <c r="C40" s="33" t="s">
        <v>30</v>
      </c>
      <c r="D40" s="33">
        <v>38</v>
      </c>
      <c r="E40" s="33">
        <v>0</v>
      </c>
      <c r="F40" s="6"/>
      <c r="G40" s="58"/>
      <c r="H40" s="33" t="s">
        <v>30</v>
      </c>
      <c r="I40" s="33">
        <v>38</v>
      </c>
      <c r="J40" s="33">
        <v>0</v>
      </c>
      <c r="K40" s="27"/>
      <c r="L40" s="58"/>
      <c r="M40" s="33" t="s">
        <v>30</v>
      </c>
      <c r="N40" s="33">
        <v>38</v>
      </c>
      <c r="O40" s="33">
        <v>0</v>
      </c>
      <c r="P40" s="6"/>
      <c r="Q40" s="58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60"/>
      <c r="B41" s="57"/>
      <c r="C41" s="33" t="s">
        <v>31</v>
      </c>
      <c r="D41" s="33">
        <v>39</v>
      </c>
      <c r="E41" s="33">
        <v>1</v>
      </c>
      <c r="F41" s="27"/>
      <c r="G41" s="58"/>
      <c r="H41" s="33" t="s">
        <v>31</v>
      </c>
      <c r="I41" s="33">
        <v>39</v>
      </c>
      <c r="J41" s="33">
        <v>0</v>
      </c>
      <c r="K41" s="27"/>
      <c r="L41" s="58"/>
      <c r="M41" s="33" t="s">
        <v>31</v>
      </c>
      <c r="N41" s="33">
        <v>39</v>
      </c>
      <c r="O41" s="33">
        <v>0</v>
      </c>
      <c r="P41" s="6"/>
      <c r="Q41" s="58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60"/>
      <c r="B42" s="57"/>
      <c r="C42" s="33" t="s">
        <v>32</v>
      </c>
      <c r="D42" s="33">
        <v>40</v>
      </c>
      <c r="E42" s="33">
        <v>0</v>
      </c>
      <c r="F42" s="6"/>
      <c r="G42" s="58"/>
      <c r="H42" s="33" t="s">
        <v>32</v>
      </c>
      <c r="I42" s="33">
        <v>40</v>
      </c>
      <c r="J42" s="33">
        <v>1</v>
      </c>
      <c r="K42" s="27"/>
      <c r="L42" s="58"/>
      <c r="M42" s="33" t="s">
        <v>32</v>
      </c>
      <c r="N42" s="33">
        <v>40</v>
      </c>
      <c r="O42" s="33">
        <v>0</v>
      </c>
      <c r="P42" s="6"/>
      <c r="Q42" s="58"/>
      <c r="R42" s="33" t="s">
        <v>32</v>
      </c>
      <c r="S42" s="33">
        <v>40</v>
      </c>
      <c r="T42" s="33">
        <v>1</v>
      </c>
      <c r="U42" s="3"/>
    </row>
    <row r="43" spans="1:21" x14ac:dyDescent="0.25">
      <c r="A43" s="60"/>
      <c r="B43" s="54" t="s">
        <v>33</v>
      </c>
      <c r="C43" s="21" t="s">
        <v>42</v>
      </c>
      <c r="D43" s="21">
        <v>41</v>
      </c>
      <c r="E43" s="21">
        <v>0</v>
      </c>
      <c r="F43" s="23"/>
      <c r="G43" s="56" t="s">
        <v>33</v>
      </c>
      <c r="H43" s="21" t="s">
        <v>42</v>
      </c>
      <c r="I43" s="21">
        <v>41</v>
      </c>
      <c r="J43" s="21">
        <v>0</v>
      </c>
      <c r="K43" s="23"/>
      <c r="L43" s="56" t="s">
        <v>33</v>
      </c>
      <c r="M43" s="21" t="s">
        <v>42</v>
      </c>
      <c r="N43" s="21">
        <v>41</v>
      </c>
      <c r="O43" s="21">
        <v>0</v>
      </c>
      <c r="P43" s="23"/>
      <c r="Q43" s="56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60"/>
      <c r="B44" s="54"/>
      <c r="C44" s="32" t="s">
        <v>34</v>
      </c>
      <c r="D44" s="32">
        <v>42</v>
      </c>
      <c r="E44" s="32">
        <v>0</v>
      </c>
      <c r="F44" s="5"/>
      <c r="G44" s="56"/>
      <c r="H44" s="32" t="s">
        <v>34</v>
      </c>
      <c r="I44" s="32">
        <v>42</v>
      </c>
      <c r="J44" s="32">
        <v>0</v>
      </c>
      <c r="K44" s="5"/>
      <c r="L44" s="56"/>
      <c r="M44" s="32" t="s">
        <v>34</v>
      </c>
      <c r="N44" s="32">
        <v>42</v>
      </c>
      <c r="O44" s="32">
        <v>1</v>
      </c>
      <c r="P44" s="5"/>
      <c r="Q44" s="56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60"/>
      <c r="B45" s="54"/>
      <c r="C45" s="32" t="s">
        <v>35</v>
      </c>
      <c r="D45" s="32">
        <v>43</v>
      </c>
      <c r="E45" s="32">
        <v>0</v>
      </c>
      <c r="F45" s="5"/>
      <c r="G45" s="56"/>
      <c r="H45" s="32" t="s">
        <v>35</v>
      </c>
      <c r="I45" s="32">
        <v>43</v>
      </c>
      <c r="J45" s="32">
        <v>0</v>
      </c>
      <c r="K45" s="5"/>
      <c r="L45" s="56"/>
      <c r="M45" s="32" t="s">
        <v>35</v>
      </c>
      <c r="N45" s="32">
        <v>43</v>
      </c>
      <c r="O45" s="32">
        <v>0</v>
      </c>
      <c r="P45" s="5"/>
      <c r="Q45" s="56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60"/>
      <c r="B46" s="54"/>
      <c r="C46" s="32" t="s">
        <v>36</v>
      </c>
      <c r="D46" s="32">
        <v>44</v>
      </c>
      <c r="E46" s="32">
        <v>0</v>
      </c>
      <c r="F46" s="5"/>
      <c r="G46" s="56"/>
      <c r="H46" s="32" t="s">
        <v>36</v>
      </c>
      <c r="I46" s="32">
        <v>44</v>
      </c>
      <c r="J46" s="32">
        <v>1</v>
      </c>
      <c r="K46" s="5"/>
      <c r="L46" s="56"/>
      <c r="M46" s="32" t="s">
        <v>36</v>
      </c>
      <c r="N46" s="32">
        <v>44</v>
      </c>
      <c r="O46" s="32">
        <v>1</v>
      </c>
      <c r="P46" s="5"/>
      <c r="Q46" s="56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60"/>
      <c r="B47" s="57" t="s">
        <v>37</v>
      </c>
      <c r="C47" s="21" t="s">
        <v>42</v>
      </c>
      <c r="D47" s="21">
        <v>45</v>
      </c>
      <c r="E47" s="21">
        <v>0</v>
      </c>
      <c r="F47" s="23"/>
      <c r="G47" s="58" t="s">
        <v>37</v>
      </c>
      <c r="H47" s="21" t="s">
        <v>42</v>
      </c>
      <c r="I47" s="21">
        <v>45</v>
      </c>
      <c r="J47" s="21">
        <v>0</v>
      </c>
      <c r="K47" s="23"/>
      <c r="L47" s="58" t="s">
        <v>37</v>
      </c>
      <c r="M47" s="21" t="s">
        <v>42</v>
      </c>
      <c r="N47" s="21">
        <v>45</v>
      </c>
      <c r="O47" s="21">
        <v>0</v>
      </c>
      <c r="P47" s="23"/>
      <c r="Q47" s="58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60"/>
      <c r="B48" s="57"/>
      <c r="C48" s="33" t="s">
        <v>38</v>
      </c>
      <c r="D48" s="33">
        <v>46</v>
      </c>
      <c r="E48" s="33">
        <v>0</v>
      </c>
      <c r="F48" s="6"/>
      <c r="G48" s="58"/>
      <c r="H48" s="33" t="s">
        <v>38</v>
      </c>
      <c r="I48" s="33">
        <v>46</v>
      </c>
      <c r="J48" s="33">
        <v>0</v>
      </c>
      <c r="K48" s="6"/>
      <c r="L48" s="58"/>
      <c r="M48" s="33" t="s">
        <v>38</v>
      </c>
      <c r="N48" s="33">
        <v>46</v>
      </c>
      <c r="O48" s="33">
        <v>0</v>
      </c>
      <c r="P48" s="6"/>
      <c r="Q48" s="58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60"/>
      <c r="B49" s="57"/>
      <c r="C49" s="33" t="s">
        <v>39</v>
      </c>
      <c r="D49" s="33">
        <v>47</v>
      </c>
      <c r="E49" s="33">
        <v>0</v>
      </c>
      <c r="F49" s="6"/>
      <c r="G49" s="58"/>
      <c r="H49" s="33" t="s">
        <v>39</v>
      </c>
      <c r="I49" s="33">
        <v>47</v>
      </c>
      <c r="J49" s="33">
        <v>0</v>
      </c>
      <c r="K49" s="6"/>
      <c r="L49" s="58"/>
      <c r="M49" s="33" t="s">
        <v>39</v>
      </c>
      <c r="N49" s="33">
        <v>47</v>
      </c>
      <c r="O49" s="33">
        <v>0</v>
      </c>
      <c r="P49" s="6"/>
      <c r="Q49" s="58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70"/>
      <c r="B50" s="66"/>
      <c r="C50" s="34" t="s">
        <v>40</v>
      </c>
      <c r="D50" s="34">
        <v>48</v>
      </c>
      <c r="E50" s="34">
        <v>0</v>
      </c>
      <c r="F50" s="7"/>
      <c r="G50" s="67"/>
      <c r="H50" s="34" t="s">
        <v>40</v>
      </c>
      <c r="I50" s="34">
        <v>48</v>
      </c>
      <c r="J50" s="34">
        <v>0</v>
      </c>
      <c r="K50" s="7"/>
      <c r="L50" s="67"/>
      <c r="M50" s="34" t="s">
        <v>40</v>
      </c>
      <c r="N50" s="34">
        <v>48</v>
      </c>
      <c r="O50" s="34">
        <v>0</v>
      </c>
      <c r="P50" s="7"/>
      <c r="Q50" s="67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x14ac:dyDescent="0.25">
      <c r="B2" s="71" t="str">
        <f>'General Info'!B1</f>
        <v>Grays Ferry</v>
      </c>
      <c r="C2" s="71"/>
      <c r="D2" s="71"/>
      <c r="E2" s="71"/>
      <c r="F2" s="71"/>
      <c r="G2" s="71"/>
      <c r="H2" s="71"/>
      <c r="I2" s="71"/>
      <c r="J2" s="71" t="str">
        <f>'General Info'!B2</f>
        <v>Paschall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2</v>
      </c>
      <c r="C5" s="13">
        <f>'Input Count AM'!E17</f>
        <v>23</v>
      </c>
      <c r="D5" s="13">
        <f>'Input Count AM'!E16</f>
        <v>70</v>
      </c>
      <c r="E5" s="35">
        <f>'Input Count AM'!E15</f>
        <v>0</v>
      </c>
      <c r="F5" s="35">
        <f>'Input Count AM'!E10</f>
        <v>40</v>
      </c>
      <c r="G5" s="35">
        <f>'Input Count AM'!E9</f>
        <v>3</v>
      </c>
      <c r="H5" s="35">
        <f>'Input Count AM'!E8</f>
        <v>1</v>
      </c>
      <c r="I5" s="35">
        <f>'Input Count AM'!E7</f>
        <v>0</v>
      </c>
      <c r="J5" s="35">
        <f>'Input Count AM'!E14</f>
        <v>56</v>
      </c>
      <c r="K5" s="35">
        <f>'Input Count AM'!E13</f>
        <v>86</v>
      </c>
      <c r="L5" s="35">
        <f>'Input Count AM'!E12</f>
        <v>0</v>
      </c>
      <c r="M5" s="35">
        <f>'Input Count AM'!E11</f>
        <v>0</v>
      </c>
      <c r="N5" s="35">
        <f>'Input Count AM'!E6</f>
        <v>1</v>
      </c>
      <c r="O5" s="35">
        <f>'Input Count AM'!E5</f>
        <v>164</v>
      </c>
      <c r="P5" s="35">
        <f>'Input Count AM'!E4</f>
        <v>0</v>
      </c>
      <c r="Q5" s="35">
        <f>'Input Count AM'!E3</f>
        <v>1</v>
      </c>
    </row>
    <row r="6" spans="1:17" x14ac:dyDescent="0.25">
      <c r="A6" s="15">
        <f>A5+TIME(0,15,0)</f>
        <v>0.32291666666666669</v>
      </c>
      <c r="B6" s="13">
        <f>'Input Count AM'!J18</f>
        <v>0</v>
      </c>
      <c r="C6" s="13">
        <f>'Input Count AM'!J17</f>
        <v>20</v>
      </c>
      <c r="D6" s="13">
        <f>'Input Count AM'!J16</f>
        <v>58</v>
      </c>
      <c r="E6" s="35">
        <f>'Input Count AM'!J15</f>
        <v>0</v>
      </c>
      <c r="F6" s="35">
        <f>'Input Count AM'!J10</f>
        <v>31</v>
      </c>
      <c r="G6" s="35">
        <f>'Input Count AM'!J9</f>
        <v>6</v>
      </c>
      <c r="H6" s="35">
        <f>'Input Count AM'!J8</f>
        <v>13</v>
      </c>
      <c r="I6" s="35">
        <f>'Input Count AM'!J7</f>
        <v>0</v>
      </c>
      <c r="J6" s="35">
        <f>'Input Count AM'!J14</f>
        <v>51</v>
      </c>
      <c r="K6" s="35">
        <f>'Input Count AM'!J13</f>
        <v>88</v>
      </c>
      <c r="L6" s="35">
        <f>'Input Count AM'!J12</f>
        <v>1</v>
      </c>
      <c r="M6" s="35">
        <f>'Input Count AM'!J11</f>
        <v>1</v>
      </c>
      <c r="N6" s="35">
        <f>'Input Count AM'!J6</f>
        <v>0</v>
      </c>
      <c r="O6" s="35">
        <f>'Input Count AM'!J5</f>
        <v>182</v>
      </c>
      <c r="P6" s="35">
        <f>'Input Count AM'!J4</f>
        <v>0</v>
      </c>
      <c r="Q6" s="35">
        <f>'Input Count AM'!J3</f>
        <v>0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0</v>
      </c>
      <c r="C7" s="13">
        <f>'Input Count AM'!O17</f>
        <v>18</v>
      </c>
      <c r="D7" s="13">
        <f>'Input Count AM'!O16</f>
        <v>66</v>
      </c>
      <c r="E7" s="35">
        <f>'Input Count AM'!O15</f>
        <v>0</v>
      </c>
      <c r="F7" s="35">
        <f>'Input Count AM'!O10</f>
        <v>49</v>
      </c>
      <c r="G7" s="35">
        <f>'Input Count AM'!O9</f>
        <v>4</v>
      </c>
      <c r="H7" s="35">
        <f>'Input Count AM'!O8</f>
        <v>3</v>
      </c>
      <c r="I7" s="35">
        <f>'Input Count AM'!O7</f>
        <v>0</v>
      </c>
      <c r="J7" s="35">
        <f>'Input Count AM'!O14</f>
        <v>74</v>
      </c>
      <c r="K7" s="35">
        <f>'Input Count AM'!O13</f>
        <v>106</v>
      </c>
      <c r="L7" s="35">
        <f>'Input Count AM'!O12</f>
        <v>0</v>
      </c>
      <c r="M7" s="35">
        <f>'Input Count AM'!O11</f>
        <v>0</v>
      </c>
      <c r="N7" s="35">
        <f>'Input Count AM'!O6</f>
        <v>0</v>
      </c>
      <c r="O7" s="35">
        <f>'Input Count AM'!O5</f>
        <v>171</v>
      </c>
      <c r="P7" s="35">
        <f>'Input Count AM'!O4</f>
        <v>1</v>
      </c>
      <c r="Q7" s="35">
        <f>'Input Count AM'!O3</f>
        <v>0</v>
      </c>
    </row>
    <row r="8" spans="1:17" x14ac:dyDescent="0.25">
      <c r="A8" s="15">
        <f t="shared" si="0"/>
        <v>0.34375000000000006</v>
      </c>
      <c r="B8" s="13">
        <f>'Input Count AM'!T18</f>
        <v>0</v>
      </c>
      <c r="C8" s="13">
        <f>'Input Count AM'!T17</f>
        <v>23</v>
      </c>
      <c r="D8" s="13">
        <f>'Input Count AM'!T16</f>
        <v>53</v>
      </c>
      <c r="E8" s="35">
        <f>'Input Count AM'!T15</f>
        <v>0</v>
      </c>
      <c r="F8" s="35">
        <f>'Input Count AM'!T10</f>
        <v>43</v>
      </c>
      <c r="G8" s="35">
        <f>'Input Count AM'!T9</f>
        <v>9</v>
      </c>
      <c r="H8" s="35">
        <f>'Input Count AM'!T8</f>
        <v>0</v>
      </c>
      <c r="I8" s="35">
        <f>'Input Count AM'!T7</f>
        <v>0</v>
      </c>
      <c r="J8" s="35">
        <f>'Input Count AM'!T14</f>
        <v>70</v>
      </c>
      <c r="K8" s="35">
        <f>'Input Count AM'!T13</f>
        <v>104</v>
      </c>
      <c r="L8" s="35">
        <f>'Input Count AM'!T12</f>
        <v>0</v>
      </c>
      <c r="M8" s="35">
        <f>'Input Count AM'!T11</f>
        <v>0</v>
      </c>
      <c r="N8" s="35">
        <f>'Input Count AM'!T6</f>
        <v>0</v>
      </c>
      <c r="O8" s="35">
        <f>'Input Count AM'!T5</f>
        <v>122</v>
      </c>
      <c r="P8" s="35">
        <f>'Input Count AM'!T4</f>
        <v>1</v>
      </c>
      <c r="Q8" s="35">
        <f>'Input Count AM'!T3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2" t="s">
        <v>45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x14ac:dyDescent="0.25">
      <c r="B11" s="71" t="str">
        <f>B$2</f>
        <v>Grays Ferry</v>
      </c>
      <c r="C11" s="71"/>
      <c r="D11" s="71"/>
      <c r="E11" s="71"/>
      <c r="F11" s="71"/>
      <c r="G11" s="71"/>
      <c r="H11" s="71"/>
      <c r="I11" s="71"/>
      <c r="J11" s="71" t="str">
        <f>J$2</f>
        <v>Paschall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0</v>
      </c>
      <c r="D14" s="13">
        <f>'Input Count AM'!E32</f>
        <v>6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4</v>
      </c>
      <c r="K14" s="35">
        <f>'Input Count AM'!E29</f>
        <v>4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2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1</v>
      </c>
      <c r="D15" s="13">
        <f>'Input Count AM'!J32</f>
        <v>6</v>
      </c>
      <c r="E15" s="35"/>
      <c r="F15" s="35">
        <f>'Input Count AM'!J26</f>
        <v>0</v>
      </c>
      <c r="G15" s="35">
        <f>'Input Count AM'!J25</f>
        <v>0</v>
      </c>
      <c r="H15" s="35">
        <f>'Input Count AM'!J24</f>
        <v>0</v>
      </c>
      <c r="I15" s="35"/>
      <c r="J15" s="35">
        <f>'Input Count AM'!J30</f>
        <v>7</v>
      </c>
      <c r="K15" s="35">
        <f>'Input Count AM'!J29</f>
        <v>2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1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0</v>
      </c>
      <c r="D16" s="13">
        <f>'Input Count AM'!O32</f>
        <v>7</v>
      </c>
      <c r="E16" s="35"/>
      <c r="F16" s="35">
        <f>'Input Count AM'!O26</f>
        <v>1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4</v>
      </c>
      <c r="K16" s="35">
        <f>'Input Count AM'!O29</f>
        <v>3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1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0</v>
      </c>
      <c r="D17" s="13">
        <f>'Input Count AM'!T32</f>
        <v>5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7</v>
      </c>
      <c r="K17" s="35">
        <f>'Input Count AM'!T29</f>
        <v>1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3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</v>
      </c>
      <c r="D18" s="1">
        <f>SUM(D14:D17)</f>
        <v>24</v>
      </c>
      <c r="E18" s="1"/>
      <c r="F18" s="1">
        <f>SUM(F14:F17)</f>
        <v>1</v>
      </c>
      <c r="G18" s="1">
        <f>SUM(G14:G17)</f>
        <v>0</v>
      </c>
      <c r="H18" s="1">
        <f>SUM(H14:H17)</f>
        <v>0</v>
      </c>
      <c r="I18" s="1"/>
      <c r="J18" s="1">
        <f>SUM(J14:J17)</f>
        <v>22</v>
      </c>
      <c r="K18" s="1">
        <f>SUM(K14:K17)</f>
        <v>10</v>
      </c>
      <c r="L18" s="1">
        <f>SUM(L14:L17)</f>
        <v>0</v>
      </c>
      <c r="M18" s="1"/>
      <c r="N18" s="1">
        <f>SUM(N14:N17)</f>
        <v>0</v>
      </c>
      <c r="O18" s="1">
        <f>SUM(O14:O17)</f>
        <v>7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2" t="s">
        <v>14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8" x14ac:dyDescent="0.25">
      <c r="B21" s="71" t="str">
        <f>B$2</f>
        <v>Grays Ferry</v>
      </c>
      <c r="C21" s="71"/>
      <c r="D21" s="71"/>
      <c r="E21" s="71"/>
      <c r="F21" s="71"/>
      <c r="G21" s="71"/>
      <c r="H21" s="71"/>
      <c r="I21" s="71"/>
      <c r="J21" s="71" t="str">
        <f>J$2</f>
        <v>Paschall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1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1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1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1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2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0</v>
      </c>
      <c r="H26" s="35">
        <f>'Input Count AM'!O40</f>
        <v>0</v>
      </c>
      <c r="I26" s="35"/>
      <c r="J26" s="35">
        <f>'Input Count AM'!O46</f>
        <v>1</v>
      </c>
      <c r="K26" s="35">
        <f>'Input Count AM'!O45</f>
        <v>0</v>
      </c>
      <c r="L26" s="35">
        <f>'Input Count AM'!O44</f>
        <v>1</v>
      </c>
      <c r="M26" s="35"/>
      <c r="N26" s="35">
        <f>'Input Count AM'!O38</f>
        <v>0</v>
      </c>
      <c r="O26" s="35">
        <f>'Input Count AM'!O37</f>
        <v>2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1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1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73">
        <f>SUM(B24:D27)</f>
        <v>0</v>
      </c>
      <c r="C28" s="74"/>
      <c r="D28" s="75"/>
      <c r="E28" s="1"/>
      <c r="F28" s="73">
        <f>SUM(F24:H27)</f>
        <v>3</v>
      </c>
      <c r="G28" s="74"/>
      <c r="H28" s="75"/>
      <c r="I28" s="1"/>
      <c r="J28" s="73">
        <f>SUM(J24:L27)</f>
        <v>4</v>
      </c>
      <c r="K28" s="74"/>
      <c r="L28" s="75"/>
      <c r="M28" s="1"/>
      <c r="N28" s="73">
        <f>SUM(N24:P27)</f>
        <v>5</v>
      </c>
      <c r="O28" s="74"/>
      <c r="P28" s="75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2" t="s">
        <v>46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8" x14ac:dyDescent="0.25">
      <c r="B31" s="71" t="str">
        <f>B$2</f>
        <v>Grays Ferry</v>
      </c>
      <c r="C31" s="71"/>
      <c r="D31" s="71"/>
      <c r="E31" s="71"/>
      <c r="F31" s="71"/>
      <c r="G31" s="71"/>
      <c r="H31" s="71"/>
      <c r="I31" s="71"/>
      <c r="J31" s="71" t="str">
        <f>J$2</f>
        <v>Paschall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76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6"/>
    </row>
    <row r="34" spans="1:18" x14ac:dyDescent="0.25">
      <c r="A34" s="15">
        <f>PEAK_START_AM</f>
        <v>0.3125</v>
      </c>
      <c r="B34" s="35">
        <f t="shared" ref="B34:D37" si="3">B5+B14</f>
        <v>2</v>
      </c>
      <c r="C34" s="35">
        <f>C5+C14</f>
        <v>23</v>
      </c>
      <c r="D34" s="35">
        <f t="shared" si="3"/>
        <v>76</v>
      </c>
      <c r="E34" s="35">
        <f>E5</f>
        <v>0</v>
      </c>
      <c r="F34" s="35">
        <f t="shared" ref="F34:H35" si="4">F5+F14</f>
        <v>40</v>
      </c>
      <c r="G34" s="35">
        <f t="shared" si="4"/>
        <v>3</v>
      </c>
      <c r="H34" s="35">
        <f t="shared" si="4"/>
        <v>1</v>
      </c>
      <c r="I34" s="35">
        <f>I5</f>
        <v>0</v>
      </c>
      <c r="J34" s="35">
        <f>J5+J14</f>
        <v>60</v>
      </c>
      <c r="K34" s="35">
        <f t="shared" ref="K34:L34" si="5">K5+K14</f>
        <v>90</v>
      </c>
      <c r="L34" s="35">
        <f t="shared" si="5"/>
        <v>0</v>
      </c>
      <c r="M34" s="35">
        <f>M5</f>
        <v>0</v>
      </c>
      <c r="N34" s="35">
        <f t="shared" ref="N34:P37" si="6">N5+N14</f>
        <v>1</v>
      </c>
      <c r="O34" s="35">
        <f t="shared" si="6"/>
        <v>166</v>
      </c>
      <c r="P34" s="35">
        <f t="shared" si="6"/>
        <v>0</v>
      </c>
      <c r="Q34" s="35">
        <f>Q5</f>
        <v>1</v>
      </c>
      <c r="R34" s="35">
        <f>SUM(B34:D34,F34:H34,J34:L34,N34:P34)</f>
        <v>462</v>
      </c>
    </row>
    <row r="35" spans="1:18" x14ac:dyDescent="0.25">
      <c r="A35" s="15">
        <f>A34+TIME(0,15,0)</f>
        <v>0.32291666666666669</v>
      </c>
      <c r="B35" s="35">
        <f t="shared" si="3"/>
        <v>0</v>
      </c>
      <c r="C35" s="35">
        <f t="shared" si="3"/>
        <v>21</v>
      </c>
      <c r="D35" s="35">
        <f t="shared" si="3"/>
        <v>64</v>
      </c>
      <c r="E35" s="35">
        <f>E6</f>
        <v>0</v>
      </c>
      <c r="F35" s="35">
        <f t="shared" si="4"/>
        <v>31</v>
      </c>
      <c r="G35" s="35">
        <f t="shared" si="4"/>
        <v>6</v>
      </c>
      <c r="H35" s="35">
        <f t="shared" si="4"/>
        <v>13</v>
      </c>
      <c r="I35" s="35">
        <f>I6</f>
        <v>0</v>
      </c>
      <c r="J35" s="35">
        <f t="shared" ref="J35:L37" si="7">J6+J15</f>
        <v>58</v>
      </c>
      <c r="K35" s="35">
        <f t="shared" si="7"/>
        <v>90</v>
      </c>
      <c r="L35" s="35">
        <f t="shared" si="7"/>
        <v>1</v>
      </c>
      <c r="M35" s="35">
        <f>M6</f>
        <v>1</v>
      </c>
      <c r="N35" s="35">
        <f t="shared" si="6"/>
        <v>0</v>
      </c>
      <c r="O35" s="35">
        <f t="shared" si="6"/>
        <v>183</v>
      </c>
      <c r="P35" s="35">
        <f t="shared" si="6"/>
        <v>0</v>
      </c>
      <c r="Q35" s="35">
        <f>Q6</f>
        <v>0</v>
      </c>
      <c r="R35" s="35">
        <f>SUM(B35:D35,F35:H35,J35:L35,N35:P35)</f>
        <v>467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0</v>
      </c>
      <c r="C36" s="35">
        <f t="shared" si="3"/>
        <v>18</v>
      </c>
      <c r="D36" s="35">
        <f t="shared" si="3"/>
        <v>73</v>
      </c>
      <c r="E36" s="35">
        <f>E7</f>
        <v>0</v>
      </c>
      <c r="F36" s="35">
        <f>F7+F16</f>
        <v>50</v>
      </c>
      <c r="G36" s="35">
        <f t="shared" ref="G36:H36" si="9">G7+G16</f>
        <v>4</v>
      </c>
      <c r="H36" s="35">
        <f t="shared" si="9"/>
        <v>3</v>
      </c>
      <c r="I36" s="35">
        <f>I7</f>
        <v>0</v>
      </c>
      <c r="J36" s="35">
        <f t="shared" si="7"/>
        <v>78</v>
      </c>
      <c r="K36" s="35">
        <f t="shared" si="7"/>
        <v>109</v>
      </c>
      <c r="L36" s="35">
        <f t="shared" si="7"/>
        <v>0</v>
      </c>
      <c r="M36" s="35">
        <f>M7</f>
        <v>0</v>
      </c>
      <c r="N36" s="35">
        <f t="shared" si="6"/>
        <v>0</v>
      </c>
      <c r="O36" s="35">
        <f t="shared" si="6"/>
        <v>172</v>
      </c>
      <c r="P36" s="35">
        <f t="shared" si="6"/>
        <v>1</v>
      </c>
      <c r="Q36" s="35">
        <f>Q7</f>
        <v>0</v>
      </c>
      <c r="R36" s="35">
        <f t="shared" ref="R36" si="10">SUM(B36:D36,F36:H36,J36:L36,N36:P36)</f>
        <v>508</v>
      </c>
    </row>
    <row r="37" spans="1:18" ht="15.75" thickBot="1" x14ac:dyDescent="0.3">
      <c r="A37" s="15">
        <f t="shared" si="8"/>
        <v>0.34375000000000006</v>
      </c>
      <c r="B37" s="42">
        <f t="shared" si="3"/>
        <v>0</v>
      </c>
      <c r="C37" s="42">
        <f t="shared" si="3"/>
        <v>23</v>
      </c>
      <c r="D37" s="42">
        <f t="shared" si="3"/>
        <v>58</v>
      </c>
      <c r="E37" s="42">
        <f>E8</f>
        <v>0</v>
      </c>
      <c r="F37" s="42">
        <f>F8+F17</f>
        <v>43</v>
      </c>
      <c r="G37" s="42">
        <f>G8+G17</f>
        <v>9</v>
      </c>
      <c r="H37" s="42">
        <f t="shared" ref="H37" si="11">H8+H17</f>
        <v>0</v>
      </c>
      <c r="I37" s="42">
        <f>I8</f>
        <v>0</v>
      </c>
      <c r="J37" s="42">
        <f t="shared" si="7"/>
        <v>77</v>
      </c>
      <c r="K37" s="42">
        <f>K8+K17</f>
        <v>105</v>
      </c>
      <c r="L37" s="42">
        <f>L8+L17</f>
        <v>0</v>
      </c>
      <c r="M37" s="42">
        <f>M8</f>
        <v>0</v>
      </c>
      <c r="N37" s="42">
        <f t="shared" si="6"/>
        <v>0</v>
      </c>
      <c r="O37" s="42">
        <f t="shared" si="6"/>
        <v>125</v>
      </c>
      <c r="P37" s="42">
        <f t="shared" si="6"/>
        <v>1</v>
      </c>
      <c r="Q37" s="42">
        <f>Q8</f>
        <v>0</v>
      </c>
      <c r="R37" s="42">
        <f>SUM(B37:D37,F37:H37,J37:L37,N37:P37)</f>
        <v>441</v>
      </c>
    </row>
    <row r="38" spans="1:18" x14ac:dyDescent="0.25">
      <c r="A38" t="s">
        <v>1</v>
      </c>
      <c r="B38" s="28">
        <f>SUM(B34:B37)</f>
        <v>2</v>
      </c>
      <c r="C38" s="28">
        <f t="shared" ref="C38:R38" si="12">SUM(C34:C37)</f>
        <v>85</v>
      </c>
      <c r="D38" s="28">
        <f t="shared" si="12"/>
        <v>271</v>
      </c>
      <c r="E38" s="28">
        <f>SUM(E34:E37)</f>
        <v>0</v>
      </c>
      <c r="F38" s="28">
        <f t="shared" si="12"/>
        <v>164</v>
      </c>
      <c r="G38" s="28">
        <f t="shared" si="12"/>
        <v>22</v>
      </c>
      <c r="H38" s="28">
        <f t="shared" si="12"/>
        <v>17</v>
      </c>
      <c r="I38" s="28">
        <f t="shared" si="12"/>
        <v>0</v>
      </c>
      <c r="J38" s="28">
        <f t="shared" si="12"/>
        <v>273</v>
      </c>
      <c r="K38" s="28">
        <f t="shared" si="12"/>
        <v>394</v>
      </c>
      <c r="L38" s="28">
        <f t="shared" si="12"/>
        <v>1</v>
      </c>
      <c r="M38" s="28">
        <f t="shared" si="12"/>
        <v>1</v>
      </c>
      <c r="N38" s="28">
        <f t="shared" si="12"/>
        <v>1</v>
      </c>
      <c r="O38" s="28">
        <f t="shared" si="12"/>
        <v>646</v>
      </c>
      <c r="P38" s="28">
        <f t="shared" si="12"/>
        <v>2</v>
      </c>
      <c r="Q38" s="28">
        <f t="shared" si="12"/>
        <v>1</v>
      </c>
      <c r="R38" s="28">
        <f t="shared" si="12"/>
        <v>1878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G11" sqref="G11:G14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0</v>
      </c>
      <c r="F3" s="5"/>
      <c r="G3" s="53" t="s">
        <v>25</v>
      </c>
      <c r="H3" s="32" t="s">
        <v>13</v>
      </c>
      <c r="I3" s="32">
        <v>1</v>
      </c>
      <c r="J3" s="31">
        <v>0</v>
      </c>
      <c r="K3" s="5"/>
      <c r="L3" s="53" t="s">
        <v>25</v>
      </c>
      <c r="M3" s="32" t="s">
        <v>13</v>
      </c>
      <c r="N3" s="32">
        <v>1</v>
      </c>
      <c r="O3" s="31">
        <v>0</v>
      </c>
      <c r="P3" s="5"/>
      <c r="Q3" s="53" t="s">
        <v>25</v>
      </c>
      <c r="R3" s="32" t="s">
        <v>13</v>
      </c>
      <c r="S3" s="32">
        <v>1</v>
      </c>
      <c r="T3" s="31">
        <v>4</v>
      </c>
      <c r="U3" s="32"/>
    </row>
    <row r="4" spans="2:21" x14ac:dyDescent="0.25">
      <c r="B4" s="54"/>
      <c r="C4" s="32" t="s">
        <v>26</v>
      </c>
      <c r="D4" s="32">
        <v>2</v>
      </c>
      <c r="E4" s="32">
        <v>2</v>
      </c>
      <c r="F4" s="5"/>
      <c r="G4" s="54"/>
      <c r="H4" s="32" t="s">
        <v>26</v>
      </c>
      <c r="I4" s="32">
        <v>2</v>
      </c>
      <c r="J4" s="32">
        <v>5</v>
      </c>
      <c r="K4" s="5"/>
      <c r="L4" s="54"/>
      <c r="M4" s="32" t="s">
        <v>26</v>
      </c>
      <c r="N4" s="32">
        <v>2</v>
      </c>
      <c r="O4" s="32">
        <v>6</v>
      </c>
      <c r="P4" s="5"/>
      <c r="Q4" s="54"/>
      <c r="R4" s="32" t="s">
        <v>26</v>
      </c>
      <c r="S4" s="32">
        <v>2</v>
      </c>
      <c r="T4" s="32">
        <v>2</v>
      </c>
      <c r="U4" s="32"/>
    </row>
    <row r="5" spans="2:21" x14ac:dyDescent="0.25">
      <c r="B5" s="54"/>
      <c r="C5" s="32" t="s">
        <v>27</v>
      </c>
      <c r="D5" s="32">
        <v>3</v>
      </c>
      <c r="E5" s="32">
        <v>181</v>
      </c>
      <c r="F5" s="5"/>
      <c r="G5" s="54"/>
      <c r="H5" s="32" t="s">
        <v>27</v>
      </c>
      <c r="I5" s="32">
        <v>3</v>
      </c>
      <c r="J5" s="32">
        <v>156</v>
      </c>
      <c r="K5" s="5"/>
      <c r="L5" s="54"/>
      <c r="M5" s="32" t="s">
        <v>27</v>
      </c>
      <c r="N5" s="32">
        <v>3</v>
      </c>
      <c r="O5" s="32">
        <v>167</v>
      </c>
      <c r="P5" s="5"/>
      <c r="Q5" s="54"/>
      <c r="R5" s="32" t="s">
        <v>27</v>
      </c>
      <c r="S5" s="32">
        <v>3</v>
      </c>
      <c r="T5" s="32">
        <v>150</v>
      </c>
      <c r="U5" s="32"/>
    </row>
    <row r="6" spans="2:21" x14ac:dyDescent="0.25">
      <c r="B6" s="54"/>
      <c r="C6" s="32" t="s">
        <v>28</v>
      </c>
      <c r="D6" s="32">
        <v>4</v>
      </c>
      <c r="E6" s="32">
        <v>1</v>
      </c>
      <c r="F6" s="5"/>
      <c r="G6" s="54"/>
      <c r="H6" s="32" t="s">
        <v>28</v>
      </c>
      <c r="I6" s="32">
        <v>4</v>
      </c>
      <c r="J6" s="32">
        <v>2</v>
      </c>
      <c r="K6" s="5"/>
      <c r="L6" s="54"/>
      <c r="M6" s="32" t="s">
        <v>28</v>
      </c>
      <c r="N6" s="32">
        <v>4</v>
      </c>
      <c r="O6" s="32">
        <v>3</v>
      </c>
      <c r="P6" s="5"/>
      <c r="Q6" s="54"/>
      <c r="R6" s="32" t="s">
        <v>28</v>
      </c>
      <c r="S6" s="32">
        <v>4</v>
      </c>
      <c r="T6" s="32">
        <v>2</v>
      </c>
      <c r="U6" s="32"/>
    </row>
    <row r="7" spans="2:21" ht="14.45" customHeight="1" x14ac:dyDescent="0.25">
      <c r="B7" s="57" t="s">
        <v>29</v>
      </c>
      <c r="C7" s="33" t="s">
        <v>13</v>
      </c>
      <c r="D7" s="33">
        <v>5</v>
      </c>
      <c r="E7" s="33">
        <v>2</v>
      </c>
      <c r="F7" s="6"/>
      <c r="G7" s="57" t="s">
        <v>29</v>
      </c>
      <c r="H7" s="33" t="s">
        <v>13</v>
      </c>
      <c r="I7" s="33">
        <v>5</v>
      </c>
      <c r="J7" s="33">
        <v>0</v>
      </c>
      <c r="K7" s="6"/>
      <c r="L7" s="57" t="s">
        <v>29</v>
      </c>
      <c r="M7" s="33" t="s">
        <v>13</v>
      </c>
      <c r="N7" s="33">
        <v>5</v>
      </c>
      <c r="O7" s="33">
        <v>0</v>
      </c>
      <c r="P7" s="6"/>
      <c r="Q7" s="57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7"/>
      <c r="C8" s="33" t="s">
        <v>30</v>
      </c>
      <c r="D8" s="33">
        <v>6</v>
      </c>
      <c r="E8" s="33">
        <v>4</v>
      </c>
      <c r="F8" s="6"/>
      <c r="G8" s="57"/>
      <c r="H8" s="33" t="s">
        <v>30</v>
      </c>
      <c r="I8" s="33">
        <v>6</v>
      </c>
      <c r="J8" s="33">
        <v>2</v>
      </c>
      <c r="K8" s="6"/>
      <c r="L8" s="57"/>
      <c r="M8" s="33" t="s">
        <v>30</v>
      </c>
      <c r="N8" s="33">
        <v>6</v>
      </c>
      <c r="O8" s="33">
        <v>1</v>
      </c>
      <c r="P8" s="6"/>
      <c r="Q8" s="57"/>
      <c r="R8" s="33" t="s">
        <v>30</v>
      </c>
      <c r="S8" s="33">
        <v>6</v>
      </c>
      <c r="T8" s="33">
        <v>0</v>
      </c>
      <c r="U8" s="3"/>
    </row>
    <row r="9" spans="2:21" x14ac:dyDescent="0.25">
      <c r="B9" s="57"/>
      <c r="C9" s="33" t="s">
        <v>31</v>
      </c>
      <c r="D9" s="33">
        <v>7</v>
      </c>
      <c r="E9" s="33">
        <v>13</v>
      </c>
      <c r="F9" s="6"/>
      <c r="G9" s="57"/>
      <c r="H9" s="33" t="s">
        <v>31</v>
      </c>
      <c r="I9" s="33">
        <v>7</v>
      </c>
      <c r="J9" s="33">
        <v>14</v>
      </c>
      <c r="K9" s="6"/>
      <c r="L9" s="57"/>
      <c r="M9" s="33" t="s">
        <v>31</v>
      </c>
      <c r="N9" s="33">
        <v>7</v>
      </c>
      <c r="O9" s="33">
        <v>19</v>
      </c>
      <c r="P9" s="6"/>
      <c r="Q9" s="57"/>
      <c r="R9" s="33" t="s">
        <v>31</v>
      </c>
      <c r="S9" s="33">
        <v>7</v>
      </c>
      <c r="T9" s="33">
        <v>12</v>
      </c>
      <c r="U9" s="3"/>
    </row>
    <row r="10" spans="2:21" x14ac:dyDescent="0.25">
      <c r="B10" s="57"/>
      <c r="C10" s="33" t="s">
        <v>32</v>
      </c>
      <c r="D10" s="33">
        <v>8</v>
      </c>
      <c r="E10" s="33">
        <v>55</v>
      </c>
      <c r="F10" s="6"/>
      <c r="G10" s="57"/>
      <c r="H10" s="33" t="s">
        <v>32</v>
      </c>
      <c r="I10" s="33">
        <v>8</v>
      </c>
      <c r="J10" s="33">
        <v>62</v>
      </c>
      <c r="K10" s="6"/>
      <c r="L10" s="57"/>
      <c r="M10" s="33" t="s">
        <v>32</v>
      </c>
      <c r="N10" s="33">
        <v>8</v>
      </c>
      <c r="O10" s="33">
        <v>54</v>
      </c>
      <c r="P10" s="6"/>
      <c r="Q10" s="57"/>
      <c r="R10" s="33" t="s">
        <v>32</v>
      </c>
      <c r="S10" s="33">
        <v>8</v>
      </c>
      <c r="T10" s="33">
        <v>71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0</v>
      </c>
      <c r="F11" s="5"/>
      <c r="G11" s="54" t="s">
        <v>33</v>
      </c>
      <c r="H11" s="32" t="s">
        <v>13</v>
      </c>
      <c r="I11" s="32">
        <v>9</v>
      </c>
      <c r="J11" s="32">
        <v>1</v>
      </c>
      <c r="K11" s="5"/>
      <c r="L11" s="54" t="s">
        <v>33</v>
      </c>
      <c r="M11" s="32" t="s">
        <v>13</v>
      </c>
      <c r="N11" s="32">
        <v>9</v>
      </c>
      <c r="O11" s="32">
        <v>0</v>
      </c>
      <c r="P11" s="5"/>
      <c r="Q11" s="54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4"/>
      <c r="C12" s="32" t="s">
        <v>34</v>
      </c>
      <c r="D12" s="32">
        <v>10</v>
      </c>
      <c r="E12" s="32">
        <v>0</v>
      </c>
      <c r="F12" s="5"/>
      <c r="G12" s="54"/>
      <c r="H12" s="32" t="s">
        <v>34</v>
      </c>
      <c r="I12" s="32">
        <v>10</v>
      </c>
      <c r="J12" s="32">
        <v>0</v>
      </c>
      <c r="K12" s="5"/>
      <c r="L12" s="54"/>
      <c r="M12" s="32" t="s">
        <v>34</v>
      </c>
      <c r="N12" s="32">
        <v>10</v>
      </c>
      <c r="O12" s="32">
        <v>3</v>
      </c>
      <c r="P12" s="5"/>
      <c r="Q12" s="54"/>
      <c r="R12" s="32" t="s">
        <v>34</v>
      </c>
      <c r="S12" s="32">
        <v>10</v>
      </c>
      <c r="T12" s="32">
        <v>0</v>
      </c>
    </row>
    <row r="13" spans="2:21" x14ac:dyDescent="0.25">
      <c r="B13" s="54"/>
      <c r="C13" s="32" t="s">
        <v>35</v>
      </c>
      <c r="D13" s="32">
        <v>11</v>
      </c>
      <c r="E13" s="32">
        <v>114</v>
      </c>
      <c r="F13" s="5"/>
      <c r="G13" s="54"/>
      <c r="H13" s="32" t="s">
        <v>35</v>
      </c>
      <c r="I13" s="32">
        <v>11</v>
      </c>
      <c r="J13" s="32">
        <v>125</v>
      </c>
      <c r="K13" s="5"/>
      <c r="L13" s="54"/>
      <c r="M13" s="32" t="s">
        <v>35</v>
      </c>
      <c r="N13" s="32">
        <v>11</v>
      </c>
      <c r="O13" s="32">
        <v>112</v>
      </c>
      <c r="P13" s="5"/>
      <c r="Q13" s="54"/>
      <c r="R13" s="32" t="s">
        <v>35</v>
      </c>
      <c r="S13" s="32">
        <v>11</v>
      </c>
      <c r="T13" s="32">
        <v>123</v>
      </c>
    </row>
    <row r="14" spans="2:21" x14ac:dyDescent="0.25">
      <c r="B14" s="54"/>
      <c r="C14" s="32" t="s">
        <v>36</v>
      </c>
      <c r="D14" s="32">
        <v>12</v>
      </c>
      <c r="E14" s="32">
        <v>70</v>
      </c>
      <c r="F14" s="5"/>
      <c r="G14" s="54"/>
      <c r="H14" s="32" t="s">
        <v>36</v>
      </c>
      <c r="I14" s="32">
        <v>12</v>
      </c>
      <c r="J14" s="32">
        <v>83</v>
      </c>
      <c r="K14" s="5"/>
      <c r="L14" s="54"/>
      <c r="M14" s="32" t="s">
        <v>36</v>
      </c>
      <c r="N14" s="32">
        <v>12</v>
      </c>
      <c r="O14" s="32">
        <v>84</v>
      </c>
      <c r="P14" s="5"/>
      <c r="Q14" s="54"/>
      <c r="R14" s="32" t="s">
        <v>36</v>
      </c>
      <c r="S14" s="32">
        <v>12</v>
      </c>
      <c r="T14" s="32">
        <v>80</v>
      </c>
    </row>
    <row r="15" spans="2:21" x14ac:dyDescent="0.25">
      <c r="B15" s="57" t="s">
        <v>37</v>
      </c>
      <c r="C15" s="33" t="s">
        <v>13</v>
      </c>
      <c r="D15" s="33">
        <v>13</v>
      </c>
      <c r="E15" s="33">
        <v>1</v>
      </c>
      <c r="F15" s="6"/>
      <c r="G15" s="57" t="s">
        <v>37</v>
      </c>
      <c r="H15" s="33" t="s">
        <v>13</v>
      </c>
      <c r="I15" s="33">
        <v>13</v>
      </c>
      <c r="J15" s="33">
        <v>1</v>
      </c>
      <c r="K15" s="6"/>
      <c r="L15" s="57" t="s">
        <v>37</v>
      </c>
      <c r="M15" s="33" t="s">
        <v>13</v>
      </c>
      <c r="N15" s="33">
        <v>13</v>
      </c>
      <c r="O15" s="33">
        <v>0</v>
      </c>
      <c r="P15" s="6"/>
      <c r="Q15" s="57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7"/>
      <c r="C16" s="21" t="s">
        <v>38</v>
      </c>
      <c r="D16" s="21">
        <v>14</v>
      </c>
      <c r="E16" s="21">
        <v>71</v>
      </c>
      <c r="F16" s="23"/>
      <c r="G16" s="57"/>
      <c r="H16" s="21" t="s">
        <v>38</v>
      </c>
      <c r="I16" s="21">
        <v>14</v>
      </c>
      <c r="J16" s="21">
        <v>69</v>
      </c>
      <c r="K16" s="23"/>
      <c r="L16" s="57"/>
      <c r="M16" s="21" t="s">
        <v>38</v>
      </c>
      <c r="N16" s="21">
        <v>14</v>
      </c>
      <c r="O16" s="21">
        <v>79</v>
      </c>
      <c r="P16" s="23"/>
      <c r="Q16" s="57"/>
      <c r="R16" s="21" t="s">
        <v>38</v>
      </c>
      <c r="S16" s="21">
        <v>14</v>
      </c>
      <c r="T16" s="21">
        <v>64</v>
      </c>
      <c r="U16" s="38"/>
    </row>
    <row r="17" spans="1:21" x14ac:dyDescent="0.25">
      <c r="B17" s="57"/>
      <c r="C17" s="21" t="s">
        <v>39</v>
      </c>
      <c r="D17" s="21">
        <v>15</v>
      </c>
      <c r="E17" s="21">
        <v>19</v>
      </c>
      <c r="F17" s="23"/>
      <c r="G17" s="57"/>
      <c r="H17" s="21" t="s">
        <v>39</v>
      </c>
      <c r="I17" s="21">
        <v>15</v>
      </c>
      <c r="J17" s="21">
        <v>7</v>
      </c>
      <c r="K17" s="23"/>
      <c r="L17" s="57"/>
      <c r="M17" s="21" t="s">
        <v>39</v>
      </c>
      <c r="N17" s="21">
        <v>15</v>
      </c>
      <c r="O17" s="21">
        <v>11</v>
      </c>
      <c r="P17" s="23"/>
      <c r="Q17" s="57"/>
      <c r="R17" s="21" t="s">
        <v>39</v>
      </c>
      <c r="S17" s="21">
        <v>15</v>
      </c>
      <c r="T17" s="21">
        <v>5</v>
      </c>
      <c r="U17" s="22"/>
    </row>
    <row r="18" spans="1:21" x14ac:dyDescent="0.25">
      <c r="B18" s="66"/>
      <c r="C18" s="21" t="s">
        <v>40</v>
      </c>
      <c r="D18" s="21">
        <v>16</v>
      </c>
      <c r="E18" s="21">
        <v>2</v>
      </c>
      <c r="F18" s="23"/>
      <c r="G18" s="57"/>
      <c r="H18" s="21" t="s">
        <v>40</v>
      </c>
      <c r="I18" s="21">
        <v>16</v>
      </c>
      <c r="J18" s="21">
        <v>2</v>
      </c>
      <c r="K18" s="23"/>
      <c r="L18" s="57"/>
      <c r="M18" s="21" t="s">
        <v>40</v>
      </c>
      <c r="N18" s="21">
        <v>16</v>
      </c>
      <c r="O18" s="21">
        <v>1</v>
      </c>
      <c r="P18" s="23"/>
      <c r="Q18" s="57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9" t="s">
        <v>41</v>
      </c>
      <c r="B19" s="62" t="s">
        <v>25</v>
      </c>
      <c r="C19" s="39" t="s">
        <v>42</v>
      </c>
      <c r="D19" s="39">
        <v>17</v>
      </c>
      <c r="E19" s="39">
        <v>0</v>
      </c>
      <c r="F19" s="40"/>
      <c r="G19" s="77" t="s">
        <v>25</v>
      </c>
      <c r="H19" s="39" t="s">
        <v>42</v>
      </c>
      <c r="I19" s="39">
        <v>17</v>
      </c>
      <c r="J19" s="39">
        <v>0</v>
      </c>
      <c r="K19" s="40"/>
      <c r="L19" s="77" t="s">
        <v>25</v>
      </c>
      <c r="M19" s="39" t="s">
        <v>42</v>
      </c>
      <c r="N19" s="39">
        <v>17</v>
      </c>
      <c r="O19" s="39">
        <v>0</v>
      </c>
      <c r="P19" s="40"/>
      <c r="Q19" s="77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60"/>
      <c r="B20" s="63"/>
      <c r="C20" s="32" t="s">
        <v>26</v>
      </c>
      <c r="D20" s="32">
        <v>18</v>
      </c>
      <c r="E20" s="32">
        <v>0</v>
      </c>
      <c r="F20" s="5"/>
      <c r="G20" s="54"/>
      <c r="H20" s="32" t="s">
        <v>26</v>
      </c>
      <c r="I20" s="32">
        <v>18</v>
      </c>
      <c r="J20" s="32">
        <v>0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60"/>
      <c r="B21" s="63"/>
      <c r="C21" s="32" t="s">
        <v>27</v>
      </c>
      <c r="D21" s="32">
        <v>19</v>
      </c>
      <c r="E21" s="32">
        <v>10</v>
      </c>
      <c r="F21" s="5"/>
      <c r="G21" s="54"/>
      <c r="H21" s="32" t="s">
        <v>27</v>
      </c>
      <c r="I21" s="32">
        <v>19</v>
      </c>
      <c r="J21" s="32">
        <v>2</v>
      </c>
      <c r="K21" s="5"/>
      <c r="L21" s="54"/>
      <c r="M21" s="32" t="s">
        <v>27</v>
      </c>
      <c r="N21" s="32">
        <v>19</v>
      </c>
      <c r="O21" s="32">
        <v>1</v>
      </c>
      <c r="P21" s="5"/>
      <c r="Q21" s="54"/>
      <c r="R21" s="32" t="s">
        <v>27</v>
      </c>
      <c r="S21" s="32">
        <v>19</v>
      </c>
      <c r="T21" s="32">
        <v>1</v>
      </c>
    </row>
    <row r="22" spans="1:21" x14ac:dyDescent="0.25">
      <c r="A22" s="60"/>
      <c r="B22" s="63"/>
      <c r="C22" s="32" t="s">
        <v>28</v>
      </c>
      <c r="D22" s="32">
        <v>20</v>
      </c>
      <c r="E22" s="32">
        <v>1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60"/>
      <c r="B23" s="65" t="s">
        <v>29</v>
      </c>
      <c r="C23" s="33" t="s">
        <v>42</v>
      </c>
      <c r="D23" s="33">
        <v>21</v>
      </c>
      <c r="E23" s="33">
        <v>0</v>
      </c>
      <c r="F23" s="6"/>
      <c r="G23" s="57" t="s">
        <v>29</v>
      </c>
      <c r="H23" s="33" t="s">
        <v>42</v>
      </c>
      <c r="I23" s="33">
        <v>21</v>
      </c>
      <c r="J23" s="33">
        <v>0</v>
      </c>
      <c r="K23" s="6"/>
      <c r="L23" s="57" t="s">
        <v>29</v>
      </c>
      <c r="M23" s="33" t="s">
        <v>42</v>
      </c>
      <c r="N23" s="33">
        <v>21</v>
      </c>
      <c r="O23" s="33">
        <v>0</v>
      </c>
      <c r="P23" s="6"/>
      <c r="Q23" s="57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60"/>
      <c r="B24" s="65"/>
      <c r="C24" s="33" t="s">
        <v>30</v>
      </c>
      <c r="D24" s="33">
        <v>22</v>
      </c>
      <c r="E24" s="33">
        <v>0</v>
      </c>
      <c r="F24" s="6"/>
      <c r="G24" s="57"/>
      <c r="H24" s="33" t="s">
        <v>30</v>
      </c>
      <c r="I24" s="33">
        <v>22</v>
      </c>
      <c r="J24" s="33">
        <v>0</v>
      </c>
      <c r="K24" s="6"/>
      <c r="L24" s="57"/>
      <c r="M24" s="33" t="s">
        <v>30</v>
      </c>
      <c r="N24" s="33">
        <v>22</v>
      </c>
      <c r="O24" s="33">
        <v>0</v>
      </c>
      <c r="P24" s="6"/>
      <c r="Q24" s="57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60"/>
      <c r="B25" s="65"/>
      <c r="C25" s="33" t="s">
        <v>31</v>
      </c>
      <c r="D25" s="33">
        <v>23</v>
      </c>
      <c r="E25" s="33">
        <v>0</v>
      </c>
      <c r="F25" s="6"/>
      <c r="G25" s="57"/>
      <c r="H25" s="33" t="s">
        <v>31</v>
      </c>
      <c r="I25" s="33">
        <v>23</v>
      </c>
      <c r="J25" s="33">
        <v>1</v>
      </c>
      <c r="K25" s="6"/>
      <c r="L25" s="57"/>
      <c r="M25" s="33" t="s">
        <v>31</v>
      </c>
      <c r="N25" s="33">
        <v>23</v>
      </c>
      <c r="O25" s="33">
        <v>0</v>
      </c>
      <c r="P25" s="6"/>
      <c r="Q25" s="57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60"/>
      <c r="B26" s="65"/>
      <c r="C26" s="33" t="s">
        <v>32</v>
      </c>
      <c r="D26" s="33">
        <v>24</v>
      </c>
      <c r="E26" s="33">
        <v>0</v>
      </c>
      <c r="F26" s="6"/>
      <c r="G26" s="57"/>
      <c r="H26" s="33" t="s">
        <v>32</v>
      </c>
      <c r="I26" s="33">
        <v>24</v>
      </c>
      <c r="J26" s="33">
        <v>0</v>
      </c>
      <c r="K26" s="6"/>
      <c r="L26" s="57"/>
      <c r="M26" s="33" t="s">
        <v>32</v>
      </c>
      <c r="N26" s="33">
        <v>24</v>
      </c>
      <c r="O26" s="33">
        <v>0</v>
      </c>
      <c r="P26" s="6"/>
      <c r="Q26" s="57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60"/>
      <c r="B27" s="63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60"/>
      <c r="B28" s="63"/>
      <c r="C28" s="32" t="s">
        <v>34</v>
      </c>
      <c r="D28" s="32">
        <v>26</v>
      </c>
      <c r="E28" s="32">
        <v>0</v>
      </c>
      <c r="F28" s="5"/>
      <c r="G28" s="54"/>
      <c r="H28" s="32" t="s">
        <v>34</v>
      </c>
      <c r="I28" s="32">
        <v>26</v>
      </c>
      <c r="J28" s="32">
        <v>0</v>
      </c>
      <c r="K28" s="5"/>
      <c r="L28" s="54"/>
      <c r="M28" s="32" t="s">
        <v>34</v>
      </c>
      <c r="N28" s="32">
        <v>26</v>
      </c>
      <c r="O28" s="32">
        <v>0</v>
      </c>
      <c r="P28" s="5"/>
      <c r="Q28" s="54"/>
      <c r="R28" s="32" t="s">
        <v>34</v>
      </c>
      <c r="S28" s="32">
        <v>26</v>
      </c>
      <c r="T28" s="32">
        <v>0</v>
      </c>
    </row>
    <row r="29" spans="1:21" x14ac:dyDescent="0.25">
      <c r="A29" s="60"/>
      <c r="B29" s="63"/>
      <c r="C29" s="32" t="s">
        <v>35</v>
      </c>
      <c r="D29" s="32">
        <v>27</v>
      </c>
      <c r="E29" s="32">
        <v>5</v>
      </c>
      <c r="F29" s="5"/>
      <c r="G29" s="54"/>
      <c r="H29" s="32" t="s">
        <v>35</v>
      </c>
      <c r="I29" s="32">
        <v>27</v>
      </c>
      <c r="J29" s="32">
        <v>2</v>
      </c>
      <c r="K29" s="5"/>
      <c r="L29" s="54"/>
      <c r="M29" s="32" t="s">
        <v>35</v>
      </c>
      <c r="N29" s="32">
        <v>27</v>
      </c>
      <c r="O29" s="32">
        <v>2</v>
      </c>
      <c r="P29" s="5"/>
      <c r="Q29" s="54"/>
      <c r="R29" s="32" t="s">
        <v>35</v>
      </c>
      <c r="S29" s="32">
        <v>27</v>
      </c>
      <c r="T29" s="32">
        <v>1</v>
      </c>
    </row>
    <row r="30" spans="1:21" x14ac:dyDescent="0.25">
      <c r="A30" s="60"/>
      <c r="B30" s="63"/>
      <c r="C30" s="32" t="s">
        <v>36</v>
      </c>
      <c r="D30" s="32">
        <v>28</v>
      </c>
      <c r="E30" s="32">
        <v>9</v>
      </c>
      <c r="F30" s="5"/>
      <c r="G30" s="54"/>
      <c r="H30" s="32" t="s">
        <v>36</v>
      </c>
      <c r="I30" s="32">
        <v>28</v>
      </c>
      <c r="J30" s="32">
        <v>3</v>
      </c>
      <c r="K30" s="5"/>
      <c r="L30" s="54"/>
      <c r="M30" s="32" t="s">
        <v>36</v>
      </c>
      <c r="N30" s="32">
        <v>28</v>
      </c>
      <c r="O30" s="32">
        <v>3</v>
      </c>
      <c r="P30" s="5"/>
      <c r="Q30" s="54"/>
      <c r="R30" s="32" t="s">
        <v>36</v>
      </c>
      <c r="S30" s="32">
        <v>28</v>
      </c>
      <c r="T30" s="32">
        <v>2</v>
      </c>
    </row>
    <row r="31" spans="1:21" x14ac:dyDescent="0.25">
      <c r="A31" s="60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60"/>
      <c r="B32" s="54"/>
      <c r="C32" s="21" t="s">
        <v>38</v>
      </c>
      <c r="D32" s="21">
        <v>30</v>
      </c>
      <c r="E32" s="21">
        <v>2</v>
      </c>
      <c r="F32" s="23"/>
      <c r="G32" s="54"/>
      <c r="H32" s="21" t="s">
        <v>38</v>
      </c>
      <c r="I32" s="21">
        <v>30</v>
      </c>
      <c r="J32" s="21">
        <v>3</v>
      </c>
      <c r="K32" s="23"/>
      <c r="L32" s="54"/>
      <c r="M32" s="21" t="s">
        <v>38</v>
      </c>
      <c r="N32" s="21">
        <v>30</v>
      </c>
      <c r="O32" s="21">
        <v>3</v>
      </c>
      <c r="P32" s="23"/>
      <c r="Q32" s="54"/>
      <c r="R32" s="21" t="s">
        <v>38</v>
      </c>
      <c r="S32" s="21">
        <v>30</v>
      </c>
      <c r="T32" s="21">
        <v>2</v>
      </c>
      <c r="U32" s="38"/>
    </row>
    <row r="33" spans="1:21" x14ac:dyDescent="0.25">
      <c r="A33" s="60"/>
      <c r="B33" s="54"/>
      <c r="C33" s="21" t="s">
        <v>39</v>
      </c>
      <c r="D33" s="21">
        <v>31</v>
      </c>
      <c r="E33" s="21">
        <v>2</v>
      </c>
      <c r="F33" s="23"/>
      <c r="G33" s="54"/>
      <c r="H33" s="21" t="s">
        <v>39</v>
      </c>
      <c r="I33" s="21">
        <v>31</v>
      </c>
      <c r="J33" s="21">
        <v>0</v>
      </c>
      <c r="K33" s="23"/>
      <c r="L33" s="54"/>
      <c r="M33" s="21" t="s">
        <v>39</v>
      </c>
      <c r="N33" s="21">
        <v>31</v>
      </c>
      <c r="O33" s="21">
        <v>0</v>
      </c>
      <c r="P33" s="23"/>
      <c r="Q33" s="54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61"/>
      <c r="B34" s="68"/>
      <c r="C34" s="24" t="s">
        <v>40</v>
      </c>
      <c r="D34" s="24">
        <v>32</v>
      </c>
      <c r="E34" s="24">
        <v>0</v>
      </c>
      <c r="F34" s="26"/>
      <c r="G34" s="68"/>
      <c r="H34" s="24" t="s">
        <v>40</v>
      </c>
      <c r="I34" s="24">
        <v>32</v>
      </c>
      <c r="J34" s="24">
        <v>1</v>
      </c>
      <c r="K34" s="26"/>
      <c r="L34" s="68"/>
      <c r="M34" s="24" t="s">
        <v>40</v>
      </c>
      <c r="N34" s="24">
        <v>32</v>
      </c>
      <c r="O34" s="24">
        <v>0</v>
      </c>
      <c r="P34" s="26"/>
      <c r="Q34" s="68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60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60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1</v>
      </c>
      <c r="U36" s="4"/>
    </row>
    <row r="37" spans="1:21" x14ac:dyDescent="0.25">
      <c r="A37" s="60"/>
      <c r="B37" s="54"/>
      <c r="C37" s="32" t="s">
        <v>27</v>
      </c>
      <c r="D37" s="32">
        <v>35</v>
      </c>
      <c r="E37" s="32">
        <v>1</v>
      </c>
      <c r="F37" s="5"/>
      <c r="G37" s="54"/>
      <c r="H37" s="32" t="s">
        <v>27</v>
      </c>
      <c r="I37" s="32">
        <v>35</v>
      </c>
      <c r="J37" s="32">
        <v>0</v>
      </c>
      <c r="K37" s="5"/>
      <c r="L37" s="54"/>
      <c r="M37" s="32" t="s">
        <v>27</v>
      </c>
      <c r="N37" s="32">
        <v>35</v>
      </c>
      <c r="O37" s="32">
        <v>0</v>
      </c>
      <c r="P37" s="5"/>
      <c r="Q37" s="54"/>
      <c r="R37" s="32" t="s">
        <v>27</v>
      </c>
      <c r="S37" s="32">
        <v>35</v>
      </c>
      <c r="T37" s="32">
        <v>1</v>
      </c>
    </row>
    <row r="38" spans="1:21" x14ac:dyDescent="0.25">
      <c r="A38" s="60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0</v>
      </c>
    </row>
    <row r="39" spans="1:21" x14ac:dyDescent="0.25">
      <c r="A39" s="60"/>
      <c r="B39" s="57" t="s">
        <v>29</v>
      </c>
      <c r="C39" s="21" t="s">
        <v>42</v>
      </c>
      <c r="D39" s="21">
        <v>37</v>
      </c>
      <c r="E39" s="21">
        <v>0</v>
      </c>
      <c r="F39" s="23"/>
      <c r="G39" s="57" t="s">
        <v>29</v>
      </c>
      <c r="H39" s="21" t="s">
        <v>42</v>
      </c>
      <c r="I39" s="21">
        <v>37</v>
      </c>
      <c r="J39" s="21">
        <v>0</v>
      </c>
      <c r="K39" s="23"/>
      <c r="L39" s="57" t="s">
        <v>29</v>
      </c>
      <c r="M39" s="21" t="s">
        <v>42</v>
      </c>
      <c r="N39" s="21">
        <v>37</v>
      </c>
      <c r="O39" s="21">
        <v>0</v>
      </c>
      <c r="P39" s="23"/>
      <c r="Q39" s="57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60"/>
      <c r="B40" s="57"/>
      <c r="C40" s="33" t="s">
        <v>30</v>
      </c>
      <c r="D40" s="33">
        <v>38</v>
      </c>
      <c r="E40" s="33">
        <v>0</v>
      </c>
      <c r="F40" s="6"/>
      <c r="G40" s="57"/>
      <c r="H40" s="33" t="s">
        <v>30</v>
      </c>
      <c r="I40" s="33">
        <v>38</v>
      </c>
      <c r="J40" s="33">
        <v>0</v>
      </c>
      <c r="K40" s="27"/>
      <c r="L40" s="57"/>
      <c r="M40" s="33" t="s">
        <v>30</v>
      </c>
      <c r="N40" s="33">
        <v>38</v>
      </c>
      <c r="O40" s="33">
        <v>0</v>
      </c>
      <c r="P40" s="6"/>
      <c r="Q40" s="57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60"/>
      <c r="B41" s="57"/>
      <c r="C41" s="33" t="s">
        <v>31</v>
      </c>
      <c r="D41" s="33">
        <v>39</v>
      </c>
      <c r="E41" s="33">
        <v>0</v>
      </c>
      <c r="F41" s="27"/>
      <c r="G41" s="57"/>
      <c r="H41" s="33" t="s">
        <v>31</v>
      </c>
      <c r="I41" s="33">
        <v>39</v>
      </c>
      <c r="J41" s="33">
        <v>0</v>
      </c>
      <c r="K41" s="27"/>
      <c r="L41" s="57"/>
      <c r="M41" s="33" t="s">
        <v>31</v>
      </c>
      <c r="N41" s="33">
        <v>39</v>
      </c>
      <c r="O41" s="33">
        <v>0</v>
      </c>
      <c r="P41" s="6"/>
      <c r="Q41" s="57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60"/>
      <c r="B42" s="57"/>
      <c r="C42" s="33" t="s">
        <v>32</v>
      </c>
      <c r="D42" s="33">
        <v>40</v>
      </c>
      <c r="E42" s="33">
        <v>0</v>
      </c>
      <c r="F42" s="6"/>
      <c r="G42" s="57"/>
      <c r="H42" s="33" t="s">
        <v>32</v>
      </c>
      <c r="I42" s="33">
        <v>40</v>
      </c>
      <c r="J42" s="33">
        <v>0</v>
      </c>
      <c r="K42" s="27"/>
      <c r="L42" s="57"/>
      <c r="M42" s="33" t="s">
        <v>32</v>
      </c>
      <c r="N42" s="33">
        <v>40</v>
      </c>
      <c r="O42" s="33">
        <v>0</v>
      </c>
      <c r="P42" s="6"/>
      <c r="Q42" s="57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60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60"/>
      <c r="B44" s="54"/>
      <c r="C44" s="32" t="s">
        <v>34</v>
      </c>
      <c r="D44" s="32">
        <v>42</v>
      </c>
      <c r="E44" s="32">
        <v>0</v>
      </c>
      <c r="F44" s="5"/>
      <c r="G44" s="54"/>
      <c r="H44" s="32" t="s">
        <v>34</v>
      </c>
      <c r="I44" s="32">
        <v>42</v>
      </c>
      <c r="J44" s="32">
        <v>0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60"/>
      <c r="B45" s="54"/>
      <c r="C45" s="32" t="s">
        <v>35</v>
      </c>
      <c r="D45" s="32">
        <v>43</v>
      </c>
      <c r="E45" s="32">
        <v>0</v>
      </c>
      <c r="F45" s="5"/>
      <c r="G45" s="54"/>
      <c r="H45" s="32" t="s">
        <v>35</v>
      </c>
      <c r="I45" s="32">
        <v>43</v>
      </c>
      <c r="J45" s="32">
        <v>0</v>
      </c>
      <c r="K45" s="5"/>
      <c r="L45" s="54"/>
      <c r="M45" s="32" t="s">
        <v>35</v>
      </c>
      <c r="N45" s="32">
        <v>43</v>
      </c>
      <c r="O45" s="32">
        <v>0</v>
      </c>
      <c r="P45" s="5"/>
      <c r="Q45" s="54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60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60"/>
      <c r="B47" s="57" t="s">
        <v>37</v>
      </c>
      <c r="C47" s="21" t="s">
        <v>42</v>
      </c>
      <c r="D47" s="21">
        <v>45</v>
      </c>
      <c r="E47" s="21">
        <v>0</v>
      </c>
      <c r="F47" s="23"/>
      <c r="G47" s="57" t="s">
        <v>37</v>
      </c>
      <c r="H47" s="21" t="s">
        <v>42</v>
      </c>
      <c r="I47" s="21">
        <v>45</v>
      </c>
      <c r="J47" s="21">
        <v>0</v>
      </c>
      <c r="K47" s="23"/>
      <c r="L47" s="57" t="s">
        <v>37</v>
      </c>
      <c r="M47" s="21" t="s">
        <v>42</v>
      </c>
      <c r="N47" s="21">
        <v>45</v>
      </c>
      <c r="O47" s="21">
        <v>0</v>
      </c>
      <c r="P47" s="23"/>
      <c r="Q47" s="57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60"/>
      <c r="B48" s="57"/>
      <c r="C48" s="33" t="s">
        <v>38</v>
      </c>
      <c r="D48" s="33">
        <v>46</v>
      </c>
      <c r="E48" s="33">
        <v>0</v>
      </c>
      <c r="F48" s="6"/>
      <c r="G48" s="57"/>
      <c r="H48" s="33" t="s">
        <v>38</v>
      </c>
      <c r="I48" s="33">
        <v>46</v>
      </c>
      <c r="J48" s="33">
        <v>2</v>
      </c>
      <c r="K48" s="6"/>
      <c r="L48" s="57"/>
      <c r="M48" s="33" t="s">
        <v>38</v>
      </c>
      <c r="N48" s="33">
        <v>46</v>
      </c>
      <c r="O48" s="33">
        <v>0</v>
      </c>
      <c r="P48" s="6"/>
      <c r="Q48" s="57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60"/>
      <c r="B49" s="57"/>
      <c r="C49" s="33" t="s">
        <v>39</v>
      </c>
      <c r="D49" s="33">
        <v>47</v>
      </c>
      <c r="E49" s="33">
        <v>0</v>
      </c>
      <c r="F49" s="6"/>
      <c r="G49" s="57"/>
      <c r="H49" s="33" t="s">
        <v>39</v>
      </c>
      <c r="I49" s="33">
        <v>47</v>
      </c>
      <c r="J49" s="33">
        <v>0</v>
      </c>
      <c r="K49" s="6"/>
      <c r="L49" s="57"/>
      <c r="M49" s="33" t="s">
        <v>39</v>
      </c>
      <c r="N49" s="33">
        <v>47</v>
      </c>
      <c r="O49" s="33">
        <v>0</v>
      </c>
      <c r="P49" s="6"/>
      <c r="Q49" s="57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70"/>
      <c r="B50" s="66"/>
      <c r="C50" s="34" t="s">
        <v>40</v>
      </c>
      <c r="D50" s="34">
        <v>48</v>
      </c>
      <c r="E50" s="34">
        <v>0</v>
      </c>
      <c r="F50" s="7"/>
      <c r="G50" s="66"/>
      <c r="H50" s="34" t="s">
        <v>40</v>
      </c>
      <c r="I50" s="34">
        <v>48</v>
      </c>
      <c r="J50" s="34">
        <v>0</v>
      </c>
      <c r="K50" s="7"/>
      <c r="L50" s="66"/>
      <c r="M50" s="34" t="s">
        <v>40</v>
      </c>
      <c r="N50" s="34">
        <v>48</v>
      </c>
      <c r="O50" s="34">
        <v>0</v>
      </c>
      <c r="P50" s="7"/>
      <c r="Q50" s="66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x14ac:dyDescent="0.25">
      <c r="B2" s="71" t="str">
        <f>'General Info'!B1</f>
        <v>Grays Ferry</v>
      </c>
      <c r="C2" s="71"/>
      <c r="D2" s="71"/>
      <c r="E2" s="71"/>
      <c r="F2" s="71"/>
      <c r="G2" s="71"/>
      <c r="H2" s="71"/>
      <c r="I2" s="71"/>
      <c r="J2" s="71" t="str">
        <f>'General Info'!B2</f>
        <v>Paschall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2</v>
      </c>
      <c r="C5" s="13">
        <f>'Input Count PM'!E17</f>
        <v>19</v>
      </c>
      <c r="D5" s="13">
        <f>'Input Count PM'!E16</f>
        <v>71</v>
      </c>
      <c r="E5" s="35">
        <f>'Input Count PM'!E15</f>
        <v>1</v>
      </c>
      <c r="F5" s="35">
        <f>'Input Count PM'!E10</f>
        <v>55</v>
      </c>
      <c r="G5" s="35">
        <f>'Input Count PM'!E9</f>
        <v>13</v>
      </c>
      <c r="H5" s="35">
        <f>'Input Count PM'!E8</f>
        <v>4</v>
      </c>
      <c r="I5" s="35">
        <f>'Input Count PM'!E7</f>
        <v>2</v>
      </c>
      <c r="J5" s="35">
        <f>'Input Count PM'!E14</f>
        <v>70</v>
      </c>
      <c r="K5" s="35">
        <f>'Input Count PM'!E13</f>
        <v>114</v>
      </c>
      <c r="L5" s="35">
        <f>'Input Count PM'!E12</f>
        <v>0</v>
      </c>
      <c r="M5" s="35">
        <f>'Input Count PM'!E11</f>
        <v>0</v>
      </c>
      <c r="N5" s="35">
        <f>'Input Count PM'!E6</f>
        <v>1</v>
      </c>
      <c r="O5" s="35">
        <f>'Input Count PM'!E5</f>
        <v>181</v>
      </c>
      <c r="P5" s="35">
        <f>'Input Count PM'!E4</f>
        <v>2</v>
      </c>
      <c r="Q5" s="35">
        <f>'Input Count PM'!E3</f>
        <v>0</v>
      </c>
    </row>
    <row r="6" spans="1:17" x14ac:dyDescent="0.25">
      <c r="A6" s="15">
        <f>A5+TIME(0,15,0)</f>
        <v>0.6875</v>
      </c>
      <c r="B6" s="13">
        <f>'Input Count PM'!J18</f>
        <v>2</v>
      </c>
      <c r="C6" s="13">
        <f>'Input Count PM'!J17</f>
        <v>7</v>
      </c>
      <c r="D6" s="13">
        <f>'Input Count PM'!J16</f>
        <v>69</v>
      </c>
      <c r="E6" s="35">
        <f>'Input Count PM'!J15</f>
        <v>1</v>
      </c>
      <c r="F6" s="35">
        <f>'Input Count PM'!J10</f>
        <v>62</v>
      </c>
      <c r="G6" s="35">
        <f>'Input Count PM'!J9</f>
        <v>14</v>
      </c>
      <c r="H6" s="35">
        <f>'Input Count PM'!J8</f>
        <v>2</v>
      </c>
      <c r="I6" s="35">
        <f>'Input Count PM'!J7</f>
        <v>0</v>
      </c>
      <c r="J6" s="35">
        <f>'Input Count PM'!J14</f>
        <v>83</v>
      </c>
      <c r="K6" s="35">
        <f>'Input Count PM'!J13</f>
        <v>125</v>
      </c>
      <c r="L6" s="35">
        <f>'Input Count PM'!J12</f>
        <v>0</v>
      </c>
      <c r="M6" s="35">
        <f>'Input Count PM'!J11</f>
        <v>1</v>
      </c>
      <c r="N6" s="35">
        <f>'Input Count PM'!J6</f>
        <v>2</v>
      </c>
      <c r="O6" s="35">
        <f>'Input Count PM'!J5</f>
        <v>156</v>
      </c>
      <c r="P6" s="35">
        <f>'Input Count PM'!J4</f>
        <v>5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1</v>
      </c>
      <c r="C7" s="13">
        <f>'Input Count PM'!O17</f>
        <v>11</v>
      </c>
      <c r="D7" s="13">
        <f>'Input Count PM'!O16</f>
        <v>79</v>
      </c>
      <c r="E7" s="35">
        <f>'Input Count PM'!O15</f>
        <v>0</v>
      </c>
      <c r="F7" s="35">
        <f>'Input Count PM'!O10</f>
        <v>54</v>
      </c>
      <c r="G7" s="35">
        <f>'Input Count PM'!O9</f>
        <v>19</v>
      </c>
      <c r="H7" s="35">
        <f>'Input Count PM'!O8</f>
        <v>1</v>
      </c>
      <c r="I7" s="35">
        <f>'Input Count PM'!O7</f>
        <v>0</v>
      </c>
      <c r="J7" s="35">
        <f>'Input Count PM'!O14</f>
        <v>84</v>
      </c>
      <c r="K7" s="35">
        <f>'Input Count PM'!O13</f>
        <v>112</v>
      </c>
      <c r="L7" s="35">
        <f>'Input Count PM'!O12</f>
        <v>3</v>
      </c>
      <c r="M7" s="35">
        <f>'Input Count PM'!O11</f>
        <v>0</v>
      </c>
      <c r="N7" s="35">
        <f>'Input Count PM'!O6</f>
        <v>3</v>
      </c>
      <c r="O7" s="35">
        <f>'Input Count PM'!O5</f>
        <v>167</v>
      </c>
      <c r="P7" s="35">
        <f>'Input Count PM'!O4</f>
        <v>6</v>
      </c>
      <c r="Q7" s="35">
        <f>'Input Count PM'!O3</f>
        <v>0</v>
      </c>
    </row>
    <row r="8" spans="1:17" x14ac:dyDescent="0.25">
      <c r="A8" s="15">
        <f t="shared" si="0"/>
        <v>0.70833333333333326</v>
      </c>
      <c r="B8" s="13">
        <f>'Input Count PM'!T18</f>
        <v>0</v>
      </c>
      <c r="C8" s="13">
        <f>'Input Count PM'!T17</f>
        <v>5</v>
      </c>
      <c r="D8" s="13">
        <f>'Input Count PM'!T16</f>
        <v>64</v>
      </c>
      <c r="E8" s="35">
        <f>'Input Count PM'!T15</f>
        <v>0</v>
      </c>
      <c r="F8" s="35">
        <f>'Input Count PM'!T10</f>
        <v>71</v>
      </c>
      <c r="G8" s="35">
        <f>'Input Count PM'!T9</f>
        <v>12</v>
      </c>
      <c r="H8" s="35">
        <f>'Input Count PM'!T8</f>
        <v>0</v>
      </c>
      <c r="I8" s="35">
        <f>'Input Count PM'!T7</f>
        <v>0</v>
      </c>
      <c r="J8" s="35">
        <f>'Input Count PM'!T14</f>
        <v>80</v>
      </c>
      <c r="K8" s="35">
        <f>'Input Count PM'!T13</f>
        <v>123</v>
      </c>
      <c r="L8" s="35">
        <f>'Input Count PM'!T12</f>
        <v>0</v>
      </c>
      <c r="M8" s="35">
        <f>'Input Count PM'!T11</f>
        <v>0</v>
      </c>
      <c r="N8" s="35">
        <f>'Input Count PM'!T6</f>
        <v>2</v>
      </c>
      <c r="O8" s="35">
        <f>'Input Count PM'!T5</f>
        <v>150</v>
      </c>
      <c r="P8" s="35">
        <f>'Input Count PM'!T4</f>
        <v>2</v>
      </c>
      <c r="Q8" s="35">
        <f>'Input Count PM'!T3</f>
        <v>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2" t="s">
        <v>45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x14ac:dyDescent="0.25">
      <c r="B11" s="71" t="str">
        <f>B$2</f>
        <v>Grays Ferry</v>
      </c>
      <c r="C11" s="71"/>
      <c r="D11" s="71"/>
      <c r="E11" s="71"/>
      <c r="F11" s="71"/>
      <c r="G11" s="71"/>
      <c r="H11" s="71"/>
      <c r="I11" s="71"/>
      <c r="J11" s="71" t="str">
        <f>J$2</f>
        <v>Paschall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2</v>
      </c>
      <c r="D14" s="13">
        <f>'Input Count PM'!E32</f>
        <v>2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9</v>
      </c>
      <c r="K14" s="35">
        <f>'Input Count PM'!E29</f>
        <v>5</v>
      </c>
      <c r="L14" s="35">
        <f>'Input Count PM'!E28</f>
        <v>0</v>
      </c>
      <c r="M14" s="35"/>
      <c r="N14" s="35">
        <f>'Input Count PM'!E22</f>
        <v>1</v>
      </c>
      <c r="O14" s="35">
        <f>'Input Count PM'!E21</f>
        <v>10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1</v>
      </c>
      <c r="C15" s="13">
        <f>'Input Count PM'!J33</f>
        <v>0</v>
      </c>
      <c r="D15" s="13">
        <f>'Input Count PM'!J32</f>
        <v>3</v>
      </c>
      <c r="E15" s="35"/>
      <c r="F15" s="35">
        <f>'Input Count PM'!J26</f>
        <v>0</v>
      </c>
      <c r="G15" s="35">
        <f>'Input Count PM'!J25</f>
        <v>1</v>
      </c>
      <c r="H15" s="35">
        <f>'Input Count PM'!J24</f>
        <v>0</v>
      </c>
      <c r="I15" s="35"/>
      <c r="J15" s="35">
        <f>'Input Count PM'!J30</f>
        <v>3</v>
      </c>
      <c r="K15" s="35">
        <f>'Input Count PM'!J29</f>
        <v>2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2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0</v>
      </c>
      <c r="D16" s="13">
        <f>'Input Count PM'!O32</f>
        <v>3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3</v>
      </c>
      <c r="K16" s="35">
        <f>'Input Count PM'!O29</f>
        <v>2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1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0</v>
      </c>
      <c r="D17" s="13">
        <f>'Input Count PM'!T32</f>
        <v>2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2</v>
      </c>
      <c r="K17" s="35">
        <f>'Input Count PM'!T29</f>
        <v>1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1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2</v>
      </c>
      <c r="D18" s="1">
        <f>SUM(D14:D17)</f>
        <v>10</v>
      </c>
      <c r="E18" s="1"/>
      <c r="F18" s="1">
        <f>SUM(F14:F17)</f>
        <v>0</v>
      </c>
      <c r="G18" s="1">
        <f>SUM(G14:G17)</f>
        <v>1</v>
      </c>
      <c r="H18" s="1">
        <f>SUM(H14:H17)</f>
        <v>0</v>
      </c>
      <c r="I18" s="1"/>
      <c r="J18" s="1">
        <f>SUM(J14:J17)</f>
        <v>17</v>
      </c>
      <c r="K18" s="1">
        <f>SUM(K14:K17)</f>
        <v>10</v>
      </c>
      <c r="L18" s="1">
        <f>SUM(L14:L17)</f>
        <v>0</v>
      </c>
      <c r="M18" s="1"/>
      <c r="N18" s="1">
        <f>SUM(N14:N17)</f>
        <v>1</v>
      </c>
      <c r="O18" s="1">
        <f>SUM(O14:O17)</f>
        <v>14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2" t="s">
        <v>14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8" x14ac:dyDescent="0.25">
      <c r="B21" s="71" t="str">
        <f>B$2</f>
        <v>Grays Ferry</v>
      </c>
      <c r="C21" s="71"/>
      <c r="D21" s="71"/>
      <c r="E21" s="71"/>
      <c r="F21" s="71"/>
      <c r="G21" s="71"/>
      <c r="H21" s="71"/>
      <c r="I21" s="71"/>
      <c r="J21" s="71" t="str">
        <f>J$2</f>
        <v>Paschall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1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2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0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0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1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1</v>
      </c>
      <c r="P27" s="35">
        <f>'Input Count PM'!T36</f>
        <v>1</v>
      </c>
      <c r="Q27" s="35"/>
    </row>
    <row r="28" spans="1:18" x14ac:dyDescent="0.25">
      <c r="A28" t="s">
        <v>1</v>
      </c>
      <c r="B28" s="73">
        <f>SUM(B24:D27)</f>
        <v>3</v>
      </c>
      <c r="C28" s="74"/>
      <c r="D28" s="75"/>
      <c r="E28" s="1"/>
      <c r="F28" s="73">
        <f>SUM(F24:H27)</f>
        <v>0</v>
      </c>
      <c r="G28" s="74"/>
      <c r="H28" s="75"/>
      <c r="I28" s="1"/>
      <c r="J28" s="73">
        <f>SUM(J24:L27)</f>
        <v>0</v>
      </c>
      <c r="K28" s="74"/>
      <c r="L28" s="75"/>
      <c r="M28" s="1"/>
      <c r="N28" s="73">
        <f>SUM(N24:P27)</f>
        <v>3</v>
      </c>
      <c r="O28" s="74"/>
      <c r="P28" s="75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2" t="s">
        <v>46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8" x14ac:dyDescent="0.25">
      <c r="B31" s="71" t="str">
        <f>B$2</f>
        <v>Grays Ferry</v>
      </c>
      <c r="C31" s="71"/>
      <c r="D31" s="71"/>
      <c r="E31" s="71"/>
      <c r="F31" s="71"/>
      <c r="G31" s="71"/>
      <c r="H31" s="71"/>
      <c r="I31" s="71"/>
      <c r="J31" s="71" t="str">
        <f>J$2</f>
        <v>Paschall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76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6"/>
    </row>
    <row r="34" spans="1:18" x14ac:dyDescent="0.25">
      <c r="A34" s="15">
        <f>PEAK_START_PM</f>
        <v>0.67708333333333337</v>
      </c>
      <c r="B34" s="35">
        <f t="shared" ref="B34:D37" si="3">B5+B14</f>
        <v>2</v>
      </c>
      <c r="C34" s="35">
        <f>C5+C14</f>
        <v>21</v>
      </c>
      <c r="D34" s="35">
        <f t="shared" si="3"/>
        <v>73</v>
      </c>
      <c r="E34" s="35">
        <f>E5</f>
        <v>1</v>
      </c>
      <c r="F34" s="35">
        <f t="shared" ref="F34:H37" si="4">F5+F14</f>
        <v>55</v>
      </c>
      <c r="G34" s="35">
        <f t="shared" si="4"/>
        <v>13</v>
      </c>
      <c r="H34" s="35">
        <f t="shared" si="4"/>
        <v>4</v>
      </c>
      <c r="I34" s="35">
        <f>I5</f>
        <v>2</v>
      </c>
      <c r="J34" s="35">
        <f>J5+J14</f>
        <v>79</v>
      </c>
      <c r="K34" s="35">
        <f t="shared" ref="K34:L34" si="5">K5+K14</f>
        <v>119</v>
      </c>
      <c r="L34" s="35">
        <f t="shared" si="5"/>
        <v>0</v>
      </c>
      <c r="M34" s="35">
        <f>M5</f>
        <v>0</v>
      </c>
      <c r="N34" s="35">
        <f t="shared" ref="N34:P37" si="6">N5+N14</f>
        <v>2</v>
      </c>
      <c r="O34" s="35">
        <f t="shared" si="6"/>
        <v>191</v>
      </c>
      <c r="P34" s="35">
        <f t="shared" si="6"/>
        <v>2</v>
      </c>
      <c r="Q34" s="35">
        <f>Q5</f>
        <v>0</v>
      </c>
      <c r="R34" s="35">
        <f>SUM(B34:D34,F34:H34,J34:L34,N34:P34)</f>
        <v>561</v>
      </c>
    </row>
    <row r="35" spans="1:18" x14ac:dyDescent="0.25">
      <c r="A35" s="15">
        <f>A34+TIME(0,15,0)</f>
        <v>0.6875</v>
      </c>
      <c r="B35" s="35">
        <f t="shared" si="3"/>
        <v>3</v>
      </c>
      <c r="C35" s="35">
        <f t="shared" si="3"/>
        <v>7</v>
      </c>
      <c r="D35" s="35">
        <f t="shared" si="3"/>
        <v>72</v>
      </c>
      <c r="E35" s="35">
        <f>E6</f>
        <v>1</v>
      </c>
      <c r="F35" s="35">
        <f t="shared" si="4"/>
        <v>62</v>
      </c>
      <c r="G35" s="35">
        <f t="shared" si="4"/>
        <v>15</v>
      </c>
      <c r="H35" s="35">
        <f t="shared" si="4"/>
        <v>2</v>
      </c>
      <c r="I35" s="35">
        <f>I6</f>
        <v>0</v>
      </c>
      <c r="J35" s="35">
        <f t="shared" ref="J35:L37" si="7">J6+J15</f>
        <v>86</v>
      </c>
      <c r="K35" s="35">
        <f t="shared" si="7"/>
        <v>127</v>
      </c>
      <c r="L35" s="35">
        <f t="shared" si="7"/>
        <v>0</v>
      </c>
      <c r="M35" s="35">
        <f>M6</f>
        <v>1</v>
      </c>
      <c r="N35" s="35">
        <f t="shared" si="6"/>
        <v>2</v>
      </c>
      <c r="O35" s="35">
        <f t="shared" si="6"/>
        <v>158</v>
      </c>
      <c r="P35" s="35">
        <f t="shared" si="6"/>
        <v>5</v>
      </c>
      <c r="Q35" s="35">
        <f>Q6</f>
        <v>0</v>
      </c>
      <c r="R35" s="35">
        <f>SUM(B35:D35,F35:H35,J35:L35,N35:P35)</f>
        <v>539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1</v>
      </c>
      <c r="C36" s="35">
        <f t="shared" si="3"/>
        <v>11</v>
      </c>
      <c r="D36" s="35">
        <f t="shared" si="3"/>
        <v>82</v>
      </c>
      <c r="E36" s="35">
        <f>E7</f>
        <v>0</v>
      </c>
      <c r="F36" s="35">
        <f>F7+F16</f>
        <v>54</v>
      </c>
      <c r="G36" s="35">
        <f t="shared" si="4"/>
        <v>19</v>
      </c>
      <c r="H36" s="35">
        <f t="shared" si="4"/>
        <v>1</v>
      </c>
      <c r="I36" s="35">
        <f>I7</f>
        <v>0</v>
      </c>
      <c r="J36" s="35">
        <f t="shared" si="7"/>
        <v>87</v>
      </c>
      <c r="K36" s="35">
        <f t="shared" si="7"/>
        <v>114</v>
      </c>
      <c r="L36" s="35">
        <f t="shared" si="7"/>
        <v>3</v>
      </c>
      <c r="M36" s="35">
        <f>M7</f>
        <v>0</v>
      </c>
      <c r="N36" s="35">
        <f t="shared" si="6"/>
        <v>3</v>
      </c>
      <c r="O36" s="35">
        <f t="shared" si="6"/>
        <v>168</v>
      </c>
      <c r="P36" s="35">
        <f t="shared" si="6"/>
        <v>6</v>
      </c>
      <c r="Q36" s="35">
        <f>Q7</f>
        <v>0</v>
      </c>
      <c r="R36" s="35">
        <f t="shared" ref="R36" si="9">SUM(B36:D36,F36:H36,J36:L36,N36:P36)</f>
        <v>549</v>
      </c>
    </row>
    <row r="37" spans="1:18" ht="15.75" thickBot="1" x14ac:dyDescent="0.3">
      <c r="A37" s="15">
        <f t="shared" si="8"/>
        <v>0.70833333333333326</v>
      </c>
      <c r="B37" s="42">
        <f t="shared" si="3"/>
        <v>0</v>
      </c>
      <c r="C37" s="42">
        <f t="shared" si="3"/>
        <v>5</v>
      </c>
      <c r="D37" s="42">
        <f t="shared" si="3"/>
        <v>66</v>
      </c>
      <c r="E37" s="42">
        <f>E8</f>
        <v>0</v>
      </c>
      <c r="F37" s="42">
        <f>F8+F17</f>
        <v>71</v>
      </c>
      <c r="G37" s="42">
        <f>G8+G17</f>
        <v>12</v>
      </c>
      <c r="H37" s="42">
        <f t="shared" si="4"/>
        <v>0</v>
      </c>
      <c r="I37" s="42">
        <f>I8</f>
        <v>0</v>
      </c>
      <c r="J37" s="42">
        <f t="shared" si="7"/>
        <v>82</v>
      </c>
      <c r="K37" s="42">
        <f>K8+K17</f>
        <v>124</v>
      </c>
      <c r="L37" s="42">
        <f>L8+L17</f>
        <v>0</v>
      </c>
      <c r="M37" s="42">
        <f>M8</f>
        <v>0</v>
      </c>
      <c r="N37" s="42">
        <f t="shared" si="6"/>
        <v>2</v>
      </c>
      <c r="O37" s="42">
        <f t="shared" si="6"/>
        <v>151</v>
      </c>
      <c r="P37" s="42">
        <f t="shared" si="6"/>
        <v>2</v>
      </c>
      <c r="Q37" s="42">
        <f>Q8</f>
        <v>4</v>
      </c>
      <c r="R37" s="42">
        <f>SUM(B37:D37,F37:H37,J37:L37,N37:P37)</f>
        <v>515</v>
      </c>
    </row>
    <row r="38" spans="1:18" x14ac:dyDescent="0.25">
      <c r="A38" t="s">
        <v>1</v>
      </c>
      <c r="B38" s="28">
        <f>SUM(B34:B37)</f>
        <v>6</v>
      </c>
      <c r="C38" s="28">
        <f t="shared" ref="C38:R38" si="10">SUM(C34:C37)</f>
        <v>44</v>
      </c>
      <c r="D38" s="28">
        <f t="shared" si="10"/>
        <v>293</v>
      </c>
      <c r="E38" s="28">
        <f>SUM(E34:E37)</f>
        <v>2</v>
      </c>
      <c r="F38" s="28">
        <f t="shared" si="10"/>
        <v>242</v>
      </c>
      <c r="G38" s="28">
        <f t="shared" si="10"/>
        <v>59</v>
      </c>
      <c r="H38" s="28">
        <f t="shared" si="10"/>
        <v>7</v>
      </c>
      <c r="I38" s="28">
        <f t="shared" si="10"/>
        <v>2</v>
      </c>
      <c r="J38" s="28">
        <f t="shared" si="10"/>
        <v>334</v>
      </c>
      <c r="K38" s="28">
        <f t="shared" si="10"/>
        <v>484</v>
      </c>
      <c r="L38" s="28">
        <f t="shared" si="10"/>
        <v>3</v>
      </c>
      <c r="M38" s="28">
        <f t="shared" si="10"/>
        <v>1</v>
      </c>
      <c r="N38" s="28">
        <f t="shared" si="10"/>
        <v>9</v>
      </c>
      <c r="O38" s="28">
        <f t="shared" si="10"/>
        <v>668</v>
      </c>
      <c r="P38" s="28">
        <f t="shared" si="10"/>
        <v>15</v>
      </c>
      <c r="Q38" s="28">
        <f t="shared" si="10"/>
        <v>4</v>
      </c>
      <c r="R38" s="28">
        <f t="shared" si="10"/>
        <v>2164</v>
      </c>
    </row>
  </sheetData>
  <mergeCells count="33">
    <mergeCell ref="B32:E32"/>
    <mergeCell ref="F32:I32"/>
    <mergeCell ref="J32:M32"/>
    <mergeCell ref="N32:Q32"/>
    <mergeCell ref="R32:R33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2023-12-21T16:16:41Z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