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61A2F16F-0C9B-429D-BC73-99F244FCDC62}" xr6:coauthVersionLast="47" xr6:coauthVersionMax="47" xr10:uidLastSave="{00000000-0000-0000-0000-000000000000}"/>
  <bookViews>
    <workbookView xWindow="-110" yWindow="-110" windowWidth="38620" windowHeight="21220" activeTab="2" xr2:uid="{738F6AC3-FEF2-0849-9025-0F50FEEDD7DB}"/>
  </bookViews>
  <sheets>
    <sheet name="Raw Data" sheetId="1" r:id="rId1"/>
    <sheet name="cleaned" sheetId="7" r:id="rId2"/>
    <sheet name="animal phenotypes" sheetId="8" r:id="rId3"/>
    <sheet name="KAO" sheetId="6" r:id="rId4"/>
    <sheet name="Correlations" sheetId="5" r:id="rId5"/>
    <sheet name="Summary" sheetId="3" r:id="rId6"/>
    <sheet name="Hormones" sheetId="2" r:id="rId7"/>
    <sheet name="Temporary" sheetId="4" r:id="rId8"/>
  </sheets>
  <definedNames>
    <definedName name="a0">'Raw Data'!$AM$20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4" l="1"/>
  <c r="I37" i="4"/>
  <c r="K37" i="4"/>
  <c r="M37" i="4"/>
  <c r="O37" i="4"/>
  <c r="T37" i="4"/>
  <c r="V37" i="4"/>
  <c r="X37" i="4"/>
  <c r="Z37" i="4"/>
  <c r="AE37" i="4"/>
  <c r="AG37" i="4"/>
  <c r="AI37" i="4"/>
  <c r="AK37" i="4"/>
  <c r="AP37" i="4"/>
  <c r="AR37" i="4"/>
  <c r="AT37" i="4"/>
  <c r="AV37" i="4"/>
  <c r="BA37" i="4"/>
  <c r="BC37" i="4"/>
  <c r="BE37" i="4"/>
  <c r="F38" i="4"/>
  <c r="I38" i="4"/>
  <c r="K38" i="4"/>
  <c r="M38" i="4"/>
  <c r="O38" i="4"/>
  <c r="T38" i="4"/>
  <c r="V38" i="4"/>
  <c r="X38" i="4"/>
  <c r="Z38" i="4"/>
  <c r="AE38" i="4"/>
  <c r="AG38" i="4"/>
  <c r="AI38" i="4"/>
  <c r="AK38" i="4"/>
  <c r="AP38" i="4"/>
  <c r="AR38" i="4"/>
  <c r="AT38" i="4"/>
  <c r="AV38" i="4"/>
  <c r="BA38" i="4"/>
  <c r="BC38" i="4"/>
  <c r="BE38" i="4"/>
  <c r="F39" i="4"/>
  <c r="I39" i="4"/>
  <c r="K39" i="4"/>
  <c r="M39" i="4"/>
  <c r="O39" i="4"/>
  <c r="T39" i="4"/>
  <c r="V39" i="4"/>
  <c r="X39" i="4"/>
  <c r="Z39" i="4"/>
  <c r="AE39" i="4"/>
  <c r="AG39" i="4"/>
  <c r="AI39" i="4"/>
  <c r="AK39" i="4"/>
  <c r="AP39" i="4"/>
  <c r="AR39" i="4"/>
  <c r="AT39" i="4"/>
  <c r="AV39" i="4"/>
  <c r="BA39" i="4"/>
  <c r="BC39" i="4"/>
  <c r="BE39" i="4"/>
  <c r="F40" i="4"/>
  <c r="I40" i="4"/>
  <c r="K40" i="4"/>
  <c r="M40" i="4"/>
  <c r="O40" i="4"/>
  <c r="T40" i="4"/>
  <c r="V40" i="4"/>
  <c r="X40" i="4"/>
  <c r="Z40" i="4"/>
  <c r="AE40" i="4"/>
  <c r="AG40" i="4"/>
  <c r="AI40" i="4"/>
  <c r="AK40" i="4"/>
  <c r="AP40" i="4"/>
  <c r="AR40" i="4"/>
  <c r="AT40" i="4"/>
  <c r="AV40" i="4"/>
  <c r="BA40" i="4"/>
  <c r="BC40" i="4"/>
  <c r="F41" i="4"/>
  <c r="I41" i="4"/>
  <c r="K41" i="4"/>
  <c r="M41" i="4"/>
  <c r="O41" i="4"/>
  <c r="T41" i="4"/>
  <c r="V41" i="4"/>
  <c r="X41" i="4"/>
  <c r="Z41" i="4"/>
  <c r="AE41" i="4"/>
  <c r="AG41" i="4"/>
  <c r="AI41" i="4"/>
  <c r="AK41" i="4"/>
  <c r="AP41" i="4"/>
  <c r="AR41" i="4"/>
  <c r="AT41" i="4"/>
  <c r="AV41" i="4"/>
  <c r="BA41" i="4"/>
  <c r="BC41" i="4"/>
  <c r="BE41" i="4"/>
  <c r="F42" i="4"/>
  <c r="I42" i="4"/>
  <c r="K42" i="4"/>
  <c r="M42" i="4"/>
  <c r="O42" i="4"/>
  <c r="T42" i="4"/>
  <c r="V42" i="4"/>
  <c r="X42" i="4"/>
  <c r="Z42" i="4"/>
  <c r="AE42" i="4"/>
  <c r="AG42" i="4"/>
  <c r="AI42" i="4"/>
  <c r="AK42" i="4"/>
  <c r="AP42" i="4"/>
  <c r="AR42" i="4"/>
  <c r="AT42" i="4"/>
  <c r="AV42" i="4"/>
  <c r="BA42" i="4"/>
  <c r="BC42" i="4"/>
  <c r="BE42" i="4"/>
  <c r="F43" i="4"/>
  <c r="I43" i="4"/>
  <c r="K43" i="4"/>
  <c r="M43" i="4"/>
  <c r="O43" i="4"/>
  <c r="T43" i="4"/>
  <c r="V43" i="4"/>
  <c r="X43" i="4"/>
  <c r="Z43" i="4"/>
  <c r="AE43" i="4"/>
  <c r="AG43" i="4"/>
  <c r="AI43" i="4"/>
  <c r="AK43" i="4"/>
  <c r="AP43" i="4"/>
  <c r="AR43" i="4"/>
  <c r="AT43" i="4"/>
  <c r="AV43" i="4"/>
  <c r="BA43" i="4"/>
  <c r="BC43" i="4"/>
  <c r="BE43" i="4"/>
  <c r="F44" i="4"/>
  <c r="I44" i="4"/>
  <c r="K44" i="4"/>
  <c r="M44" i="4"/>
  <c r="O44" i="4"/>
  <c r="T44" i="4"/>
  <c r="V44" i="4"/>
  <c r="X44" i="4"/>
  <c r="Z44" i="4"/>
  <c r="AE44" i="4"/>
  <c r="AG44" i="4"/>
  <c r="AI44" i="4"/>
  <c r="AK44" i="4"/>
  <c r="AP44" i="4"/>
  <c r="AR44" i="4"/>
  <c r="AT44" i="4"/>
  <c r="AV44" i="4"/>
  <c r="BA44" i="4"/>
  <c r="BC44" i="4"/>
  <c r="F45" i="4"/>
  <c r="I45" i="4"/>
  <c r="K45" i="4"/>
  <c r="M45" i="4"/>
  <c r="O45" i="4"/>
  <c r="T45" i="4"/>
  <c r="V45" i="4"/>
  <c r="X45" i="4"/>
  <c r="Z45" i="4"/>
  <c r="AE45" i="4"/>
  <c r="AG45" i="4"/>
  <c r="AI45" i="4"/>
  <c r="AK45" i="4"/>
  <c r="AP45" i="4"/>
  <c r="AR45" i="4"/>
  <c r="AT45" i="4"/>
  <c r="AV45" i="4"/>
  <c r="BA45" i="4"/>
  <c r="BC45" i="4"/>
  <c r="BE45" i="4"/>
  <c r="F46" i="4"/>
  <c r="I46" i="4"/>
  <c r="K46" i="4"/>
  <c r="M46" i="4"/>
  <c r="O46" i="4"/>
  <c r="T46" i="4"/>
  <c r="V46" i="4"/>
  <c r="X46" i="4"/>
  <c r="Z46" i="4"/>
  <c r="AE46" i="4"/>
  <c r="AG46" i="4"/>
  <c r="AI46" i="4"/>
  <c r="AK46" i="4"/>
  <c r="AP46" i="4"/>
  <c r="AR46" i="4"/>
  <c r="AT46" i="4"/>
  <c r="AV46" i="4"/>
  <c r="BA46" i="4"/>
  <c r="BC46" i="4"/>
  <c r="BE46" i="4"/>
  <c r="F47" i="4"/>
  <c r="I47" i="4"/>
  <c r="K47" i="4"/>
  <c r="M47" i="4"/>
  <c r="O47" i="4"/>
  <c r="T47" i="4"/>
  <c r="V47" i="4"/>
  <c r="X47" i="4"/>
  <c r="Z47" i="4"/>
  <c r="AE47" i="4"/>
  <c r="AG47" i="4"/>
  <c r="AI47" i="4"/>
  <c r="AK47" i="4"/>
  <c r="AP47" i="4"/>
  <c r="AR47" i="4"/>
  <c r="AT47" i="4"/>
  <c r="AV47" i="4"/>
  <c r="BA47" i="4"/>
  <c r="BC47" i="4"/>
  <c r="BE47" i="4"/>
  <c r="F48" i="4"/>
  <c r="I48" i="4"/>
  <c r="K48" i="4"/>
  <c r="M48" i="4"/>
  <c r="O48" i="4"/>
  <c r="T48" i="4"/>
  <c r="V48" i="4"/>
  <c r="X48" i="4"/>
  <c r="Z48" i="4"/>
  <c r="AE48" i="4"/>
  <c r="AG48" i="4"/>
  <c r="AI48" i="4"/>
  <c r="AK48" i="4"/>
  <c r="AP48" i="4"/>
  <c r="AR48" i="4"/>
  <c r="AT48" i="4"/>
  <c r="AV48" i="4"/>
  <c r="BA48" i="4"/>
  <c r="BC48" i="4"/>
  <c r="BE48" i="4"/>
  <c r="F49" i="4"/>
  <c r="I49" i="4"/>
  <c r="K49" i="4"/>
  <c r="M49" i="4"/>
  <c r="O49" i="4"/>
  <c r="T49" i="4"/>
  <c r="V49" i="4"/>
  <c r="X49" i="4"/>
  <c r="Z49" i="4"/>
  <c r="AE49" i="4"/>
  <c r="AG49" i="4"/>
  <c r="AI49" i="4"/>
  <c r="AK49" i="4"/>
  <c r="AP49" i="4"/>
  <c r="AR49" i="4"/>
  <c r="AT49" i="4"/>
  <c r="AV49" i="4"/>
  <c r="BA49" i="4"/>
  <c r="BC49" i="4"/>
  <c r="BE49" i="4"/>
  <c r="F50" i="4"/>
  <c r="I50" i="4"/>
  <c r="K50" i="4"/>
  <c r="M50" i="4"/>
  <c r="O50" i="4"/>
  <c r="T50" i="4"/>
  <c r="V50" i="4"/>
  <c r="X50" i="4"/>
  <c r="Z50" i="4"/>
  <c r="AE50" i="4"/>
  <c r="AG50" i="4"/>
  <c r="AI50" i="4"/>
  <c r="AK50" i="4"/>
  <c r="AP50" i="4"/>
  <c r="AR50" i="4"/>
  <c r="AT50" i="4"/>
  <c r="AV50" i="4"/>
  <c r="BA50" i="4"/>
  <c r="BC50" i="4"/>
  <c r="BE50" i="4"/>
  <c r="F51" i="4"/>
  <c r="I51" i="4"/>
  <c r="K51" i="4"/>
  <c r="M51" i="4"/>
  <c r="O51" i="4"/>
  <c r="T51" i="4"/>
  <c r="V51" i="4"/>
  <c r="X51" i="4"/>
  <c r="Z51" i="4"/>
  <c r="AE51" i="4"/>
  <c r="AG51" i="4"/>
  <c r="AI51" i="4"/>
  <c r="AK51" i="4"/>
  <c r="AP51" i="4"/>
  <c r="AR51" i="4"/>
  <c r="AT51" i="4"/>
  <c r="AV51" i="4"/>
  <c r="BA51" i="4"/>
  <c r="BC51" i="4"/>
  <c r="BE51" i="4"/>
  <c r="F52" i="4"/>
  <c r="I52" i="4"/>
  <c r="K52" i="4"/>
  <c r="M52" i="4"/>
  <c r="O52" i="4"/>
  <c r="T52" i="4"/>
  <c r="V52" i="4"/>
  <c r="X52" i="4"/>
  <c r="Z52" i="4"/>
  <c r="AE52" i="4"/>
  <c r="AG52" i="4"/>
  <c r="AI52" i="4"/>
  <c r="AK52" i="4"/>
  <c r="AP52" i="4"/>
  <c r="AR52" i="4"/>
  <c r="AT52" i="4"/>
  <c r="AV52" i="4"/>
  <c r="BA52" i="4"/>
  <c r="BC52" i="4"/>
  <c r="BE52" i="4"/>
  <c r="F53" i="4"/>
  <c r="I53" i="4"/>
  <c r="K53" i="4"/>
  <c r="M53" i="4"/>
  <c r="O53" i="4"/>
  <c r="T53" i="4"/>
  <c r="V53" i="4"/>
  <c r="X53" i="4"/>
  <c r="Z53" i="4"/>
  <c r="F54" i="4"/>
  <c r="I54" i="4"/>
  <c r="K54" i="4"/>
  <c r="M54" i="4"/>
  <c r="O54" i="4"/>
  <c r="T54" i="4"/>
  <c r="V54" i="4"/>
  <c r="X54" i="4"/>
  <c r="Z54" i="4"/>
  <c r="AE54" i="4"/>
  <c r="AG54" i="4"/>
  <c r="AI54" i="4"/>
  <c r="AK54" i="4"/>
  <c r="AP54" i="4"/>
  <c r="AR54" i="4"/>
  <c r="AT54" i="4"/>
  <c r="AV54" i="4"/>
  <c r="BA54" i="4"/>
  <c r="BC54" i="4"/>
  <c r="F55" i="4"/>
  <c r="I55" i="4"/>
  <c r="K55" i="4"/>
  <c r="M55" i="4"/>
  <c r="O55" i="4"/>
  <c r="T55" i="4"/>
  <c r="V55" i="4"/>
  <c r="X55" i="4"/>
  <c r="Z55" i="4"/>
  <c r="AE55" i="4"/>
  <c r="AG55" i="4"/>
  <c r="AI55" i="4"/>
  <c r="AK55" i="4"/>
  <c r="AP55" i="4"/>
  <c r="AR55" i="4"/>
  <c r="AT55" i="4"/>
  <c r="AV55" i="4"/>
  <c r="BA55" i="4"/>
  <c r="BC55" i="4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E8" i="6"/>
  <c r="E10" i="6"/>
  <c r="E17" i="6"/>
  <c r="E14" i="6"/>
  <c r="E9" i="6"/>
  <c r="E4" i="6"/>
  <c r="E6" i="6"/>
  <c r="E7" i="6"/>
  <c r="E13" i="6"/>
  <c r="E3" i="6"/>
  <c r="E15" i="6"/>
  <c r="E12" i="6"/>
  <c r="E11" i="6"/>
  <c r="E16" i="6"/>
  <c r="E5" i="6"/>
  <c r="D8" i="6"/>
  <c r="D10" i="6"/>
  <c r="D17" i="6"/>
  <c r="D14" i="6"/>
  <c r="D9" i="6"/>
  <c r="D4" i="6"/>
  <c r="D6" i="6"/>
  <c r="D7" i="6"/>
  <c r="D13" i="6"/>
  <c r="D3" i="6"/>
  <c r="D15" i="6"/>
  <c r="D12" i="6"/>
  <c r="D11" i="6"/>
  <c r="D16" i="6"/>
  <c r="D5" i="6"/>
  <c r="B8" i="6"/>
  <c r="B10" i="6"/>
  <c r="B17" i="6"/>
  <c r="B14" i="6"/>
  <c r="B9" i="6"/>
  <c r="B4" i="6"/>
  <c r="B6" i="6"/>
  <c r="B7" i="6"/>
  <c r="B13" i="6"/>
  <c r="B3" i="6"/>
  <c r="B15" i="6"/>
  <c r="B12" i="6"/>
  <c r="B11" i="6"/>
  <c r="B16" i="6"/>
  <c r="B5" i="6"/>
  <c r="J17" i="4" l="1"/>
  <c r="J18" i="4"/>
  <c r="E17" i="4"/>
  <c r="E18" i="4"/>
  <c r="E19" i="4"/>
  <c r="E20" i="4"/>
  <c r="E21" i="4"/>
  <c r="E22" i="4"/>
  <c r="E23" i="4"/>
  <c r="F37" i="3"/>
  <c r="F36" i="3"/>
  <c r="F35" i="3"/>
  <c r="F34" i="3"/>
  <c r="F33" i="3"/>
  <c r="F32" i="3"/>
  <c r="BD13" i="1"/>
  <c r="BD5" i="1"/>
  <c r="BD6" i="1"/>
  <c r="BD7" i="1"/>
  <c r="BD8" i="1"/>
  <c r="BD9" i="1"/>
  <c r="BD10" i="1"/>
  <c r="BD11" i="1"/>
  <c r="BD12" i="1"/>
  <c r="BD14" i="1"/>
  <c r="BD15" i="1"/>
  <c r="BD16" i="1"/>
  <c r="BD17" i="1"/>
  <c r="BD18" i="1"/>
  <c r="BD19" i="1"/>
  <c r="BD21" i="1"/>
  <c r="BD22" i="1"/>
  <c r="BD4" i="1"/>
  <c r="BO19" i="1"/>
  <c r="BO17" i="1"/>
  <c r="BO16" i="1"/>
  <c r="BO15" i="1"/>
  <c r="BO14" i="1"/>
  <c r="BO4" i="1"/>
  <c r="BT16" i="1"/>
  <c r="BT17" i="1"/>
  <c r="BT18" i="1"/>
  <c r="BT19" i="1"/>
  <c r="BR16" i="1"/>
  <c r="BU16" i="1" s="1"/>
  <c r="BR17" i="1"/>
  <c r="BU17" i="1" s="1"/>
  <c r="BR18" i="1"/>
  <c r="BU18" i="1" s="1"/>
  <c r="BR19" i="1"/>
  <c r="BU19" i="1" s="1"/>
  <c r="BT15" i="1"/>
  <c r="BR15" i="1"/>
  <c r="BN19" i="1"/>
  <c r="BM19" i="1"/>
  <c r="BL19" i="1"/>
  <c r="BK19" i="1"/>
  <c r="BJ19" i="1"/>
  <c r="BI19" i="1"/>
  <c r="BF19" i="1"/>
  <c r="BB19" i="1"/>
  <c r="BN18" i="1"/>
  <c r="BM18" i="1"/>
  <c r="BL18" i="1"/>
  <c r="BK18" i="1"/>
  <c r="BJ18" i="1"/>
  <c r="BI18" i="1"/>
  <c r="BF18" i="1"/>
  <c r="BB18" i="1"/>
  <c r="BN17" i="1"/>
  <c r="BM17" i="1"/>
  <c r="BL17" i="1"/>
  <c r="BK17" i="1"/>
  <c r="BJ17" i="1"/>
  <c r="BI17" i="1"/>
  <c r="BF17" i="1"/>
  <c r="BB17" i="1"/>
  <c r="BB4" i="1"/>
  <c r="BN16" i="1"/>
  <c r="BM16" i="1"/>
  <c r="BL16" i="1"/>
  <c r="BK16" i="1"/>
  <c r="BJ16" i="1"/>
  <c r="BI16" i="1"/>
  <c r="BF16" i="1"/>
  <c r="BB16" i="1"/>
  <c r="BN15" i="1"/>
  <c r="BM15" i="1"/>
  <c r="BL15" i="1"/>
  <c r="BK15" i="1"/>
  <c r="BJ15" i="1"/>
  <c r="BI15" i="1"/>
  <c r="BF15" i="1"/>
  <c r="BB15" i="1"/>
  <c r="BN14" i="1"/>
  <c r="BM14" i="1"/>
  <c r="BL14" i="1"/>
  <c r="BK14" i="1"/>
  <c r="BJ14" i="1"/>
  <c r="BI14" i="1"/>
  <c r="BF14" i="1"/>
  <c r="BB14" i="1"/>
  <c r="BR14" i="1"/>
  <c r="BT14" i="1"/>
  <c r="BU15" i="1" l="1"/>
  <c r="BU14" i="1"/>
  <c r="BO21" i="1"/>
  <c r="BO22" i="1"/>
  <c r="BT21" i="1"/>
  <c r="BT22" i="1"/>
  <c r="BR21" i="1"/>
  <c r="BU21" i="1" s="1"/>
  <c r="BR22" i="1"/>
  <c r="BU22" i="1" s="1"/>
  <c r="BN22" i="1"/>
  <c r="BM22" i="1"/>
  <c r="BL22" i="1"/>
  <c r="BK22" i="1"/>
  <c r="BJ22" i="1"/>
  <c r="BI22" i="1"/>
  <c r="BN21" i="1"/>
  <c r="BM21" i="1"/>
  <c r="BL21" i="1"/>
  <c r="BK21" i="1"/>
  <c r="BJ21" i="1"/>
  <c r="BI21" i="1"/>
  <c r="BB22" i="1"/>
  <c r="BB21" i="1"/>
  <c r="F39" i="3"/>
  <c r="F38" i="3"/>
  <c r="D20" i="3"/>
  <c r="E2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C40" i="3" s="1"/>
  <c r="B32" i="3"/>
  <c r="B40" i="3" s="1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C20" i="3" s="1"/>
  <c r="B12" i="3"/>
  <c r="B20" i="3" s="1"/>
  <c r="F29" i="3"/>
  <c r="F25" i="3"/>
  <c r="D40" i="3" l="1"/>
  <c r="F31" i="3"/>
  <c r="F30" i="3"/>
  <c r="F28" i="3"/>
  <c r="F27" i="3"/>
  <c r="F26" i="3"/>
  <c r="F24" i="3"/>
  <c r="F23" i="3"/>
  <c r="F22" i="3"/>
  <c r="AW21" i="1"/>
  <c r="AW22" i="1"/>
  <c r="AW19" i="1"/>
  <c r="AW18" i="1"/>
  <c r="AW17" i="1"/>
  <c r="AW16" i="1"/>
  <c r="AW15" i="1"/>
  <c r="AW14" i="1"/>
  <c r="AU22" i="1"/>
  <c r="AU21" i="1"/>
  <c r="AU19" i="1"/>
  <c r="AU18" i="1"/>
  <c r="AU17" i="1"/>
  <c r="AU16" i="1"/>
  <c r="AU15" i="1"/>
  <c r="AU14" i="1"/>
  <c r="BR7" i="1"/>
  <c r="BB11" i="1"/>
  <c r="BB7" i="1"/>
  <c r="BU4" i="1"/>
  <c r="BT5" i="1"/>
  <c r="BT6" i="1"/>
  <c r="BT7" i="1"/>
  <c r="BT8" i="1"/>
  <c r="BT9" i="1"/>
  <c r="BU9" i="1" s="1"/>
  <c r="BT10" i="1"/>
  <c r="BT11" i="1"/>
  <c r="BT12" i="1"/>
  <c r="BT13" i="1"/>
  <c r="BT4" i="1"/>
  <c r="BR5" i="1"/>
  <c r="BU5" i="1" s="1"/>
  <c r="BR6" i="1"/>
  <c r="BU6" i="1" s="1"/>
  <c r="BR8" i="1"/>
  <c r="BU8" i="1" s="1"/>
  <c r="BR9" i="1"/>
  <c r="BR10" i="1"/>
  <c r="BU10" i="1" s="1"/>
  <c r="BR11" i="1"/>
  <c r="BR12" i="1"/>
  <c r="BU12" i="1" s="1"/>
  <c r="BR13" i="1"/>
  <c r="BR4" i="1"/>
  <c r="BF8" i="1"/>
  <c r="BF4" i="1"/>
  <c r="BO8" i="1"/>
  <c r="BN8" i="1"/>
  <c r="BM8" i="1"/>
  <c r="BN4" i="1"/>
  <c r="BM4" i="1"/>
  <c r="BU13" i="1" l="1"/>
  <c r="F40" i="3"/>
  <c r="BU11" i="1"/>
  <c r="BU7" i="1"/>
  <c r="BL8" i="1" l="1"/>
  <c r="BK8" i="1"/>
  <c r="BJ8" i="1"/>
  <c r="BI8" i="1"/>
  <c r="BL4" i="1"/>
  <c r="BK4" i="1"/>
  <c r="BJ4" i="1"/>
  <c r="BI4" i="1"/>
  <c r="BB8" i="1"/>
  <c r="BF6" i="1"/>
  <c r="BF5" i="1"/>
  <c r="BO13" i="1"/>
  <c r="BO12" i="1"/>
  <c r="BO10" i="1"/>
  <c r="BO9" i="1"/>
  <c r="BO6" i="1"/>
  <c r="BO5" i="1"/>
  <c r="BN6" i="1"/>
  <c r="BN5" i="1"/>
  <c r="BM6" i="1"/>
  <c r="BL6" i="1"/>
  <c r="BK6" i="1"/>
  <c r="BJ6" i="1"/>
  <c r="BI6" i="1"/>
  <c r="BM5" i="1"/>
  <c r="BL5" i="1"/>
  <c r="BK5" i="1"/>
  <c r="BJ5" i="1"/>
  <c r="BI5" i="1"/>
  <c r="BN12" i="1"/>
  <c r="BM12" i="1"/>
  <c r="BL12" i="1"/>
  <c r="BK12" i="1"/>
  <c r="BJ12" i="1"/>
  <c r="BI12" i="1"/>
  <c r="BN10" i="1"/>
  <c r="BM10" i="1"/>
  <c r="BL10" i="1"/>
  <c r="BK10" i="1"/>
  <c r="BJ10" i="1"/>
  <c r="BI10" i="1"/>
  <c r="BI13" i="1"/>
  <c r="BI9" i="1"/>
  <c r="BF12" i="1"/>
  <c r="BF10" i="1"/>
  <c r="BB12" i="1"/>
  <c r="BB10" i="1"/>
  <c r="BB6" i="1"/>
  <c r="BB5" i="1"/>
  <c r="BF13" i="1"/>
  <c r="BF9" i="1"/>
  <c r="BN13" i="1" l="1"/>
  <c r="BM13" i="1"/>
  <c r="BL13" i="1"/>
  <c r="BK13" i="1"/>
  <c r="BJ13" i="1"/>
  <c r="BN9" i="1"/>
  <c r="BM9" i="1"/>
  <c r="BL9" i="1"/>
  <c r="BK9" i="1"/>
  <c r="BJ9" i="1"/>
  <c r="BB13" i="1"/>
  <c r="BB9" i="1"/>
  <c r="AS14" i="1"/>
  <c r="AS15" i="1"/>
  <c r="AS16" i="1"/>
  <c r="AS17" i="1"/>
  <c r="AS18" i="1"/>
  <c r="AS19" i="1"/>
  <c r="AS21" i="1"/>
  <c r="AS22" i="1"/>
  <c r="AQ22" i="1"/>
  <c r="AQ21" i="1"/>
  <c r="AQ19" i="1"/>
  <c r="AQ18" i="1"/>
  <c r="AQ17" i="1"/>
  <c r="AQ16" i="1"/>
  <c r="AQ15" i="1"/>
  <c r="AQ14" i="1"/>
  <c r="AW5" i="1" l="1"/>
  <c r="AW6" i="1"/>
  <c r="AW7" i="1"/>
  <c r="AW8" i="1"/>
  <c r="AW9" i="1"/>
  <c r="AW10" i="1"/>
  <c r="AW11" i="1"/>
  <c r="AW12" i="1"/>
  <c r="AW13" i="1"/>
  <c r="AW4" i="1"/>
  <c r="AU13" i="1"/>
  <c r="AU12" i="1"/>
  <c r="AU11" i="1"/>
  <c r="AU10" i="1"/>
  <c r="AU9" i="1"/>
  <c r="AU8" i="1"/>
  <c r="AU7" i="1"/>
  <c r="AU6" i="1"/>
  <c r="AU5" i="1"/>
  <c r="AU4" i="1"/>
  <c r="J3" i="4" l="1"/>
  <c r="J4" i="4"/>
  <c r="J5" i="4"/>
  <c r="J6" i="4"/>
  <c r="J7" i="4"/>
  <c r="J8" i="4"/>
  <c r="J9" i="4"/>
  <c r="J2" i="4"/>
  <c r="E3" i="4"/>
  <c r="E4" i="4"/>
  <c r="E5" i="4"/>
  <c r="E6" i="4"/>
  <c r="E7" i="4"/>
  <c r="E8" i="4"/>
  <c r="E9" i="4"/>
  <c r="E2" i="4"/>
  <c r="C25" i="4"/>
  <c r="D25" i="4"/>
  <c r="B25" i="4"/>
  <c r="I23" i="4"/>
  <c r="H23" i="4"/>
  <c r="G23" i="4"/>
  <c r="I22" i="4"/>
  <c r="H22" i="4"/>
  <c r="G22" i="4"/>
  <c r="I21" i="4"/>
  <c r="H21" i="4"/>
  <c r="G21" i="4"/>
  <c r="J21" i="4" s="1"/>
  <c r="I20" i="4"/>
  <c r="H20" i="4"/>
  <c r="G20" i="4"/>
  <c r="I19" i="4"/>
  <c r="H19" i="4"/>
  <c r="G19" i="4"/>
  <c r="D14" i="4"/>
  <c r="I12" i="4"/>
  <c r="H12" i="4"/>
  <c r="G12" i="4"/>
  <c r="I11" i="4"/>
  <c r="H11" i="4"/>
  <c r="G11" i="4"/>
  <c r="I10" i="4"/>
  <c r="H10" i="4"/>
  <c r="G10" i="4"/>
  <c r="C12" i="4"/>
  <c r="B12" i="4"/>
  <c r="C11" i="4"/>
  <c r="B11" i="4"/>
  <c r="C10" i="4"/>
  <c r="B10" i="4"/>
  <c r="AL21" i="1"/>
  <c r="AL22" i="1"/>
  <c r="AL19" i="1"/>
  <c r="AL18" i="1"/>
  <c r="AL17" i="1"/>
  <c r="AL16" i="1"/>
  <c r="AL15" i="1"/>
  <c r="AL14" i="1"/>
  <c r="AJ22" i="1"/>
  <c r="AJ21" i="1"/>
  <c r="AJ19" i="1"/>
  <c r="AJ18" i="1"/>
  <c r="AJ17" i="1"/>
  <c r="AJ16" i="1"/>
  <c r="AJ15" i="1"/>
  <c r="AJ14" i="1"/>
  <c r="E31" i="3"/>
  <c r="E30" i="3"/>
  <c r="E29" i="3"/>
  <c r="E28" i="3"/>
  <c r="E27" i="3"/>
  <c r="E26" i="3"/>
  <c r="E25" i="3"/>
  <c r="E24" i="3"/>
  <c r="E23" i="3"/>
  <c r="E22" i="3"/>
  <c r="AS5" i="1"/>
  <c r="AS6" i="1"/>
  <c r="AS7" i="1"/>
  <c r="AS8" i="1"/>
  <c r="AS9" i="1"/>
  <c r="AS10" i="1"/>
  <c r="AS11" i="1"/>
  <c r="AS12" i="1"/>
  <c r="AS13" i="1"/>
  <c r="AS4" i="1"/>
  <c r="AQ13" i="1"/>
  <c r="AQ12" i="1"/>
  <c r="AQ11" i="1"/>
  <c r="AQ10" i="1"/>
  <c r="AQ9" i="1"/>
  <c r="AQ8" i="1"/>
  <c r="AQ7" i="1"/>
  <c r="AQ6" i="1"/>
  <c r="AQ5" i="1"/>
  <c r="AQ4" i="1"/>
  <c r="J20" i="4" l="1"/>
  <c r="E10" i="4"/>
  <c r="I14" i="4"/>
  <c r="J12" i="4"/>
  <c r="G25" i="4"/>
  <c r="J19" i="4"/>
  <c r="J23" i="4"/>
  <c r="J11" i="4"/>
  <c r="H25" i="4"/>
  <c r="J22" i="4"/>
  <c r="E40" i="3"/>
  <c r="AQ24" i="1"/>
  <c r="J10" i="4"/>
  <c r="G14" i="4"/>
  <c r="H14" i="4"/>
  <c r="C14" i="4"/>
  <c r="E11" i="4"/>
  <c r="I25" i="4"/>
  <c r="E12" i="4"/>
  <c r="B14" i="4"/>
  <c r="AH14" i="1"/>
  <c r="AH15" i="1"/>
  <c r="AH16" i="1"/>
  <c r="AH17" i="1"/>
  <c r="AH18" i="1"/>
  <c r="AH19" i="1"/>
  <c r="AH21" i="1"/>
  <c r="AH22" i="1"/>
  <c r="AF22" i="1"/>
  <c r="AF21" i="1"/>
  <c r="AF19" i="1"/>
  <c r="AF18" i="1"/>
  <c r="AF17" i="1"/>
  <c r="AF16" i="1"/>
  <c r="AF15" i="1"/>
  <c r="AF14" i="1"/>
  <c r="AL5" i="1" l="1"/>
  <c r="AL6" i="1"/>
  <c r="AL7" i="1"/>
  <c r="AL8" i="1"/>
  <c r="AL9" i="1"/>
  <c r="AL10" i="1"/>
  <c r="AL11" i="1"/>
  <c r="AL12" i="1"/>
  <c r="AL13" i="1"/>
  <c r="AL4" i="1"/>
  <c r="AA22" i="1"/>
  <c r="AA21" i="1"/>
  <c r="AA20" i="1"/>
  <c r="Y22" i="1"/>
  <c r="Y21" i="1"/>
  <c r="Y20" i="1"/>
  <c r="Y19" i="1"/>
  <c r="AA19" i="1"/>
  <c r="AA18" i="1"/>
  <c r="AA17" i="1"/>
  <c r="AA16" i="1"/>
  <c r="AA15" i="1"/>
  <c r="AA14" i="1"/>
  <c r="Y18" i="1"/>
  <c r="Y17" i="1"/>
  <c r="Y16" i="1"/>
  <c r="Y15" i="1"/>
  <c r="Y14" i="1"/>
  <c r="AJ13" i="1"/>
  <c r="AJ12" i="1"/>
  <c r="AJ11" i="1"/>
  <c r="AJ10" i="1"/>
  <c r="AJ9" i="1"/>
  <c r="AJ8" i="1"/>
  <c r="AJ7" i="1"/>
  <c r="AJ6" i="1"/>
  <c r="AJ5" i="1"/>
  <c r="AJ4" i="1"/>
  <c r="AA5" i="1"/>
  <c r="AA6" i="1"/>
  <c r="AA7" i="1"/>
  <c r="AA8" i="1"/>
  <c r="AA9" i="1"/>
  <c r="AA10" i="1"/>
  <c r="AA11" i="1"/>
  <c r="AA12" i="1"/>
  <c r="AA13" i="1"/>
  <c r="AA4" i="1"/>
  <c r="AH5" i="1"/>
  <c r="AH6" i="1"/>
  <c r="AH7" i="1"/>
  <c r="AH8" i="1"/>
  <c r="AH9" i="1"/>
  <c r="AH10" i="1"/>
  <c r="AH11" i="1"/>
  <c r="AH12" i="1"/>
  <c r="AH13" i="1"/>
  <c r="AH4" i="1"/>
  <c r="AF13" i="1"/>
  <c r="AF12" i="1"/>
  <c r="AF11" i="1"/>
  <c r="AF10" i="1"/>
  <c r="AF9" i="1"/>
  <c r="AF8" i="1"/>
  <c r="AF7" i="1"/>
  <c r="AF6" i="1"/>
  <c r="AF5" i="1"/>
  <c r="AF4" i="1"/>
  <c r="AJ24" i="1" l="1"/>
  <c r="AF2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4" i="1"/>
  <c r="U22" i="1"/>
  <c r="U21" i="1"/>
  <c r="U20" i="1"/>
  <c r="U19" i="1"/>
  <c r="U18" i="1"/>
  <c r="U17" i="1"/>
  <c r="U16" i="1"/>
  <c r="U15" i="1"/>
  <c r="U14" i="1"/>
  <c r="Y13" i="1"/>
  <c r="Y12" i="1"/>
  <c r="Y11" i="1"/>
  <c r="Y10" i="1"/>
  <c r="Y9" i="1"/>
  <c r="Y8" i="1"/>
  <c r="Y7" i="1"/>
  <c r="Y6" i="1"/>
  <c r="Y5" i="1"/>
  <c r="Y4" i="1"/>
  <c r="Y24" i="1" l="1"/>
  <c r="U5" i="1"/>
  <c r="U6" i="1"/>
  <c r="U7" i="1"/>
  <c r="U8" i="1"/>
  <c r="U9" i="1"/>
  <c r="U10" i="1"/>
  <c r="U11" i="1"/>
  <c r="U12" i="1"/>
  <c r="U1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4" i="1"/>
  <c r="N22" i="1"/>
  <c r="N21" i="1"/>
  <c r="N20" i="1"/>
  <c r="N19" i="1"/>
  <c r="N18" i="1"/>
  <c r="N17" i="1"/>
  <c r="N16" i="1"/>
  <c r="N15" i="1"/>
  <c r="N14" i="1"/>
  <c r="J22" i="1"/>
  <c r="J21" i="1"/>
  <c r="J20" i="1"/>
  <c r="G22" i="1"/>
  <c r="G21" i="1"/>
  <c r="G20" i="1"/>
  <c r="J19" i="1"/>
  <c r="J18" i="1"/>
  <c r="J17" i="1"/>
  <c r="J16" i="1"/>
  <c r="J15" i="1"/>
  <c r="J14" i="1"/>
  <c r="G19" i="1"/>
  <c r="G18" i="1"/>
  <c r="G17" i="1"/>
  <c r="G16" i="1"/>
  <c r="G15" i="1"/>
  <c r="G14" i="1"/>
  <c r="U4" i="1"/>
  <c r="J13" i="1"/>
  <c r="J12" i="1"/>
  <c r="J11" i="1"/>
  <c r="J10" i="1"/>
  <c r="J9" i="1"/>
  <c r="J8" i="1"/>
  <c r="J7" i="1"/>
  <c r="J6" i="1"/>
  <c r="J5" i="1"/>
  <c r="J4" i="1"/>
  <c r="N13" i="1"/>
  <c r="N12" i="1"/>
  <c r="N11" i="1"/>
  <c r="N10" i="1"/>
  <c r="N9" i="1"/>
  <c r="N8" i="1"/>
  <c r="N7" i="1"/>
  <c r="N6" i="1"/>
  <c r="N5" i="1"/>
  <c r="N4" i="1"/>
  <c r="G13" i="1"/>
  <c r="G12" i="1"/>
  <c r="G11" i="1"/>
  <c r="G10" i="1"/>
  <c r="G9" i="1"/>
  <c r="G8" i="1"/>
  <c r="G7" i="1"/>
  <c r="G6" i="1"/>
  <c r="G5" i="1"/>
  <c r="G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N24" i="1" l="1"/>
  <c r="J24" i="1"/>
  <c r="U24" i="1"/>
</calcChain>
</file>

<file path=xl/sharedStrings.xml><?xml version="1.0" encoding="utf-8"?>
<sst xmlns="http://schemas.openxmlformats.org/spreadsheetml/2006/main" count="2875" uniqueCount="182">
  <si>
    <t>When</t>
  </si>
  <si>
    <t>RBG</t>
  </si>
  <si>
    <t>Weight</t>
  </si>
  <si>
    <t>T1060M</t>
  </si>
  <si>
    <t>T1061M</t>
  </si>
  <si>
    <t>T1062M</t>
  </si>
  <si>
    <t>T1063M</t>
  </si>
  <si>
    <t>T1074M</t>
  </si>
  <si>
    <t>T1075M</t>
  </si>
  <si>
    <t>T1076M</t>
  </si>
  <si>
    <t>T1080M</t>
  </si>
  <si>
    <t>T1081M</t>
  </si>
  <si>
    <t>T1082M</t>
  </si>
  <si>
    <t>T1091M</t>
  </si>
  <si>
    <t>T1092M</t>
  </si>
  <si>
    <t>T1093M</t>
  </si>
  <si>
    <t>T1094M</t>
  </si>
  <si>
    <t>T1095M</t>
  </si>
  <si>
    <t>T1096M</t>
  </si>
  <si>
    <t>T1100M</t>
  </si>
  <si>
    <t>T1101M</t>
  </si>
  <si>
    <t>T1102M</t>
  </si>
  <si>
    <t>3/21 6pm</t>
  </si>
  <si>
    <t>Weight loss %</t>
  </si>
  <si>
    <t>3/25 3pm</t>
  </si>
  <si>
    <t>03/28 6pm</t>
  </si>
  <si>
    <t>FBG</t>
  </si>
  <si>
    <t>3/26 6pm</t>
  </si>
  <si>
    <t>3/22 10:30am</t>
  </si>
  <si>
    <t>3/27 10:30am</t>
  </si>
  <si>
    <t>03/29 10:30am</t>
  </si>
  <si>
    <t>Fasting from 6:30pm to 10:30am; Light cycle 10am to 10pm</t>
  </si>
  <si>
    <t>Date of birth</t>
  </si>
  <si>
    <t>RBG (pre-fasting)</t>
  </si>
  <si>
    <t>Weight (pre-fasting)</t>
  </si>
  <si>
    <t>4 weeks old</t>
  </si>
  <si>
    <t>3/30 3pm</t>
  </si>
  <si>
    <t>8 weeks old</t>
  </si>
  <si>
    <t>9 weeks old</t>
  </si>
  <si>
    <t>4/1 6pm</t>
  </si>
  <si>
    <t>4/2 10:30am</t>
  </si>
  <si>
    <t>4/1 3pm</t>
  </si>
  <si>
    <t>Weigh gain %</t>
  </si>
  <si>
    <t>10 weeks old</t>
  </si>
  <si>
    <t>4/4 6pm</t>
  </si>
  <si>
    <t>4/5 10:30am</t>
  </si>
  <si>
    <t>4/8 3pm</t>
  </si>
  <si>
    <t>4/6 3pm</t>
  </si>
  <si>
    <t>4/9 6pm</t>
  </si>
  <si>
    <t>4/10 10:30am</t>
  </si>
  <si>
    <t>4/13 3pm</t>
  </si>
  <si>
    <t>11 weeks old</t>
  </si>
  <si>
    <t>12 weeks old</t>
  </si>
  <si>
    <t>4/11 6pm</t>
  </si>
  <si>
    <t>4/12 10:30am</t>
  </si>
  <si>
    <t>4/16 6pm</t>
  </si>
  <si>
    <t>4/17 10:30am</t>
  </si>
  <si>
    <t>4/15 3pm</t>
  </si>
  <si>
    <t>4/20 3pm</t>
  </si>
  <si>
    <t>4/18 6pm</t>
  </si>
  <si>
    <t>4/19 10:30am</t>
  </si>
  <si>
    <t>4/23 6pm</t>
  </si>
  <si>
    <t>4/24 10:30am</t>
  </si>
  <si>
    <t>4/22 3pm</t>
  </si>
  <si>
    <t>4/27 3pm</t>
  </si>
  <si>
    <t>2/20 3pm</t>
  </si>
  <si>
    <t>2/28 3pm</t>
  </si>
  <si>
    <t>Weight gain %</t>
  </si>
  <si>
    <t>8 to 9 weeks</t>
  </si>
  <si>
    <t>4 to 8 weeks</t>
  </si>
  <si>
    <t>Insulin</t>
  </si>
  <si>
    <t>Somatostatin</t>
  </si>
  <si>
    <t>Glucagon</t>
  </si>
  <si>
    <t>Growth hormone</t>
  </si>
  <si>
    <t>5uL</t>
  </si>
  <si>
    <t>GLP-1</t>
  </si>
  <si>
    <t>GIP</t>
  </si>
  <si>
    <t>Ghrelin</t>
  </si>
  <si>
    <t>Leptin</t>
  </si>
  <si>
    <t>FFA</t>
  </si>
  <si>
    <t>Triglyceride</t>
  </si>
  <si>
    <t>9 tp 10 weeks</t>
  </si>
  <si>
    <t>RBG-8w</t>
  </si>
  <si>
    <t>RBG-9w</t>
  </si>
  <si>
    <t>RBG-10w</t>
  </si>
  <si>
    <t>FBG-8w</t>
  </si>
  <si>
    <t>FBG-9w</t>
  </si>
  <si>
    <t>FBG-10w</t>
  </si>
  <si>
    <t>FBG-11w</t>
  </si>
  <si>
    <t>C-peptide</t>
  </si>
  <si>
    <t>RBG-11w</t>
  </si>
  <si>
    <t>FBG-12w</t>
  </si>
  <si>
    <t>10uL</t>
  </si>
  <si>
    <t>https://www.mercodia.com/product/glucagon-elisa-10-%C2%B5l/#prod-info-2</t>
  </si>
  <si>
    <t>http://www.crystalchem.com/ultra-sensitive-mouse-insulin-elisa-kit.html</t>
  </si>
  <si>
    <t>Adiponectin</t>
  </si>
  <si>
    <t>Need DPP4 inhibitor</t>
  </si>
  <si>
    <t>10uL (no need aprotinin)</t>
  </si>
  <si>
    <t>https://labchem-wako.fujifilm.com/us/product/detail/W01S10AKMAN-011.html</t>
  </si>
  <si>
    <t>https://www.fujifilmhealthcare.com/in-vitro-diagnostics/clinical-diagnostic-reagents/non-esterified-fatty-acid-nefa</t>
  </si>
  <si>
    <t>https://www.fujifilmhealthcare.com/in-vitro-diagnostics/research-reagents/triglyceride</t>
  </si>
  <si>
    <t>Pro-insulin</t>
  </si>
  <si>
    <t>TNF-a</t>
  </si>
  <si>
    <t>AMPK</t>
  </si>
  <si>
    <t>https://www.emdmillipore.com/US/en/product/Rat-Mouse-Ghrelin-active-ELISA,MM_NF-EZRGRA-90K#anchor_PR</t>
  </si>
  <si>
    <t>20uL (extremely unstable)</t>
  </si>
  <si>
    <t>https://www.bdbiosciences.com/us/applications/blood-collection/cell-biomarker-preservation/bdtrade-p800-blood-collection-system/p/366421</t>
  </si>
  <si>
    <t>https://www.rndsystems.com/products/mouse-rat-leptin-quantikine-elisa-kit_mob00b</t>
  </si>
  <si>
    <t>STDEV</t>
  </si>
  <si>
    <t>OGTT(10min)</t>
  </si>
  <si>
    <t>10.6g dextrose in 6mL distilled water; total 12.5mL solution</t>
  </si>
  <si>
    <t>OGTT(20min)</t>
  </si>
  <si>
    <t>OGTT(30min)</t>
  </si>
  <si>
    <t>OGTT(60min)</t>
  </si>
  <si>
    <t>OGTT(120min)</t>
  </si>
  <si>
    <t>HbA1c</t>
  </si>
  <si>
    <t>Interscapular brown fat (g)</t>
  </si>
  <si>
    <t>Inguinal white fat one side (g)</t>
  </si>
  <si>
    <t>Collected hypothalamus, interscapular white fat, interscapular brown fat, inguinal white fat, mesenteric visceral white rat, pancreas, duodenum, jejunum, ileum, liver,</t>
  </si>
  <si>
    <t>OGTT (AUC)</t>
  </si>
  <si>
    <t>BF (%BW)</t>
  </si>
  <si>
    <t>WF (%BW)</t>
  </si>
  <si>
    <t>BF/WF</t>
  </si>
  <si>
    <t>Isoflurane 3% with 2L/min oxygen (~2min to go under)</t>
  </si>
  <si>
    <t>Used pre-fasting weight to calculate amount of dextrose</t>
  </si>
  <si>
    <t>Plasma</t>
  </si>
  <si>
    <t>White</t>
  </si>
  <si>
    <t>Yes</t>
  </si>
  <si>
    <t>No</t>
  </si>
  <si>
    <t>Slight</t>
  </si>
  <si>
    <t>Fatty liver</t>
  </si>
  <si>
    <t>murky</t>
  </si>
  <si>
    <t>OGTT failed</t>
  </si>
  <si>
    <t>Yes definitely</t>
  </si>
  <si>
    <t>Very slight</t>
  </si>
  <si>
    <t>Post-OGTT BG</t>
  </si>
  <si>
    <t>Didn't collect tissue or post-OGTT blood</t>
  </si>
  <si>
    <t>euthanized due to tail injury</t>
  </si>
  <si>
    <t>clear</t>
  </si>
  <si>
    <t>RBG - 11wks</t>
  </si>
  <si>
    <t>FBG - 12 wks</t>
  </si>
  <si>
    <t>OGTT AUC</t>
  </si>
  <si>
    <t>Inguinal white fat</t>
  </si>
  <si>
    <t>Interscapular brown fat</t>
  </si>
  <si>
    <t>RBG-11 wks</t>
  </si>
  <si>
    <t>Pre-fasting weight</t>
  </si>
  <si>
    <t>4wk weight</t>
  </si>
  <si>
    <t>Post-OGTT RBG</t>
  </si>
  <si>
    <t>Animal stressed?</t>
  </si>
  <si>
    <t>Missing data</t>
  </si>
  <si>
    <t>Hyperglycemic using human cutoff</t>
  </si>
  <si>
    <t>Hyperglycemic using Hayes' Nile rat RBG cutoff</t>
  </si>
  <si>
    <t>x</t>
  </si>
  <si>
    <t>l</t>
  </si>
  <si>
    <t>h</t>
  </si>
  <si>
    <t>m</t>
  </si>
  <si>
    <t>RANDOM</t>
  </si>
  <si>
    <t>animal</t>
  </si>
  <si>
    <t>Notes</t>
  </si>
  <si>
    <t>euthanized</t>
  </si>
  <si>
    <t>BG type</t>
  </si>
  <si>
    <t>weight type</t>
  </si>
  <si>
    <t>weight change type</t>
  </si>
  <si>
    <t>weeks old note</t>
  </si>
  <si>
    <t>weight change %</t>
  </si>
  <si>
    <t>loss</t>
  </si>
  <si>
    <t>gain 4 to 8 weeks</t>
  </si>
  <si>
    <t>gain</t>
  </si>
  <si>
    <t>note</t>
  </si>
  <si>
    <t>8 to 9 weeks gain</t>
  </si>
  <si>
    <t>9 to 10 weeks gain</t>
  </si>
  <si>
    <t>change</t>
  </si>
  <si>
    <t>OGTT (AUC): Animal stressed?</t>
  </si>
  <si>
    <t>OGTT failed Didn't collect tissue or post-OGTT blood</t>
  </si>
  <si>
    <t>BG</t>
  </si>
  <si>
    <t>when</t>
  </si>
  <si>
    <t>weight</t>
  </si>
  <si>
    <t>glucose_tolerance</t>
  </si>
  <si>
    <t>impaired</t>
  </si>
  <si>
    <t>lcms_sampled</t>
  </si>
  <si>
    <t>diabetic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</si>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</sst>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5BC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FF5BC2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3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6" fontId="0" fillId="0" borderId="0" xfId="0" applyNumberFormat="1"/>
    <xf numFmtId="0" fontId="0" fillId="2" borderId="0" xfId="0" applyFill="1"/>
    <xf numFmtId="0" fontId="0" fillId="0" borderId="0" xfId="0" applyFont="1" applyFill="1"/>
    <xf numFmtId="0" fontId="0" fillId="0" borderId="0" xfId="0" applyBorder="1"/>
    <xf numFmtId="0" fontId="3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0" borderId="4" xfId="0" applyBorder="1"/>
    <xf numFmtId="0" fontId="2" fillId="0" borderId="5" xfId="0" applyFont="1" applyFill="1" applyBorder="1"/>
    <xf numFmtId="0" fontId="0" fillId="0" borderId="5" xfId="0" applyBorder="1"/>
    <xf numFmtId="0" fontId="0" fillId="2" borderId="5" xfId="0" applyFill="1" applyBorder="1"/>
    <xf numFmtId="0" fontId="0" fillId="0" borderId="5" xfId="0" applyFill="1" applyBorder="1"/>
    <xf numFmtId="0" fontId="0" fillId="0" borderId="5" xfId="0" applyFont="1" applyBorder="1"/>
    <xf numFmtId="0" fontId="0" fillId="0" borderId="6" xfId="0" applyFill="1" applyBorder="1"/>
    <xf numFmtId="0" fontId="4" fillId="0" borderId="0" xfId="0" applyFont="1" applyFill="1"/>
    <xf numFmtId="0" fontId="4" fillId="0" borderId="0" xfId="0" applyFont="1"/>
    <xf numFmtId="0" fontId="5" fillId="0" borderId="0" xfId="1"/>
    <xf numFmtId="0" fontId="2" fillId="0" borderId="7" xfId="0" applyFont="1" applyBorder="1"/>
    <xf numFmtId="0" fontId="0" fillId="0" borderId="7" xfId="0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6" fillId="0" borderId="0" xfId="0" applyFont="1" applyFill="1"/>
    <xf numFmtId="14" fontId="0" fillId="3" borderId="0" xfId="0" applyNumberFormat="1" applyFill="1"/>
    <xf numFmtId="0" fontId="3" fillId="3" borderId="0" xfId="0" applyFont="1" applyFill="1"/>
    <xf numFmtId="0" fontId="0" fillId="3" borderId="0" xfId="0" applyNumberForma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0" xfId="0" applyFill="1"/>
    <xf numFmtId="0" fontId="2" fillId="4" borderId="0" xfId="0" applyFont="1" applyFill="1"/>
    <xf numFmtId="0" fontId="4" fillId="4" borderId="0" xfId="0" applyFont="1" applyFill="1"/>
    <xf numFmtId="0" fontId="2" fillId="4" borderId="7" xfId="0" applyFont="1" applyFill="1" applyBorder="1"/>
    <xf numFmtId="0" fontId="0" fillId="5" borderId="1" xfId="0" applyFill="1" applyBorder="1"/>
    <xf numFmtId="14" fontId="0" fillId="5" borderId="0" xfId="0" applyNumberFormat="1" applyFill="1"/>
    <xf numFmtId="0" fontId="3" fillId="5" borderId="0" xfId="0" applyFont="1" applyFill="1"/>
    <xf numFmtId="0" fontId="0" fillId="5" borderId="0" xfId="0" applyNumberForma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0" fillId="5" borderId="2" xfId="0" applyFill="1" applyBorder="1"/>
    <xf numFmtId="0" fontId="2" fillId="5" borderId="7" xfId="0" applyFont="1" applyFill="1" applyBorder="1"/>
    <xf numFmtId="0" fontId="0" fillId="5" borderId="3" xfId="0" applyFill="1" applyBorder="1"/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B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Data'!$AD$4:$AD$22</c:f>
              <c:numCache>
                <c:formatCode>General</c:formatCode>
                <c:ptCount val="19"/>
                <c:pt idx="0">
                  <c:v>101.3</c:v>
                </c:pt>
                <c:pt idx="1">
                  <c:v>97</c:v>
                </c:pt>
                <c:pt idx="2">
                  <c:v>101.3</c:v>
                </c:pt>
                <c:pt idx="3">
                  <c:v>102.3</c:v>
                </c:pt>
                <c:pt idx="4">
                  <c:v>106.2</c:v>
                </c:pt>
                <c:pt idx="5">
                  <c:v>96.8</c:v>
                </c:pt>
                <c:pt idx="6">
                  <c:v>103.2</c:v>
                </c:pt>
                <c:pt idx="7">
                  <c:v>107.4</c:v>
                </c:pt>
                <c:pt idx="8">
                  <c:v>106.1</c:v>
                </c:pt>
                <c:pt idx="9">
                  <c:v>103.9</c:v>
                </c:pt>
                <c:pt idx="10">
                  <c:v>86.2</c:v>
                </c:pt>
                <c:pt idx="11">
                  <c:v>88.5</c:v>
                </c:pt>
                <c:pt idx="12">
                  <c:v>85.7</c:v>
                </c:pt>
                <c:pt idx="13">
                  <c:v>88.4</c:v>
                </c:pt>
                <c:pt idx="14">
                  <c:v>91.7</c:v>
                </c:pt>
                <c:pt idx="15">
                  <c:v>98.5</c:v>
                </c:pt>
                <c:pt idx="16">
                  <c:v>0</c:v>
                </c:pt>
                <c:pt idx="17">
                  <c:v>108</c:v>
                </c:pt>
                <c:pt idx="18">
                  <c:v>114.3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D74-9A21-CACB2A1D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20528"/>
        <c:axId val="650204128"/>
      </c:barChart>
      <c:catAx>
        <c:axId val="65022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4128"/>
        <c:crosses val="autoZero"/>
        <c:auto val="1"/>
        <c:lblAlgn val="ctr"/>
        <c:lblOffset val="100"/>
        <c:noMultiLvlLbl val="0"/>
      </c:catAx>
      <c:valAx>
        <c:axId val="650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Correlations!$T$20:$T$34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Correlations!$U$20:$U$34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814B-88D4-0EFCD6B4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04"/>
        <c:axId val="99230352"/>
      </c:scatterChart>
      <c:valAx>
        <c:axId val="992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0352"/>
        <c:crosses val="autoZero"/>
        <c:crossBetween val="midCat"/>
      </c:valAx>
      <c:valAx>
        <c:axId val="99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Correlations!$K$37:$K$51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Correlations!$L$37:$L$51</c:f>
              <c:numCache>
                <c:formatCode>General</c:formatCode>
                <c:ptCount val="15"/>
                <c:pt idx="0">
                  <c:v>53.7</c:v>
                </c:pt>
                <c:pt idx="1">
                  <c:v>52.1</c:v>
                </c:pt>
                <c:pt idx="2">
                  <c:v>51.3</c:v>
                </c:pt>
                <c:pt idx="3">
                  <c:v>55.8</c:v>
                </c:pt>
                <c:pt idx="4">
                  <c:v>56.3</c:v>
                </c:pt>
                <c:pt idx="5">
                  <c:v>60.7</c:v>
                </c:pt>
                <c:pt idx="6">
                  <c:v>56.2</c:v>
                </c:pt>
                <c:pt idx="7">
                  <c:v>54.1</c:v>
                </c:pt>
                <c:pt idx="8">
                  <c:v>41.1</c:v>
                </c:pt>
                <c:pt idx="9">
                  <c:v>39.4</c:v>
                </c:pt>
                <c:pt idx="10">
                  <c:v>41.3</c:v>
                </c:pt>
                <c:pt idx="11">
                  <c:v>40.200000000000003</c:v>
                </c:pt>
                <c:pt idx="12">
                  <c:v>45.1</c:v>
                </c:pt>
                <c:pt idx="13">
                  <c:v>41</c:v>
                </c:pt>
                <c:pt idx="1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3-C34D-AA37-A720F343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41615"/>
        <c:axId val="6816304"/>
      </c:scatterChart>
      <c:valAx>
        <c:axId val="17520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</a:t>
                </a:r>
                <a:r>
                  <a:rPr lang="en-US" baseline="0"/>
                  <a:t> Area under the curve-12 wks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04"/>
        <c:crosses val="autoZero"/>
        <c:crossBetween val="midCat"/>
      </c:valAx>
      <c:valAx>
        <c:axId val="68163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Weight-4wks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Correlations!$T$37:$T$51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</c:numCache>
            </c:numRef>
          </c:xVal>
          <c:yVal>
            <c:numRef>
              <c:f>Correlations!$U$37:$U$51</c:f>
              <c:numCache>
                <c:formatCode>General</c:formatCode>
                <c:ptCount val="15"/>
                <c:pt idx="0">
                  <c:v>193</c:v>
                </c:pt>
                <c:pt idx="1">
                  <c:v>370.5</c:v>
                </c:pt>
                <c:pt idx="2">
                  <c:v>90.333333333333329</c:v>
                </c:pt>
                <c:pt idx="3">
                  <c:v>139.5</c:v>
                </c:pt>
                <c:pt idx="4">
                  <c:v>509</c:v>
                </c:pt>
                <c:pt idx="5">
                  <c:v>435.5</c:v>
                </c:pt>
                <c:pt idx="6">
                  <c:v>600</c:v>
                </c:pt>
                <c:pt idx="7">
                  <c:v>537.5</c:v>
                </c:pt>
                <c:pt idx="8">
                  <c:v>68</c:v>
                </c:pt>
                <c:pt idx="9">
                  <c:v>44</c:v>
                </c:pt>
                <c:pt idx="10">
                  <c:v>65</c:v>
                </c:pt>
                <c:pt idx="11">
                  <c:v>70</c:v>
                </c:pt>
                <c:pt idx="12">
                  <c:v>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D-D044-BA60-8326744F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1615"/>
        <c:axId val="1801493263"/>
      </c:scatterChart>
      <c:valAx>
        <c:axId val="18014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3263"/>
        <c:crosses val="autoZero"/>
        <c:crossBetween val="midCat"/>
      </c:valAx>
      <c:valAx>
        <c:axId val="18014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Correlations!$B$54:$B$68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Correlations!$C$54:$C$68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3-3F4B-B00D-7539040B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024"/>
        <c:axId val="94248720"/>
      </c:scatterChart>
      <c:valAx>
        <c:axId val="64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8720"/>
        <c:crosses val="autoZero"/>
        <c:crossBetween val="midCat"/>
      </c:valAx>
      <c:valAx>
        <c:axId val="94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Correlations!$K$54:$K$68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Correlations!$L$54:$L$68</c:f>
              <c:numCache>
                <c:formatCode>General</c:formatCode>
                <c:ptCount val="15"/>
                <c:pt idx="0">
                  <c:v>50</c:v>
                </c:pt>
                <c:pt idx="1">
                  <c:v>34</c:v>
                </c:pt>
                <c:pt idx="2">
                  <c:v>38.5</c:v>
                </c:pt>
                <c:pt idx="3">
                  <c:v>46</c:v>
                </c:pt>
                <c:pt idx="4">
                  <c:v>61.5</c:v>
                </c:pt>
                <c:pt idx="5">
                  <c:v>50.5</c:v>
                </c:pt>
                <c:pt idx="6">
                  <c:v>63.5</c:v>
                </c:pt>
                <c:pt idx="7">
                  <c:v>73.5</c:v>
                </c:pt>
                <c:pt idx="8">
                  <c:v>63</c:v>
                </c:pt>
                <c:pt idx="9">
                  <c:v>60</c:v>
                </c:pt>
                <c:pt idx="10">
                  <c:v>56.5</c:v>
                </c:pt>
                <c:pt idx="11">
                  <c:v>54</c:v>
                </c:pt>
                <c:pt idx="12">
                  <c:v>63.333333333333336</c:v>
                </c:pt>
                <c:pt idx="13">
                  <c:v>66.5</c:v>
                </c:pt>
                <c:pt idx="1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7-B74C-A839-CFF21944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6880"/>
        <c:axId val="99118528"/>
      </c:scatterChart>
      <c:valAx>
        <c:axId val="991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</a:t>
                </a:r>
                <a:r>
                  <a:rPr lang="en-US" baseline="0"/>
                  <a:t> under the curve-12 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8528"/>
        <c:crosses val="autoZero"/>
        <c:crossBetween val="midCat"/>
      </c:valAx>
      <c:valAx>
        <c:axId val="9911852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Summary!$B$2:$E$2</c:f>
              <c:numCache>
                <c:formatCode>General</c:formatCode>
                <c:ptCount val="4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7-7C41-B54C-C3AD31A4045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Summary!$B$3:$E$3</c:f>
              <c:numCache>
                <c:formatCode>General</c:formatCode>
                <c:ptCount val="4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  <c:pt idx="3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7-7C41-B54C-C3AD31A4045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Summary!$B$4:$E$4</c:f>
              <c:numCache>
                <c:formatCode>General</c:formatCode>
                <c:ptCount val="4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  <c:pt idx="3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7-7C41-B54C-C3AD31A4045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Summary!$B$5:$E$5</c:f>
              <c:numCache>
                <c:formatCode>General</c:formatCode>
                <c:ptCount val="4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7-7C41-B54C-C3AD31A4045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Summary!$B$6:$E$6</c:f>
              <c:numCache>
                <c:formatCode>General</c:formatCode>
                <c:ptCount val="4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  <c:pt idx="3">
                  <c:v>225.5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7-7C41-B54C-C3AD31A4045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Summary!$B$7:$E$7</c:f>
              <c:numCache>
                <c:formatCode>General</c:formatCode>
                <c:ptCount val="4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  <c:pt idx="3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7-7C41-B54C-C3AD31A4045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Summary!$B$8:$E$8</c:f>
              <c:numCache>
                <c:formatCode>General</c:formatCode>
                <c:ptCount val="4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  <c:pt idx="3">
                  <c:v>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7-7C41-B54C-C3AD31A4045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Summary!$B$9:$E$9</c:f>
              <c:numCache>
                <c:formatCode>General</c:formatCode>
                <c:ptCount val="4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7-7C41-B54C-C3AD31A4045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  <c:pt idx="3">
                  <c:v>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7-7C41-B54C-C3AD31A40456}"/>
            </c:ext>
          </c:extLst>
        </c:ser>
        <c:ser>
          <c:idx val="9"/>
          <c:order val="9"/>
          <c:tx>
            <c:strRef>
              <c:f>Summary!$A$11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Summary!$B$11:$E$11</c:f>
              <c:numCache>
                <c:formatCode>General</c:formatCode>
                <c:ptCount val="4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7-7C41-B54C-C3AD31A40456}"/>
            </c:ext>
          </c:extLst>
        </c:ser>
        <c:ser>
          <c:idx val="10"/>
          <c:order val="10"/>
          <c:tx>
            <c:strRef>
              <c:f>Summary!$A$12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Summary!$B$12:$E$12</c:f>
              <c:numCache>
                <c:formatCode>General</c:formatCode>
                <c:ptCount val="4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A64A-B596-E7A222F2CA09}"/>
            </c:ext>
          </c:extLst>
        </c:ser>
        <c:ser>
          <c:idx val="11"/>
          <c:order val="11"/>
          <c:tx>
            <c:strRef>
              <c:f>Summary!$A$13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Summary!$B$13:$E$13</c:f>
              <c:numCache>
                <c:formatCode>General</c:formatCode>
                <c:ptCount val="4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7-A64A-B596-E7A222F2CA09}"/>
            </c:ext>
          </c:extLst>
        </c:ser>
        <c:ser>
          <c:idx val="12"/>
          <c:order val="12"/>
          <c:tx>
            <c:strRef>
              <c:f>Summary!$A$14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  <c:pt idx="3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7-A64A-B596-E7A222F2CA09}"/>
            </c:ext>
          </c:extLst>
        </c:ser>
        <c:ser>
          <c:idx val="13"/>
          <c:order val="13"/>
          <c:tx>
            <c:strRef>
              <c:f>Summary!$A$15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  <c:pt idx="3">
                  <c:v>98.333333333333329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7-A64A-B596-E7A222F2CA09}"/>
            </c:ext>
          </c:extLst>
        </c:ser>
        <c:ser>
          <c:idx val="14"/>
          <c:order val="14"/>
          <c:tx>
            <c:strRef>
              <c:f>Summary!$A$16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  <c:pt idx="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7-A64A-B596-E7A222F2CA09}"/>
            </c:ext>
          </c:extLst>
        </c:ser>
        <c:ser>
          <c:idx val="15"/>
          <c:order val="15"/>
          <c:tx>
            <c:strRef>
              <c:f>Summary!$A$17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  <c:pt idx="3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7-A64A-B596-E7A222F2CA09}"/>
            </c:ext>
          </c:extLst>
        </c:ser>
        <c:ser>
          <c:idx val="16"/>
          <c:order val="16"/>
          <c:tx>
            <c:strRef>
              <c:f>Summary!$A$18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  <c:pt idx="3">
                  <c:v>505.5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7-A64A-B596-E7A222F2CA09}"/>
            </c:ext>
          </c:extLst>
        </c:ser>
        <c:ser>
          <c:idx val="17"/>
          <c:order val="17"/>
          <c:tx>
            <c:strRef>
              <c:f>Summary!$A$19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Summary!$B$19:$E$19</c:f>
              <c:numCache>
                <c:formatCode>General</c:formatCode>
                <c:ptCount val="4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  <c:pt idx="3">
                  <c:v>338.5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87-A64A-B596-E7A222F2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17695"/>
        <c:axId val="2054619343"/>
      </c:lineChart>
      <c:catAx>
        <c:axId val="20546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9343"/>
        <c:crosses val="autoZero"/>
        <c:auto val="1"/>
        <c:lblAlgn val="ctr"/>
        <c:lblOffset val="100"/>
        <c:noMultiLvlLbl val="0"/>
      </c:catAx>
      <c:valAx>
        <c:axId val="2054619343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Summary!$B$22:$F$22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  <c:pt idx="3">
                  <c:v>50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6-694F-9A9C-EEF1EB035CB2}"/>
            </c:ext>
          </c:extLst>
        </c:ser>
        <c:ser>
          <c:idx val="1"/>
          <c:order val="1"/>
          <c:tx>
            <c:strRef>
              <c:f>Summary!$A$23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Summary!$B$23:$F$23</c:f>
              <c:numCache>
                <c:formatCode>General</c:formatCode>
                <c:ptCount val="5"/>
                <c:pt idx="0">
                  <c:v>43</c:v>
                </c:pt>
                <c:pt idx="1">
                  <c:v>44</c:v>
                </c:pt>
                <c:pt idx="2">
                  <c:v>40</c:v>
                </c:pt>
                <c:pt idx="3">
                  <c:v>34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6-694F-9A9C-EEF1EB035CB2}"/>
            </c:ext>
          </c:extLst>
        </c:ser>
        <c:ser>
          <c:idx val="2"/>
          <c:order val="2"/>
          <c:tx>
            <c:strRef>
              <c:f>Summary!$A$24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Summary!$B$24:$F$24</c:f>
              <c:numCache>
                <c:formatCode>General</c:formatCode>
                <c:ptCount val="5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  <c:pt idx="3">
                  <c:v>38.5</c:v>
                </c:pt>
                <c:pt idx="4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6-694F-9A9C-EEF1EB035CB2}"/>
            </c:ext>
          </c:extLst>
        </c:ser>
        <c:ser>
          <c:idx val="3"/>
          <c:order val="3"/>
          <c:tx>
            <c:strRef>
              <c:f>Summary!$A$25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Summary!$B$25:$F$25</c:f>
              <c:numCache>
                <c:formatCode>General</c:formatCode>
                <c:ptCount val="5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  <c:pt idx="3">
                  <c:v>63.5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6-694F-9A9C-EEF1EB035CB2}"/>
            </c:ext>
          </c:extLst>
        </c:ser>
        <c:ser>
          <c:idx val="4"/>
          <c:order val="4"/>
          <c:tx>
            <c:strRef>
              <c:f>Summary!$A$26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Summary!$B$26:$F$26</c:f>
              <c:numCache>
                <c:formatCode>General</c:formatCode>
                <c:ptCount val="5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  <c:pt idx="3">
                  <c:v>46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6-694F-9A9C-EEF1EB035CB2}"/>
            </c:ext>
          </c:extLst>
        </c:ser>
        <c:ser>
          <c:idx val="5"/>
          <c:order val="5"/>
          <c:tx>
            <c:strRef>
              <c:f>Summary!$A$27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Summary!$B$27:$F$27</c:f>
              <c:numCache>
                <c:formatCode>General</c:formatCode>
                <c:ptCount val="5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  <c:pt idx="3">
                  <c:v>61.5</c:v>
                </c:pt>
                <c:pt idx="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6-694F-9A9C-EEF1EB035CB2}"/>
            </c:ext>
          </c:extLst>
        </c:ser>
        <c:ser>
          <c:idx val="6"/>
          <c:order val="6"/>
          <c:tx>
            <c:strRef>
              <c:f>Summary!$A$28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Summary!$B$28:$F$28</c:f>
              <c:numCache>
                <c:formatCode>General</c:formatCode>
                <c:ptCount val="5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  <c:pt idx="3">
                  <c:v>50.5</c:v>
                </c:pt>
                <c:pt idx="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6-694F-9A9C-EEF1EB035CB2}"/>
            </c:ext>
          </c:extLst>
        </c:ser>
        <c:ser>
          <c:idx val="7"/>
          <c:order val="7"/>
          <c:tx>
            <c:strRef>
              <c:f>Summary!$A$29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Summary!$B$29:$F$29</c:f>
              <c:numCache>
                <c:formatCode>General</c:formatCode>
                <c:ptCount val="5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  <c:pt idx="3">
                  <c:v>52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6-694F-9A9C-EEF1EB035CB2}"/>
            </c:ext>
          </c:extLst>
        </c:ser>
        <c:ser>
          <c:idx val="8"/>
          <c:order val="8"/>
          <c:tx>
            <c:strRef>
              <c:f>Summary!$A$30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Summary!$B$30:$F$30</c:f>
              <c:numCache>
                <c:formatCode>General</c:formatCode>
                <c:ptCount val="5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  <c:pt idx="3">
                  <c:v>63.5</c:v>
                </c:pt>
                <c:pt idx="4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C6-694F-9A9C-EEF1EB035CB2}"/>
            </c:ext>
          </c:extLst>
        </c:ser>
        <c:ser>
          <c:idx val="9"/>
          <c:order val="9"/>
          <c:tx>
            <c:strRef>
              <c:f>Summary!$A$31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Summary!$B$31:$F$31</c:f>
              <c:numCache>
                <c:formatCode>General</c:formatCode>
                <c:ptCount val="5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  <c:pt idx="3">
                  <c:v>73.5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C6-694F-9A9C-EEF1EB035CB2}"/>
            </c:ext>
          </c:extLst>
        </c:ser>
        <c:ser>
          <c:idx val="10"/>
          <c:order val="10"/>
          <c:tx>
            <c:strRef>
              <c:f>Summary!$A$32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Summary!$B$32:$F$32</c:f>
              <c:numCache>
                <c:formatCode>General</c:formatCode>
                <c:ptCount val="5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  <c:pt idx="3">
                  <c:v>63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3-3341-B2E5-A6ED307B0AE1}"/>
            </c:ext>
          </c:extLst>
        </c:ser>
        <c:ser>
          <c:idx val="11"/>
          <c:order val="11"/>
          <c:tx>
            <c:strRef>
              <c:f>Summary!$A$33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Summary!$B$33:$F$33</c:f>
              <c:numCache>
                <c:formatCode>General</c:formatCode>
                <c:ptCount val="5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  <c:pt idx="3">
                  <c:v>60</c:v>
                </c:pt>
                <c:pt idx="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3-3341-B2E5-A6ED307B0AE1}"/>
            </c:ext>
          </c:extLst>
        </c:ser>
        <c:ser>
          <c:idx val="12"/>
          <c:order val="12"/>
          <c:tx>
            <c:strRef>
              <c:f>Summary!$A$34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Summary!$B$34:$F$34</c:f>
              <c:numCache>
                <c:formatCode>General</c:formatCode>
                <c:ptCount val="5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  <c:pt idx="3">
                  <c:v>56.5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3-3341-B2E5-A6ED307B0AE1}"/>
            </c:ext>
          </c:extLst>
        </c:ser>
        <c:ser>
          <c:idx val="13"/>
          <c:order val="13"/>
          <c:tx>
            <c:strRef>
              <c:f>Summary!$A$35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Summary!$B$35:$F$35</c:f>
              <c:numCache>
                <c:formatCode>General</c:formatCode>
                <c:ptCount val="5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  <c:pt idx="3">
                  <c:v>54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3-3341-B2E5-A6ED307B0AE1}"/>
            </c:ext>
          </c:extLst>
        </c:ser>
        <c:ser>
          <c:idx val="14"/>
          <c:order val="14"/>
          <c:tx>
            <c:strRef>
              <c:f>Summary!$A$36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Summary!$B$36:$F$36</c:f>
              <c:numCache>
                <c:formatCode>General</c:formatCode>
                <c:ptCount val="5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  <c:pt idx="3">
                  <c:v>58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3-3341-B2E5-A6ED307B0AE1}"/>
            </c:ext>
          </c:extLst>
        </c:ser>
        <c:ser>
          <c:idx val="15"/>
          <c:order val="15"/>
          <c:tx>
            <c:strRef>
              <c:f>Summary!$A$37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Summary!$B$37:$F$37</c:f>
              <c:numCache>
                <c:formatCode>General</c:formatCode>
                <c:ptCount val="5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  <c:pt idx="3">
                  <c:v>63.333333333333336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3-3341-B2E5-A6ED307B0AE1}"/>
            </c:ext>
          </c:extLst>
        </c:ser>
        <c:ser>
          <c:idx val="16"/>
          <c:order val="16"/>
          <c:tx>
            <c:strRef>
              <c:f>Summary!$A$38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Summary!$B$38:$F$38</c:f>
              <c:numCache>
                <c:formatCode>General</c:formatCode>
                <c:ptCount val="5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  <c:pt idx="3">
                  <c:v>66.5</c:v>
                </c:pt>
                <c:pt idx="4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C3-3341-B2E5-A6ED307B0AE1}"/>
            </c:ext>
          </c:extLst>
        </c:ser>
        <c:ser>
          <c:idx val="17"/>
          <c:order val="17"/>
          <c:tx>
            <c:strRef>
              <c:f>Summary!$A$39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Summary!$B$39:$F$39</c:f>
              <c:numCache>
                <c:formatCode>General</c:formatCode>
                <c:ptCount val="5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  <c:pt idx="3">
                  <c:v>47</c:v>
                </c:pt>
                <c:pt idx="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C3-3341-B2E5-A6ED307B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98607"/>
        <c:axId val="2052484111"/>
      </c:lineChart>
      <c:catAx>
        <c:axId val="20535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84111"/>
        <c:crosses val="autoZero"/>
        <c:auto val="1"/>
        <c:lblAlgn val="ctr"/>
        <c:lblOffset val="100"/>
        <c:noMultiLvlLbl val="0"/>
      </c:catAx>
      <c:valAx>
        <c:axId val="205248411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RBG≥200mg/dL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Temporary!$B$2:$D$2</c:f>
              <c:numCache>
                <c:formatCode>General</c:formatCode>
                <c:ptCount val="3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6-3D4E-B122-7EA9955EE33C}"/>
            </c:ext>
          </c:extLst>
        </c:ser>
        <c:ser>
          <c:idx val="1"/>
          <c:order val="1"/>
          <c:tx>
            <c:strRef>
              <c:f>Temporary!$A$3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Temporary!$B$3:$D$3</c:f>
              <c:numCache>
                <c:formatCode>General</c:formatCode>
                <c:ptCount val="3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6-3D4E-B122-7EA9955EE33C}"/>
            </c:ext>
          </c:extLst>
        </c:ser>
        <c:ser>
          <c:idx val="2"/>
          <c:order val="2"/>
          <c:tx>
            <c:strRef>
              <c:f>Temporary!$A$4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Temporary!$B$4:$D$4</c:f>
              <c:numCache>
                <c:formatCode>General</c:formatCode>
                <c:ptCount val="3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6-3D4E-B122-7EA9955EE33C}"/>
            </c:ext>
          </c:extLst>
        </c:ser>
        <c:ser>
          <c:idx val="3"/>
          <c:order val="3"/>
          <c:tx>
            <c:strRef>
              <c:f>Temporary!$A$5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Temporary!$B$5:$D$5</c:f>
              <c:numCache>
                <c:formatCode>General</c:formatCode>
                <c:ptCount val="3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6-3D4E-B122-7EA9955EE33C}"/>
            </c:ext>
          </c:extLst>
        </c:ser>
        <c:ser>
          <c:idx val="4"/>
          <c:order val="4"/>
          <c:tx>
            <c:strRef>
              <c:f>Temporary!$A$6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Temporary!$B$6:$D$6</c:f>
              <c:numCache>
                <c:formatCode>General</c:formatCode>
                <c:ptCount val="3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6-3D4E-B122-7EA9955EE33C}"/>
            </c:ext>
          </c:extLst>
        </c:ser>
        <c:ser>
          <c:idx val="5"/>
          <c:order val="5"/>
          <c:tx>
            <c:strRef>
              <c:f>Temporary!$A$7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Temporary!$B$7:$D$7</c:f>
              <c:numCache>
                <c:formatCode>General</c:formatCode>
                <c:ptCount val="3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6-3D4E-B122-7EA9955EE33C}"/>
            </c:ext>
          </c:extLst>
        </c:ser>
        <c:ser>
          <c:idx val="6"/>
          <c:order val="6"/>
          <c:tx>
            <c:strRef>
              <c:f>Temporary!$A$8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Temporary!$B$8:$D$8</c:f>
              <c:numCache>
                <c:formatCode>General</c:formatCode>
                <c:ptCount val="3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6-3D4E-B122-7EA9955EE33C}"/>
            </c:ext>
          </c:extLst>
        </c:ser>
        <c:ser>
          <c:idx val="7"/>
          <c:order val="7"/>
          <c:tx>
            <c:strRef>
              <c:f>Temporary!$A$9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Temporary!$B$9:$D$9</c:f>
              <c:numCache>
                <c:formatCode>General</c:formatCode>
                <c:ptCount val="3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6-3D4E-B122-7EA9955EE33C}"/>
            </c:ext>
          </c:extLst>
        </c:ser>
        <c:ser>
          <c:idx val="8"/>
          <c:order val="8"/>
          <c:tx>
            <c:strRef>
              <c:f>Temporary!$A$10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Temporary!$B$10:$D$10</c:f>
              <c:numCache>
                <c:formatCode>General</c:formatCode>
                <c:ptCount val="3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6-3D4E-B122-7EA9955EE33C}"/>
            </c:ext>
          </c:extLst>
        </c:ser>
        <c:ser>
          <c:idx val="9"/>
          <c:order val="9"/>
          <c:tx>
            <c:strRef>
              <c:f>Temporary!$A$11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Temporary!$B$11:$D$11</c:f>
              <c:numCache>
                <c:formatCode>General</c:formatCode>
                <c:ptCount val="3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6-3D4E-B122-7EA9955EE33C}"/>
            </c:ext>
          </c:extLst>
        </c:ser>
        <c:ser>
          <c:idx val="10"/>
          <c:order val="10"/>
          <c:tx>
            <c:strRef>
              <c:f>Temporary!$A$12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Temporary!$B$12:$D$12</c:f>
              <c:numCache>
                <c:formatCode>General</c:formatCode>
                <c:ptCount val="3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6-3D4E-B122-7EA9955E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08543"/>
        <c:axId val="2016902111"/>
      </c:lineChart>
      <c:catAx>
        <c:axId val="20534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02111"/>
        <c:crosses val="autoZero"/>
        <c:auto val="1"/>
        <c:lblAlgn val="ctr"/>
        <c:lblOffset val="100"/>
        <c:noMultiLvlLbl val="0"/>
      </c:catAx>
      <c:valAx>
        <c:axId val="20169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RBG&lt;200mg/dL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Temporary!$B$17:$D$17</c:f>
              <c:numCache>
                <c:formatCode>General</c:formatCode>
                <c:ptCount val="3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E-9B4B-A8B3-6A96E6347538}"/>
            </c:ext>
          </c:extLst>
        </c:ser>
        <c:ser>
          <c:idx val="1"/>
          <c:order val="1"/>
          <c:tx>
            <c:strRef>
              <c:f>Temporary!$A$18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Temporary!$B$18:$D$18</c:f>
              <c:numCache>
                <c:formatCode>General</c:formatCode>
                <c:ptCount val="3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E-9B4B-A8B3-6A96E6347538}"/>
            </c:ext>
          </c:extLst>
        </c:ser>
        <c:ser>
          <c:idx val="2"/>
          <c:order val="2"/>
          <c:tx>
            <c:strRef>
              <c:f>Temporary!$A$19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Temporary!$B$19:$D$19</c:f>
              <c:numCache>
                <c:formatCode>General</c:formatCode>
                <c:ptCount val="3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E-9B4B-A8B3-6A96E6347538}"/>
            </c:ext>
          </c:extLst>
        </c:ser>
        <c:ser>
          <c:idx val="3"/>
          <c:order val="3"/>
          <c:tx>
            <c:strRef>
              <c:f>Temporary!$A$20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Temporary!$B$20:$D$20</c:f>
              <c:numCache>
                <c:formatCode>General</c:formatCode>
                <c:ptCount val="3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E-9B4B-A8B3-6A96E6347538}"/>
            </c:ext>
          </c:extLst>
        </c:ser>
        <c:ser>
          <c:idx val="4"/>
          <c:order val="4"/>
          <c:tx>
            <c:strRef>
              <c:f>Temporary!$A$21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Temporary!$B$21:$D$21</c:f>
              <c:numCache>
                <c:formatCode>General</c:formatCode>
                <c:ptCount val="3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E-9B4B-A8B3-6A96E6347538}"/>
            </c:ext>
          </c:extLst>
        </c:ser>
        <c:ser>
          <c:idx val="5"/>
          <c:order val="5"/>
          <c:tx>
            <c:strRef>
              <c:f>Temporary!$A$22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Temporary!$B$22:$D$22</c:f>
              <c:numCache>
                <c:formatCode>General</c:formatCode>
                <c:ptCount val="3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E-9B4B-A8B3-6A96E6347538}"/>
            </c:ext>
          </c:extLst>
        </c:ser>
        <c:ser>
          <c:idx val="6"/>
          <c:order val="6"/>
          <c:tx>
            <c:strRef>
              <c:f>Temporary!$A$23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Temporary!$B$23:$D$23</c:f>
              <c:numCache>
                <c:formatCode>General</c:formatCode>
                <c:ptCount val="3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E-9B4B-A8B3-6A96E634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29631"/>
        <c:axId val="2094102095"/>
      </c:lineChart>
      <c:catAx>
        <c:axId val="20941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95"/>
        <c:crosses val="autoZero"/>
        <c:auto val="1"/>
        <c:lblAlgn val="ctr"/>
        <c:lblOffset val="100"/>
        <c:noMultiLvlLbl val="0"/>
      </c:catAx>
      <c:valAx>
        <c:axId val="209410209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9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FBG≥125mg/dL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Temporary!$G$2:$I$2</c:f>
              <c:numCache>
                <c:formatCode>General</c:formatCode>
                <c:ptCount val="3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A-8D45-B2C9-A62264432C0F}"/>
            </c:ext>
          </c:extLst>
        </c:ser>
        <c:ser>
          <c:idx val="1"/>
          <c:order val="1"/>
          <c:tx>
            <c:strRef>
              <c:f>Temporary!$F$3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Temporary!$G$3:$I$3</c:f>
              <c:numCache>
                <c:formatCode>General</c:formatCode>
                <c:ptCount val="3"/>
                <c:pt idx="0">
                  <c:v>43</c:v>
                </c:pt>
                <c:pt idx="1">
                  <c:v>44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A-8D45-B2C9-A62264432C0F}"/>
            </c:ext>
          </c:extLst>
        </c:ser>
        <c:ser>
          <c:idx val="2"/>
          <c:order val="2"/>
          <c:tx>
            <c:strRef>
              <c:f>Temporary!$F$4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Temporary!$G$4:$I$4</c:f>
              <c:numCache>
                <c:formatCode>General</c:formatCode>
                <c:ptCount val="3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A-8D45-B2C9-A62264432C0F}"/>
            </c:ext>
          </c:extLst>
        </c:ser>
        <c:ser>
          <c:idx val="3"/>
          <c:order val="3"/>
          <c:tx>
            <c:strRef>
              <c:f>Temporary!$F$5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Temporary!$G$5:$I$5</c:f>
              <c:numCache>
                <c:formatCode>General</c:formatCode>
                <c:ptCount val="3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A-8D45-B2C9-A62264432C0F}"/>
            </c:ext>
          </c:extLst>
        </c:ser>
        <c:ser>
          <c:idx val="4"/>
          <c:order val="4"/>
          <c:tx>
            <c:strRef>
              <c:f>Temporary!$F$6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Temporary!$G$6:$I$6</c:f>
              <c:numCache>
                <c:formatCode>General</c:formatCode>
                <c:ptCount val="3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A-8D45-B2C9-A62264432C0F}"/>
            </c:ext>
          </c:extLst>
        </c:ser>
        <c:ser>
          <c:idx val="5"/>
          <c:order val="5"/>
          <c:tx>
            <c:strRef>
              <c:f>Temporary!$F$7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Temporary!$G$7:$I$7</c:f>
              <c:numCache>
                <c:formatCode>General</c:formatCode>
                <c:ptCount val="3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A-8D45-B2C9-A62264432C0F}"/>
            </c:ext>
          </c:extLst>
        </c:ser>
        <c:ser>
          <c:idx val="6"/>
          <c:order val="6"/>
          <c:tx>
            <c:strRef>
              <c:f>Temporary!$F$8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Temporary!$G$8:$I$8</c:f>
              <c:numCache>
                <c:formatCode>General</c:formatCode>
                <c:ptCount val="3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A-8D45-B2C9-A62264432C0F}"/>
            </c:ext>
          </c:extLst>
        </c:ser>
        <c:ser>
          <c:idx val="7"/>
          <c:order val="7"/>
          <c:tx>
            <c:strRef>
              <c:f>Temporary!$F$9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Temporary!$G$9:$I$9</c:f>
              <c:numCache>
                <c:formatCode>General</c:formatCode>
                <c:ptCount val="3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A-8D45-B2C9-A62264432C0F}"/>
            </c:ext>
          </c:extLst>
        </c:ser>
        <c:ser>
          <c:idx val="8"/>
          <c:order val="8"/>
          <c:tx>
            <c:strRef>
              <c:f>Temporary!$F$10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Temporary!$G$10:$I$10</c:f>
              <c:numCache>
                <c:formatCode>General</c:formatCode>
                <c:ptCount val="3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A-8D45-B2C9-A62264432C0F}"/>
            </c:ext>
          </c:extLst>
        </c:ser>
        <c:ser>
          <c:idx val="9"/>
          <c:order val="9"/>
          <c:tx>
            <c:strRef>
              <c:f>Temporary!$F$11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Temporary!$G$11:$I$11</c:f>
              <c:numCache>
                <c:formatCode>General</c:formatCode>
                <c:ptCount val="3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4A-8D45-B2C9-A62264432C0F}"/>
            </c:ext>
          </c:extLst>
        </c:ser>
        <c:ser>
          <c:idx val="10"/>
          <c:order val="10"/>
          <c:tx>
            <c:strRef>
              <c:f>Temporary!$F$12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Temporary!$G$12:$I$12</c:f>
              <c:numCache>
                <c:formatCode>General</c:formatCode>
                <c:ptCount val="3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4A-8D45-B2C9-A622644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79551"/>
        <c:axId val="2016378639"/>
      </c:lineChart>
      <c:catAx>
        <c:axId val="20543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78639"/>
        <c:crosses val="autoZero"/>
        <c:auto val="1"/>
        <c:lblAlgn val="ctr"/>
        <c:lblOffset val="100"/>
        <c:noMultiLvlLbl val="0"/>
      </c:catAx>
      <c:valAx>
        <c:axId val="20163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KAO!$B$3:$B$17</c:f>
              <c:numCache>
                <c:formatCode>General</c:formatCode>
                <c:ptCount val="15"/>
                <c:pt idx="0">
                  <c:v>2321.25</c:v>
                </c:pt>
                <c:pt idx="1">
                  <c:v>1377.95</c:v>
                </c:pt>
                <c:pt idx="2">
                  <c:v>1761.75</c:v>
                </c:pt>
                <c:pt idx="3">
                  <c:v>846.75</c:v>
                </c:pt>
                <c:pt idx="4">
                  <c:v>2224.75</c:v>
                </c:pt>
                <c:pt idx="5">
                  <c:v>1738.25</c:v>
                </c:pt>
                <c:pt idx="6">
                  <c:v>993</c:v>
                </c:pt>
                <c:pt idx="7">
                  <c:v>2015.75</c:v>
                </c:pt>
                <c:pt idx="8">
                  <c:v>1648.75</c:v>
                </c:pt>
                <c:pt idx="9">
                  <c:v>1350.25</c:v>
                </c:pt>
                <c:pt idx="10">
                  <c:v>2354.75</c:v>
                </c:pt>
                <c:pt idx="11">
                  <c:v>842.75</c:v>
                </c:pt>
                <c:pt idx="12">
                  <c:v>3365</c:v>
                </c:pt>
                <c:pt idx="13">
                  <c:v>1674.8</c:v>
                </c:pt>
                <c:pt idx="14">
                  <c:v>1401.25</c:v>
                </c:pt>
              </c:numCache>
            </c:numRef>
          </c:xVal>
          <c:yVal>
            <c:numRef>
              <c:f>KAO!$C$3:$C$17</c:f>
              <c:numCache>
                <c:formatCode>General</c:formatCode>
                <c:ptCount val="15"/>
                <c:pt idx="0">
                  <c:v>110.7</c:v>
                </c:pt>
                <c:pt idx="1">
                  <c:v>97.5</c:v>
                </c:pt>
                <c:pt idx="2">
                  <c:v>104.6</c:v>
                </c:pt>
                <c:pt idx="3">
                  <c:v>89.6</c:v>
                </c:pt>
                <c:pt idx="4">
                  <c:v>105.5</c:v>
                </c:pt>
                <c:pt idx="5">
                  <c:v>113.8</c:v>
                </c:pt>
                <c:pt idx="6">
                  <c:v>92.3</c:v>
                </c:pt>
                <c:pt idx="7">
                  <c:v>104</c:v>
                </c:pt>
                <c:pt idx="8">
                  <c:v>106.9</c:v>
                </c:pt>
                <c:pt idx="9">
                  <c:v>108.6</c:v>
                </c:pt>
                <c:pt idx="10">
                  <c:v>109.2</c:v>
                </c:pt>
                <c:pt idx="11">
                  <c:v>94.4</c:v>
                </c:pt>
                <c:pt idx="12">
                  <c:v>101.8</c:v>
                </c:pt>
                <c:pt idx="13">
                  <c:v>100.4</c:v>
                </c:pt>
                <c:pt idx="14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D-486D-BD4E-9CF683F4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5000"/>
        <c:axId val="636103528"/>
      </c:scatterChart>
      <c:valAx>
        <c:axId val="6360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528"/>
        <c:crosses val="autoZero"/>
        <c:crossBetween val="midCat"/>
      </c:valAx>
      <c:valAx>
        <c:axId val="6361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FBG&lt;125mg/dL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Temporary!$G$17:$I$17</c:f>
              <c:numCache>
                <c:formatCode>General</c:formatCode>
                <c:ptCount val="3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D-3D4A-B9C3-FB7842C5368B}"/>
            </c:ext>
          </c:extLst>
        </c:ser>
        <c:ser>
          <c:idx val="1"/>
          <c:order val="1"/>
          <c:tx>
            <c:strRef>
              <c:f>Temporary!$F$18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Temporary!$G$18:$I$18</c:f>
              <c:numCache>
                <c:formatCode>General</c:formatCode>
                <c:ptCount val="3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D-3D4A-B9C3-FB7842C5368B}"/>
            </c:ext>
          </c:extLst>
        </c:ser>
        <c:ser>
          <c:idx val="2"/>
          <c:order val="2"/>
          <c:tx>
            <c:strRef>
              <c:f>Temporary!$F$19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Temporary!$G$19:$I$19</c:f>
              <c:numCache>
                <c:formatCode>General</c:formatCode>
                <c:ptCount val="3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D-3D4A-B9C3-FB7842C5368B}"/>
            </c:ext>
          </c:extLst>
        </c:ser>
        <c:ser>
          <c:idx val="3"/>
          <c:order val="3"/>
          <c:tx>
            <c:strRef>
              <c:f>Temporary!$F$20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Temporary!$G$20:$I$20</c:f>
              <c:numCache>
                <c:formatCode>General</c:formatCode>
                <c:ptCount val="3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D-3D4A-B9C3-FB7842C5368B}"/>
            </c:ext>
          </c:extLst>
        </c:ser>
        <c:ser>
          <c:idx val="4"/>
          <c:order val="4"/>
          <c:tx>
            <c:strRef>
              <c:f>Temporary!$F$21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Temporary!$G$21:$I$21</c:f>
              <c:numCache>
                <c:formatCode>General</c:formatCode>
                <c:ptCount val="3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D-3D4A-B9C3-FB7842C5368B}"/>
            </c:ext>
          </c:extLst>
        </c:ser>
        <c:ser>
          <c:idx val="5"/>
          <c:order val="5"/>
          <c:tx>
            <c:strRef>
              <c:f>Temporary!$F$22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Temporary!$G$22:$I$22</c:f>
              <c:numCache>
                <c:formatCode>General</c:formatCode>
                <c:ptCount val="3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D-3D4A-B9C3-FB7842C5368B}"/>
            </c:ext>
          </c:extLst>
        </c:ser>
        <c:ser>
          <c:idx val="6"/>
          <c:order val="6"/>
          <c:tx>
            <c:strRef>
              <c:f>Temporary!$F$23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Temporary!$G$23:$I$23</c:f>
              <c:numCache>
                <c:formatCode>General</c:formatCode>
                <c:ptCount val="3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D-3D4A-B9C3-FB7842C5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55951"/>
        <c:axId val="2091657599"/>
      </c:lineChart>
      <c:catAx>
        <c:axId val="20916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7599"/>
        <c:crosses val="autoZero"/>
        <c:auto val="1"/>
        <c:lblAlgn val="ctr"/>
        <c:lblOffset val="100"/>
        <c:noMultiLvlLbl val="0"/>
      </c:catAx>
      <c:valAx>
        <c:axId val="20916575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595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KAO!$B$8:$B$17</c:f>
              <c:numCache>
                <c:formatCode>General</c:formatCode>
                <c:ptCount val="10"/>
                <c:pt idx="0">
                  <c:v>1738.25</c:v>
                </c:pt>
                <c:pt idx="1">
                  <c:v>993</c:v>
                </c:pt>
                <c:pt idx="2">
                  <c:v>2015.75</c:v>
                </c:pt>
                <c:pt idx="3">
                  <c:v>1648.75</c:v>
                </c:pt>
                <c:pt idx="4">
                  <c:v>1350.25</c:v>
                </c:pt>
                <c:pt idx="5">
                  <c:v>2354.75</c:v>
                </c:pt>
                <c:pt idx="6">
                  <c:v>842.75</c:v>
                </c:pt>
                <c:pt idx="7">
                  <c:v>3365</c:v>
                </c:pt>
                <c:pt idx="8">
                  <c:v>1674.8</c:v>
                </c:pt>
                <c:pt idx="9">
                  <c:v>1401.25</c:v>
                </c:pt>
              </c:numCache>
            </c:numRef>
          </c:xVal>
          <c:yVal>
            <c:numRef>
              <c:f>KAO!$C$8:$C$17</c:f>
              <c:numCache>
                <c:formatCode>General</c:formatCode>
                <c:ptCount val="10"/>
                <c:pt idx="0">
                  <c:v>113.8</c:v>
                </c:pt>
                <c:pt idx="1">
                  <c:v>92.3</c:v>
                </c:pt>
                <c:pt idx="2">
                  <c:v>104</c:v>
                </c:pt>
                <c:pt idx="3">
                  <c:v>106.9</c:v>
                </c:pt>
                <c:pt idx="4">
                  <c:v>108.6</c:v>
                </c:pt>
                <c:pt idx="5">
                  <c:v>109.2</c:v>
                </c:pt>
                <c:pt idx="6">
                  <c:v>94.4</c:v>
                </c:pt>
                <c:pt idx="7">
                  <c:v>101.8</c:v>
                </c:pt>
                <c:pt idx="8">
                  <c:v>100.4</c:v>
                </c:pt>
                <c:pt idx="9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41F0-BFCF-555C5E6C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31696"/>
        <c:axId val="2063227432"/>
      </c:scatterChart>
      <c:valAx>
        <c:axId val="20632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27432"/>
        <c:crosses val="autoZero"/>
        <c:crossBetween val="midCat"/>
      </c:valAx>
      <c:valAx>
        <c:axId val="20632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Correlations!$B$3:$B$17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Correlations!$C$3:$C$17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644E-A451-9A6B1F6C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77903"/>
        <c:axId val="1751179551"/>
      </c:scatterChart>
      <c:valAx>
        <c:axId val="17511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9551"/>
        <c:crosses val="autoZero"/>
        <c:crossBetween val="midCat"/>
      </c:valAx>
      <c:valAx>
        <c:axId val="1751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 fat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Correlations!$B$20:$B$34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Correlations!$C$20:$C$34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A-344C-9560-A72BC0EE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080"/>
        <c:axId val="6894256"/>
      </c:scatterChart>
      <c:valAx>
        <c:axId val="71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56"/>
        <c:crosses val="autoZero"/>
        <c:crossBetween val="midCat"/>
      </c:valAx>
      <c:valAx>
        <c:axId val="68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Subcutaneous</a:t>
                </a:r>
                <a:r>
                  <a:rPr lang="en-US" baseline="0"/>
                  <a:t> white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Correlations!$B$37:$B$51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Correlations!$C$37:$C$51</c:f>
              <c:numCache>
                <c:formatCode>General</c:formatCode>
                <c:ptCount val="15"/>
                <c:pt idx="0">
                  <c:v>105.1</c:v>
                </c:pt>
                <c:pt idx="1">
                  <c:v>101.7</c:v>
                </c:pt>
                <c:pt idx="2">
                  <c:v>109.1</c:v>
                </c:pt>
                <c:pt idx="3">
                  <c:v>110.4</c:v>
                </c:pt>
                <c:pt idx="4">
                  <c:v>105.5</c:v>
                </c:pt>
                <c:pt idx="5">
                  <c:v>112.1</c:v>
                </c:pt>
                <c:pt idx="6">
                  <c:v>113.2</c:v>
                </c:pt>
                <c:pt idx="7">
                  <c:v>108.8</c:v>
                </c:pt>
                <c:pt idx="8">
                  <c:v>92.4</c:v>
                </c:pt>
                <c:pt idx="9">
                  <c:v>98.3</c:v>
                </c:pt>
                <c:pt idx="10">
                  <c:v>94.5</c:v>
                </c:pt>
                <c:pt idx="11">
                  <c:v>98</c:v>
                </c:pt>
                <c:pt idx="12">
                  <c:v>104.4</c:v>
                </c:pt>
                <c:pt idx="13">
                  <c:v>110.5</c:v>
                </c:pt>
                <c:pt idx="14">
                  <c:v>121.3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7-674E-8A74-D35D127C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44991"/>
        <c:axId val="1781419343"/>
      </c:scatterChart>
      <c:valAx>
        <c:axId val="17812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9343"/>
        <c:crosses val="autoZero"/>
        <c:crossBetween val="midCat"/>
      </c:valAx>
      <c:valAx>
        <c:axId val="178141934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Correlations!$K$3:$K$17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Correlations!$L$3:$L$17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0F41-875B-89FA8339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13391"/>
        <c:axId val="1780815039"/>
      </c:scatterChart>
      <c:valAx>
        <c:axId val="17808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5039"/>
        <c:crosses val="autoZero"/>
        <c:crossBetween val="midCat"/>
      </c:valAx>
      <c:valAx>
        <c:axId val="1780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</a:t>
                </a:r>
                <a:r>
                  <a:rPr lang="en-US" baseline="0"/>
                  <a:t>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Correlations!$T$3:$T$17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Correlations!$U$3:$U$17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9-3A48-A621-D90BFCC8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49679"/>
        <c:axId val="1784446575"/>
      </c:scatterChart>
      <c:valAx>
        <c:axId val="17956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46575"/>
        <c:crosses val="autoZero"/>
        <c:crossBetween val="midCat"/>
      </c:valAx>
      <c:valAx>
        <c:axId val="1784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Correlations!$K$20:$K$34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Correlations!$L$20:$L$34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5-3449-8FCD-D5210588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6096"/>
        <c:axId val="94697232"/>
      </c:scatterChart>
      <c:valAx>
        <c:axId val="953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232"/>
        <c:crosses val="autoZero"/>
        <c:crossBetween val="midCat"/>
      </c:valAx>
      <c:valAx>
        <c:axId val="946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620712</xdr:colOff>
      <xdr:row>22</xdr:row>
      <xdr:rowOff>66675</xdr:rowOff>
    </xdr:from>
    <xdr:to>
      <xdr:col>28</xdr:col>
      <xdr:colOff>58737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65FA8-7EC8-4185-9CA1-82AA6E00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0</xdr:rowOff>
    </xdr:from>
    <xdr:to>
      <xdr:col>17</xdr:col>
      <xdr:colOff>561975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5A0C0-00FA-4EFD-91B9-ED8CA7D6A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7</xdr:row>
      <xdr:rowOff>142875</xdr:rowOff>
    </xdr:from>
    <xdr:to>
      <xdr:col>17</xdr:col>
      <xdr:colOff>90487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BDD39-F88D-4F63-A8EB-ABD487EA9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2</xdr:row>
      <xdr:rowOff>158750</xdr:rowOff>
    </xdr:from>
    <xdr:to>
      <xdr:col>9</xdr:col>
      <xdr:colOff>330200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1FB87-B145-DF41-8C11-0298E3CA1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19</xdr:row>
      <xdr:rowOff>133350</xdr:rowOff>
    </xdr:from>
    <xdr:to>
      <xdr:col>9</xdr:col>
      <xdr:colOff>304800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81CC4-0F05-3041-8CC8-D03BBE92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36</xdr:row>
      <xdr:rowOff>133350</xdr:rowOff>
    </xdr:from>
    <xdr:to>
      <xdr:col>9</xdr:col>
      <xdr:colOff>330200</xdr:colOff>
      <xdr:row>50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0631C-E4F9-FA4E-B174-94782C5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2</xdr:row>
      <xdr:rowOff>184150</xdr:rowOff>
    </xdr:from>
    <xdr:to>
      <xdr:col>18</xdr:col>
      <xdr:colOff>114300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6796C-458F-7F47-8F83-798F9CCF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469900</xdr:colOff>
      <xdr:row>2</xdr:row>
      <xdr:rowOff>171450</xdr:rowOff>
    </xdr:from>
    <xdr:to>
      <xdr:col>27</xdr:col>
      <xdr:colOff>88900</xdr:colOff>
      <xdr:row>16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8E42C-0A2F-F844-A9E2-AD7AF256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508000</xdr:colOff>
      <xdr:row>19</xdr:row>
      <xdr:rowOff>133350</xdr:rowOff>
    </xdr:from>
    <xdr:to>
      <xdr:col>18</xdr:col>
      <xdr:colOff>127000</xdr:colOff>
      <xdr:row>33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41EC13-1B6E-3C44-86AE-F38F355B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482600</xdr:colOff>
      <xdr:row>19</xdr:row>
      <xdr:rowOff>133350</xdr:rowOff>
    </xdr:from>
    <xdr:to>
      <xdr:col>27</xdr:col>
      <xdr:colOff>101600</xdr:colOff>
      <xdr:row>33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FE663-E5FE-1242-B20B-32985E0E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571500</xdr:colOff>
      <xdr:row>36</xdr:row>
      <xdr:rowOff>158750</xdr:rowOff>
    </xdr:from>
    <xdr:to>
      <xdr:col>18</xdr:col>
      <xdr:colOff>190500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11C058-B368-9A41-B690-BABCC9F5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457200</xdr:colOff>
      <xdr:row>36</xdr:row>
      <xdr:rowOff>184150</xdr:rowOff>
    </xdr:from>
    <xdr:to>
      <xdr:col>27</xdr:col>
      <xdr:colOff>76200</xdr:colOff>
      <xdr:row>50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C96B82-D6A8-8347-BF0A-92C44CB2B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50800</xdr:colOff>
      <xdr:row>53</xdr:row>
      <xdr:rowOff>133350</xdr:rowOff>
    </xdr:from>
    <xdr:to>
      <xdr:col>9</xdr:col>
      <xdr:colOff>495300</xdr:colOff>
      <xdr:row>67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C18720-9DFB-3A4D-94BF-3BAA4DBF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584200</xdr:colOff>
      <xdr:row>53</xdr:row>
      <xdr:rowOff>114300</xdr:rowOff>
    </xdr:from>
    <xdr:to>
      <xdr:col>18</xdr:col>
      <xdr:colOff>203200</xdr:colOff>
      <xdr:row>67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03E062-9767-5F40-BD29-D0861FA7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372533</xdr:colOff>
      <xdr:row>2</xdr:row>
      <xdr:rowOff>38100</xdr:rowOff>
    </xdr:from>
    <xdr:to>
      <xdr:col>12</xdr:col>
      <xdr:colOff>38100</xdr:colOff>
      <xdr:row>18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02048C-AF78-E44F-B89C-D8FB67C27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22</xdr:row>
      <xdr:rowOff>190501</xdr:rowOff>
    </xdr:from>
    <xdr:to>
      <xdr:col>13</xdr:col>
      <xdr:colOff>524934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A926A7-7208-D748-AEDF-FF14855D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186034</xdr:colOff>
      <xdr:row>0</xdr:row>
      <xdr:rowOff>91412</xdr:rowOff>
    </xdr:from>
    <xdr:to>
      <xdr:col>15</xdr:col>
      <xdr:colOff>628441</xdr:colOff>
      <xdr:row>13</xdr:row>
      <xdr:rowOff>193012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1F47A-1262-9446-8BD1-96B1024A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187290</xdr:colOff>
      <xdr:row>15</xdr:row>
      <xdr:rowOff>12700</xdr:rowOff>
    </xdr:from>
    <xdr:to>
      <xdr:col>15</xdr:col>
      <xdr:colOff>629697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4FBCB-3D3A-3242-8E64-C2C6A08B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9630</xdr:colOff>
      <xdr:row>0</xdr:row>
      <xdr:rowOff>105368</xdr:rowOff>
    </xdr:from>
    <xdr:to>
      <xdr:col>21</xdr:col>
      <xdr:colOff>452036</xdr:colOff>
      <xdr:row>13</xdr:row>
      <xdr:rowOff>206968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89565-BBE7-B74B-807B-39AC22E9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820336</xdr:colOff>
      <xdr:row>14</xdr:row>
      <xdr:rowOff>208085</xdr:rowOff>
    </xdr:from>
    <xdr:to>
      <xdr:col>21</xdr:col>
      <xdr:colOff>439336</xdr:colOff>
      <xdr:row>28</xdr:row>
      <xdr:rowOff>100344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BC57-713D-3849-8E31-24DC5CF0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mdmillipore.com/US/en/product/Rat-Mouse-Ghrelin-active-ELISA,MM_NF-EZRGRA-90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036-A3FA-2F4C-961F-753E490FEDA7}">
  <dimension ref="A1:BX29"/>
  <sheetViews>
    <sheetView zoomScaleNormal="100" workbookViewId="0">
      <pane xSplit="1" topLeftCell="BD1" activePane="topRight" state="frozen"/>
      <selection pane="topRight" activeCell="BJ14" sqref="BJ14:BN15"/>
    </sheetView>
  </sheetViews>
  <sheetFormatPr defaultColWidth="11" defaultRowHeight="15.5"/>
  <cols>
    <col min="1" max="1" width="41.5" customWidth="1"/>
    <col min="2" max="2" width="11.5" bestFit="1" customWidth="1"/>
    <col min="3" max="4" width="11.5" customWidth="1"/>
    <col min="5" max="5" width="11.5" style="3" customWidth="1"/>
    <col min="6" max="7" width="10.83203125" customWidth="1"/>
    <col min="8" max="8" width="18.08203125" customWidth="1"/>
    <col min="9" max="11" width="10.83203125" customWidth="1"/>
    <col min="12" max="12" width="12.83203125" customWidth="1"/>
    <col min="13" max="13" width="10.83203125" customWidth="1"/>
    <col min="15" max="15" width="10.83203125" customWidth="1"/>
    <col min="16" max="16" width="12.5" customWidth="1"/>
    <col min="17" max="20" width="10.83203125" customWidth="1"/>
    <col min="22" max="22" width="10.83203125" customWidth="1"/>
    <col min="23" max="23" width="12.83203125" customWidth="1"/>
    <col min="24" max="24" width="10.83203125" customWidth="1"/>
    <col min="26" max="31" width="10.83203125" customWidth="1"/>
    <col min="33" max="35" width="10.83203125" customWidth="1"/>
    <col min="37" max="57" width="10.83203125" customWidth="1"/>
    <col min="58" max="58" width="15" bestFit="1" customWidth="1"/>
    <col min="59" max="60" width="10.83203125" customWidth="1"/>
  </cols>
  <sheetData>
    <row r="1" spans="1:76">
      <c r="A1" t="s">
        <v>31</v>
      </c>
    </row>
    <row r="2" spans="1:76">
      <c r="D2" t="s">
        <v>35</v>
      </c>
      <c r="E2" t="s">
        <v>35</v>
      </c>
      <c r="J2" t="s">
        <v>37</v>
      </c>
      <c r="K2" t="s">
        <v>37</v>
      </c>
      <c r="N2" t="s">
        <v>37</v>
      </c>
      <c r="O2" t="s">
        <v>37</v>
      </c>
      <c r="P2" t="s">
        <v>69</v>
      </c>
      <c r="U2" t="s">
        <v>38</v>
      </c>
      <c r="V2" t="s">
        <v>38</v>
      </c>
      <c r="Y2" t="s">
        <v>38</v>
      </c>
      <c r="Z2" t="s">
        <v>38</v>
      </c>
      <c r="AA2" t="s">
        <v>68</v>
      </c>
      <c r="AF2" t="s">
        <v>43</v>
      </c>
      <c r="AG2" t="s">
        <v>43</v>
      </c>
      <c r="AJ2" t="s">
        <v>43</v>
      </c>
      <c r="AK2" t="s">
        <v>43</v>
      </c>
      <c r="AL2" t="s">
        <v>81</v>
      </c>
      <c r="AQ2" t="s">
        <v>51</v>
      </c>
      <c r="AR2" t="s">
        <v>51</v>
      </c>
      <c r="AU2" t="s">
        <v>51</v>
      </c>
      <c r="AV2" t="s">
        <v>51</v>
      </c>
      <c r="BB2" t="s">
        <v>52</v>
      </c>
      <c r="BC2" t="s">
        <v>52</v>
      </c>
      <c r="BF2" t="s">
        <v>52</v>
      </c>
      <c r="BG2" t="s">
        <v>52</v>
      </c>
      <c r="BI2" t="s">
        <v>124</v>
      </c>
    </row>
    <row r="3" spans="1:76">
      <c r="B3" t="s">
        <v>32</v>
      </c>
      <c r="C3" t="s">
        <v>0</v>
      </c>
      <c r="D3" t="s">
        <v>1</v>
      </c>
      <c r="E3" s="3" t="s">
        <v>2</v>
      </c>
      <c r="F3" t="s">
        <v>0</v>
      </c>
      <c r="G3" t="s">
        <v>33</v>
      </c>
      <c r="H3" t="s">
        <v>34</v>
      </c>
      <c r="I3" t="s">
        <v>0</v>
      </c>
      <c r="J3" t="s">
        <v>26</v>
      </c>
      <c r="K3" t="s">
        <v>2</v>
      </c>
      <c r="L3" t="s">
        <v>23</v>
      </c>
      <c r="M3" t="s">
        <v>0</v>
      </c>
      <c r="N3" t="s">
        <v>1</v>
      </c>
      <c r="O3" t="s">
        <v>2</v>
      </c>
      <c r="P3" t="s">
        <v>67</v>
      </c>
      <c r="Q3" t="s">
        <v>0</v>
      </c>
      <c r="R3" t="s">
        <v>33</v>
      </c>
      <c r="S3" t="s">
        <v>34</v>
      </c>
      <c r="T3" t="s">
        <v>0</v>
      </c>
      <c r="U3" t="s">
        <v>26</v>
      </c>
      <c r="V3" t="s">
        <v>2</v>
      </c>
      <c r="W3" t="s">
        <v>23</v>
      </c>
      <c r="X3" t="s">
        <v>0</v>
      </c>
      <c r="Y3" t="s">
        <v>1</v>
      </c>
      <c r="Z3" t="s">
        <v>2</v>
      </c>
      <c r="AA3" t="s">
        <v>42</v>
      </c>
      <c r="AB3" t="s">
        <v>0</v>
      </c>
      <c r="AC3" t="s">
        <v>33</v>
      </c>
      <c r="AD3" t="s">
        <v>34</v>
      </c>
      <c r="AE3" t="s">
        <v>0</v>
      </c>
      <c r="AF3" t="s">
        <v>26</v>
      </c>
      <c r="AG3" t="s">
        <v>2</v>
      </c>
      <c r="AH3" t="s">
        <v>23</v>
      </c>
      <c r="AI3" t="s">
        <v>0</v>
      </c>
      <c r="AJ3" t="s">
        <v>1</v>
      </c>
      <c r="AK3" t="s">
        <v>2</v>
      </c>
      <c r="AL3" t="s">
        <v>42</v>
      </c>
      <c r="AM3" t="s">
        <v>0</v>
      </c>
      <c r="AN3" t="s">
        <v>33</v>
      </c>
      <c r="AO3" t="s">
        <v>34</v>
      </c>
      <c r="AP3" t="s">
        <v>0</v>
      </c>
      <c r="AQ3" t="s">
        <v>26</v>
      </c>
      <c r="AR3" t="s">
        <v>2</v>
      </c>
      <c r="AS3" t="s">
        <v>23</v>
      </c>
      <c r="AT3" t="s">
        <v>0</v>
      </c>
      <c r="AU3" t="s">
        <v>1</v>
      </c>
      <c r="AV3" t="s">
        <v>2</v>
      </c>
      <c r="AW3" t="s">
        <v>42</v>
      </c>
      <c r="AX3" t="s">
        <v>0</v>
      </c>
      <c r="AY3" t="s">
        <v>33</v>
      </c>
      <c r="AZ3" t="s">
        <v>34</v>
      </c>
      <c r="BA3" t="s">
        <v>0</v>
      </c>
      <c r="BB3" t="s">
        <v>26</v>
      </c>
      <c r="BC3" t="s">
        <v>2</v>
      </c>
      <c r="BD3" t="s">
        <v>23</v>
      </c>
      <c r="BE3" t="s">
        <v>0</v>
      </c>
      <c r="BF3" t="s">
        <v>135</v>
      </c>
      <c r="BG3" t="s">
        <v>2</v>
      </c>
      <c r="BH3" t="s">
        <v>42</v>
      </c>
      <c r="BI3" t="s">
        <v>110</v>
      </c>
      <c r="BJ3" t="s">
        <v>109</v>
      </c>
      <c r="BK3" t="s">
        <v>111</v>
      </c>
      <c r="BL3" t="s">
        <v>112</v>
      </c>
      <c r="BM3" s="12" t="s">
        <v>113</v>
      </c>
      <c r="BN3" s="12" t="s">
        <v>114</v>
      </c>
      <c r="BO3" s="12" t="s">
        <v>119</v>
      </c>
      <c r="BP3" t="s">
        <v>115</v>
      </c>
      <c r="BQ3" t="s">
        <v>116</v>
      </c>
      <c r="BR3" s="12" t="s">
        <v>120</v>
      </c>
      <c r="BS3" t="s">
        <v>117</v>
      </c>
      <c r="BT3" t="s">
        <v>121</v>
      </c>
      <c r="BU3" t="s">
        <v>122</v>
      </c>
      <c r="BV3" t="s">
        <v>125</v>
      </c>
      <c r="BW3" t="s">
        <v>130</v>
      </c>
    </row>
    <row r="4" spans="1:76" s="61" customFormat="1">
      <c r="A4" s="57" t="s">
        <v>3</v>
      </c>
      <c r="B4" s="58">
        <v>44219</v>
      </c>
      <c r="C4" s="58" t="s">
        <v>65</v>
      </c>
      <c r="D4" s="59">
        <v>71</v>
      </c>
      <c r="E4" s="60">
        <v>53.7</v>
      </c>
      <c r="F4" s="61" t="s">
        <v>22</v>
      </c>
      <c r="G4" s="62">
        <f>(236+274)/2</f>
        <v>255</v>
      </c>
      <c r="H4" s="61">
        <v>90.2</v>
      </c>
      <c r="I4" s="61" t="s">
        <v>28</v>
      </c>
      <c r="J4" s="61">
        <f>(40+42)/2</f>
        <v>41</v>
      </c>
      <c r="K4" s="61">
        <v>85.4</v>
      </c>
      <c r="L4" s="61">
        <f>(H4-K4)/H4*100</f>
        <v>5.321507760532147</v>
      </c>
      <c r="M4" s="61" t="s">
        <v>24</v>
      </c>
      <c r="N4" s="62">
        <f>(214+236)/2</f>
        <v>225</v>
      </c>
      <c r="O4" s="61">
        <v>92.6</v>
      </c>
      <c r="P4" s="61">
        <f>(O4-E4)/E4*100</f>
        <v>72.439478584729969</v>
      </c>
      <c r="Q4" s="61" t="s">
        <v>25</v>
      </c>
      <c r="S4" s="61">
        <v>96</v>
      </c>
      <c r="T4" s="61" t="s">
        <v>30</v>
      </c>
      <c r="U4" s="61">
        <f>(47+49)/2</f>
        <v>48</v>
      </c>
      <c r="V4" s="61">
        <v>90.9</v>
      </c>
      <c r="W4" s="61">
        <f>(S4-V4)/S4*100</f>
        <v>5.3124999999999947</v>
      </c>
      <c r="X4" s="61" t="s">
        <v>41</v>
      </c>
      <c r="Y4" s="61">
        <f>(82+84)/2</f>
        <v>83</v>
      </c>
      <c r="Z4" s="61">
        <v>98.1</v>
      </c>
      <c r="AA4" s="61">
        <f>(Z4-O4)/O4*100</f>
        <v>5.9395248380129591</v>
      </c>
      <c r="AB4" s="61" t="s">
        <v>44</v>
      </c>
      <c r="AD4" s="61">
        <v>101.3</v>
      </c>
      <c r="AE4" s="61" t="s">
        <v>45</v>
      </c>
      <c r="AF4" s="61">
        <f>(46+59)/2</f>
        <v>52.5</v>
      </c>
      <c r="AG4" s="61">
        <v>94.9</v>
      </c>
      <c r="AH4" s="61">
        <f>(AD4-AG4)/AD4*100</f>
        <v>6.3178677196446111</v>
      </c>
      <c r="AI4" s="61" t="s">
        <v>46</v>
      </c>
      <c r="AJ4" s="62">
        <f>(203+209)/2</f>
        <v>206</v>
      </c>
      <c r="AK4" s="61">
        <v>100.9</v>
      </c>
      <c r="AL4" s="61">
        <f>(AK4-Z4)/Z4*100</f>
        <v>2.8542303771661688</v>
      </c>
      <c r="AM4" s="61" t="s">
        <v>53</v>
      </c>
      <c r="AO4" s="61">
        <v>104.5</v>
      </c>
      <c r="AP4" s="61" t="s">
        <v>54</v>
      </c>
      <c r="AQ4" s="61">
        <f>(52+48)/2</f>
        <v>50</v>
      </c>
      <c r="AR4" s="61">
        <v>99.5</v>
      </c>
      <c r="AS4" s="61">
        <f>(AK4-AR4)/AK4*100</f>
        <v>1.3875123885034744</v>
      </c>
      <c r="AT4" s="61" t="s">
        <v>57</v>
      </c>
      <c r="AU4" s="62">
        <f>(210+232)/2</f>
        <v>221</v>
      </c>
      <c r="AV4" s="61">
        <v>104.4</v>
      </c>
      <c r="AW4" s="61">
        <f>(AV4-AK4)/AK4*100</f>
        <v>3.4687809712586719</v>
      </c>
      <c r="AX4" s="61" t="s">
        <v>59</v>
      </c>
      <c r="AZ4" s="61">
        <v>105.1</v>
      </c>
      <c r="BA4" s="61" t="s">
        <v>60</v>
      </c>
      <c r="BB4" s="61">
        <f>(60+57)/2</f>
        <v>58.5</v>
      </c>
      <c r="BC4" s="61">
        <v>100.9</v>
      </c>
      <c r="BD4" s="61">
        <f>(AZ4-BC4)/AZ4*100</f>
        <v>3.9961941008563167</v>
      </c>
      <c r="BE4" s="61" t="s">
        <v>63</v>
      </c>
      <c r="BF4" s="63">
        <f>(206+180)/2</f>
        <v>193</v>
      </c>
      <c r="BG4" s="61">
        <v>104.6</v>
      </c>
      <c r="BI4" s="61">
        <f>(60+57)/2</f>
        <v>58.5</v>
      </c>
      <c r="BJ4" s="61">
        <f>(169+187)/2</f>
        <v>178</v>
      </c>
      <c r="BK4" s="61">
        <f>(340+289)/2</f>
        <v>314.5</v>
      </c>
      <c r="BL4" s="61">
        <f>(518+584)/2</f>
        <v>551</v>
      </c>
      <c r="BM4" s="62">
        <f>(600+578)/2</f>
        <v>589</v>
      </c>
      <c r="BN4" s="61">
        <f>(210+190)/2</f>
        <v>200</v>
      </c>
      <c r="BO4" s="61">
        <f>58.5+((178-58.5)*0.5)+178+((314.5-178)*0.5)+314.5+((551-314.5)*0.5)+551+((589-551)*0.5)+200+((589-200)*0.5)</f>
        <v>1761.75</v>
      </c>
      <c r="BQ4" s="61">
        <v>2.0448</v>
      </c>
      <c r="BR4" s="61">
        <f>(BQ4/AZ4)*100</f>
        <v>1.9455756422454804</v>
      </c>
      <c r="BS4" s="61">
        <v>0.71850000000000003</v>
      </c>
      <c r="BT4" s="61">
        <f>(BS4/AZ4)*100</f>
        <v>0.68363463368220745</v>
      </c>
      <c r="BU4" s="61">
        <f>BR4/BT4</f>
        <v>2.8459290187891439</v>
      </c>
      <c r="BV4" s="61" t="s">
        <v>131</v>
      </c>
      <c r="BW4" s="61" t="s">
        <v>128</v>
      </c>
    </row>
    <row r="5" spans="1:76">
      <c r="A5" s="6" t="s">
        <v>4</v>
      </c>
      <c r="B5" s="2">
        <v>44219</v>
      </c>
      <c r="C5" s="8" t="s">
        <v>65</v>
      </c>
      <c r="D5" s="4">
        <v>73</v>
      </c>
      <c r="E5" s="9">
        <v>52.1</v>
      </c>
      <c r="F5" s="10" t="s">
        <v>22</v>
      </c>
      <c r="G5" s="11">
        <f>(207+227)/2</f>
        <v>217</v>
      </c>
      <c r="H5" s="10">
        <v>85.9</v>
      </c>
      <c r="I5" s="10" t="s">
        <v>28</v>
      </c>
      <c r="J5" s="10">
        <f>(43+43)/2</f>
        <v>43</v>
      </c>
      <c r="K5" s="10">
        <v>82.5</v>
      </c>
      <c r="L5" s="10">
        <f t="shared" ref="L5:L22" si="0">(H5-K5)/H5*100</f>
        <v>3.9580908032596103</v>
      </c>
      <c r="M5" s="10" t="s">
        <v>24</v>
      </c>
      <c r="N5" s="11">
        <f>(279+251)/2</f>
        <v>265</v>
      </c>
      <c r="O5" s="10">
        <v>88.9</v>
      </c>
      <c r="P5" s="10">
        <f t="shared" ref="P5:P22" si="1">(O5-E5)/E5*100</f>
        <v>70.633397312859898</v>
      </c>
      <c r="Q5" s="10" t="s">
        <v>25</v>
      </c>
      <c r="R5" s="10"/>
      <c r="S5" s="10">
        <v>90.7</v>
      </c>
      <c r="T5" s="10" t="s">
        <v>30</v>
      </c>
      <c r="U5" s="10">
        <f>(44+44)/2</f>
        <v>44</v>
      </c>
      <c r="V5" s="10">
        <v>86.7</v>
      </c>
      <c r="W5" s="10">
        <f t="shared" ref="W5:W22" si="2">(S5-V5)/S5*100</f>
        <v>4.4101433296582133</v>
      </c>
      <c r="X5" s="10" t="s">
        <v>41</v>
      </c>
      <c r="Y5" s="11">
        <f>(269+310)/2</f>
        <v>289.5</v>
      </c>
      <c r="Z5" s="10">
        <v>93.4</v>
      </c>
      <c r="AA5">
        <f t="shared" ref="AA5:AA22" si="3">(Z5-O5)/O5*100</f>
        <v>5.0618672665916753</v>
      </c>
      <c r="AB5" t="s">
        <v>44</v>
      </c>
      <c r="AD5">
        <v>97</v>
      </c>
      <c r="AE5" t="s">
        <v>45</v>
      </c>
      <c r="AF5">
        <f>(36+44)/2</f>
        <v>40</v>
      </c>
      <c r="AG5">
        <v>92.5</v>
      </c>
      <c r="AH5">
        <f t="shared" ref="AH5:AH22" si="4">(AD5-AG5)/AD5*100</f>
        <v>4.6391752577319592</v>
      </c>
      <c r="AI5" t="s">
        <v>46</v>
      </c>
      <c r="AJ5" s="1">
        <f>(314+338)/2</f>
        <v>326</v>
      </c>
      <c r="AK5">
        <v>98.2</v>
      </c>
      <c r="AL5">
        <f t="shared" ref="AL5:AL22" si="5">(AK5-Z5)/Z5*100</f>
        <v>5.1391862955032082</v>
      </c>
      <c r="AM5" t="s">
        <v>53</v>
      </c>
      <c r="AO5">
        <v>98.1</v>
      </c>
      <c r="AP5" t="s">
        <v>54</v>
      </c>
      <c r="AQ5">
        <f>(36+32)/2</f>
        <v>34</v>
      </c>
      <c r="AR5">
        <v>94.3</v>
      </c>
      <c r="AS5">
        <f t="shared" ref="AS5:AS22" si="6">(AK5-AR5)/AK5*100</f>
        <v>3.9714867617107998</v>
      </c>
      <c r="AT5" t="s">
        <v>57</v>
      </c>
      <c r="AU5" s="1">
        <f>(295+323)/2</f>
        <v>309</v>
      </c>
      <c r="AV5">
        <v>98.8</v>
      </c>
      <c r="AW5">
        <f t="shared" ref="AW5:AW22" si="7">(AV5-AK5)/AK5*100</f>
        <v>0.61099796334011636</v>
      </c>
      <c r="AX5" t="s">
        <v>59</v>
      </c>
      <c r="AZ5">
        <v>101.7</v>
      </c>
      <c r="BA5" t="s">
        <v>60</v>
      </c>
      <c r="BB5">
        <f>(42+54)/2</f>
        <v>48</v>
      </c>
      <c r="BC5">
        <v>97</v>
      </c>
      <c r="BD5">
        <f t="shared" ref="BD5:BD22" si="8">(AZ5-BC5)/AZ5*100</f>
        <v>4.6214355948869255</v>
      </c>
      <c r="BE5" t="s">
        <v>63</v>
      </c>
      <c r="BF5" s="1">
        <f>(335+406)/2</f>
        <v>370.5</v>
      </c>
      <c r="BG5">
        <v>100.4</v>
      </c>
      <c r="BI5">
        <f>(42+54)/2</f>
        <v>48</v>
      </c>
      <c r="BJ5">
        <f>(176+217)/2</f>
        <v>196.5</v>
      </c>
      <c r="BK5">
        <f>(313+376)/2</f>
        <v>344.5</v>
      </c>
      <c r="BL5">
        <f>(430+469)/2</f>
        <v>449.5</v>
      </c>
      <c r="BM5" s="1">
        <f>(514+522)/2</f>
        <v>518</v>
      </c>
      <c r="BN5">
        <f>(265+304)/2</f>
        <v>284.5</v>
      </c>
      <c r="BO5">
        <f>48+((196.5-48)*0.5)+196.5+((344.6-196.5)*0.5)+344.5+((449.5-344.5)*0.5)+449.5+((518-449.5)*0.5)+284.5+((518-284.5)*0.5)</f>
        <v>1674.8</v>
      </c>
      <c r="BQ5">
        <v>1.7807999999999999</v>
      </c>
      <c r="BR5">
        <f t="shared" ref="BR5:BR22" si="9">(BQ5/AZ5)*100</f>
        <v>1.7510324483775812</v>
      </c>
      <c r="BS5">
        <v>0.60589999999999999</v>
      </c>
      <c r="BT5">
        <f t="shared" ref="BT5:BT22" si="10">(BS5/AZ5)*100</f>
        <v>0.59577187807276299</v>
      </c>
      <c r="BU5">
        <f t="shared" ref="BU5:BU22" si="11">BR5/BT5</f>
        <v>2.9390988611982181</v>
      </c>
      <c r="BV5" t="s">
        <v>131</v>
      </c>
      <c r="BW5" t="s">
        <v>129</v>
      </c>
    </row>
    <row r="6" spans="1:76" s="61" customFormat="1">
      <c r="A6" s="64" t="s">
        <v>5</v>
      </c>
      <c r="B6" s="58">
        <v>44219</v>
      </c>
      <c r="C6" s="58" t="s">
        <v>65</v>
      </c>
      <c r="D6" s="59">
        <v>78</v>
      </c>
      <c r="E6" s="60">
        <v>51.3</v>
      </c>
      <c r="F6" s="61" t="s">
        <v>22</v>
      </c>
      <c r="G6" s="62">
        <f>(322+320)/2</f>
        <v>321</v>
      </c>
      <c r="H6" s="61">
        <v>91.2</v>
      </c>
      <c r="I6" s="61" t="s">
        <v>28</v>
      </c>
      <c r="J6" s="61">
        <f>(60+52+45)/3</f>
        <v>52.333333333333336</v>
      </c>
      <c r="K6" s="61">
        <v>86.7</v>
      </c>
      <c r="L6" s="61">
        <f t="shared" si="0"/>
        <v>4.9342105263157894</v>
      </c>
      <c r="M6" s="61" t="s">
        <v>24</v>
      </c>
      <c r="N6" s="62">
        <f>(249+264)/2</f>
        <v>256.5</v>
      </c>
      <c r="O6" s="61">
        <v>93.5</v>
      </c>
      <c r="P6" s="61">
        <f t="shared" si="1"/>
        <v>82.261208576998058</v>
      </c>
      <c r="Q6" s="61" t="s">
        <v>25</v>
      </c>
      <c r="S6" s="61">
        <v>96.1</v>
      </c>
      <c r="T6" s="61" t="s">
        <v>30</v>
      </c>
      <c r="U6" s="61">
        <f>(47+49)/2</f>
        <v>48</v>
      </c>
      <c r="V6" s="61">
        <v>91.9</v>
      </c>
      <c r="W6" s="61">
        <f t="shared" si="2"/>
        <v>4.3704474505723088</v>
      </c>
      <c r="X6" s="61" t="s">
        <v>41</v>
      </c>
      <c r="Y6" s="62">
        <f>(266+235)/2</f>
        <v>250.5</v>
      </c>
      <c r="Z6" s="61">
        <v>99.3</v>
      </c>
      <c r="AA6" s="61">
        <f t="shared" si="3"/>
        <v>6.203208556149729</v>
      </c>
      <c r="AB6" s="61" t="s">
        <v>44</v>
      </c>
      <c r="AD6" s="61">
        <v>101.3</v>
      </c>
      <c r="AE6" s="61" t="s">
        <v>45</v>
      </c>
      <c r="AF6" s="61">
        <f>(40+40)/2</f>
        <v>40</v>
      </c>
      <c r="AG6" s="61">
        <v>96.8</v>
      </c>
      <c r="AH6" s="61">
        <f t="shared" si="4"/>
        <v>4.4422507403751235</v>
      </c>
      <c r="AI6" s="61" t="s">
        <v>46</v>
      </c>
      <c r="AJ6" s="63">
        <f>(137+142)/2</f>
        <v>139.5</v>
      </c>
      <c r="AK6" s="61">
        <v>103</v>
      </c>
      <c r="AL6" s="61">
        <f t="shared" si="5"/>
        <v>3.7260825780463276</v>
      </c>
      <c r="AM6" s="61" t="s">
        <v>53</v>
      </c>
      <c r="AO6" s="61">
        <v>106.7</v>
      </c>
      <c r="AP6" s="61" t="s">
        <v>54</v>
      </c>
      <c r="AQ6" s="61">
        <f>(41+36)/2</f>
        <v>38.5</v>
      </c>
      <c r="AR6" s="61">
        <v>102.1</v>
      </c>
      <c r="AS6" s="61">
        <f t="shared" si="6"/>
        <v>0.8737864077669959</v>
      </c>
      <c r="AT6" s="61" t="s">
        <v>57</v>
      </c>
      <c r="AU6" s="62">
        <f>(248+249)/2</f>
        <v>248.5</v>
      </c>
      <c r="AV6" s="61">
        <v>107</v>
      </c>
      <c r="AW6" s="61">
        <f t="shared" si="7"/>
        <v>3.8834951456310676</v>
      </c>
      <c r="AX6" s="61" t="s">
        <v>59</v>
      </c>
      <c r="AZ6" s="61">
        <v>109.1</v>
      </c>
      <c r="BA6" s="61" t="s">
        <v>60</v>
      </c>
      <c r="BB6" s="61">
        <f>(55+58)/2</f>
        <v>56.5</v>
      </c>
      <c r="BC6" s="61">
        <v>105.4</v>
      </c>
      <c r="BD6" s="61">
        <f t="shared" si="8"/>
        <v>3.3913840513290459</v>
      </c>
      <c r="BE6" s="61" t="s">
        <v>63</v>
      </c>
      <c r="BF6" s="61">
        <f>(91+107+76+81+86+101)/6</f>
        <v>90.333333333333329</v>
      </c>
      <c r="BG6" s="61">
        <v>106.9</v>
      </c>
      <c r="BI6" s="61">
        <f>(55+58)/2</f>
        <v>56.5</v>
      </c>
      <c r="BJ6" s="61">
        <f>(215+223)/2</f>
        <v>219</v>
      </c>
      <c r="BK6" s="61">
        <f>(379+289)/2</f>
        <v>334</v>
      </c>
      <c r="BL6" s="61">
        <f>(457+467)/2</f>
        <v>462</v>
      </c>
      <c r="BM6" s="62">
        <f>(528+494)/2</f>
        <v>511</v>
      </c>
      <c r="BN6" s="61">
        <f>(185+236+167+168)/4</f>
        <v>189</v>
      </c>
      <c r="BO6" s="61">
        <f>56.5+((219-56.5)*0.5)+219+((334-219)*0.5)+334+((462-334)*0.5)+462+((511-462)*0.5)+189+((511-189)*0.5)</f>
        <v>1648.75</v>
      </c>
      <c r="BQ6" s="61">
        <v>2.5185</v>
      </c>
      <c r="BR6" s="61">
        <f t="shared" si="9"/>
        <v>2.3084326306141154</v>
      </c>
      <c r="BS6" s="61">
        <v>0.74390000000000001</v>
      </c>
      <c r="BT6" s="61">
        <f t="shared" si="10"/>
        <v>0.68185151237396879</v>
      </c>
      <c r="BU6" s="61">
        <f t="shared" si="11"/>
        <v>3.3855356902809519</v>
      </c>
      <c r="BV6" s="61" t="s">
        <v>131</v>
      </c>
      <c r="BW6" s="61" t="s">
        <v>128</v>
      </c>
    </row>
    <row r="7" spans="1:76" s="43" customFormat="1">
      <c r="A7" s="36" t="s">
        <v>6</v>
      </c>
      <c r="B7" s="40">
        <v>44219</v>
      </c>
      <c r="C7" s="40" t="s">
        <v>65</v>
      </c>
      <c r="D7" s="41">
        <v>73</v>
      </c>
      <c r="E7" s="42">
        <v>49.6</v>
      </c>
      <c r="F7" s="43" t="s">
        <v>22</v>
      </c>
      <c r="G7" s="43">
        <f>(110+73)/2</f>
        <v>91.5</v>
      </c>
      <c r="H7" s="43">
        <v>89</v>
      </c>
      <c r="I7" s="43" t="s">
        <v>28</v>
      </c>
      <c r="J7" s="43">
        <f>(40+42)/2</f>
        <v>41</v>
      </c>
      <c r="K7" s="43">
        <v>85.2</v>
      </c>
      <c r="L7" s="43">
        <f t="shared" si="0"/>
        <v>4.2696629213483117</v>
      </c>
      <c r="M7" s="43" t="s">
        <v>24</v>
      </c>
      <c r="N7" s="43">
        <f>(58+68)/2</f>
        <v>63</v>
      </c>
      <c r="O7" s="43">
        <v>91.9</v>
      </c>
      <c r="P7" s="43">
        <f t="shared" si="1"/>
        <v>85.282258064516142</v>
      </c>
      <c r="Q7" s="43" t="s">
        <v>25</v>
      </c>
      <c r="S7" s="43">
        <v>96.7</v>
      </c>
      <c r="T7" s="43" t="s">
        <v>30</v>
      </c>
      <c r="U7" s="43">
        <f>(52+48)/2</f>
        <v>50</v>
      </c>
      <c r="V7" s="43">
        <v>92.5</v>
      </c>
      <c r="W7" s="43">
        <f t="shared" si="2"/>
        <v>4.3433298862461251</v>
      </c>
      <c r="X7" s="43" t="s">
        <v>41</v>
      </c>
      <c r="Y7" s="43">
        <f>(45+48)/2</f>
        <v>46.5</v>
      </c>
      <c r="Z7" s="43">
        <v>98.3</v>
      </c>
      <c r="AA7" s="43">
        <f t="shared" si="3"/>
        <v>6.9640914036996637</v>
      </c>
      <c r="AB7" s="43" t="s">
        <v>44</v>
      </c>
      <c r="AD7" s="43">
        <v>102.3</v>
      </c>
      <c r="AE7" s="43" t="s">
        <v>45</v>
      </c>
      <c r="AF7" s="43">
        <f>(63+66)/2</f>
        <v>64.5</v>
      </c>
      <c r="AG7" s="43">
        <v>97.1</v>
      </c>
      <c r="AH7" s="43">
        <f t="shared" si="4"/>
        <v>5.0830889540566995</v>
      </c>
      <c r="AI7" s="43" t="s">
        <v>46</v>
      </c>
      <c r="AJ7" s="43">
        <f>(75+81)/2</f>
        <v>78</v>
      </c>
      <c r="AK7" s="43">
        <v>102.8</v>
      </c>
      <c r="AL7" s="43">
        <f t="shared" si="5"/>
        <v>4.5778229908443535</v>
      </c>
      <c r="AM7" s="43" t="s">
        <v>53</v>
      </c>
      <c r="AO7" s="43">
        <v>105.7</v>
      </c>
      <c r="AP7" s="43" t="s">
        <v>54</v>
      </c>
      <c r="AQ7" s="43">
        <f>(68+59)/2</f>
        <v>63.5</v>
      </c>
      <c r="AR7" s="43">
        <v>101</v>
      </c>
      <c r="AS7" s="43">
        <f t="shared" si="6"/>
        <v>1.7509727626459117</v>
      </c>
      <c r="AT7" s="43" t="s">
        <v>57</v>
      </c>
      <c r="AU7" s="43">
        <f>(59+67)/2</f>
        <v>63</v>
      </c>
      <c r="AV7" s="43">
        <v>105</v>
      </c>
      <c r="AW7" s="43">
        <f t="shared" si="7"/>
        <v>2.1400778210116758</v>
      </c>
      <c r="AX7" s="43" t="s">
        <v>59</v>
      </c>
      <c r="AZ7" s="43">
        <v>109.2</v>
      </c>
      <c r="BA7" s="43" t="s">
        <v>60</v>
      </c>
      <c r="BB7" s="43">
        <f>(41+43)/2</f>
        <v>42</v>
      </c>
      <c r="BC7" s="43">
        <v>105.1</v>
      </c>
      <c r="BD7" s="43">
        <f t="shared" si="8"/>
        <v>3.7545787545787621</v>
      </c>
      <c r="BE7" s="43" t="s">
        <v>63</v>
      </c>
      <c r="BI7" s="43" t="s">
        <v>132</v>
      </c>
      <c r="BQ7" s="43">
        <v>2.5485000000000002</v>
      </c>
      <c r="BR7" s="43">
        <f t="shared" si="9"/>
        <v>2.3337912087912089</v>
      </c>
      <c r="BS7" s="43">
        <v>0.86140000000000005</v>
      </c>
      <c r="BT7" s="43">
        <f t="shared" si="10"/>
        <v>0.78882783882783891</v>
      </c>
      <c r="BU7" s="43">
        <f t="shared" si="11"/>
        <v>2.9585558393313209</v>
      </c>
      <c r="BW7" s="43" t="s">
        <v>128</v>
      </c>
      <c r="BX7" s="43" t="s">
        <v>136</v>
      </c>
    </row>
    <row r="8" spans="1:76" s="61" customFormat="1">
      <c r="A8" s="57" t="s">
        <v>7</v>
      </c>
      <c r="B8" s="58">
        <v>44219</v>
      </c>
      <c r="C8" s="58" t="s">
        <v>65</v>
      </c>
      <c r="D8" s="59">
        <v>70</v>
      </c>
      <c r="E8" s="60">
        <v>55.8</v>
      </c>
      <c r="F8" s="61" t="s">
        <v>22</v>
      </c>
      <c r="G8" s="62">
        <f>(339+384)/2</f>
        <v>361.5</v>
      </c>
      <c r="H8" s="61">
        <v>96.7</v>
      </c>
      <c r="I8" s="61" t="s">
        <v>28</v>
      </c>
      <c r="J8" s="62">
        <f>(160+195+159)/3</f>
        <v>171.33333333333334</v>
      </c>
      <c r="K8" s="61">
        <v>93.2</v>
      </c>
      <c r="L8" s="61">
        <f t="shared" si="0"/>
        <v>3.6194415718717683</v>
      </c>
      <c r="M8" s="61" t="s">
        <v>24</v>
      </c>
      <c r="N8" s="62">
        <f>(249+216)/2</f>
        <v>232.5</v>
      </c>
      <c r="O8" s="61">
        <v>95.7</v>
      </c>
      <c r="P8" s="61">
        <f t="shared" si="1"/>
        <v>71.505376344086031</v>
      </c>
      <c r="Q8" s="61" t="s">
        <v>25</v>
      </c>
      <c r="S8" s="61">
        <v>98.7</v>
      </c>
      <c r="T8" s="61" t="s">
        <v>30</v>
      </c>
      <c r="U8" s="61">
        <f>(48+55)/2</f>
        <v>51.5</v>
      </c>
      <c r="V8" s="61">
        <v>95.6</v>
      </c>
      <c r="W8" s="61">
        <f t="shared" si="2"/>
        <v>3.140830800405277</v>
      </c>
      <c r="X8" s="61" t="s">
        <v>41</v>
      </c>
      <c r="Y8" s="62">
        <f>(203+204)/2</f>
        <v>203.5</v>
      </c>
      <c r="Z8" s="61">
        <v>102.3</v>
      </c>
      <c r="AA8" s="61">
        <f t="shared" si="3"/>
        <v>6.8965517241379253</v>
      </c>
      <c r="AB8" s="61" t="s">
        <v>44</v>
      </c>
      <c r="AD8" s="61">
        <v>106.2</v>
      </c>
      <c r="AE8" s="61" t="s">
        <v>45</v>
      </c>
      <c r="AF8" s="61">
        <f>(53+57)/2</f>
        <v>55</v>
      </c>
      <c r="AG8" s="61">
        <v>100.5</v>
      </c>
      <c r="AH8" s="61">
        <f t="shared" si="4"/>
        <v>5.3672316384180814</v>
      </c>
      <c r="AI8" s="61" t="s">
        <v>46</v>
      </c>
      <c r="AJ8" s="62">
        <f>(209+202)/2</f>
        <v>205.5</v>
      </c>
      <c r="AK8" s="61">
        <v>106.3</v>
      </c>
      <c r="AL8" s="61">
        <f t="shared" si="5"/>
        <v>3.9100684261974585</v>
      </c>
      <c r="AM8" s="61" t="s">
        <v>53</v>
      </c>
      <c r="AO8" s="61">
        <v>110.1</v>
      </c>
      <c r="AP8" s="61" t="s">
        <v>54</v>
      </c>
      <c r="AQ8" s="61">
        <f>(45+47)/2</f>
        <v>46</v>
      </c>
      <c r="AR8" s="61">
        <v>103.4</v>
      </c>
      <c r="AS8" s="61">
        <f t="shared" si="6"/>
        <v>2.7281279397930307</v>
      </c>
      <c r="AT8" s="61" t="s">
        <v>57</v>
      </c>
      <c r="AU8" s="62">
        <f>(219+232)/2</f>
        <v>225.5</v>
      </c>
      <c r="AV8" s="61">
        <v>108.3</v>
      </c>
      <c r="AW8" s="61">
        <f t="shared" si="7"/>
        <v>1.8814675446848543</v>
      </c>
      <c r="AX8" s="61" t="s">
        <v>59</v>
      </c>
      <c r="AZ8" s="61">
        <v>110.4</v>
      </c>
      <c r="BA8" s="61" t="s">
        <v>60</v>
      </c>
      <c r="BB8" s="61">
        <f>(37+40)/2</f>
        <v>38.5</v>
      </c>
      <c r="BC8" s="61">
        <v>106.6</v>
      </c>
      <c r="BD8" s="61">
        <f t="shared" si="8"/>
        <v>3.4420289855072568</v>
      </c>
      <c r="BE8" s="61" t="s">
        <v>63</v>
      </c>
      <c r="BF8" s="63">
        <f>(180+99)/2</f>
        <v>139.5</v>
      </c>
      <c r="BG8" s="61">
        <v>108.6</v>
      </c>
      <c r="BI8" s="61">
        <f>(37+40)/2</f>
        <v>38.5</v>
      </c>
      <c r="BJ8" s="61">
        <f>(160+160)/2</f>
        <v>160</v>
      </c>
      <c r="BK8" s="61">
        <f>(318+298)/2</f>
        <v>308</v>
      </c>
      <c r="BL8" s="61">
        <f>(375+361)/2</f>
        <v>368</v>
      </c>
      <c r="BM8" s="62">
        <f>(442+449)/2</f>
        <v>445.5</v>
      </c>
      <c r="BN8" s="61">
        <f>(100+98)/2</f>
        <v>99</v>
      </c>
      <c r="BO8" s="61">
        <f>38.5+((160-38.5)*0.5)+160+((308-160)*0.5)+308+((368-308)*0.5)+368+((445.5-368)*0.5)+99+((445.5-99)*0.5)</f>
        <v>1350.25</v>
      </c>
      <c r="BQ8" s="61">
        <v>2.5059999999999998</v>
      </c>
      <c r="BR8" s="61">
        <f t="shared" si="9"/>
        <v>2.2699275362318838</v>
      </c>
      <c r="BS8" s="61">
        <v>0.71640000000000004</v>
      </c>
      <c r="BT8" s="61">
        <f t="shared" si="10"/>
        <v>0.64891304347826084</v>
      </c>
      <c r="BU8" s="61">
        <f t="shared" si="11"/>
        <v>3.4980457844779451</v>
      </c>
      <c r="BV8" s="61" t="s">
        <v>131</v>
      </c>
      <c r="BW8" s="61" t="s">
        <v>129</v>
      </c>
    </row>
    <row r="9" spans="1:76">
      <c r="A9" s="6" t="s">
        <v>8</v>
      </c>
      <c r="B9" s="2">
        <v>44219</v>
      </c>
      <c r="C9" s="8" t="s">
        <v>65</v>
      </c>
      <c r="D9" s="4">
        <v>69</v>
      </c>
      <c r="E9" s="9">
        <v>56.3</v>
      </c>
      <c r="F9" s="10" t="s">
        <v>22</v>
      </c>
      <c r="G9" s="11">
        <f>(386+467)/2</f>
        <v>426.5</v>
      </c>
      <c r="H9" s="10">
        <v>90.9</v>
      </c>
      <c r="I9" s="10" t="s">
        <v>28</v>
      </c>
      <c r="J9" s="31">
        <f>(75+83+55+96)/4</f>
        <v>77.25</v>
      </c>
      <c r="K9" s="10">
        <v>86.7</v>
      </c>
      <c r="L9" s="10">
        <f t="shared" si="0"/>
        <v>4.620462046204624</v>
      </c>
      <c r="M9" s="10" t="s">
        <v>24</v>
      </c>
      <c r="N9" s="11">
        <f>(417+349)/2</f>
        <v>383</v>
      </c>
      <c r="O9" s="10">
        <v>91.7</v>
      </c>
      <c r="P9" s="10">
        <f t="shared" si="1"/>
        <v>62.877442273534648</v>
      </c>
      <c r="Q9" s="10" t="s">
        <v>25</v>
      </c>
      <c r="R9" s="10"/>
      <c r="S9" s="10">
        <v>93.2</v>
      </c>
      <c r="T9" s="10" t="s">
        <v>30</v>
      </c>
      <c r="U9" s="31">
        <f>(95+115)/2</f>
        <v>105</v>
      </c>
      <c r="V9" s="10">
        <v>89.4</v>
      </c>
      <c r="W9" s="10">
        <f t="shared" si="2"/>
        <v>4.0772532188841168</v>
      </c>
      <c r="X9" s="10" t="s">
        <v>41</v>
      </c>
      <c r="Y9" s="11">
        <f>(406+372)/2</f>
        <v>389</v>
      </c>
      <c r="Z9" s="10">
        <v>95.3</v>
      </c>
      <c r="AA9">
        <f t="shared" si="3"/>
        <v>3.9258451472191869</v>
      </c>
      <c r="AB9" t="s">
        <v>44</v>
      </c>
      <c r="AD9">
        <v>96.8</v>
      </c>
      <c r="AE9" t="s">
        <v>45</v>
      </c>
      <c r="AF9">
        <f>(63+72)/2</f>
        <v>67.5</v>
      </c>
      <c r="AG9">
        <v>93</v>
      </c>
      <c r="AH9">
        <f t="shared" si="4"/>
        <v>3.9256198347107412</v>
      </c>
      <c r="AI9" t="s">
        <v>46</v>
      </c>
      <c r="AJ9" s="1">
        <f>(351+383)/2</f>
        <v>367</v>
      </c>
      <c r="AK9">
        <v>98.5</v>
      </c>
      <c r="AL9">
        <f t="shared" si="5"/>
        <v>3.3578174186778624</v>
      </c>
      <c r="AM9" t="s">
        <v>53</v>
      </c>
      <c r="AO9">
        <v>102.3</v>
      </c>
      <c r="AP9" t="s">
        <v>54</v>
      </c>
      <c r="AQ9">
        <f>(60+63)/2</f>
        <v>61.5</v>
      </c>
      <c r="AR9">
        <v>96.7</v>
      </c>
      <c r="AS9">
        <f t="shared" si="6"/>
        <v>1.8274111675126874</v>
      </c>
      <c r="AT9" t="s">
        <v>57</v>
      </c>
      <c r="AU9" s="34">
        <f>(487+541)/2</f>
        <v>514</v>
      </c>
      <c r="AV9">
        <v>103.2</v>
      </c>
      <c r="AW9">
        <f t="shared" si="7"/>
        <v>4.771573604060916</v>
      </c>
      <c r="AX9" t="s">
        <v>59</v>
      </c>
      <c r="AZ9">
        <v>105.5</v>
      </c>
      <c r="BA9" t="s">
        <v>60</v>
      </c>
      <c r="BB9" s="1">
        <f>(183+155)/2</f>
        <v>169</v>
      </c>
      <c r="BC9">
        <v>98.7</v>
      </c>
      <c r="BD9">
        <f t="shared" si="8"/>
        <v>6.4454976303317508</v>
      </c>
      <c r="BE9" t="s">
        <v>63</v>
      </c>
      <c r="BF9" s="1">
        <f>(451+560+516)/3</f>
        <v>509</v>
      </c>
      <c r="BG9">
        <v>101.8</v>
      </c>
      <c r="BI9">
        <f>(183+155)/2</f>
        <v>169</v>
      </c>
      <c r="BJ9">
        <f>(361+349)/2</f>
        <v>355</v>
      </c>
      <c r="BK9" s="1">
        <f>(600+600)/2</f>
        <v>600</v>
      </c>
      <c r="BL9" s="1">
        <f>(600+600)/2</f>
        <v>600</v>
      </c>
      <c r="BM9">
        <f>(600+539)/2</f>
        <v>569.5</v>
      </c>
      <c r="BN9">
        <f>(392+392)/2</f>
        <v>392</v>
      </c>
      <c r="BO9" s="35">
        <f>169+((355-169)*5)+355+((600-355)+0.5)+600+569.5+((600-569.5)*0.5)+392+((569.5-392)*0.5)</f>
        <v>3365</v>
      </c>
      <c r="BQ9">
        <v>1.3107</v>
      </c>
      <c r="BR9">
        <f t="shared" si="9"/>
        <v>1.2423696682464453</v>
      </c>
      <c r="BS9">
        <v>0.59099999999999997</v>
      </c>
      <c r="BT9">
        <f t="shared" si="10"/>
        <v>0.56018957345971565</v>
      </c>
      <c r="BU9">
        <f t="shared" si="11"/>
        <v>2.2177664974619287</v>
      </c>
      <c r="BV9" s="1" t="s">
        <v>126</v>
      </c>
      <c r="BW9" s="1" t="s">
        <v>127</v>
      </c>
    </row>
    <row r="10" spans="1:76" s="61" customFormat="1">
      <c r="A10" s="66" t="s">
        <v>9</v>
      </c>
      <c r="B10" s="58">
        <v>44219</v>
      </c>
      <c r="C10" s="58" t="s">
        <v>65</v>
      </c>
      <c r="D10" s="59">
        <v>96</v>
      </c>
      <c r="E10" s="60">
        <v>60.7</v>
      </c>
      <c r="F10" s="61" t="s">
        <v>22</v>
      </c>
      <c r="G10" s="62">
        <f>(412+287+309+293)/4</f>
        <v>325.25</v>
      </c>
      <c r="H10" s="61">
        <v>95.2</v>
      </c>
      <c r="I10" s="61" t="s">
        <v>28</v>
      </c>
      <c r="J10" s="62">
        <f>(145+208+170)/3</f>
        <v>174.33333333333334</v>
      </c>
      <c r="K10" s="61">
        <v>93.1</v>
      </c>
      <c r="L10" s="61">
        <f t="shared" si="0"/>
        <v>2.2058823529411855</v>
      </c>
      <c r="M10" s="61" t="s">
        <v>24</v>
      </c>
      <c r="N10" s="62">
        <f>(510+348+305)/3</f>
        <v>387.66666666666669</v>
      </c>
      <c r="O10" s="61">
        <v>95.4</v>
      </c>
      <c r="P10" s="61">
        <f t="shared" si="1"/>
        <v>57.166392092256999</v>
      </c>
      <c r="Q10" s="61" t="s">
        <v>25</v>
      </c>
      <c r="S10" s="61">
        <v>100.7</v>
      </c>
      <c r="T10" s="61" t="s">
        <v>30</v>
      </c>
      <c r="U10" s="63">
        <f>(72+85)/2</f>
        <v>78.5</v>
      </c>
      <c r="V10" s="61">
        <v>94.9</v>
      </c>
      <c r="W10" s="61">
        <f t="shared" si="2"/>
        <v>5.7596822244289942</v>
      </c>
      <c r="X10" s="61" t="s">
        <v>41</v>
      </c>
      <c r="Y10" s="62">
        <f>(288+274)/2</f>
        <v>281</v>
      </c>
      <c r="Z10" s="61">
        <v>99.1</v>
      </c>
      <c r="AA10" s="61">
        <f t="shared" si="3"/>
        <v>3.8784067085953757</v>
      </c>
      <c r="AB10" s="61" t="s">
        <v>44</v>
      </c>
      <c r="AD10" s="61">
        <v>103.2</v>
      </c>
      <c r="AE10" s="61" t="s">
        <v>45</v>
      </c>
      <c r="AF10" s="61">
        <f>(55+87)/2</f>
        <v>71</v>
      </c>
      <c r="AG10" s="61">
        <v>99.5</v>
      </c>
      <c r="AH10" s="61">
        <f t="shared" si="4"/>
        <v>3.5852713178294602</v>
      </c>
      <c r="AI10" s="61" t="s">
        <v>46</v>
      </c>
      <c r="AJ10" s="62">
        <f>(375+323)/2</f>
        <v>349</v>
      </c>
      <c r="AK10" s="61">
        <v>106.3</v>
      </c>
      <c r="AL10" s="61">
        <f t="shared" si="5"/>
        <v>7.2653884964682174</v>
      </c>
      <c r="AM10" s="61" t="s">
        <v>53</v>
      </c>
      <c r="AO10" s="61">
        <v>110.3</v>
      </c>
      <c r="AP10" s="61" t="s">
        <v>54</v>
      </c>
      <c r="AQ10" s="61">
        <f>(43+58)/2</f>
        <v>50.5</v>
      </c>
      <c r="AR10" s="61">
        <v>105.5</v>
      </c>
      <c r="AS10" s="61">
        <f t="shared" si="6"/>
        <v>0.752587017873939</v>
      </c>
      <c r="AT10" s="61" t="s">
        <v>57</v>
      </c>
      <c r="AU10" s="62">
        <f>(367+416)/2</f>
        <v>391.5</v>
      </c>
      <c r="AV10" s="61">
        <v>112.6</v>
      </c>
      <c r="AW10" s="61">
        <f t="shared" si="7"/>
        <v>5.9266227657572879</v>
      </c>
      <c r="AX10" s="61" t="s">
        <v>59</v>
      </c>
      <c r="AZ10" s="61">
        <v>112.1</v>
      </c>
      <c r="BA10" s="61" t="s">
        <v>60</v>
      </c>
      <c r="BB10" s="62">
        <f>(150+126)/2</f>
        <v>138</v>
      </c>
      <c r="BC10" s="61">
        <v>107</v>
      </c>
      <c r="BD10" s="61">
        <f t="shared" si="8"/>
        <v>4.5495093666369266</v>
      </c>
      <c r="BE10" s="61" t="s">
        <v>63</v>
      </c>
      <c r="BF10" s="62">
        <f>(441+430)/2</f>
        <v>435.5</v>
      </c>
      <c r="BG10" s="61">
        <v>110.7</v>
      </c>
      <c r="BI10" s="61">
        <f>(150+126)/2</f>
        <v>138</v>
      </c>
      <c r="BJ10" s="61">
        <f>(362+343)/2</f>
        <v>352.5</v>
      </c>
      <c r="BK10" s="61">
        <f>(474+553)/2</f>
        <v>513.5</v>
      </c>
      <c r="BL10" s="61">
        <f>(570+600)/2</f>
        <v>585</v>
      </c>
      <c r="BM10" s="62">
        <f>(600+600)/2</f>
        <v>600</v>
      </c>
      <c r="BN10" s="61">
        <f>(360+453)/2</f>
        <v>406.5</v>
      </c>
      <c r="BO10" s="61">
        <f>138+((352.5-138)*0.5)+352.5+((513.5-352.5)*0.5)+513.5+((585-513.5)*0.5)+585+((600-585)*0.5)+404.5+((600-406.5)*0.5)</f>
        <v>2321.25</v>
      </c>
      <c r="BQ10" s="61">
        <v>1.4332</v>
      </c>
      <c r="BR10" s="61">
        <f t="shared" si="9"/>
        <v>1.2785013380909902</v>
      </c>
      <c r="BS10" s="61">
        <v>0.69599999999999995</v>
      </c>
      <c r="BT10" s="61">
        <f t="shared" si="10"/>
        <v>0.62087421944692234</v>
      </c>
      <c r="BU10" s="61">
        <f t="shared" si="11"/>
        <v>2.0591954022988506</v>
      </c>
      <c r="BV10" s="62" t="s">
        <v>126</v>
      </c>
      <c r="BW10" s="61" t="s">
        <v>129</v>
      </c>
    </row>
    <row r="11" spans="1:76" s="43" customFormat="1">
      <c r="A11" s="37" t="s">
        <v>10</v>
      </c>
      <c r="B11" s="40">
        <v>44220</v>
      </c>
      <c r="C11" s="40" t="s">
        <v>65</v>
      </c>
      <c r="D11" s="41">
        <v>57</v>
      </c>
      <c r="E11" s="42">
        <v>48.7</v>
      </c>
      <c r="F11" s="43" t="s">
        <v>22</v>
      </c>
      <c r="G11" s="44">
        <f>(261+212)/2</f>
        <v>236.5</v>
      </c>
      <c r="H11" s="43">
        <v>91.4</v>
      </c>
      <c r="I11" s="43" t="s">
        <v>28</v>
      </c>
      <c r="J11" s="43">
        <f>(61+41+50+49)/4</f>
        <v>50.25</v>
      </c>
      <c r="K11" s="43">
        <v>87.3</v>
      </c>
      <c r="L11" s="43">
        <f t="shared" si="0"/>
        <v>4.4857768052516507</v>
      </c>
      <c r="M11" s="43" t="s">
        <v>24</v>
      </c>
      <c r="N11" s="45">
        <f>(115+114+123)/3</f>
        <v>117.33333333333333</v>
      </c>
      <c r="O11" s="43">
        <v>94.9</v>
      </c>
      <c r="P11" s="43">
        <f t="shared" si="1"/>
        <v>94.866529774127301</v>
      </c>
      <c r="Q11" s="43" t="s">
        <v>25</v>
      </c>
      <c r="S11" s="43">
        <v>101</v>
      </c>
      <c r="T11" s="43" t="s">
        <v>30</v>
      </c>
      <c r="U11" s="43">
        <f>(57+56)/2</f>
        <v>56.5</v>
      </c>
      <c r="V11" s="43">
        <v>93.7</v>
      </c>
      <c r="W11" s="43">
        <f t="shared" si="2"/>
        <v>7.2277227722772244</v>
      </c>
      <c r="X11" s="43" t="s">
        <v>41</v>
      </c>
      <c r="Y11" s="43">
        <f>(68+79)/2</f>
        <v>73.5</v>
      </c>
      <c r="Z11" s="43">
        <v>102</v>
      </c>
      <c r="AA11" s="43">
        <f t="shared" si="3"/>
        <v>7.4815595363540499</v>
      </c>
      <c r="AB11" s="43" t="s">
        <v>44</v>
      </c>
      <c r="AD11" s="43">
        <v>107.4</v>
      </c>
      <c r="AE11" s="43" t="s">
        <v>45</v>
      </c>
      <c r="AF11" s="43">
        <f>(38+45)/2</f>
        <v>41.5</v>
      </c>
      <c r="AG11" s="43">
        <v>100.9</v>
      </c>
      <c r="AH11" s="43">
        <f t="shared" si="4"/>
        <v>6.0521415270018624</v>
      </c>
      <c r="AI11" s="43" t="s">
        <v>46</v>
      </c>
      <c r="AJ11" s="43">
        <f>(47+43)/2</f>
        <v>45</v>
      </c>
      <c r="AK11" s="43">
        <v>106</v>
      </c>
      <c r="AL11" s="43">
        <f t="shared" si="5"/>
        <v>3.9215686274509802</v>
      </c>
      <c r="AM11" s="43" t="s">
        <v>53</v>
      </c>
      <c r="AO11" s="43">
        <v>109.9</v>
      </c>
      <c r="AP11" s="43" t="s">
        <v>54</v>
      </c>
      <c r="AQ11" s="43">
        <f>(58+46)/2</f>
        <v>52</v>
      </c>
      <c r="AR11" s="43">
        <v>104.7</v>
      </c>
      <c r="AS11" s="43">
        <f t="shared" si="6"/>
        <v>1.2264150943396199</v>
      </c>
      <c r="AT11" s="43" t="s">
        <v>57</v>
      </c>
      <c r="AU11" s="43">
        <f>(59+63)/2</f>
        <v>61</v>
      </c>
      <c r="AV11" s="43">
        <v>109.8</v>
      </c>
      <c r="AW11" s="43">
        <f t="shared" si="7"/>
        <v>3.5849056603773555</v>
      </c>
      <c r="AX11" s="43" t="s">
        <v>59</v>
      </c>
      <c r="AZ11" s="43">
        <v>112.1</v>
      </c>
      <c r="BA11" s="43" t="s">
        <v>60</v>
      </c>
      <c r="BB11" s="43">
        <f>(46+58)/2</f>
        <v>52</v>
      </c>
      <c r="BC11" s="43">
        <v>107.2</v>
      </c>
      <c r="BD11" s="43">
        <f t="shared" si="8"/>
        <v>4.3710972346119457</v>
      </c>
      <c r="BE11" s="43" t="s">
        <v>63</v>
      </c>
      <c r="BI11" s="43" t="s">
        <v>132</v>
      </c>
      <c r="BQ11" s="43">
        <v>1.9369000000000001</v>
      </c>
      <c r="BR11" s="43">
        <f t="shared" si="9"/>
        <v>1.7278322925958969</v>
      </c>
      <c r="BS11" s="43">
        <v>0.77539999999999998</v>
      </c>
      <c r="BT11" s="43">
        <f t="shared" si="10"/>
        <v>0.6917038358608385</v>
      </c>
      <c r="BU11" s="43">
        <f t="shared" si="11"/>
        <v>2.4979365488779992</v>
      </c>
      <c r="BW11" s="43" t="s">
        <v>128</v>
      </c>
      <c r="BX11" s="43" t="s">
        <v>136</v>
      </c>
    </row>
    <row r="12" spans="1:76">
      <c r="A12" s="6" t="s">
        <v>11</v>
      </c>
      <c r="B12" s="2">
        <v>44220</v>
      </c>
      <c r="C12" s="8" t="s">
        <v>65</v>
      </c>
      <c r="D12" s="4">
        <v>79</v>
      </c>
      <c r="E12" s="9">
        <v>56.2</v>
      </c>
      <c r="F12" s="10" t="s">
        <v>22</v>
      </c>
      <c r="G12" s="11">
        <f>(431+503)/2</f>
        <v>467</v>
      </c>
      <c r="H12" s="10">
        <v>95.8</v>
      </c>
      <c r="I12" s="10" t="s">
        <v>28</v>
      </c>
      <c r="J12" s="10">
        <f>(43+61+67)/3</f>
        <v>57</v>
      </c>
      <c r="K12" s="10">
        <v>90.6</v>
      </c>
      <c r="L12" s="10">
        <f t="shared" si="0"/>
        <v>5.427974947807936</v>
      </c>
      <c r="M12" s="10" t="s">
        <v>24</v>
      </c>
      <c r="N12" s="11">
        <f>(273+341+278)/3</f>
        <v>297.33333333333331</v>
      </c>
      <c r="O12" s="10">
        <v>97.7</v>
      </c>
      <c r="P12" s="10">
        <f t="shared" si="1"/>
        <v>73.843416370106766</v>
      </c>
      <c r="Q12" s="10" t="s">
        <v>25</v>
      </c>
      <c r="R12" s="10"/>
      <c r="S12" s="10">
        <v>100.1</v>
      </c>
      <c r="T12" s="10" t="s">
        <v>30</v>
      </c>
      <c r="U12" s="10">
        <f>(58+74+67+68)/4</f>
        <v>66.75</v>
      </c>
      <c r="V12" s="10">
        <v>95.1</v>
      </c>
      <c r="W12" s="10">
        <f t="shared" si="2"/>
        <v>4.9950049950049955</v>
      </c>
      <c r="X12" s="10" t="s">
        <v>41</v>
      </c>
      <c r="Y12" s="11">
        <f>(318+335)/2</f>
        <v>326.5</v>
      </c>
      <c r="Z12" s="10">
        <v>104</v>
      </c>
      <c r="AA12">
        <f t="shared" si="3"/>
        <v>6.4483111566018394</v>
      </c>
      <c r="AB12" t="s">
        <v>44</v>
      </c>
      <c r="AD12">
        <v>106.1</v>
      </c>
      <c r="AE12" t="s">
        <v>45</v>
      </c>
      <c r="AF12">
        <f>(78+69)/2</f>
        <v>73.5</v>
      </c>
      <c r="AG12">
        <v>99.6</v>
      </c>
      <c r="AH12">
        <f t="shared" si="4"/>
        <v>6.1262959472196048</v>
      </c>
      <c r="AI12" t="s">
        <v>46</v>
      </c>
      <c r="AJ12" s="1">
        <f>(307+336)/2</f>
        <v>321.5</v>
      </c>
      <c r="AK12">
        <v>106.5</v>
      </c>
      <c r="AL12">
        <f t="shared" si="5"/>
        <v>2.4038461538461542</v>
      </c>
      <c r="AM12" t="s">
        <v>53</v>
      </c>
      <c r="AO12">
        <v>108.3</v>
      </c>
      <c r="AP12" t="s">
        <v>54</v>
      </c>
      <c r="AQ12">
        <f>(65+62)/2</f>
        <v>63.5</v>
      </c>
      <c r="AR12">
        <v>102.9</v>
      </c>
      <c r="AS12">
        <f t="shared" si="6"/>
        <v>3.3802816901408397</v>
      </c>
      <c r="AT12" t="s">
        <v>57</v>
      </c>
      <c r="AU12" s="1">
        <f>(378+391)/2</f>
        <v>384.5</v>
      </c>
      <c r="AV12">
        <v>109.3</v>
      </c>
      <c r="AW12">
        <f t="shared" si="7"/>
        <v>2.6291079812206548</v>
      </c>
      <c r="AX12" t="s">
        <v>59</v>
      </c>
      <c r="AZ12">
        <v>113.2</v>
      </c>
      <c r="BA12" t="s">
        <v>60</v>
      </c>
      <c r="BB12" s="1">
        <f>(163+179)/2</f>
        <v>171</v>
      </c>
      <c r="BC12">
        <v>105.1</v>
      </c>
      <c r="BD12">
        <f t="shared" si="8"/>
        <v>7.1554770318021284</v>
      </c>
      <c r="BE12" t="s">
        <v>63</v>
      </c>
      <c r="BF12" s="1">
        <f>(600+600)/2</f>
        <v>600</v>
      </c>
      <c r="BG12">
        <v>109.2</v>
      </c>
      <c r="BI12">
        <f>(163+179)/2</f>
        <v>171</v>
      </c>
      <c r="BJ12">
        <f>(325+365)/2</f>
        <v>345</v>
      </c>
      <c r="BK12">
        <f>(551+543)/2</f>
        <v>547</v>
      </c>
      <c r="BL12" s="1">
        <f>(600+600)/2</f>
        <v>600</v>
      </c>
      <c r="BM12">
        <f>(600+526)/2</f>
        <v>563</v>
      </c>
      <c r="BN12">
        <f>(381+476)/2</f>
        <v>428.5</v>
      </c>
      <c r="BO12">
        <f>171+((345-171)*0.5)+345+((547-345)*0.5)+547+((600-547)*0.5)+563+((600-563)*0.5)+428.5+((563-428.5)*0.5)</f>
        <v>2354.75</v>
      </c>
      <c r="BQ12">
        <v>1.3511</v>
      </c>
      <c r="BR12">
        <f t="shared" si="9"/>
        <v>1.1935512367491166</v>
      </c>
      <c r="BS12">
        <v>0.62829999999999997</v>
      </c>
      <c r="BT12">
        <f t="shared" si="10"/>
        <v>0.55503533568904595</v>
      </c>
      <c r="BU12">
        <f t="shared" si="11"/>
        <v>2.1504058570746456</v>
      </c>
      <c r="BV12" s="1" t="s">
        <v>126</v>
      </c>
      <c r="BW12" t="s">
        <v>128</v>
      </c>
    </row>
    <row r="13" spans="1:76" s="61" customFormat="1">
      <c r="A13" s="66" t="s">
        <v>12</v>
      </c>
      <c r="B13" s="58">
        <v>44220</v>
      </c>
      <c r="C13" s="58" t="s">
        <v>65</v>
      </c>
      <c r="D13" s="59">
        <v>90</v>
      </c>
      <c r="E13" s="60">
        <v>54.1</v>
      </c>
      <c r="F13" s="61" t="s">
        <v>22</v>
      </c>
      <c r="G13" s="62">
        <f>(310+404)/2</f>
        <v>357</v>
      </c>
      <c r="H13" s="61">
        <v>94.5</v>
      </c>
      <c r="I13" s="61" t="s">
        <v>28</v>
      </c>
      <c r="J13" s="61">
        <f>(51+67)/2</f>
        <v>59</v>
      </c>
      <c r="K13" s="61">
        <v>89.6</v>
      </c>
      <c r="L13" s="61">
        <f t="shared" si="0"/>
        <v>5.1851851851851913</v>
      </c>
      <c r="M13" s="61" t="s">
        <v>24</v>
      </c>
      <c r="N13" s="62">
        <f>(287+257)/2</f>
        <v>272</v>
      </c>
      <c r="O13" s="61">
        <v>95.9</v>
      </c>
      <c r="P13" s="61">
        <f t="shared" si="1"/>
        <v>77.264325323475049</v>
      </c>
      <c r="Q13" s="61" t="s">
        <v>25</v>
      </c>
      <c r="S13" s="61">
        <v>99.7</v>
      </c>
      <c r="T13" s="61" t="s">
        <v>30</v>
      </c>
      <c r="U13" s="61">
        <f>(60+47+53)/3</f>
        <v>53.333333333333336</v>
      </c>
      <c r="V13" s="61">
        <v>93.8</v>
      </c>
      <c r="W13" s="61">
        <f t="shared" si="2"/>
        <v>5.9177532597793441</v>
      </c>
      <c r="X13" s="61" t="s">
        <v>41</v>
      </c>
      <c r="Y13" s="62">
        <f>(329+350)/2</f>
        <v>339.5</v>
      </c>
      <c r="Z13" s="61">
        <v>102</v>
      </c>
      <c r="AA13" s="61">
        <f t="shared" si="3"/>
        <v>6.3607924921793471</v>
      </c>
      <c r="AB13" s="61" t="s">
        <v>44</v>
      </c>
      <c r="AD13" s="61">
        <v>103.9</v>
      </c>
      <c r="AE13" s="61" t="s">
        <v>45</v>
      </c>
      <c r="AF13" s="61">
        <f>(42+58)/2</f>
        <v>50</v>
      </c>
      <c r="AG13" s="61">
        <v>98.4</v>
      </c>
      <c r="AH13" s="61">
        <f t="shared" si="4"/>
        <v>5.2935514918190565</v>
      </c>
      <c r="AI13" s="61" t="s">
        <v>46</v>
      </c>
      <c r="AJ13" s="62">
        <f>(320+341)/2</f>
        <v>330.5</v>
      </c>
      <c r="AK13" s="61">
        <v>105.8</v>
      </c>
      <c r="AL13" s="61">
        <f t="shared" si="5"/>
        <v>3.7254901960784284</v>
      </c>
      <c r="AM13" s="61" t="s">
        <v>53</v>
      </c>
      <c r="AO13" s="61">
        <v>107.4</v>
      </c>
      <c r="AP13" s="61" t="s">
        <v>54</v>
      </c>
      <c r="AQ13" s="61">
        <f>(55+90+71+78)/4</f>
        <v>73.5</v>
      </c>
      <c r="AR13" s="61">
        <v>99.9</v>
      </c>
      <c r="AS13" s="61">
        <f t="shared" si="6"/>
        <v>5.576559546313792</v>
      </c>
      <c r="AT13" s="61" t="s">
        <v>57</v>
      </c>
      <c r="AU13" s="65">
        <f>(414+412)/2</f>
        <v>413</v>
      </c>
      <c r="AV13" s="61">
        <v>106.5</v>
      </c>
      <c r="AW13" s="61">
        <f t="shared" si="7"/>
        <v>0.66162570888469074</v>
      </c>
      <c r="AX13" s="61" t="s">
        <v>59</v>
      </c>
      <c r="AZ13" s="61">
        <v>108.8</v>
      </c>
      <c r="BA13" s="61" t="s">
        <v>60</v>
      </c>
      <c r="BB13" s="61">
        <f>(57+67)/2</f>
        <v>62</v>
      </c>
      <c r="BC13" s="61">
        <v>100</v>
      </c>
      <c r="BD13" s="61">
        <f t="shared" si="8"/>
        <v>8.088235294117645</v>
      </c>
      <c r="BE13" s="61" t="s">
        <v>63</v>
      </c>
      <c r="BF13" s="62">
        <f>(529+546)/2</f>
        <v>537.5</v>
      </c>
      <c r="BG13" s="61">
        <v>105.5</v>
      </c>
      <c r="BI13" s="61">
        <f>(57+67)/2</f>
        <v>62</v>
      </c>
      <c r="BJ13" s="61">
        <f>(268+248)/2</f>
        <v>258</v>
      </c>
      <c r="BK13" s="62">
        <f>(600+600)/2</f>
        <v>600</v>
      </c>
      <c r="BL13" s="62">
        <f>(600+600)/2</f>
        <v>600</v>
      </c>
      <c r="BM13" s="61">
        <f>(600+543)/2</f>
        <v>571.5</v>
      </c>
      <c r="BN13" s="61">
        <f>(315+342)/2</f>
        <v>328.5</v>
      </c>
      <c r="BO13" s="61">
        <f>62+((258-62)*0.5)+258+((600-258)*0.5)+600+571.5+((600-571.5)*0.5)+328.5+((571.5-328.5)*0.5)</f>
        <v>2224.75</v>
      </c>
      <c r="BQ13" s="61">
        <v>0.89039999999999997</v>
      </c>
      <c r="BR13" s="61">
        <f t="shared" si="9"/>
        <v>0.81838235294117645</v>
      </c>
      <c r="BS13" s="61">
        <v>0.65149999999999997</v>
      </c>
      <c r="BT13" s="61">
        <f t="shared" si="10"/>
        <v>0.59880514705882348</v>
      </c>
      <c r="BU13" s="61">
        <f t="shared" si="11"/>
        <v>1.3666922486569455</v>
      </c>
      <c r="BV13" s="62" t="s">
        <v>126</v>
      </c>
      <c r="BW13" s="62" t="s">
        <v>127</v>
      </c>
    </row>
    <row r="14" spans="1:76" s="61" customFormat="1">
      <c r="A14" s="57" t="s">
        <v>13</v>
      </c>
      <c r="B14" s="58">
        <v>44227</v>
      </c>
      <c r="C14" s="58" t="s">
        <v>66</v>
      </c>
      <c r="D14" s="59">
        <v>84</v>
      </c>
      <c r="E14" s="60">
        <v>41.1</v>
      </c>
      <c r="F14" s="61" t="s">
        <v>27</v>
      </c>
      <c r="G14" s="61">
        <f>(85+87)/2</f>
        <v>86</v>
      </c>
      <c r="H14" s="61">
        <v>76.099999999999994</v>
      </c>
      <c r="I14" s="61" t="s">
        <v>29</v>
      </c>
      <c r="J14" s="61">
        <f>(52+55+53)/3</f>
        <v>53.333333333333336</v>
      </c>
      <c r="K14" s="61">
        <v>70.900000000000006</v>
      </c>
      <c r="L14" s="61">
        <f t="shared" si="0"/>
        <v>6.8331143232588554</v>
      </c>
      <c r="M14" s="61" t="s">
        <v>36</v>
      </c>
      <c r="N14" s="63">
        <f>(111+106)/2</f>
        <v>108.5</v>
      </c>
      <c r="O14" s="61">
        <v>78.5</v>
      </c>
      <c r="P14" s="61">
        <f t="shared" si="1"/>
        <v>90.99756690997566</v>
      </c>
      <c r="Q14" s="61" t="s">
        <v>39</v>
      </c>
      <c r="S14" s="61">
        <v>81.2</v>
      </c>
      <c r="T14" s="61" t="s">
        <v>40</v>
      </c>
      <c r="U14" s="61">
        <f>(63+63)/2</f>
        <v>63</v>
      </c>
      <c r="V14" s="61">
        <v>75.8</v>
      </c>
      <c r="W14" s="61">
        <f t="shared" si="2"/>
        <v>6.650246305418726</v>
      </c>
      <c r="X14" s="61" t="s">
        <v>47</v>
      </c>
      <c r="Y14" s="61">
        <f>(93+78+87)/3</f>
        <v>86</v>
      </c>
      <c r="Z14" s="61">
        <v>83.1</v>
      </c>
      <c r="AA14" s="61">
        <f t="shared" si="3"/>
        <v>5.8598726114649606</v>
      </c>
      <c r="AB14" s="61" t="s">
        <v>48</v>
      </c>
      <c r="AD14" s="61">
        <v>86.2</v>
      </c>
      <c r="AE14" s="61" t="s">
        <v>49</v>
      </c>
      <c r="AF14" s="61">
        <f>(48+49)/2</f>
        <v>48.5</v>
      </c>
      <c r="AG14" s="61">
        <v>81.8</v>
      </c>
      <c r="AH14" s="61">
        <f t="shared" si="4"/>
        <v>5.1044083526682202</v>
      </c>
      <c r="AI14" s="61" t="s">
        <v>50</v>
      </c>
      <c r="AJ14" s="61">
        <f>(71+72)/2</f>
        <v>71.5</v>
      </c>
      <c r="AK14" s="61">
        <v>87.3</v>
      </c>
      <c r="AL14" s="61">
        <f t="shared" si="5"/>
        <v>5.0541516245487399</v>
      </c>
      <c r="AM14" s="61" t="s">
        <v>55</v>
      </c>
      <c r="AO14" s="61">
        <v>89</v>
      </c>
      <c r="AP14" s="61" t="s">
        <v>56</v>
      </c>
      <c r="AQ14" s="61">
        <f>(57+69)/2</f>
        <v>63</v>
      </c>
      <c r="AR14" s="61">
        <v>83.8</v>
      </c>
      <c r="AS14" s="61">
        <f t="shared" si="6"/>
        <v>4.0091638029782359</v>
      </c>
      <c r="AT14" s="61" t="s">
        <v>58</v>
      </c>
      <c r="AU14" s="61">
        <f>(74+82)/2</f>
        <v>78</v>
      </c>
      <c r="AV14" s="61">
        <v>89.5</v>
      </c>
      <c r="AW14" s="61">
        <f t="shared" si="7"/>
        <v>2.5200458190148942</v>
      </c>
      <c r="AX14" s="61" t="s">
        <v>61</v>
      </c>
      <c r="AZ14" s="61">
        <v>92.4</v>
      </c>
      <c r="BA14" s="61" t="s">
        <v>62</v>
      </c>
      <c r="BB14" s="61">
        <f>(75+69)/2</f>
        <v>72</v>
      </c>
      <c r="BC14" s="61">
        <v>88</v>
      </c>
      <c r="BD14" s="61">
        <f t="shared" si="8"/>
        <v>4.7619047619047681</v>
      </c>
      <c r="BE14" s="61" t="s">
        <v>64</v>
      </c>
      <c r="BF14" s="61">
        <f>(66+70)/2</f>
        <v>68</v>
      </c>
      <c r="BG14" s="61">
        <v>89.6</v>
      </c>
      <c r="BI14" s="61">
        <f>(75+69)/2</f>
        <v>72</v>
      </c>
      <c r="BJ14" s="61">
        <f>(184+161)/2</f>
        <v>172.5</v>
      </c>
      <c r="BK14" s="61">
        <f>(187+216)/2</f>
        <v>201.5</v>
      </c>
      <c r="BL14" s="61">
        <f>(222+194)/2</f>
        <v>208</v>
      </c>
      <c r="BM14" s="61">
        <f>(201+189)/2</f>
        <v>195</v>
      </c>
      <c r="BN14" s="61">
        <f>(77+58)/2</f>
        <v>67.5</v>
      </c>
      <c r="BO14" s="61">
        <f>72+((172.5-72)*0.5)+172.5+((201.5-172.5)*0.5)+201.5+((208-201.5)*0.5)+195+((208-195)*0.5)+67.5+((195-67.5)*0.5)</f>
        <v>846.75</v>
      </c>
      <c r="BQ14" s="61">
        <v>1.4930000000000001</v>
      </c>
      <c r="BR14" s="61">
        <f t="shared" si="9"/>
        <v>1.615800865800866</v>
      </c>
      <c r="BS14" s="61">
        <v>0.53539999999999999</v>
      </c>
      <c r="BT14" s="61">
        <f t="shared" si="10"/>
        <v>0.57943722943722942</v>
      </c>
      <c r="BU14" s="61">
        <f t="shared" si="11"/>
        <v>2.7885692939858053</v>
      </c>
      <c r="BV14" s="62" t="s">
        <v>138</v>
      </c>
      <c r="BW14" s="61" t="s">
        <v>129</v>
      </c>
    </row>
    <row r="15" spans="1:76" s="61" customFormat="1">
      <c r="A15" s="64" t="s">
        <v>14</v>
      </c>
      <c r="B15" s="58">
        <v>44227</v>
      </c>
      <c r="C15" s="58" t="s">
        <v>66</v>
      </c>
      <c r="D15" s="59">
        <v>75</v>
      </c>
      <c r="E15" s="60">
        <v>39.4</v>
      </c>
      <c r="F15" s="61" t="s">
        <v>27</v>
      </c>
      <c r="G15" s="61">
        <f>(86+79)/2</f>
        <v>82.5</v>
      </c>
      <c r="H15" s="61">
        <v>73.2</v>
      </c>
      <c r="I15" s="61" t="s">
        <v>29</v>
      </c>
      <c r="J15" s="61">
        <f>(46+46)/2</f>
        <v>46</v>
      </c>
      <c r="K15" s="61">
        <v>69.7</v>
      </c>
      <c r="L15" s="61">
        <f t="shared" si="0"/>
        <v>4.7814207650273222</v>
      </c>
      <c r="M15" s="61" t="s">
        <v>36</v>
      </c>
      <c r="N15" s="61">
        <f>(84+68)/2</f>
        <v>76</v>
      </c>
      <c r="O15" s="61">
        <v>77.7</v>
      </c>
      <c r="P15" s="61">
        <f t="shared" si="1"/>
        <v>97.20812182741119</v>
      </c>
      <c r="Q15" s="61" t="s">
        <v>39</v>
      </c>
      <c r="S15" s="61">
        <v>80.2</v>
      </c>
      <c r="T15" s="61" t="s">
        <v>40</v>
      </c>
      <c r="U15" s="61">
        <f>(65+62)/2</f>
        <v>63.5</v>
      </c>
      <c r="V15" s="61">
        <v>75.099999999999994</v>
      </c>
      <c r="W15" s="61">
        <f t="shared" si="2"/>
        <v>6.3591022443890379</v>
      </c>
      <c r="X15" s="61" t="s">
        <v>47</v>
      </c>
      <c r="Y15" s="61">
        <f>(70+71)/2</f>
        <v>70.5</v>
      </c>
      <c r="Z15" s="61">
        <v>84.2</v>
      </c>
      <c r="AA15" s="61">
        <f t="shared" si="3"/>
        <v>8.3655083655083651</v>
      </c>
      <c r="AB15" s="61" t="s">
        <v>48</v>
      </c>
      <c r="AD15" s="61">
        <v>88.5</v>
      </c>
      <c r="AE15" s="61" t="s">
        <v>49</v>
      </c>
      <c r="AF15" s="61">
        <f>(49+54)/2</f>
        <v>51.5</v>
      </c>
      <c r="AG15" s="61">
        <v>84.2</v>
      </c>
      <c r="AH15" s="61">
        <f t="shared" si="4"/>
        <v>4.8587570621468892</v>
      </c>
      <c r="AI15" s="61" t="s">
        <v>50</v>
      </c>
      <c r="AJ15" s="61">
        <f>(55+63)/2</f>
        <v>59</v>
      </c>
      <c r="AK15" s="61">
        <v>87.6</v>
      </c>
      <c r="AL15" s="61">
        <f t="shared" si="5"/>
        <v>4.0380047505938137</v>
      </c>
      <c r="AM15" s="61" t="s">
        <v>55</v>
      </c>
      <c r="AO15" s="61">
        <v>89.5</v>
      </c>
      <c r="AP15" s="61" t="s">
        <v>56</v>
      </c>
      <c r="AQ15" s="61">
        <f>(76+52+52)/3</f>
        <v>60</v>
      </c>
      <c r="AR15" s="61">
        <v>84.5</v>
      </c>
      <c r="AS15" s="61">
        <f t="shared" si="6"/>
        <v>3.5388127853881213</v>
      </c>
      <c r="AT15" s="61" t="s">
        <v>58</v>
      </c>
      <c r="AU15" s="61">
        <f>(52+64)/2</f>
        <v>58</v>
      </c>
      <c r="AV15" s="61">
        <v>91</v>
      </c>
      <c r="AW15" s="61">
        <f t="shared" si="7"/>
        <v>3.8812785388127922</v>
      </c>
      <c r="AX15" s="61" t="s">
        <v>61</v>
      </c>
      <c r="AZ15" s="61">
        <v>98.3</v>
      </c>
      <c r="BA15" s="61" t="s">
        <v>62</v>
      </c>
      <c r="BB15" s="61">
        <f>(59+60)/2</f>
        <v>59.5</v>
      </c>
      <c r="BC15" s="61">
        <v>94.4</v>
      </c>
      <c r="BD15" s="61">
        <f t="shared" si="8"/>
        <v>3.9674465920650985</v>
      </c>
      <c r="BE15" s="61" t="s">
        <v>64</v>
      </c>
      <c r="BF15" s="61">
        <f>(38+50)/2</f>
        <v>44</v>
      </c>
      <c r="BG15" s="61">
        <v>97.5</v>
      </c>
      <c r="BI15" s="61">
        <f>(59+60)/2</f>
        <v>59.5</v>
      </c>
      <c r="BJ15" s="61">
        <f>(183+229)/2</f>
        <v>206</v>
      </c>
      <c r="BK15" s="61">
        <f>(282+325)/2</f>
        <v>303.5</v>
      </c>
      <c r="BL15" s="61">
        <f>(343+441)/2</f>
        <v>392</v>
      </c>
      <c r="BM15" s="61">
        <f>(410+392)/2</f>
        <v>401</v>
      </c>
      <c r="BN15" s="61">
        <f>(92+91)/2</f>
        <v>91.5</v>
      </c>
      <c r="BO15" s="61">
        <f>59.5+((206-59.6)*0.5)+206+((303.5-206)*0.5)+303.5+((392-303.5)*0.5)+392+((401-392)*0.5)+91.5+((401-91.5)*0.5)</f>
        <v>1377.95</v>
      </c>
      <c r="BQ15" s="61">
        <v>1.2902</v>
      </c>
      <c r="BR15" s="61">
        <f t="shared" si="9"/>
        <v>1.3125127161749746</v>
      </c>
      <c r="BS15" s="61">
        <v>0.63119999999999998</v>
      </c>
      <c r="BT15" s="61">
        <f t="shared" si="10"/>
        <v>0.64211597151576805</v>
      </c>
      <c r="BU15" s="61">
        <f t="shared" si="11"/>
        <v>2.04404309252218</v>
      </c>
      <c r="BV15" s="62" t="s">
        <v>138</v>
      </c>
      <c r="BW15" s="61" t="s">
        <v>129</v>
      </c>
    </row>
    <row r="16" spans="1:76" s="61" customFormat="1">
      <c r="A16" s="64" t="s">
        <v>15</v>
      </c>
      <c r="B16" s="58">
        <v>44227</v>
      </c>
      <c r="C16" s="58" t="s">
        <v>66</v>
      </c>
      <c r="D16" s="59">
        <v>72</v>
      </c>
      <c r="E16" s="60">
        <v>41.3</v>
      </c>
      <c r="F16" s="61" t="s">
        <v>27</v>
      </c>
      <c r="G16" s="61">
        <f>(66+88)/2</f>
        <v>77</v>
      </c>
      <c r="H16" s="61">
        <v>75.599999999999994</v>
      </c>
      <c r="I16" s="61" t="s">
        <v>29</v>
      </c>
      <c r="J16" s="61">
        <f>(43+51)/2</f>
        <v>47</v>
      </c>
      <c r="K16" s="61">
        <v>71.400000000000006</v>
      </c>
      <c r="L16" s="61">
        <f t="shared" si="0"/>
        <v>5.5555555555555403</v>
      </c>
      <c r="M16" s="61" t="s">
        <v>36</v>
      </c>
      <c r="N16" s="61">
        <f>(76+88)/2</f>
        <v>82</v>
      </c>
      <c r="O16" s="61">
        <v>78.5</v>
      </c>
      <c r="P16" s="61">
        <f t="shared" si="1"/>
        <v>90.072639225181618</v>
      </c>
      <c r="Q16" s="61" t="s">
        <v>39</v>
      </c>
      <c r="S16" s="61">
        <v>81</v>
      </c>
      <c r="T16" s="61" t="s">
        <v>40</v>
      </c>
      <c r="U16" s="61">
        <f>(65+63)/2</f>
        <v>64</v>
      </c>
      <c r="V16" s="61">
        <v>75.599999999999994</v>
      </c>
      <c r="W16" s="61">
        <f t="shared" si="2"/>
        <v>6.6666666666666732</v>
      </c>
      <c r="X16" s="61" t="s">
        <v>47</v>
      </c>
      <c r="Y16" s="61">
        <f>(80+86)/2</f>
        <v>83</v>
      </c>
      <c r="Z16" s="61">
        <v>82.9</v>
      </c>
      <c r="AA16" s="61">
        <f t="shared" si="3"/>
        <v>5.6050955414012806</v>
      </c>
      <c r="AB16" s="61" t="s">
        <v>48</v>
      </c>
      <c r="AD16" s="61">
        <v>85.7</v>
      </c>
      <c r="AE16" s="61" t="s">
        <v>49</v>
      </c>
      <c r="AF16" s="61">
        <f>(56+57)/2</f>
        <v>56.5</v>
      </c>
      <c r="AG16" s="61">
        <v>82.1</v>
      </c>
      <c r="AH16" s="61">
        <f t="shared" si="4"/>
        <v>4.2007001166861242</v>
      </c>
      <c r="AI16" s="61" t="s">
        <v>50</v>
      </c>
      <c r="AJ16" s="61">
        <f>(73+66)/2</f>
        <v>69.5</v>
      </c>
      <c r="AK16" s="61">
        <v>87.2</v>
      </c>
      <c r="AL16" s="61">
        <f t="shared" si="5"/>
        <v>5.186972255729791</v>
      </c>
      <c r="AM16" s="61" t="s">
        <v>55</v>
      </c>
      <c r="AO16" s="61">
        <v>90.4</v>
      </c>
      <c r="AP16" s="61" t="s">
        <v>56</v>
      </c>
      <c r="AQ16" s="61">
        <f>(55+58)/2</f>
        <v>56.5</v>
      </c>
      <c r="AR16" s="61">
        <v>85.4</v>
      </c>
      <c r="AS16" s="61">
        <f t="shared" si="6"/>
        <v>2.0642201834862353</v>
      </c>
      <c r="AT16" s="61" t="s">
        <v>58</v>
      </c>
      <c r="AU16" s="61">
        <f>(61+70)/2</f>
        <v>65.5</v>
      </c>
      <c r="AV16" s="61">
        <v>91.3</v>
      </c>
      <c r="AW16" s="61">
        <f t="shared" si="7"/>
        <v>4.7018348623853141</v>
      </c>
      <c r="AX16" s="61" t="s">
        <v>61</v>
      </c>
      <c r="AZ16" s="61">
        <v>94.5</v>
      </c>
      <c r="BA16" s="61" t="s">
        <v>62</v>
      </c>
      <c r="BB16" s="61">
        <f>(48+52)/2</f>
        <v>50</v>
      </c>
      <c r="BC16" s="61">
        <v>89.4</v>
      </c>
      <c r="BD16" s="61">
        <f t="shared" si="8"/>
        <v>5.396825396825391</v>
      </c>
      <c r="BE16" s="61" t="s">
        <v>64</v>
      </c>
      <c r="BF16" s="61">
        <f>(63+67)/2</f>
        <v>65</v>
      </c>
      <c r="BG16" s="61">
        <v>92.3</v>
      </c>
      <c r="BI16" s="61">
        <f>(48+52)/2</f>
        <v>50</v>
      </c>
      <c r="BJ16" s="61">
        <f>(127+152)/2</f>
        <v>139.5</v>
      </c>
      <c r="BK16" s="61">
        <f>(223+219)/2</f>
        <v>221</v>
      </c>
      <c r="BL16" s="61">
        <f>(274+263)/2</f>
        <v>268.5</v>
      </c>
      <c r="BM16" s="61">
        <f>(296+305)/2</f>
        <v>300.5</v>
      </c>
      <c r="BN16" s="61">
        <f>(70+84)/2</f>
        <v>77</v>
      </c>
      <c r="BO16" s="61">
        <f>50+((139.5-50)*0.5)+139.5+((221-139.5)*0.5)+221+((268.5-221)*0.5)+268.5+((300.5-268.5)*0.5)+77+((300.5-77)*0.5)</f>
        <v>993</v>
      </c>
      <c r="BQ16" s="61">
        <v>1.1374</v>
      </c>
      <c r="BR16" s="61">
        <f t="shared" si="9"/>
        <v>1.2035978835978836</v>
      </c>
      <c r="BS16" s="61">
        <v>0.54620000000000002</v>
      </c>
      <c r="BT16" s="61">
        <f t="shared" si="10"/>
        <v>0.57798941798941805</v>
      </c>
      <c r="BU16" s="61">
        <f t="shared" si="11"/>
        <v>2.0823874038813619</v>
      </c>
      <c r="BV16" s="61" t="s">
        <v>138</v>
      </c>
      <c r="BW16" s="62" t="s">
        <v>127</v>
      </c>
    </row>
    <row r="17" spans="1:75">
      <c r="A17" s="6" t="s">
        <v>16</v>
      </c>
      <c r="B17" s="2">
        <v>44227</v>
      </c>
      <c r="C17" s="8" t="s">
        <v>66</v>
      </c>
      <c r="D17" s="4">
        <v>78</v>
      </c>
      <c r="E17" s="9">
        <v>40.200000000000003</v>
      </c>
      <c r="F17" s="10" t="s">
        <v>27</v>
      </c>
      <c r="G17" s="31">
        <f>(184+231+180)/3</f>
        <v>198.33333333333334</v>
      </c>
      <c r="H17" s="10">
        <v>76.7</v>
      </c>
      <c r="I17" s="10" t="s">
        <v>29</v>
      </c>
      <c r="J17" s="10">
        <f>(44+55)/2</f>
        <v>49.5</v>
      </c>
      <c r="K17" s="10">
        <v>73.5</v>
      </c>
      <c r="L17" s="10">
        <f t="shared" si="0"/>
        <v>4.1720990873533284</v>
      </c>
      <c r="M17" s="10" t="s">
        <v>36</v>
      </c>
      <c r="N17" s="31">
        <f>(193+173)/2</f>
        <v>183</v>
      </c>
      <c r="O17" s="10">
        <v>80</v>
      </c>
      <c r="P17" s="10">
        <f t="shared" si="1"/>
        <v>99.004975124378092</v>
      </c>
      <c r="Q17" s="10" t="s">
        <v>39</v>
      </c>
      <c r="R17" s="10"/>
      <c r="S17" s="10">
        <v>82.9</v>
      </c>
      <c r="T17" s="10" t="s">
        <v>40</v>
      </c>
      <c r="U17" s="10">
        <f>(56+67)/2</f>
        <v>61.5</v>
      </c>
      <c r="V17" s="10">
        <v>78.2</v>
      </c>
      <c r="W17" s="10">
        <f t="shared" si="2"/>
        <v>5.6694813027744306</v>
      </c>
      <c r="X17" s="10" t="s">
        <v>47</v>
      </c>
      <c r="Y17" s="10">
        <f>(68+75)/2</f>
        <v>71.5</v>
      </c>
      <c r="Z17" s="10">
        <v>85.1</v>
      </c>
      <c r="AA17">
        <f t="shared" si="3"/>
        <v>6.3749999999999929</v>
      </c>
      <c r="AB17" t="s">
        <v>48</v>
      </c>
      <c r="AD17">
        <v>88.4</v>
      </c>
      <c r="AE17" t="s">
        <v>49</v>
      </c>
      <c r="AF17">
        <f>(63+62)/2</f>
        <v>62.5</v>
      </c>
      <c r="AG17">
        <v>82.3</v>
      </c>
      <c r="AH17">
        <f t="shared" si="4"/>
        <v>6.900452488687792</v>
      </c>
      <c r="AI17" t="s">
        <v>50</v>
      </c>
      <c r="AJ17">
        <f>(69+66)/2</f>
        <v>67.5</v>
      </c>
      <c r="AK17">
        <v>89.5</v>
      </c>
      <c r="AL17">
        <f t="shared" si="5"/>
        <v>5.1703877790834376</v>
      </c>
      <c r="AM17" t="s">
        <v>55</v>
      </c>
      <c r="AO17">
        <v>93.4</v>
      </c>
      <c r="AP17" t="s">
        <v>56</v>
      </c>
      <c r="AQ17">
        <f>(48+60)/2</f>
        <v>54</v>
      </c>
      <c r="AR17">
        <v>87.4</v>
      </c>
      <c r="AS17">
        <f t="shared" si="6"/>
        <v>2.3463687150837926</v>
      </c>
      <c r="AT17" t="s">
        <v>58</v>
      </c>
      <c r="AU17">
        <f>(97+128+70)/3</f>
        <v>98.333333333333329</v>
      </c>
      <c r="AV17">
        <v>93.9</v>
      </c>
      <c r="AW17">
        <f t="shared" si="7"/>
        <v>4.9162011173184421</v>
      </c>
      <c r="AX17" t="s">
        <v>61</v>
      </c>
      <c r="AZ17">
        <v>98</v>
      </c>
      <c r="BA17" t="s">
        <v>62</v>
      </c>
      <c r="BB17">
        <f>(50+46)/2</f>
        <v>48</v>
      </c>
      <c r="BC17">
        <v>91.6</v>
      </c>
      <c r="BD17">
        <f t="shared" si="8"/>
        <v>6.5306122448979655</v>
      </c>
      <c r="BE17" t="s">
        <v>64</v>
      </c>
      <c r="BF17">
        <f>(68+72)/2</f>
        <v>70</v>
      </c>
      <c r="BG17">
        <v>94.4</v>
      </c>
      <c r="BI17">
        <f>(50+46)/2</f>
        <v>48</v>
      </c>
      <c r="BJ17">
        <f>(121+149)/2</f>
        <v>135</v>
      </c>
      <c r="BK17">
        <f>(202+189)/2</f>
        <v>195.5</v>
      </c>
      <c r="BL17">
        <f>(205+270)/2</f>
        <v>237.5</v>
      </c>
      <c r="BM17">
        <f>(189+249)/2</f>
        <v>219</v>
      </c>
      <c r="BN17">
        <f>(59+68)/2</f>
        <v>63.5</v>
      </c>
      <c r="BO17">
        <f>48+((135-48)*0.5)+135+((195.5-135)*0.5)+195.5+((237.5-195.5)*0.5)+219+((237.5-219)*0.5)+63.5+((219-63.5)*0.5)</f>
        <v>842.75</v>
      </c>
      <c r="BQ17">
        <v>1.5392999999999999</v>
      </c>
      <c r="BR17">
        <f t="shared" si="9"/>
        <v>1.5707142857142857</v>
      </c>
      <c r="BS17">
        <v>0.64100000000000001</v>
      </c>
      <c r="BT17">
        <f t="shared" si="10"/>
        <v>0.65408163265306118</v>
      </c>
      <c r="BU17">
        <f t="shared" si="11"/>
        <v>2.4014040561622467</v>
      </c>
      <c r="BV17" t="s">
        <v>138</v>
      </c>
      <c r="BW17" t="s">
        <v>129</v>
      </c>
    </row>
    <row r="18" spans="1:75" s="43" customFormat="1">
      <c r="A18" s="38" t="s">
        <v>17</v>
      </c>
      <c r="B18" s="40">
        <v>44227</v>
      </c>
      <c r="C18" s="40" t="s">
        <v>66</v>
      </c>
      <c r="D18" s="41">
        <v>81</v>
      </c>
      <c r="E18" s="42">
        <v>42.7</v>
      </c>
      <c r="F18" s="43" t="s">
        <v>27</v>
      </c>
      <c r="G18" s="43">
        <f>(91+96)/2</f>
        <v>93.5</v>
      </c>
      <c r="H18" s="43">
        <v>79.400000000000006</v>
      </c>
      <c r="I18" s="43" t="s">
        <v>29</v>
      </c>
      <c r="J18" s="43">
        <f>(45+57)/2</f>
        <v>51</v>
      </c>
      <c r="K18" s="43">
        <v>76.599999999999994</v>
      </c>
      <c r="L18" s="43">
        <f t="shared" si="0"/>
        <v>3.5264483627204171</v>
      </c>
      <c r="M18" s="43" t="s">
        <v>36</v>
      </c>
      <c r="N18" s="43">
        <f>(80+88)/2</f>
        <v>84</v>
      </c>
      <c r="O18" s="43">
        <v>82.5</v>
      </c>
      <c r="P18" s="43">
        <f t="shared" si="1"/>
        <v>93.208430913348934</v>
      </c>
      <c r="Q18" s="43" t="s">
        <v>39</v>
      </c>
      <c r="S18" s="43">
        <v>85.4</v>
      </c>
      <c r="T18" s="43" t="s">
        <v>40</v>
      </c>
      <c r="U18" s="43">
        <f>(59+62)/2</f>
        <v>60.5</v>
      </c>
      <c r="V18" s="43">
        <v>81.599999999999994</v>
      </c>
      <c r="W18" s="43">
        <f t="shared" si="2"/>
        <v>4.4496487119438068</v>
      </c>
      <c r="X18" s="43" t="s">
        <v>47</v>
      </c>
      <c r="Y18" s="43">
        <f>(74+70+76)/3</f>
        <v>73.333333333333329</v>
      </c>
      <c r="Z18" s="43">
        <v>87.6</v>
      </c>
      <c r="AA18" s="43">
        <f t="shared" si="3"/>
        <v>6.1818181818181754</v>
      </c>
      <c r="AB18" s="43" t="s">
        <v>48</v>
      </c>
      <c r="AD18" s="43">
        <v>91.7</v>
      </c>
      <c r="AE18" s="43" t="s">
        <v>49</v>
      </c>
      <c r="AF18" s="43">
        <f>(54+56)/2</f>
        <v>55</v>
      </c>
      <c r="AG18" s="43">
        <v>85.9</v>
      </c>
      <c r="AH18" s="43">
        <f t="shared" si="4"/>
        <v>6.3249727371864743</v>
      </c>
      <c r="AI18" s="43" t="s">
        <v>50</v>
      </c>
      <c r="AJ18" s="43">
        <f>(78+76)/2</f>
        <v>77</v>
      </c>
      <c r="AK18" s="43">
        <v>90.9</v>
      </c>
      <c r="AL18" s="43">
        <f t="shared" si="5"/>
        <v>3.7671232876712457</v>
      </c>
      <c r="AM18" s="43" t="s">
        <v>55</v>
      </c>
      <c r="AO18" s="43">
        <v>95</v>
      </c>
      <c r="AP18" s="43" t="s">
        <v>56</v>
      </c>
      <c r="AQ18" s="43">
        <f>(58+58)/2</f>
        <v>58</v>
      </c>
      <c r="AR18" s="43">
        <v>89.2</v>
      </c>
      <c r="AS18" s="43">
        <f t="shared" si="6"/>
        <v>1.8701870187018732</v>
      </c>
      <c r="AT18" s="43" t="s">
        <v>58</v>
      </c>
      <c r="AU18" s="43">
        <f>(66+71)/2</f>
        <v>68.5</v>
      </c>
      <c r="AV18" s="43">
        <v>94.8</v>
      </c>
      <c r="AW18" s="43">
        <f t="shared" si="7"/>
        <v>4.2904290429042806</v>
      </c>
      <c r="AX18" s="43" t="s">
        <v>61</v>
      </c>
      <c r="AZ18" s="43">
        <v>98.3</v>
      </c>
      <c r="BA18" s="43" t="s">
        <v>62</v>
      </c>
      <c r="BB18" s="43">
        <f>(44+42)/2</f>
        <v>43</v>
      </c>
      <c r="BC18" s="43">
        <v>95.6</v>
      </c>
      <c r="BD18" s="43">
        <f t="shared" si="8"/>
        <v>2.7466937945066152</v>
      </c>
      <c r="BE18" s="43" t="s">
        <v>64</v>
      </c>
      <c r="BF18" s="43">
        <f>(49+74)/2</f>
        <v>61.5</v>
      </c>
      <c r="BG18" s="43">
        <v>94.8</v>
      </c>
      <c r="BI18" s="43">
        <f>(44+42)/2</f>
        <v>43</v>
      </c>
      <c r="BJ18" s="43">
        <f>(92+79)/2</f>
        <v>85.5</v>
      </c>
      <c r="BK18" s="43">
        <f>(421+470)/2</f>
        <v>445.5</v>
      </c>
      <c r="BL18" s="43">
        <f>(436+530)/2</f>
        <v>483</v>
      </c>
      <c r="BM18" s="43">
        <f>(435+600)/2</f>
        <v>517.5</v>
      </c>
      <c r="BN18" s="43">
        <f>(130+109)/2</f>
        <v>119.5</v>
      </c>
      <c r="BO18" s="43" t="s">
        <v>148</v>
      </c>
      <c r="BQ18" s="43">
        <v>1.7470000000000001</v>
      </c>
      <c r="BR18" s="43">
        <f t="shared" si="9"/>
        <v>1.7772126144455749</v>
      </c>
      <c r="BS18" s="43">
        <v>0.64119999999999999</v>
      </c>
      <c r="BT18" s="43">
        <f t="shared" si="10"/>
        <v>0.65228891149542223</v>
      </c>
      <c r="BU18" s="43">
        <f t="shared" si="11"/>
        <v>2.7245789145352464</v>
      </c>
      <c r="BV18" s="43" t="s">
        <v>138</v>
      </c>
      <c r="BW18" s="43" t="s">
        <v>134</v>
      </c>
    </row>
    <row r="19" spans="1:75">
      <c r="A19" s="7" t="s">
        <v>18</v>
      </c>
      <c r="B19" s="2">
        <v>44227</v>
      </c>
      <c r="C19" s="8" t="s">
        <v>66</v>
      </c>
      <c r="D19" s="4">
        <v>70</v>
      </c>
      <c r="E19" s="9">
        <v>45.1</v>
      </c>
      <c r="F19" s="10" t="s">
        <v>27</v>
      </c>
      <c r="G19" s="31">
        <f>(160+150)/2</f>
        <v>155</v>
      </c>
      <c r="H19" s="10">
        <v>86.5</v>
      </c>
      <c r="I19" s="10" t="s">
        <v>29</v>
      </c>
      <c r="J19" s="10">
        <f>(39+40)/2</f>
        <v>39.5</v>
      </c>
      <c r="K19" s="10">
        <v>83</v>
      </c>
      <c r="L19" s="10">
        <f t="shared" si="0"/>
        <v>4.0462427745664744</v>
      </c>
      <c r="M19" s="10" t="s">
        <v>36</v>
      </c>
      <c r="N19" s="11">
        <f>(207+201)/2</f>
        <v>204</v>
      </c>
      <c r="O19" s="10">
        <v>93.2</v>
      </c>
      <c r="P19" s="10">
        <f t="shared" si="1"/>
        <v>106.65188470066518</v>
      </c>
      <c r="Q19" s="10" t="s">
        <v>39</v>
      </c>
      <c r="R19" s="10"/>
      <c r="S19" s="10">
        <v>94.7</v>
      </c>
      <c r="T19" s="10" t="s">
        <v>40</v>
      </c>
      <c r="U19" s="10">
        <f>(60+50)/2</f>
        <v>55</v>
      </c>
      <c r="V19" s="10">
        <v>88.5</v>
      </c>
      <c r="W19" s="10">
        <f t="shared" si="2"/>
        <v>6.5469904963041214</v>
      </c>
      <c r="X19" s="10" t="s">
        <v>47</v>
      </c>
      <c r="Y19" s="11">
        <f>(297+303)/2</f>
        <v>300</v>
      </c>
      <c r="Z19" s="10">
        <v>95.4</v>
      </c>
      <c r="AA19">
        <f t="shared" si="3"/>
        <v>2.3605150214592303</v>
      </c>
      <c r="AB19" t="s">
        <v>48</v>
      </c>
      <c r="AD19">
        <v>98.5</v>
      </c>
      <c r="AE19" t="s">
        <v>49</v>
      </c>
      <c r="AF19" s="32">
        <f>(79+69+81)/3</f>
        <v>76.333333333333329</v>
      </c>
      <c r="AG19">
        <v>93.6</v>
      </c>
      <c r="AH19">
        <f t="shared" si="4"/>
        <v>4.9746192893401071</v>
      </c>
      <c r="AI19" t="s">
        <v>50</v>
      </c>
      <c r="AJ19">
        <f>(75+82)/2</f>
        <v>78.5</v>
      </c>
      <c r="AK19">
        <v>93.1</v>
      </c>
      <c r="AL19" s="14">
        <f t="shared" si="5"/>
        <v>-2.4109014675052531</v>
      </c>
      <c r="AM19" t="s">
        <v>55</v>
      </c>
      <c r="AO19">
        <v>97.4</v>
      </c>
      <c r="AP19" t="s">
        <v>56</v>
      </c>
      <c r="AQ19">
        <f>(64+77+49)/3</f>
        <v>63.333333333333336</v>
      </c>
      <c r="AR19">
        <v>90.5</v>
      </c>
      <c r="AS19">
        <f t="shared" si="6"/>
        <v>2.7926960257787266</v>
      </c>
      <c r="AT19" t="s">
        <v>58</v>
      </c>
      <c r="AU19" s="1">
        <f>(292+298)/2</f>
        <v>295</v>
      </c>
      <c r="AV19">
        <v>99.3</v>
      </c>
      <c r="AW19">
        <f t="shared" si="7"/>
        <v>6.6595059076262118</v>
      </c>
      <c r="AX19" t="s">
        <v>61</v>
      </c>
      <c r="AZ19">
        <v>104.4</v>
      </c>
      <c r="BA19" t="s">
        <v>62</v>
      </c>
      <c r="BB19">
        <f>(65+52)/2</f>
        <v>58.5</v>
      </c>
      <c r="BC19">
        <v>98.8</v>
      </c>
      <c r="BD19">
        <f t="shared" si="8"/>
        <v>5.3639846743295099</v>
      </c>
      <c r="BE19" t="s">
        <v>64</v>
      </c>
      <c r="BF19">
        <f>(89+102)/2</f>
        <v>95.5</v>
      </c>
      <c r="BG19">
        <v>100.6</v>
      </c>
      <c r="BI19">
        <f>(65+52)/2</f>
        <v>58.5</v>
      </c>
      <c r="BJ19">
        <f>(176+196)/2</f>
        <v>186</v>
      </c>
      <c r="BK19">
        <f>(261+236)/2</f>
        <v>248.5</v>
      </c>
      <c r="BL19">
        <f>(289+316)/2</f>
        <v>302.5</v>
      </c>
      <c r="BM19">
        <f>(444+527)/2</f>
        <v>485.5</v>
      </c>
      <c r="BN19">
        <f>(308+290)/2</f>
        <v>299</v>
      </c>
      <c r="BO19">
        <f>58.5+((186-58.5)*0.5)+186+((248.5-186)*0.5)+248.5+((302.5-248.5)*0.5)+302.5+((485.5-302.5)*0.5)+299+((485.5-299)*0.5)</f>
        <v>1401.25</v>
      </c>
      <c r="BQ19">
        <v>1.1691</v>
      </c>
      <c r="BR19">
        <f t="shared" si="9"/>
        <v>1.1198275862068965</v>
      </c>
      <c r="BS19">
        <v>0.60140000000000005</v>
      </c>
      <c r="BT19">
        <f t="shared" si="10"/>
        <v>0.57605363984674329</v>
      </c>
      <c r="BU19">
        <f t="shared" si="11"/>
        <v>1.9439640838044561</v>
      </c>
      <c r="BV19" t="s">
        <v>138</v>
      </c>
      <c r="BW19" t="s">
        <v>129</v>
      </c>
    </row>
    <row r="20" spans="1:75" s="43" customFormat="1">
      <c r="A20" s="37" t="s">
        <v>19</v>
      </c>
      <c r="B20" s="40">
        <v>44228</v>
      </c>
      <c r="C20" s="40" t="s">
        <v>66</v>
      </c>
      <c r="D20" s="41">
        <v>58</v>
      </c>
      <c r="E20" s="42">
        <v>41.2</v>
      </c>
      <c r="F20" s="43" t="s">
        <v>27</v>
      </c>
      <c r="G20" s="43">
        <f>(67+74)/2</f>
        <v>70.5</v>
      </c>
      <c r="H20" s="43">
        <v>89.7</v>
      </c>
      <c r="I20" s="43" t="s">
        <v>29</v>
      </c>
      <c r="J20" s="43">
        <f>(61+64+59)/3</f>
        <v>61.333333333333336</v>
      </c>
      <c r="K20" s="43">
        <v>85</v>
      </c>
      <c r="L20" s="43">
        <f t="shared" si="0"/>
        <v>5.2396878483835039</v>
      </c>
      <c r="M20" s="43" t="s">
        <v>36</v>
      </c>
      <c r="N20" s="43">
        <f>(74+51)/2</f>
        <v>62.5</v>
      </c>
      <c r="O20" s="43">
        <v>92.4</v>
      </c>
      <c r="P20" s="43">
        <f t="shared" si="1"/>
        <v>124.27184466019416</v>
      </c>
      <c r="Q20" s="43" t="s">
        <v>39</v>
      </c>
      <c r="S20" s="43">
        <v>94.2</v>
      </c>
      <c r="T20" s="43" t="s">
        <v>40</v>
      </c>
      <c r="U20" s="43">
        <f>(58+58)/2</f>
        <v>58</v>
      </c>
      <c r="V20" s="43">
        <v>89.4</v>
      </c>
      <c r="W20" s="43">
        <f t="shared" si="2"/>
        <v>5.0955414012738824</v>
      </c>
      <c r="X20" s="43" t="s">
        <v>47</v>
      </c>
      <c r="Y20" s="43">
        <f>(82+75)/2</f>
        <v>78.5</v>
      </c>
      <c r="Z20" s="43">
        <v>95.9</v>
      </c>
      <c r="AA20" s="43">
        <f t="shared" si="3"/>
        <v>3.7878787878787881</v>
      </c>
      <c r="AB20" s="43" t="s">
        <v>48</v>
      </c>
      <c r="AD20" s="43" t="s">
        <v>137</v>
      </c>
      <c r="AE20" s="43" t="s">
        <v>49</v>
      </c>
      <c r="AI20" s="43" t="s">
        <v>50</v>
      </c>
      <c r="AM20" s="43" t="s">
        <v>55</v>
      </c>
      <c r="AP20" s="43" t="s">
        <v>56</v>
      </c>
      <c r="AT20" s="43" t="s">
        <v>58</v>
      </c>
      <c r="AX20" s="43" t="s">
        <v>61</v>
      </c>
      <c r="BA20" s="43" t="s">
        <v>62</v>
      </c>
      <c r="BE20" s="43" t="s">
        <v>64</v>
      </c>
    </row>
    <row r="21" spans="1:75" s="61" customFormat="1">
      <c r="A21" s="64" t="s">
        <v>20</v>
      </c>
      <c r="B21" s="58">
        <v>44228</v>
      </c>
      <c r="C21" s="58" t="s">
        <v>66</v>
      </c>
      <c r="D21" s="59">
        <v>73</v>
      </c>
      <c r="E21" s="60">
        <v>41</v>
      </c>
      <c r="F21" s="61" t="s">
        <v>27</v>
      </c>
      <c r="G21" s="62">
        <f>(412+373)/2</f>
        <v>392.5</v>
      </c>
      <c r="H21" s="61">
        <v>93.1</v>
      </c>
      <c r="I21" s="61" t="s">
        <v>29</v>
      </c>
      <c r="J21" s="61">
        <f>(33+58+40+32)/4</f>
        <v>40.75</v>
      </c>
      <c r="K21" s="61">
        <v>88.2</v>
      </c>
      <c r="L21" s="61">
        <f t="shared" si="0"/>
        <v>5.2631578947368336</v>
      </c>
      <c r="M21" s="61" t="s">
        <v>36</v>
      </c>
      <c r="N21" s="62">
        <f>(416+503)/2</f>
        <v>459.5</v>
      </c>
      <c r="O21" s="61">
        <v>96</v>
      </c>
      <c r="P21" s="61">
        <f t="shared" si="1"/>
        <v>134.14634146341464</v>
      </c>
      <c r="Q21" s="61" t="s">
        <v>39</v>
      </c>
      <c r="S21" s="61">
        <v>98.7</v>
      </c>
      <c r="T21" s="61" t="s">
        <v>40</v>
      </c>
      <c r="U21" s="61">
        <f>(43+43)/2</f>
        <v>43</v>
      </c>
      <c r="V21" s="61">
        <v>92.4</v>
      </c>
      <c r="W21" s="61">
        <f t="shared" si="2"/>
        <v>6.3829787234042517</v>
      </c>
      <c r="X21" s="61" t="s">
        <v>47</v>
      </c>
      <c r="Y21" s="62">
        <f>(264+443+321)/3</f>
        <v>342.66666666666669</v>
      </c>
      <c r="Z21" s="61">
        <v>102.2</v>
      </c>
      <c r="AA21" s="61">
        <f t="shared" si="3"/>
        <v>6.4583333333333366</v>
      </c>
      <c r="AB21" s="61" t="s">
        <v>48</v>
      </c>
      <c r="AD21" s="61">
        <v>108</v>
      </c>
      <c r="AE21" s="61" t="s">
        <v>49</v>
      </c>
      <c r="AF21" s="61">
        <f>(49+40)/2</f>
        <v>44.5</v>
      </c>
      <c r="AG21" s="61">
        <v>100.7</v>
      </c>
      <c r="AH21" s="61">
        <f t="shared" si="4"/>
        <v>6.7592592592592569</v>
      </c>
      <c r="AI21" s="61" t="s">
        <v>50</v>
      </c>
      <c r="AJ21" s="62">
        <f>(321+383)/2</f>
        <v>352</v>
      </c>
      <c r="AK21" s="61">
        <v>107.8</v>
      </c>
      <c r="AL21" s="61">
        <f t="shared" si="5"/>
        <v>5.4794520547945149</v>
      </c>
      <c r="AM21" s="61" t="s">
        <v>55</v>
      </c>
      <c r="AO21" s="61">
        <v>109.5</v>
      </c>
      <c r="AP21" s="61" t="s">
        <v>56</v>
      </c>
      <c r="AQ21" s="61">
        <f>(66+73+58+69)/4</f>
        <v>66.5</v>
      </c>
      <c r="AR21" s="61">
        <v>102</v>
      </c>
      <c r="AS21" s="61">
        <f t="shared" si="6"/>
        <v>5.3803339517625206</v>
      </c>
      <c r="AT21" s="61" t="s">
        <v>58</v>
      </c>
      <c r="AU21" s="65">
        <f>(443+568)/2</f>
        <v>505.5</v>
      </c>
      <c r="AV21" s="61">
        <v>109.7</v>
      </c>
      <c r="AW21" s="61">
        <f t="shared" si="7"/>
        <v>1.7625231910946251</v>
      </c>
      <c r="AX21" s="61" t="s">
        <v>61</v>
      </c>
      <c r="AZ21" s="61">
        <v>110.5</v>
      </c>
      <c r="BA21" s="61" t="s">
        <v>62</v>
      </c>
      <c r="BB21" s="61">
        <f>(63+66)/2</f>
        <v>64.5</v>
      </c>
      <c r="BC21" s="61">
        <v>104</v>
      </c>
      <c r="BD21" s="61">
        <f t="shared" si="8"/>
        <v>5.8823529411764701</v>
      </c>
      <c r="BE21" s="61" t="s">
        <v>64</v>
      </c>
      <c r="BF21" s="61" t="s">
        <v>149</v>
      </c>
      <c r="BG21" s="61" t="s">
        <v>149</v>
      </c>
      <c r="BI21" s="61">
        <f>(63+66)/2</f>
        <v>64.5</v>
      </c>
      <c r="BJ21" s="61">
        <f>(208+225)/2</f>
        <v>216.5</v>
      </c>
      <c r="BK21" s="61">
        <f>(506+533)/2</f>
        <v>519.5</v>
      </c>
      <c r="BL21" s="61">
        <f>(573+591)/2</f>
        <v>582</v>
      </c>
      <c r="BM21" s="62">
        <f>(574+600)/2</f>
        <v>587</v>
      </c>
      <c r="BN21" s="61">
        <f>(299+319)/2</f>
        <v>309</v>
      </c>
      <c r="BO21" s="61">
        <f>64.5+((216.5=64.5)*0.5)+216.5+((519.5-216.5)*0.5)+519.5+((582-519.5)*0.5)+582+((587-582)*0.5)+309+((587-309)*0.5)</f>
        <v>2015.75</v>
      </c>
      <c r="BQ21" s="61">
        <v>0.92620000000000002</v>
      </c>
      <c r="BR21" s="61">
        <f t="shared" si="9"/>
        <v>0.83819004524886886</v>
      </c>
      <c r="BS21" s="61">
        <v>0.62160000000000004</v>
      </c>
      <c r="BT21" s="61">
        <f t="shared" si="10"/>
        <v>0.5625339366515838</v>
      </c>
      <c r="BU21" s="61">
        <f t="shared" si="11"/>
        <v>1.49002574002574</v>
      </c>
      <c r="BV21" s="61" t="s">
        <v>131</v>
      </c>
      <c r="BW21" s="62" t="s">
        <v>133</v>
      </c>
    </row>
    <row r="22" spans="1:75" s="61" customFormat="1">
      <c r="A22" s="66" t="s">
        <v>21</v>
      </c>
      <c r="B22" s="58">
        <v>44228</v>
      </c>
      <c r="C22" s="58" t="s">
        <v>66</v>
      </c>
      <c r="D22" s="59">
        <v>77</v>
      </c>
      <c r="E22" s="60">
        <v>48</v>
      </c>
      <c r="F22" s="61" t="s">
        <v>27</v>
      </c>
      <c r="G22" s="62">
        <f>(266+237)/2</f>
        <v>251.5</v>
      </c>
      <c r="H22" s="61">
        <v>98.2</v>
      </c>
      <c r="I22" s="61" t="s">
        <v>29</v>
      </c>
      <c r="J22" s="61">
        <f>(31+54+33)/3</f>
        <v>39.333333333333336</v>
      </c>
      <c r="K22" s="61">
        <v>95</v>
      </c>
      <c r="L22" s="61">
        <f t="shared" si="0"/>
        <v>3.2586558044806542</v>
      </c>
      <c r="M22" s="61" t="s">
        <v>36</v>
      </c>
      <c r="N22" s="62">
        <f>(277+322)/2</f>
        <v>299.5</v>
      </c>
      <c r="O22" s="61">
        <v>104.2</v>
      </c>
      <c r="P22" s="61">
        <f t="shared" si="1"/>
        <v>117.08333333333334</v>
      </c>
      <c r="Q22" s="61" t="s">
        <v>39</v>
      </c>
      <c r="S22" s="61">
        <v>105.5</v>
      </c>
      <c r="T22" s="61" t="s">
        <v>40</v>
      </c>
      <c r="U22" s="61">
        <f>(38+44)/2</f>
        <v>41</v>
      </c>
      <c r="V22" s="61">
        <v>99</v>
      </c>
      <c r="W22" s="61">
        <f t="shared" si="2"/>
        <v>6.1611374407582939</v>
      </c>
      <c r="X22" s="61" t="s">
        <v>47</v>
      </c>
      <c r="Y22" s="62">
        <f>(224+231)/2</f>
        <v>227.5</v>
      </c>
      <c r="Z22" s="61">
        <v>109.6</v>
      </c>
      <c r="AA22" s="61">
        <f t="shared" si="3"/>
        <v>5.182341650671777</v>
      </c>
      <c r="AB22" s="61" t="s">
        <v>48</v>
      </c>
      <c r="AD22" s="61">
        <v>114.3</v>
      </c>
      <c r="AE22" s="61" t="s">
        <v>49</v>
      </c>
      <c r="AF22" s="61">
        <f>(38+49+43)/3</f>
        <v>43.333333333333336</v>
      </c>
      <c r="AG22" s="61">
        <v>107.9</v>
      </c>
      <c r="AH22" s="61">
        <f t="shared" si="4"/>
        <v>5.5993000874890564</v>
      </c>
      <c r="AI22" s="61" t="s">
        <v>50</v>
      </c>
      <c r="AJ22" s="62">
        <f>(272+344)/2</f>
        <v>308</v>
      </c>
      <c r="AK22" s="61">
        <v>116.6</v>
      </c>
      <c r="AL22" s="61">
        <f t="shared" si="5"/>
        <v>6.3868613138686134</v>
      </c>
      <c r="AM22" s="61" t="s">
        <v>55</v>
      </c>
      <c r="AO22" s="61">
        <v>117.6</v>
      </c>
      <c r="AP22" s="61" t="s">
        <v>56</v>
      </c>
      <c r="AQ22" s="61">
        <f>(37+57)/2</f>
        <v>47</v>
      </c>
      <c r="AR22" s="61">
        <v>111.9</v>
      </c>
      <c r="AS22" s="61">
        <f t="shared" si="6"/>
        <v>4.0308747855917568</v>
      </c>
      <c r="AT22" s="61" t="s">
        <v>58</v>
      </c>
      <c r="AU22" s="62">
        <f>(309+368)/2</f>
        <v>338.5</v>
      </c>
      <c r="AV22" s="61">
        <v>112.9</v>
      </c>
      <c r="AW22" s="61">
        <f t="shared" si="7"/>
        <v>-3.1732418524871258</v>
      </c>
      <c r="AX22" s="61" t="s">
        <v>61</v>
      </c>
      <c r="AZ22" s="61">
        <v>121.3</v>
      </c>
      <c r="BA22" s="61" t="s">
        <v>62</v>
      </c>
      <c r="BB22" s="61">
        <f>(52+45)/2</f>
        <v>48.5</v>
      </c>
      <c r="BC22" s="61">
        <v>113.8</v>
      </c>
      <c r="BD22" s="61">
        <f t="shared" si="8"/>
        <v>6.1830173124484755</v>
      </c>
      <c r="BE22" s="61" t="s">
        <v>64</v>
      </c>
      <c r="BF22" s="61" t="s">
        <v>149</v>
      </c>
      <c r="BG22" s="61" t="s">
        <v>149</v>
      </c>
      <c r="BI22" s="61">
        <f>(52+45)/2</f>
        <v>48.5</v>
      </c>
      <c r="BJ22" s="61">
        <f>(223+210)/2</f>
        <v>216.5</v>
      </c>
      <c r="BK22" s="61">
        <f>(480+475)/2</f>
        <v>477.5</v>
      </c>
      <c r="BL22" s="61">
        <f>(342+345)/2</f>
        <v>343.5</v>
      </c>
      <c r="BM22" s="62">
        <f>(588+489)/2</f>
        <v>538.5</v>
      </c>
      <c r="BN22" s="61">
        <f>276</f>
        <v>276</v>
      </c>
      <c r="BO22" s="61">
        <f>48.5+((216.5-48.5)*0.5)+216.5+((477.5-216.5)*0.5)+343.5+((477.5-343.5)*0.5)+343.5+((538.5-343.5)*0.5)+276+((538.5-276)*0.5)</f>
        <v>1738.25</v>
      </c>
      <c r="BQ22" s="61">
        <v>1.7053</v>
      </c>
      <c r="BR22" s="61">
        <f t="shared" si="9"/>
        <v>1.405853256389118</v>
      </c>
      <c r="BS22" s="61">
        <v>0.878</v>
      </c>
      <c r="BT22" s="61">
        <f t="shared" si="10"/>
        <v>0.72382522671063476</v>
      </c>
      <c r="BU22" s="61">
        <f t="shared" si="11"/>
        <v>1.9422551252847382</v>
      </c>
      <c r="BV22" s="61" t="s">
        <v>131</v>
      </c>
      <c r="BW22" s="61" t="s">
        <v>134</v>
      </c>
    </row>
    <row r="23" spans="1:75">
      <c r="D23" s="4"/>
    </row>
    <row r="24" spans="1:75">
      <c r="D24" s="4"/>
      <c r="J24">
        <f>AVERAGE(J4:J22)</f>
        <v>62.85526315789474</v>
      </c>
      <c r="N24">
        <f>AVERAGE(N4:N22)</f>
        <v>213.59649122807019</v>
      </c>
      <c r="U24">
        <f>AVERAGE(U4:U22)</f>
        <v>58.478070175438603</v>
      </c>
      <c r="Y24">
        <f>AVERAGE(Y4:Y22)</f>
        <v>190.28947368421052</v>
      </c>
      <c r="AF24">
        <f>AVERAGE(AF4:AF22)</f>
        <v>55.203703703703709</v>
      </c>
      <c r="AJ24">
        <f>AVERAGE(AJ4:AJ22)</f>
        <v>191.72222222222223</v>
      </c>
      <c r="AQ24">
        <f>AVERAGE(AQ4:AQ13)</f>
        <v>53.3</v>
      </c>
    </row>
    <row r="25" spans="1:75">
      <c r="D25" s="4"/>
    </row>
    <row r="26" spans="1:75">
      <c r="A26" t="s">
        <v>118</v>
      </c>
      <c r="B26" s="2"/>
      <c r="C26" s="2"/>
    </row>
    <row r="27" spans="1:75">
      <c r="A27" t="s">
        <v>123</v>
      </c>
    </row>
    <row r="28" spans="1:75">
      <c r="A28" s="1" t="s">
        <v>150</v>
      </c>
    </row>
    <row r="29" spans="1:75">
      <c r="A29" s="49" t="s">
        <v>151</v>
      </c>
    </row>
  </sheetData>
  <conditionalFormatting sqref="E4:E22">
    <cfRule type="colorScale" priority="9">
      <colorScale>
        <cfvo type="min"/>
        <cfvo type="max"/>
        <color rgb="FFFCFCFF"/>
        <color rgb="FFF8696B"/>
      </colorScale>
    </cfRule>
  </conditionalFormatting>
  <conditionalFormatting sqref="BR4:BR22">
    <cfRule type="colorScale" priority="7">
      <colorScale>
        <cfvo type="min"/>
        <cfvo type="max"/>
        <color rgb="FFF8696B"/>
        <color rgb="FFFCFCFF"/>
      </colorScale>
    </cfRule>
  </conditionalFormatting>
  <conditionalFormatting sqref="BT4:BT22">
    <cfRule type="colorScale" priority="6">
      <colorScale>
        <cfvo type="min"/>
        <cfvo type="max"/>
        <color rgb="FFF8696B"/>
        <color rgb="FFFCFCFF"/>
      </colorScale>
    </cfRule>
  </conditionalFormatting>
  <conditionalFormatting sqref="BU4:BU22">
    <cfRule type="colorScale" priority="4">
      <colorScale>
        <cfvo type="min"/>
        <cfvo type="max"/>
        <color rgb="FFF8696B"/>
        <color rgb="FFFCFCFF"/>
      </colorScale>
    </cfRule>
  </conditionalFormatting>
  <conditionalFormatting sqref="BO4:BO13">
    <cfRule type="colorScale" priority="2">
      <colorScale>
        <cfvo type="min"/>
        <cfvo type="max"/>
        <color rgb="FFFCFCFF"/>
        <color rgb="FFF8696B"/>
      </colorScale>
    </cfRule>
  </conditionalFormatting>
  <conditionalFormatting sqref="BO4:BO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505B-D424-4DC0-AC13-7F237CAACD6F}">
  <dimension ref="A1:J305"/>
  <sheetViews>
    <sheetView workbookViewId="0">
      <pane ySplit="1" topLeftCell="A197" activePane="bottomLeft" state="frozen"/>
      <selection pane="bottomLeft" activeCell="E41" sqref="E41"/>
    </sheetView>
  </sheetViews>
  <sheetFormatPr defaultRowHeight="15.5"/>
  <cols>
    <col min="3" max="3" width="14.6640625" bestFit="1" customWidth="1"/>
    <col min="4" max="4" width="17.25" bestFit="1" customWidth="1"/>
    <col min="5" max="5" width="18.58203125" customWidth="1"/>
    <col min="6" max="6" width="23.9140625" customWidth="1"/>
    <col min="7" max="7" width="17.25" bestFit="1" customWidth="1"/>
    <col min="8" max="8" width="15.83203125" customWidth="1"/>
    <col min="9" max="9" width="17.1640625" customWidth="1"/>
    <col min="10" max="10" width="10.33203125" bestFit="1" customWidth="1"/>
    <col min="11" max="11" width="12" bestFit="1" customWidth="1"/>
    <col min="12" max="12" width="8.58203125" bestFit="1" customWidth="1"/>
    <col min="13" max="13" width="11.75" bestFit="1" customWidth="1"/>
    <col min="14" max="14" width="10.33203125" bestFit="1" customWidth="1"/>
    <col min="15" max="15" width="12.4140625" bestFit="1" customWidth="1"/>
    <col min="16" max="16" width="9.58203125" bestFit="1" customWidth="1"/>
    <col min="17" max="17" width="14.6640625" bestFit="1" customWidth="1"/>
    <col min="18" max="18" width="17.25" bestFit="1" customWidth="1"/>
    <col min="19" max="19" width="13.08203125" bestFit="1" customWidth="1"/>
    <col min="20" max="20" width="11.75" bestFit="1" customWidth="1"/>
    <col min="21" max="21" width="10.33203125" bestFit="1" customWidth="1"/>
    <col min="22" max="22" width="12" bestFit="1" customWidth="1"/>
    <col min="23" max="23" width="7.58203125" bestFit="1" customWidth="1"/>
    <col min="24" max="24" width="11.75" bestFit="1" customWidth="1"/>
    <col min="25" max="25" width="10.33203125" bestFit="1" customWidth="1"/>
    <col min="26" max="26" width="11.75" bestFit="1" customWidth="1"/>
    <col min="27" max="27" width="7.58203125" bestFit="1" customWidth="1"/>
    <col min="28" max="28" width="14.6640625" bestFit="1" customWidth="1"/>
    <col min="29" max="29" width="24.25" bestFit="1" customWidth="1"/>
    <col min="30" max="30" width="12" bestFit="1" customWidth="1"/>
  </cols>
  <sheetData>
    <row r="1" spans="1:10">
      <c r="A1" t="s">
        <v>157</v>
      </c>
      <c r="B1" t="s">
        <v>175</v>
      </c>
      <c r="C1" t="s">
        <v>174</v>
      </c>
      <c r="D1" s="3" t="s">
        <v>176</v>
      </c>
      <c r="E1" t="s">
        <v>164</v>
      </c>
      <c r="F1" t="s">
        <v>160</v>
      </c>
      <c r="G1" t="s">
        <v>161</v>
      </c>
      <c r="H1" t="s">
        <v>162</v>
      </c>
      <c r="I1" t="s">
        <v>163</v>
      </c>
      <c r="J1" t="s">
        <v>168</v>
      </c>
    </row>
    <row r="2" spans="1:10">
      <c r="A2" s="5" t="s">
        <v>3</v>
      </c>
      <c r="B2" s="8" t="s">
        <v>65</v>
      </c>
      <c r="C2" s="4">
        <v>71</v>
      </c>
      <c r="D2" s="9">
        <v>53.7</v>
      </c>
      <c r="F2" t="s">
        <v>1</v>
      </c>
      <c r="G2" s="3" t="s">
        <v>2</v>
      </c>
      <c r="H2" t="s">
        <v>171</v>
      </c>
      <c r="I2" t="s">
        <v>35</v>
      </c>
    </row>
    <row r="3" spans="1:10">
      <c r="A3" s="6" t="s">
        <v>4</v>
      </c>
      <c r="B3" s="8" t="s">
        <v>65</v>
      </c>
      <c r="C3" s="4">
        <v>73</v>
      </c>
      <c r="D3" s="9">
        <v>52.1</v>
      </c>
      <c r="F3" t="s">
        <v>1</v>
      </c>
      <c r="G3" s="3" t="s">
        <v>2</v>
      </c>
      <c r="H3" t="s">
        <v>171</v>
      </c>
      <c r="I3" t="s">
        <v>35</v>
      </c>
    </row>
    <row r="4" spans="1:10">
      <c r="A4" s="6" t="s">
        <v>5</v>
      </c>
      <c r="B4" s="8" t="s">
        <v>65</v>
      </c>
      <c r="C4" s="4">
        <v>78</v>
      </c>
      <c r="D4" s="9">
        <v>51.3</v>
      </c>
      <c r="F4" t="s">
        <v>1</v>
      </c>
      <c r="G4" s="3" t="s">
        <v>2</v>
      </c>
      <c r="H4" t="s">
        <v>171</v>
      </c>
      <c r="I4" t="s">
        <v>35</v>
      </c>
    </row>
    <row r="5" spans="1:10">
      <c r="A5" s="36" t="s">
        <v>6</v>
      </c>
      <c r="B5" s="40" t="s">
        <v>65</v>
      </c>
      <c r="C5" s="41">
        <v>73</v>
      </c>
      <c r="D5" s="42">
        <v>49.6</v>
      </c>
      <c r="F5" t="s">
        <v>1</v>
      </c>
      <c r="G5" s="3" t="s">
        <v>2</v>
      </c>
      <c r="H5" t="s">
        <v>171</v>
      </c>
      <c r="I5" t="s">
        <v>35</v>
      </c>
    </row>
    <row r="6" spans="1:10">
      <c r="A6" s="5" t="s">
        <v>7</v>
      </c>
      <c r="B6" s="8" t="s">
        <v>65</v>
      </c>
      <c r="C6" s="4">
        <v>70</v>
      </c>
      <c r="D6" s="9">
        <v>55.8</v>
      </c>
      <c r="F6" t="s">
        <v>1</v>
      </c>
      <c r="G6" s="3" t="s">
        <v>2</v>
      </c>
      <c r="H6" t="s">
        <v>171</v>
      </c>
      <c r="I6" t="s">
        <v>35</v>
      </c>
    </row>
    <row r="7" spans="1:10">
      <c r="A7" s="6" t="s">
        <v>8</v>
      </c>
      <c r="B7" s="8" t="s">
        <v>65</v>
      </c>
      <c r="C7" s="4">
        <v>69</v>
      </c>
      <c r="D7" s="9">
        <v>56.3</v>
      </c>
      <c r="F7" t="s">
        <v>1</v>
      </c>
      <c r="G7" s="3" t="s">
        <v>2</v>
      </c>
      <c r="H7" t="s">
        <v>171</v>
      </c>
      <c r="I7" t="s">
        <v>35</v>
      </c>
    </row>
    <row r="8" spans="1:10">
      <c r="A8" s="7" t="s">
        <v>9</v>
      </c>
      <c r="B8" s="8" t="s">
        <v>65</v>
      </c>
      <c r="C8" s="4">
        <v>96</v>
      </c>
      <c r="D8" s="9">
        <v>60.7</v>
      </c>
      <c r="F8" t="s">
        <v>1</v>
      </c>
      <c r="G8" s="3" t="s">
        <v>2</v>
      </c>
      <c r="H8" t="s">
        <v>171</v>
      </c>
      <c r="I8" t="s">
        <v>35</v>
      </c>
    </row>
    <row r="9" spans="1:10">
      <c r="A9" s="37" t="s">
        <v>10</v>
      </c>
      <c r="B9" s="40" t="s">
        <v>65</v>
      </c>
      <c r="C9" s="41">
        <v>57</v>
      </c>
      <c r="D9" s="42">
        <v>48.7</v>
      </c>
      <c r="F9" t="s">
        <v>1</v>
      </c>
      <c r="G9" s="3" t="s">
        <v>2</v>
      </c>
      <c r="H9" t="s">
        <v>171</v>
      </c>
      <c r="I9" t="s">
        <v>35</v>
      </c>
    </row>
    <row r="10" spans="1:10">
      <c r="A10" s="6" t="s">
        <v>11</v>
      </c>
      <c r="B10" s="8" t="s">
        <v>65</v>
      </c>
      <c r="C10" s="4">
        <v>79</v>
      </c>
      <c r="D10" s="9">
        <v>56.2</v>
      </c>
      <c r="F10" t="s">
        <v>1</v>
      </c>
      <c r="G10" s="3" t="s">
        <v>2</v>
      </c>
      <c r="H10" t="s">
        <v>171</v>
      </c>
      <c r="I10" t="s">
        <v>35</v>
      </c>
    </row>
    <row r="11" spans="1:10">
      <c r="A11" s="7" t="s">
        <v>12</v>
      </c>
      <c r="B11" s="8" t="s">
        <v>65</v>
      </c>
      <c r="C11" s="4">
        <v>90</v>
      </c>
      <c r="D11" s="9">
        <v>54.1</v>
      </c>
      <c r="F11" t="s">
        <v>1</v>
      </c>
      <c r="G11" s="3" t="s">
        <v>2</v>
      </c>
      <c r="H11" t="s">
        <v>171</v>
      </c>
      <c r="I11" t="s">
        <v>35</v>
      </c>
    </row>
    <row r="12" spans="1:10">
      <c r="A12" s="5" t="s">
        <v>13</v>
      </c>
      <c r="B12" s="8" t="s">
        <v>66</v>
      </c>
      <c r="C12" s="4">
        <v>84</v>
      </c>
      <c r="D12" s="9">
        <v>41.1</v>
      </c>
      <c r="F12" t="s">
        <v>1</v>
      </c>
      <c r="G12" s="3" t="s">
        <v>2</v>
      </c>
      <c r="H12" t="s">
        <v>171</v>
      </c>
      <c r="I12" t="s">
        <v>35</v>
      </c>
    </row>
    <row r="13" spans="1:10">
      <c r="A13" s="6" t="s">
        <v>14</v>
      </c>
      <c r="B13" s="8" t="s">
        <v>66</v>
      </c>
      <c r="C13" s="4">
        <v>75</v>
      </c>
      <c r="D13" s="9">
        <v>39.4</v>
      </c>
      <c r="F13" t="s">
        <v>1</v>
      </c>
      <c r="G13" s="3" t="s">
        <v>2</v>
      </c>
      <c r="H13" t="s">
        <v>171</v>
      </c>
      <c r="I13" t="s">
        <v>35</v>
      </c>
    </row>
    <row r="14" spans="1:10">
      <c r="A14" s="6" t="s">
        <v>15</v>
      </c>
      <c r="B14" s="8" t="s">
        <v>66</v>
      </c>
      <c r="C14" s="4">
        <v>72</v>
      </c>
      <c r="D14" s="9">
        <v>41.3</v>
      </c>
      <c r="F14" t="s">
        <v>1</v>
      </c>
      <c r="G14" s="3" t="s">
        <v>2</v>
      </c>
      <c r="H14" t="s">
        <v>171</v>
      </c>
      <c r="I14" t="s">
        <v>35</v>
      </c>
    </row>
    <row r="15" spans="1:10">
      <c r="A15" s="6" t="s">
        <v>16</v>
      </c>
      <c r="B15" s="8" t="s">
        <v>66</v>
      </c>
      <c r="C15" s="4">
        <v>78</v>
      </c>
      <c r="D15" s="9">
        <v>40.200000000000003</v>
      </c>
      <c r="F15" t="s">
        <v>1</v>
      </c>
      <c r="G15" s="3" t="s">
        <v>2</v>
      </c>
      <c r="H15" t="s">
        <v>171</v>
      </c>
      <c r="I15" t="s">
        <v>35</v>
      </c>
    </row>
    <row r="16" spans="1:10">
      <c r="A16" s="38" t="s">
        <v>17</v>
      </c>
      <c r="B16" s="40" t="s">
        <v>66</v>
      </c>
      <c r="C16" s="41">
        <v>81</v>
      </c>
      <c r="D16" s="42">
        <v>42.7</v>
      </c>
      <c r="F16" t="s">
        <v>1</v>
      </c>
      <c r="G16" s="3" t="s">
        <v>2</v>
      </c>
      <c r="H16" t="s">
        <v>171</v>
      </c>
      <c r="I16" t="s">
        <v>35</v>
      </c>
    </row>
    <row r="17" spans="1:9">
      <c r="A17" s="7" t="s">
        <v>18</v>
      </c>
      <c r="B17" s="8" t="s">
        <v>66</v>
      </c>
      <c r="C17" s="4">
        <v>70</v>
      </c>
      <c r="D17" s="9">
        <v>45.1</v>
      </c>
      <c r="F17" t="s">
        <v>1</v>
      </c>
      <c r="G17" s="3" t="s">
        <v>2</v>
      </c>
      <c r="H17" t="s">
        <v>171</v>
      </c>
      <c r="I17" t="s">
        <v>35</v>
      </c>
    </row>
    <row r="18" spans="1:9">
      <c r="A18" s="37" t="s">
        <v>19</v>
      </c>
      <c r="B18" s="40" t="s">
        <v>66</v>
      </c>
      <c r="C18" s="41">
        <v>58</v>
      </c>
      <c r="D18" s="42">
        <v>41.2</v>
      </c>
      <c r="F18" t="s">
        <v>1</v>
      </c>
      <c r="G18" s="3" t="s">
        <v>2</v>
      </c>
      <c r="H18" t="s">
        <v>171</v>
      </c>
      <c r="I18" t="s">
        <v>35</v>
      </c>
    </row>
    <row r="19" spans="1:9">
      <c r="A19" s="6" t="s">
        <v>20</v>
      </c>
      <c r="B19" s="8" t="s">
        <v>66</v>
      </c>
      <c r="C19" s="4">
        <v>73</v>
      </c>
      <c r="D19" s="9">
        <v>41</v>
      </c>
      <c r="F19" t="s">
        <v>1</v>
      </c>
      <c r="G19" s="3" t="s">
        <v>2</v>
      </c>
      <c r="H19" t="s">
        <v>171</v>
      </c>
      <c r="I19" t="s">
        <v>35</v>
      </c>
    </row>
    <row r="20" spans="1:9">
      <c r="A20" s="7" t="s">
        <v>21</v>
      </c>
      <c r="B20" s="8" t="s">
        <v>66</v>
      </c>
      <c r="C20" s="4">
        <v>77</v>
      </c>
      <c r="D20" s="9">
        <v>48</v>
      </c>
      <c r="F20" t="s">
        <v>1</v>
      </c>
      <c r="G20" s="3" t="s">
        <v>2</v>
      </c>
      <c r="H20" t="s">
        <v>171</v>
      </c>
      <c r="I20" t="s">
        <v>35</v>
      </c>
    </row>
    <row r="21" spans="1:9">
      <c r="A21" s="5" t="s">
        <v>3</v>
      </c>
      <c r="B21" s="10" t="s">
        <v>22</v>
      </c>
      <c r="C21" s="11">
        <f>(236+274)/2</f>
        <v>255</v>
      </c>
      <c r="D21" s="10">
        <v>90.2</v>
      </c>
      <c r="F21" t="s">
        <v>33</v>
      </c>
      <c r="G21" t="s">
        <v>34</v>
      </c>
      <c r="H21" t="s">
        <v>171</v>
      </c>
    </row>
    <row r="22" spans="1:9">
      <c r="A22" s="6" t="s">
        <v>4</v>
      </c>
      <c r="B22" s="10" t="s">
        <v>22</v>
      </c>
      <c r="C22" s="11">
        <f>(207+227)/2</f>
        <v>217</v>
      </c>
      <c r="D22" s="10">
        <v>85.9</v>
      </c>
      <c r="F22" t="s">
        <v>33</v>
      </c>
      <c r="G22" t="s">
        <v>34</v>
      </c>
      <c r="H22" t="s">
        <v>171</v>
      </c>
    </row>
    <row r="23" spans="1:9">
      <c r="A23" s="6" t="s">
        <v>5</v>
      </c>
      <c r="B23" s="10" t="s">
        <v>22</v>
      </c>
      <c r="C23" s="11">
        <f>(322+320)/2</f>
        <v>321</v>
      </c>
      <c r="D23" s="10">
        <v>91.2</v>
      </c>
      <c r="F23" t="s">
        <v>33</v>
      </c>
      <c r="G23" t="s">
        <v>34</v>
      </c>
      <c r="H23" t="s">
        <v>171</v>
      </c>
    </row>
    <row r="24" spans="1:9">
      <c r="A24" s="36" t="s">
        <v>6</v>
      </c>
      <c r="B24" s="43" t="s">
        <v>22</v>
      </c>
      <c r="C24" s="43">
        <f>(110+73)/2</f>
        <v>91.5</v>
      </c>
      <c r="D24" s="43">
        <v>89</v>
      </c>
      <c r="F24" t="s">
        <v>33</v>
      </c>
      <c r="G24" t="s">
        <v>34</v>
      </c>
      <c r="H24" t="s">
        <v>171</v>
      </c>
    </row>
    <row r="25" spans="1:9">
      <c r="A25" s="5" t="s">
        <v>7</v>
      </c>
      <c r="B25" s="10" t="s">
        <v>22</v>
      </c>
      <c r="C25" s="11">
        <f>(339+384)/2</f>
        <v>361.5</v>
      </c>
      <c r="D25" s="10">
        <v>96.7</v>
      </c>
      <c r="F25" t="s">
        <v>33</v>
      </c>
      <c r="G25" t="s">
        <v>34</v>
      </c>
      <c r="H25" t="s">
        <v>171</v>
      </c>
    </row>
    <row r="26" spans="1:9">
      <c r="A26" s="6" t="s">
        <v>8</v>
      </c>
      <c r="B26" s="10" t="s">
        <v>22</v>
      </c>
      <c r="C26" s="11">
        <f>(386+467)/2</f>
        <v>426.5</v>
      </c>
      <c r="D26" s="10">
        <v>90.9</v>
      </c>
      <c r="F26" t="s">
        <v>33</v>
      </c>
      <c r="G26" t="s">
        <v>34</v>
      </c>
      <c r="H26" t="s">
        <v>171</v>
      </c>
    </row>
    <row r="27" spans="1:9">
      <c r="A27" s="7" t="s">
        <v>9</v>
      </c>
      <c r="B27" s="10" t="s">
        <v>22</v>
      </c>
      <c r="C27" s="11">
        <f>(412+287+309+293)/4</f>
        <v>325.25</v>
      </c>
      <c r="D27" s="10">
        <v>95.2</v>
      </c>
      <c r="F27" t="s">
        <v>33</v>
      </c>
      <c r="G27" t="s">
        <v>34</v>
      </c>
      <c r="H27" t="s">
        <v>171</v>
      </c>
    </row>
    <row r="28" spans="1:9">
      <c r="A28" s="37" t="s">
        <v>10</v>
      </c>
      <c r="B28" s="43" t="s">
        <v>22</v>
      </c>
      <c r="C28" s="44">
        <f>(261+212)/2</f>
        <v>236.5</v>
      </c>
      <c r="D28" s="43">
        <v>91.4</v>
      </c>
      <c r="F28" t="s">
        <v>33</v>
      </c>
      <c r="G28" t="s">
        <v>34</v>
      </c>
      <c r="H28" t="s">
        <v>171</v>
      </c>
    </row>
    <row r="29" spans="1:9">
      <c r="A29" s="6" t="s">
        <v>11</v>
      </c>
      <c r="B29" s="10" t="s">
        <v>22</v>
      </c>
      <c r="C29" s="11">
        <f>(431+503)/2</f>
        <v>467</v>
      </c>
      <c r="D29" s="10">
        <v>95.8</v>
      </c>
      <c r="F29" t="s">
        <v>33</v>
      </c>
      <c r="G29" t="s">
        <v>34</v>
      </c>
      <c r="H29" t="s">
        <v>171</v>
      </c>
    </row>
    <row r="30" spans="1:9">
      <c r="A30" s="7" t="s">
        <v>12</v>
      </c>
      <c r="B30" s="10" t="s">
        <v>22</v>
      </c>
      <c r="C30" s="11">
        <f>(310+404)/2</f>
        <v>357</v>
      </c>
      <c r="D30" s="10">
        <v>94.5</v>
      </c>
      <c r="F30" t="s">
        <v>33</v>
      </c>
      <c r="G30" t="s">
        <v>34</v>
      </c>
      <c r="H30" t="s">
        <v>171</v>
      </c>
    </row>
    <row r="31" spans="1:9">
      <c r="A31" s="5" t="s">
        <v>13</v>
      </c>
      <c r="B31" s="10" t="s">
        <v>27</v>
      </c>
      <c r="C31" s="10">
        <f>(85+87)/2</f>
        <v>86</v>
      </c>
      <c r="D31" s="10">
        <v>76.099999999999994</v>
      </c>
      <c r="F31" t="s">
        <v>33</v>
      </c>
      <c r="G31" t="s">
        <v>34</v>
      </c>
      <c r="H31" t="s">
        <v>171</v>
      </c>
    </row>
    <row r="32" spans="1:9">
      <c r="A32" s="6" t="s">
        <v>14</v>
      </c>
      <c r="B32" s="10" t="s">
        <v>27</v>
      </c>
      <c r="C32" s="10">
        <f>(86+79)/2</f>
        <v>82.5</v>
      </c>
      <c r="D32" s="10">
        <v>73.2</v>
      </c>
      <c r="F32" t="s">
        <v>33</v>
      </c>
      <c r="G32" t="s">
        <v>34</v>
      </c>
      <c r="H32" t="s">
        <v>171</v>
      </c>
    </row>
    <row r="33" spans="1:9">
      <c r="A33" s="6" t="s">
        <v>15</v>
      </c>
      <c r="B33" s="10" t="s">
        <v>27</v>
      </c>
      <c r="C33" s="10">
        <f>(66+88)/2</f>
        <v>77</v>
      </c>
      <c r="D33" s="10">
        <v>75.599999999999994</v>
      </c>
      <c r="F33" t="s">
        <v>33</v>
      </c>
      <c r="G33" t="s">
        <v>34</v>
      </c>
      <c r="H33" t="s">
        <v>171</v>
      </c>
    </row>
    <row r="34" spans="1:9">
      <c r="A34" s="6" t="s">
        <v>16</v>
      </c>
      <c r="B34" s="10" t="s">
        <v>27</v>
      </c>
      <c r="C34" s="31">
        <f>(184+231+180)/3</f>
        <v>198.33333333333334</v>
      </c>
      <c r="D34" s="10">
        <v>76.7</v>
      </c>
      <c r="F34" t="s">
        <v>33</v>
      </c>
      <c r="G34" t="s">
        <v>34</v>
      </c>
      <c r="H34" t="s">
        <v>171</v>
      </c>
    </row>
    <row r="35" spans="1:9">
      <c r="A35" s="38" t="s">
        <v>17</v>
      </c>
      <c r="B35" s="43" t="s">
        <v>27</v>
      </c>
      <c r="C35" s="43">
        <f>(91+96)/2</f>
        <v>93.5</v>
      </c>
      <c r="D35" s="43">
        <v>79.400000000000006</v>
      </c>
      <c r="F35" t="s">
        <v>33</v>
      </c>
      <c r="G35" t="s">
        <v>34</v>
      </c>
      <c r="H35" t="s">
        <v>171</v>
      </c>
    </row>
    <row r="36" spans="1:9">
      <c r="A36" s="7" t="s">
        <v>18</v>
      </c>
      <c r="B36" s="10" t="s">
        <v>27</v>
      </c>
      <c r="C36" s="31">
        <f>(160+150)/2</f>
        <v>155</v>
      </c>
      <c r="D36" s="10">
        <v>86.5</v>
      </c>
      <c r="F36" t="s">
        <v>33</v>
      </c>
      <c r="G36" t="s">
        <v>34</v>
      </c>
      <c r="H36" t="s">
        <v>171</v>
      </c>
    </row>
    <row r="37" spans="1:9">
      <c r="A37" s="37" t="s">
        <v>19</v>
      </c>
      <c r="B37" s="43" t="s">
        <v>27</v>
      </c>
      <c r="C37" s="43">
        <f>(67+74)/2</f>
        <v>70.5</v>
      </c>
      <c r="D37" s="43">
        <v>89.7</v>
      </c>
      <c r="F37" t="s">
        <v>33</v>
      </c>
      <c r="G37" t="s">
        <v>34</v>
      </c>
      <c r="H37" t="s">
        <v>171</v>
      </c>
    </row>
    <row r="38" spans="1:9">
      <c r="A38" s="6" t="s">
        <v>20</v>
      </c>
      <c r="B38" s="10" t="s">
        <v>27</v>
      </c>
      <c r="C38" s="11">
        <f>(412+373)/2</f>
        <v>392.5</v>
      </c>
      <c r="D38" s="10">
        <v>93.1</v>
      </c>
      <c r="F38" t="s">
        <v>33</v>
      </c>
      <c r="G38" t="s">
        <v>34</v>
      </c>
      <c r="H38" t="s">
        <v>171</v>
      </c>
    </row>
    <row r="39" spans="1:9">
      <c r="A39" s="7" t="s">
        <v>21</v>
      </c>
      <c r="B39" s="10" t="s">
        <v>27</v>
      </c>
      <c r="C39" s="11">
        <f>(266+237)/2</f>
        <v>251.5</v>
      </c>
      <c r="D39" s="10">
        <v>98.2</v>
      </c>
      <c r="F39" t="s">
        <v>33</v>
      </c>
      <c r="G39" t="s">
        <v>34</v>
      </c>
      <c r="H39" t="s">
        <v>171</v>
      </c>
    </row>
    <row r="40" spans="1:9">
      <c r="A40" s="5" t="s">
        <v>3</v>
      </c>
      <c r="B40" t="s">
        <v>28</v>
      </c>
      <c r="C40">
        <v>41</v>
      </c>
      <c r="D40">
        <v>85.4</v>
      </c>
      <c r="E40">
        <v>5.321507760532147</v>
      </c>
      <c r="F40" t="s">
        <v>26</v>
      </c>
      <c r="G40" t="s">
        <v>2</v>
      </c>
      <c r="H40" t="s">
        <v>165</v>
      </c>
      <c r="I40" t="s">
        <v>37</v>
      </c>
    </row>
    <row r="41" spans="1:9">
      <c r="A41" s="6" t="s">
        <v>4</v>
      </c>
      <c r="B41" t="s">
        <v>28</v>
      </c>
      <c r="C41">
        <v>43</v>
      </c>
      <c r="D41">
        <v>82.5</v>
      </c>
      <c r="E41">
        <v>3.9580908032596103</v>
      </c>
      <c r="F41" t="s">
        <v>26</v>
      </c>
      <c r="G41" t="s">
        <v>2</v>
      </c>
      <c r="H41" t="s">
        <v>165</v>
      </c>
      <c r="I41" t="s">
        <v>37</v>
      </c>
    </row>
    <row r="42" spans="1:9">
      <c r="A42" s="6" t="s">
        <v>5</v>
      </c>
      <c r="B42" t="s">
        <v>28</v>
      </c>
      <c r="C42">
        <v>52.333333333333336</v>
      </c>
      <c r="D42">
        <v>86.7</v>
      </c>
      <c r="E42">
        <v>4.9342105263157894</v>
      </c>
      <c r="F42" t="s">
        <v>26</v>
      </c>
      <c r="G42" t="s">
        <v>2</v>
      </c>
      <c r="H42" t="s">
        <v>165</v>
      </c>
      <c r="I42" t="s">
        <v>37</v>
      </c>
    </row>
    <row r="43" spans="1:9">
      <c r="A43" s="36" t="s">
        <v>6</v>
      </c>
      <c r="B43" t="s">
        <v>28</v>
      </c>
      <c r="C43">
        <v>41</v>
      </c>
      <c r="D43">
        <v>85.2</v>
      </c>
      <c r="E43">
        <v>4.2696629213483117</v>
      </c>
      <c r="F43" t="s">
        <v>26</v>
      </c>
      <c r="G43" t="s">
        <v>2</v>
      </c>
      <c r="H43" t="s">
        <v>165</v>
      </c>
      <c r="I43" t="s">
        <v>37</v>
      </c>
    </row>
    <row r="44" spans="1:9">
      <c r="A44" s="5" t="s">
        <v>7</v>
      </c>
      <c r="B44" t="s">
        <v>28</v>
      </c>
      <c r="C44">
        <v>171.33333333333334</v>
      </c>
      <c r="D44">
        <v>93.2</v>
      </c>
      <c r="E44">
        <v>3.6194415718717683</v>
      </c>
      <c r="F44" t="s">
        <v>26</v>
      </c>
      <c r="G44" t="s">
        <v>2</v>
      </c>
      <c r="H44" t="s">
        <v>165</v>
      </c>
      <c r="I44" t="s">
        <v>37</v>
      </c>
    </row>
    <row r="45" spans="1:9">
      <c r="A45" s="6" t="s">
        <v>8</v>
      </c>
      <c r="B45" t="s">
        <v>28</v>
      </c>
      <c r="C45">
        <v>77.25</v>
      </c>
      <c r="D45">
        <v>86.7</v>
      </c>
      <c r="E45">
        <v>4.620462046204624</v>
      </c>
      <c r="F45" t="s">
        <v>26</v>
      </c>
      <c r="G45" t="s">
        <v>2</v>
      </c>
      <c r="H45" t="s">
        <v>165</v>
      </c>
      <c r="I45" t="s">
        <v>37</v>
      </c>
    </row>
    <row r="46" spans="1:9">
      <c r="A46" s="7" t="s">
        <v>9</v>
      </c>
      <c r="B46" t="s">
        <v>28</v>
      </c>
      <c r="C46">
        <v>174.33333333333334</v>
      </c>
      <c r="D46">
        <v>93.1</v>
      </c>
      <c r="E46">
        <v>2.2058823529411855</v>
      </c>
      <c r="F46" t="s">
        <v>26</v>
      </c>
      <c r="G46" t="s">
        <v>2</v>
      </c>
      <c r="H46" t="s">
        <v>165</v>
      </c>
      <c r="I46" t="s">
        <v>37</v>
      </c>
    </row>
    <row r="47" spans="1:9">
      <c r="A47" s="37" t="s">
        <v>10</v>
      </c>
      <c r="B47" t="s">
        <v>28</v>
      </c>
      <c r="C47">
        <v>50.25</v>
      </c>
      <c r="D47">
        <v>87.3</v>
      </c>
      <c r="E47">
        <v>4.4857768052516507</v>
      </c>
      <c r="F47" t="s">
        <v>26</v>
      </c>
      <c r="G47" t="s">
        <v>2</v>
      </c>
      <c r="H47" t="s">
        <v>165</v>
      </c>
      <c r="I47" t="s">
        <v>37</v>
      </c>
    </row>
    <row r="48" spans="1:9">
      <c r="A48" s="6" t="s">
        <v>11</v>
      </c>
      <c r="B48" t="s">
        <v>28</v>
      </c>
      <c r="C48">
        <v>57</v>
      </c>
      <c r="D48">
        <v>90.6</v>
      </c>
      <c r="E48">
        <v>5.427974947807936</v>
      </c>
      <c r="F48" t="s">
        <v>26</v>
      </c>
      <c r="G48" t="s">
        <v>2</v>
      </c>
      <c r="H48" t="s">
        <v>165</v>
      </c>
      <c r="I48" t="s">
        <v>37</v>
      </c>
    </row>
    <row r="49" spans="1:9">
      <c r="A49" s="7" t="s">
        <v>12</v>
      </c>
      <c r="B49" t="s">
        <v>28</v>
      </c>
      <c r="C49">
        <v>59</v>
      </c>
      <c r="D49">
        <v>89.6</v>
      </c>
      <c r="E49">
        <v>5.1851851851851913</v>
      </c>
      <c r="F49" t="s">
        <v>26</v>
      </c>
      <c r="G49" t="s">
        <v>2</v>
      </c>
      <c r="H49" t="s">
        <v>165</v>
      </c>
      <c r="I49" t="s">
        <v>37</v>
      </c>
    </row>
    <row r="50" spans="1:9">
      <c r="A50" s="5" t="s">
        <v>13</v>
      </c>
      <c r="B50" t="s">
        <v>29</v>
      </c>
      <c r="C50">
        <v>53.333333333333336</v>
      </c>
      <c r="D50">
        <v>70.900000000000006</v>
      </c>
      <c r="E50">
        <v>6.8331143232588554</v>
      </c>
      <c r="F50" t="s">
        <v>26</v>
      </c>
      <c r="G50" t="s">
        <v>2</v>
      </c>
      <c r="H50" t="s">
        <v>165</v>
      </c>
      <c r="I50" t="s">
        <v>37</v>
      </c>
    </row>
    <row r="51" spans="1:9">
      <c r="A51" s="6" t="s">
        <v>14</v>
      </c>
      <c r="B51" t="s">
        <v>29</v>
      </c>
      <c r="C51">
        <v>46</v>
      </c>
      <c r="D51">
        <v>69.7</v>
      </c>
      <c r="E51">
        <v>4.7814207650273222</v>
      </c>
      <c r="F51" t="s">
        <v>26</v>
      </c>
      <c r="G51" t="s">
        <v>2</v>
      </c>
      <c r="H51" t="s">
        <v>165</v>
      </c>
      <c r="I51" t="s">
        <v>37</v>
      </c>
    </row>
    <row r="52" spans="1:9">
      <c r="A52" s="6" t="s">
        <v>15</v>
      </c>
      <c r="B52" t="s">
        <v>29</v>
      </c>
      <c r="C52">
        <v>47</v>
      </c>
      <c r="D52">
        <v>71.400000000000006</v>
      </c>
      <c r="E52">
        <v>5.5555555555555403</v>
      </c>
      <c r="F52" t="s">
        <v>26</v>
      </c>
      <c r="G52" t="s">
        <v>2</v>
      </c>
      <c r="H52" t="s">
        <v>165</v>
      </c>
      <c r="I52" t="s">
        <v>37</v>
      </c>
    </row>
    <row r="53" spans="1:9">
      <c r="A53" s="6" t="s">
        <v>16</v>
      </c>
      <c r="B53" t="s">
        <v>29</v>
      </c>
      <c r="C53">
        <v>49.5</v>
      </c>
      <c r="D53">
        <v>73.5</v>
      </c>
      <c r="E53">
        <v>4.1720990873533284</v>
      </c>
      <c r="F53" t="s">
        <v>26</v>
      </c>
      <c r="G53" t="s">
        <v>2</v>
      </c>
      <c r="H53" t="s">
        <v>165</v>
      </c>
      <c r="I53" t="s">
        <v>37</v>
      </c>
    </row>
    <row r="54" spans="1:9">
      <c r="A54" s="38" t="s">
        <v>17</v>
      </c>
      <c r="B54" t="s">
        <v>29</v>
      </c>
      <c r="C54">
        <v>51</v>
      </c>
      <c r="D54">
        <v>76.599999999999994</v>
      </c>
      <c r="E54">
        <v>3.5264483627204171</v>
      </c>
      <c r="F54" t="s">
        <v>26</v>
      </c>
      <c r="G54" t="s">
        <v>2</v>
      </c>
      <c r="H54" t="s">
        <v>165</v>
      </c>
      <c r="I54" t="s">
        <v>37</v>
      </c>
    </row>
    <row r="55" spans="1:9">
      <c r="A55" s="7" t="s">
        <v>18</v>
      </c>
      <c r="B55" t="s">
        <v>29</v>
      </c>
      <c r="C55">
        <v>39.5</v>
      </c>
      <c r="D55">
        <v>83</v>
      </c>
      <c r="E55">
        <v>4.0462427745664744</v>
      </c>
      <c r="F55" t="s">
        <v>26</v>
      </c>
      <c r="G55" t="s">
        <v>2</v>
      </c>
      <c r="H55" t="s">
        <v>165</v>
      </c>
      <c r="I55" t="s">
        <v>37</v>
      </c>
    </row>
    <row r="56" spans="1:9">
      <c r="A56" s="37" t="s">
        <v>19</v>
      </c>
      <c r="B56" t="s">
        <v>29</v>
      </c>
      <c r="C56">
        <v>61.333333333333336</v>
      </c>
      <c r="D56">
        <v>85</v>
      </c>
      <c r="E56">
        <v>5.2396878483835039</v>
      </c>
      <c r="F56" t="s">
        <v>26</v>
      </c>
      <c r="G56" t="s">
        <v>2</v>
      </c>
      <c r="H56" t="s">
        <v>165</v>
      </c>
      <c r="I56" t="s">
        <v>37</v>
      </c>
    </row>
    <row r="57" spans="1:9">
      <c r="A57" s="6" t="s">
        <v>20</v>
      </c>
      <c r="B57" t="s">
        <v>29</v>
      </c>
      <c r="C57">
        <v>40.75</v>
      </c>
      <c r="D57">
        <v>88.2</v>
      </c>
      <c r="E57">
        <v>5.2631578947368336</v>
      </c>
      <c r="F57" t="s">
        <v>26</v>
      </c>
      <c r="G57" t="s">
        <v>2</v>
      </c>
      <c r="H57" t="s">
        <v>165</v>
      </c>
      <c r="I57" t="s">
        <v>37</v>
      </c>
    </row>
    <row r="58" spans="1:9">
      <c r="A58" s="7" t="s">
        <v>21</v>
      </c>
      <c r="B58" t="s">
        <v>29</v>
      </c>
      <c r="C58">
        <v>39.333333333333336</v>
      </c>
      <c r="D58">
        <v>95</v>
      </c>
      <c r="E58">
        <v>3.2586558044806542</v>
      </c>
      <c r="F58" t="s">
        <v>26</v>
      </c>
      <c r="G58" t="s">
        <v>2</v>
      </c>
      <c r="H58" t="s">
        <v>165</v>
      </c>
      <c r="I58" t="s">
        <v>37</v>
      </c>
    </row>
    <row r="59" spans="1:9">
      <c r="A59" s="5" t="s">
        <v>3</v>
      </c>
      <c r="B59" t="s">
        <v>24</v>
      </c>
      <c r="C59">
        <v>225</v>
      </c>
      <c r="D59">
        <v>92.6</v>
      </c>
      <c r="E59">
        <v>72.439478584729969</v>
      </c>
      <c r="F59" t="s">
        <v>1</v>
      </c>
      <c r="G59" t="s">
        <v>2</v>
      </c>
      <c r="H59" t="s">
        <v>166</v>
      </c>
      <c r="I59" t="s">
        <v>37</v>
      </c>
    </row>
    <row r="60" spans="1:9">
      <c r="A60" s="6" t="s">
        <v>4</v>
      </c>
      <c r="B60" t="s">
        <v>24</v>
      </c>
      <c r="C60">
        <v>265</v>
      </c>
      <c r="D60">
        <v>88.9</v>
      </c>
      <c r="E60">
        <v>70.633397312859898</v>
      </c>
      <c r="F60" t="s">
        <v>1</v>
      </c>
      <c r="G60" t="s">
        <v>2</v>
      </c>
      <c r="H60" t="s">
        <v>166</v>
      </c>
      <c r="I60" t="s">
        <v>37</v>
      </c>
    </row>
    <row r="61" spans="1:9">
      <c r="A61" s="6" t="s">
        <v>5</v>
      </c>
      <c r="B61" t="s">
        <v>24</v>
      </c>
      <c r="C61">
        <v>256.5</v>
      </c>
      <c r="D61">
        <v>93.5</v>
      </c>
      <c r="E61">
        <v>82.261208576998058</v>
      </c>
      <c r="F61" t="s">
        <v>1</v>
      </c>
      <c r="G61" t="s">
        <v>2</v>
      </c>
      <c r="H61" t="s">
        <v>166</v>
      </c>
      <c r="I61" t="s">
        <v>37</v>
      </c>
    </row>
    <row r="62" spans="1:9">
      <c r="A62" s="36" t="s">
        <v>6</v>
      </c>
      <c r="B62" t="s">
        <v>24</v>
      </c>
      <c r="C62">
        <v>63</v>
      </c>
      <c r="D62">
        <v>91.9</v>
      </c>
      <c r="E62">
        <v>85.282258064516142</v>
      </c>
      <c r="F62" t="s">
        <v>1</v>
      </c>
      <c r="G62" t="s">
        <v>2</v>
      </c>
      <c r="H62" t="s">
        <v>166</v>
      </c>
      <c r="I62" t="s">
        <v>37</v>
      </c>
    </row>
    <row r="63" spans="1:9">
      <c r="A63" s="5" t="s">
        <v>7</v>
      </c>
      <c r="B63" t="s">
        <v>24</v>
      </c>
      <c r="C63">
        <v>232.5</v>
      </c>
      <c r="D63">
        <v>95.7</v>
      </c>
      <c r="E63">
        <v>71.505376344086031</v>
      </c>
      <c r="F63" t="s">
        <v>1</v>
      </c>
      <c r="G63" t="s">
        <v>2</v>
      </c>
      <c r="H63" t="s">
        <v>166</v>
      </c>
      <c r="I63" t="s">
        <v>37</v>
      </c>
    </row>
    <row r="64" spans="1:9">
      <c r="A64" s="6" t="s">
        <v>8</v>
      </c>
      <c r="B64" t="s">
        <v>24</v>
      </c>
      <c r="C64">
        <v>383</v>
      </c>
      <c r="D64">
        <v>91.7</v>
      </c>
      <c r="E64">
        <v>62.877442273534648</v>
      </c>
      <c r="F64" t="s">
        <v>1</v>
      </c>
      <c r="G64" t="s">
        <v>2</v>
      </c>
      <c r="H64" t="s">
        <v>166</v>
      </c>
      <c r="I64" t="s">
        <v>37</v>
      </c>
    </row>
    <row r="65" spans="1:9">
      <c r="A65" s="7" t="s">
        <v>9</v>
      </c>
      <c r="B65" t="s">
        <v>24</v>
      </c>
      <c r="C65">
        <v>387.66666666666669</v>
      </c>
      <c r="D65">
        <v>95.4</v>
      </c>
      <c r="E65">
        <v>57.166392092256999</v>
      </c>
      <c r="F65" t="s">
        <v>1</v>
      </c>
      <c r="G65" t="s">
        <v>2</v>
      </c>
      <c r="H65" t="s">
        <v>166</v>
      </c>
      <c r="I65" t="s">
        <v>37</v>
      </c>
    </row>
    <row r="66" spans="1:9">
      <c r="A66" s="37" t="s">
        <v>10</v>
      </c>
      <c r="B66" t="s">
        <v>24</v>
      </c>
      <c r="C66">
        <v>117.33333333333333</v>
      </c>
      <c r="D66">
        <v>94.9</v>
      </c>
      <c r="E66">
        <v>94.866529774127301</v>
      </c>
      <c r="F66" t="s">
        <v>1</v>
      </c>
      <c r="G66" t="s">
        <v>2</v>
      </c>
      <c r="H66" t="s">
        <v>166</v>
      </c>
      <c r="I66" t="s">
        <v>37</v>
      </c>
    </row>
    <row r="67" spans="1:9">
      <c r="A67" s="6" t="s">
        <v>11</v>
      </c>
      <c r="B67" t="s">
        <v>24</v>
      </c>
      <c r="C67">
        <v>297.33333333333331</v>
      </c>
      <c r="D67">
        <v>97.7</v>
      </c>
      <c r="E67">
        <v>73.843416370106766</v>
      </c>
      <c r="F67" t="s">
        <v>1</v>
      </c>
      <c r="G67" t="s">
        <v>2</v>
      </c>
      <c r="H67" t="s">
        <v>166</v>
      </c>
      <c r="I67" t="s">
        <v>37</v>
      </c>
    </row>
    <row r="68" spans="1:9">
      <c r="A68" s="7" t="s">
        <v>12</v>
      </c>
      <c r="B68" t="s">
        <v>24</v>
      </c>
      <c r="C68">
        <v>272</v>
      </c>
      <c r="D68">
        <v>95.9</v>
      </c>
      <c r="E68">
        <v>77.264325323475049</v>
      </c>
      <c r="F68" t="s">
        <v>1</v>
      </c>
      <c r="G68" t="s">
        <v>2</v>
      </c>
      <c r="H68" t="s">
        <v>166</v>
      </c>
      <c r="I68" t="s">
        <v>37</v>
      </c>
    </row>
    <row r="69" spans="1:9">
      <c r="A69" s="5" t="s">
        <v>13</v>
      </c>
      <c r="B69" t="s">
        <v>36</v>
      </c>
      <c r="C69">
        <v>108.5</v>
      </c>
      <c r="D69">
        <v>78.5</v>
      </c>
      <c r="E69">
        <v>90.99756690997566</v>
      </c>
      <c r="F69" t="s">
        <v>1</v>
      </c>
      <c r="G69" t="s">
        <v>2</v>
      </c>
      <c r="H69" t="s">
        <v>166</v>
      </c>
      <c r="I69" t="s">
        <v>37</v>
      </c>
    </row>
    <row r="70" spans="1:9">
      <c r="A70" s="6" t="s">
        <v>14</v>
      </c>
      <c r="B70" t="s">
        <v>36</v>
      </c>
      <c r="C70">
        <v>76</v>
      </c>
      <c r="D70">
        <v>77.7</v>
      </c>
      <c r="E70">
        <v>97.20812182741119</v>
      </c>
      <c r="F70" t="s">
        <v>1</v>
      </c>
      <c r="G70" t="s">
        <v>2</v>
      </c>
      <c r="H70" t="s">
        <v>166</v>
      </c>
      <c r="I70" t="s">
        <v>37</v>
      </c>
    </row>
    <row r="71" spans="1:9">
      <c r="A71" s="6" t="s">
        <v>15</v>
      </c>
      <c r="B71" t="s">
        <v>36</v>
      </c>
      <c r="C71">
        <v>82</v>
      </c>
      <c r="D71">
        <v>78.5</v>
      </c>
      <c r="E71">
        <v>90.072639225181618</v>
      </c>
      <c r="F71" t="s">
        <v>1</v>
      </c>
      <c r="G71" t="s">
        <v>2</v>
      </c>
      <c r="H71" t="s">
        <v>166</v>
      </c>
      <c r="I71" t="s">
        <v>37</v>
      </c>
    </row>
    <row r="72" spans="1:9">
      <c r="A72" s="6" t="s">
        <v>16</v>
      </c>
      <c r="B72" t="s">
        <v>36</v>
      </c>
      <c r="C72">
        <v>183</v>
      </c>
      <c r="D72">
        <v>80</v>
      </c>
      <c r="E72">
        <v>99.004975124378092</v>
      </c>
      <c r="F72" t="s">
        <v>1</v>
      </c>
      <c r="G72" t="s">
        <v>2</v>
      </c>
      <c r="H72" t="s">
        <v>166</v>
      </c>
      <c r="I72" t="s">
        <v>37</v>
      </c>
    </row>
    <row r="73" spans="1:9">
      <c r="A73" s="38" t="s">
        <v>17</v>
      </c>
      <c r="B73" t="s">
        <v>36</v>
      </c>
      <c r="C73">
        <v>84</v>
      </c>
      <c r="D73">
        <v>82.5</v>
      </c>
      <c r="E73">
        <v>93.208430913348934</v>
      </c>
      <c r="F73" t="s">
        <v>1</v>
      </c>
      <c r="G73" t="s">
        <v>2</v>
      </c>
      <c r="H73" t="s">
        <v>166</v>
      </c>
      <c r="I73" t="s">
        <v>37</v>
      </c>
    </row>
    <row r="74" spans="1:9">
      <c r="A74" s="7" t="s">
        <v>18</v>
      </c>
      <c r="B74" t="s">
        <v>36</v>
      </c>
      <c r="C74">
        <v>204</v>
      </c>
      <c r="D74">
        <v>93.2</v>
      </c>
      <c r="E74">
        <v>106.65188470066518</v>
      </c>
      <c r="F74" t="s">
        <v>1</v>
      </c>
      <c r="G74" t="s">
        <v>2</v>
      </c>
      <c r="H74" t="s">
        <v>166</v>
      </c>
      <c r="I74" t="s">
        <v>37</v>
      </c>
    </row>
    <row r="75" spans="1:9">
      <c r="A75" s="37" t="s">
        <v>19</v>
      </c>
      <c r="B75" t="s">
        <v>36</v>
      </c>
      <c r="C75">
        <v>62.5</v>
      </c>
      <c r="D75">
        <v>92.4</v>
      </c>
      <c r="E75">
        <v>124.27184466019416</v>
      </c>
      <c r="F75" t="s">
        <v>1</v>
      </c>
      <c r="G75" t="s">
        <v>2</v>
      </c>
      <c r="H75" t="s">
        <v>166</v>
      </c>
      <c r="I75" t="s">
        <v>37</v>
      </c>
    </row>
    <row r="76" spans="1:9">
      <c r="A76" s="6" t="s">
        <v>20</v>
      </c>
      <c r="B76" t="s">
        <v>36</v>
      </c>
      <c r="C76">
        <v>459.5</v>
      </c>
      <c r="D76">
        <v>96</v>
      </c>
      <c r="E76">
        <v>134.14634146341464</v>
      </c>
      <c r="F76" t="s">
        <v>1</v>
      </c>
      <c r="G76" t="s">
        <v>2</v>
      </c>
      <c r="H76" t="s">
        <v>166</v>
      </c>
      <c r="I76" t="s">
        <v>37</v>
      </c>
    </row>
    <row r="77" spans="1:9">
      <c r="A77" s="7" t="s">
        <v>21</v>
      </c>
      <c r="B77" t="s">
        <v>36</v>
      </c>
      <c r="C77">
        <v>299.5</v>
      </c>
      <c r="D77">
        <v>104.2</v>
      </c>
      <c r="E77">
        <v>117.08333333333334</v>
      </c>
      <c r="F77" t="s">
        <v>1</v>
      </c>
      <c r="G77" t="s">
        <v>2</v>
      </c>
      <c r="H77" t="s">
        <v>166</v>
      </c>
      <c r="I77" t="s">
        <v>37</v>
      </c>
    </row>
    <row r="78" spans="1:9">
      <c r="A78" s="5" t="s">
        <v>3</v>
      </c>
      <c r="B78" t="s">
        <v>25</v>
      </c>
      <c r="D78">
        <v>96</v>
      </c>
      <c r="F78" t="s">
        <v>33</v>
      </c>
      <c r="G78" t="s">
        <v>34</v>
      </c>
    </row>
    <row r="79" spans="1:9">
      <c r="A79" s="6" t="s">
        <v>4</v>
      </c>
      <c r="B79" t="s">
        <v>25</v>
      </c>
      <c r="D79">
        <v>90.7</v>
      </c>
      <c r="F79" t="s">
        <v>33</v>
      </c>
      <c r="G79" t="s">
        <v>34</v>
      </c>
    </row>
    <row r="80" spans="1:9">
      <c r="A80" s="6" t="s">
        <v>5</v>
      </c>
      <c r="B80" t="s">
        <v>25</v>
      </c>
      <c r="D80">
        <v>96.1</v>
      </c>
      <c r="F80" t="s">
        <v>33</v>
      </c>
      <c r="G80" t="s">
        <v>34</v>
      </c>
    </row>
    <row r="81" spans="1:7">
      <c r="A81" s="36" t="s">
        <v>6</v>
      </c>
      <c r="B81" t="s">
        <v>25</v>
      </c>
      <c r="D81">
        <v>96.7</v>
      </c>
      <c r="F81" t="s">
        <v>33</v>
      </c>
      <c r="G81" t="s">
        <v>34</v>
      </c>
    </row>
    <row r="82" spans="1:7">
      <c r="A82" s="5" t="s">
        <v>7</v>
      </c>
      <c r="B82" t="s">
        <v>25</v>
      </c>
      <c r="D82">
        <v>98.7</v>
      </c>
      <c r="F82" t="s">
        <v>33</v>
      </c>
      <c r="G82" t="s">
        <v>34</v>
      </c>
    </row>
    <row r="83" spans="1:7">
      <c r="A83" s="6" t="s">
        <v>8</v>
      </c>
      <c r="B83" t="s">
        <v>25</v>
      </c>
      <c r="D83">
        <v>93.2</v>
      </c>
      <c r="F83" t="s">
        <v>33</v>
      </c>
      <c r="G83" t="s">
        <v>34</v>
      </c>
    </row>
    <row r="84" spans="1:7">
      <c r="A84" s="7" t="s">
        <v>9</v>
      </c>
      <c r="B84" t="s">
        <v>25</v>
      </c>
      <c r="D84">
        <v>100.7</v>
      </c>
      <c r="F84" t="s">
        <v>33</v>
      </c>
      <c r="G84" t="s">
        <v>34</v>
      </c>
    </row>
    <row r="85" spans="1:7">
      <c r="A85" s="37" t="s">
        <v>10</v>
      </c>
      <c r="B85" t="s">
        <v>25</v>
      </c>
      <c r="D85">
        <v>101</v>
      </c>
      <c r="F85" t="s">
        <v>33</v>
      </c>
      <c r="G85" t="s">
        <v>34</v>
      </c>
    </row>
    <row r="86" spans="1:7">
      <c r="A86" s="6" t="s">
        <v>11</v>
      </c>
      <c r="B86" t="s">
        <v>25</v>
      </c>
      <c r="D86">
        <v>100.1</v>
      </c>
      <c r="F86" t="s">
        <v>33</v>
      </c>
      <c r="G86" t="s">
        <v>34</v>
      </c>
    </row>
    <row r="87" spans="1:7">
      <c r="A87" s="7" t="s">
        <v>12</v>
      </c>
      <c r="B87" t="s">
        <v>25</v>
      </c>
      <c r="D87">
        <v>99.7</v>
      </c>
      <c r="F87" t="s">
        <v>33</v>
      </c>
      <c r="G87" t="s">
        <v>34</v>
      </c>
    </row>
    <row r="88" spans="1:7">
      <c r="A88" s="5" t="s">
        <v>13</v>
      </c>
      <c r="B88" t="s">
        <v>39</v>
      </c>
      <c r="D88">
        <v>81.2</v>
      </c>
      <c r="F88" t="s">
        <v>33</v>
      </c>
      <c r="G88" t="s">
        <v>34</v>
      </c>
    </row>
    <row r="89" spans="1:7">
      <c r="A89" s="6" t="s">
        <v>14</v>
      </c>
      <c r="B89" t="s">
        <v>39</v>
      </c>
      <c r="D89">
        <v>80.2</v>
      </c>
      <c r="F89" t="s">
        <v>33</v>
      </c>
      <c r="G89" t="s">
        <v>34</v>
      </c>
    </row>
    <row r="90" spans="1:7">
      <c r="A90" s="6" t="s">
        <v>15</v>
      </c>
      <c r="B90" t="s">
        <v>39</v>
      </c>
      <c r="D90">
        <v>81</v>
      </c>
      <c r="F90" t="s">
        <v>33</v>
      </c>
      <c r="G90" t="s">
        <v>34</v>
      </c>
    </row>
    <row r="91" spans="1:7">
      <c r="A91" s="6" t="s">
        <v>16</v>
      </c>
      <c r="B91" t="s">
        <v>39</v>
      </c>
      <c r="D91">
        <v>82.9</v>
      </c>
      <c r="F91" t="s">
        <v>33</v>
      </c>
      <c r="G91" t="s">
        <v>34</v>
      </c>
    </row>
    <row r="92" spans="1:7">
      <c r="A92" s="38" t="s">
        <v>17</v>
      </c>
      <c r="B92" t="s">
        <v>39</v>
      </c>
      <c r="D92">
        <v>85.4</v>
      </c>
      <c r="F92" t="s">
        <v>33</v>
      </c>
      <c r="G92" t="s">
        <v>34</v>
      </c>
    </row>
    <row r="93" spans="1:7">
      <c r="A93" s="7" t="s">
        <v>18</v>
      </c>
      <c r="B93" t="s">
        <v>39</v>
      </c>
      <c r="D93">
        <v>94.7</v>
      </c>
      <c r="F93" t="s">
        <v>33</v>
      </c>
      <c r="G93" t="s">
        <v>34</v>
      </c>
    </row>
    <row r="94" spans="1:7">
      <c r="A94" s="37" t="s">
        <v>19</v>
      </c>
      <c r="B94" t="s">
        <v>39</v>
      </c>
      <c r="D94">
        <v>94.2</v>
      </c>
      <c r="F94" t="s">
        <v>33</v>
      </c>
      <c r="G94" t="s">
        <v>34</v>
      </c>
    </row>
    <row r="95" spans="1:7">
      <c r="A95" s="6" t="s">
        <v>20</v>
      </c>
      <c r="B95" t="s">
        <v>39</v>
      </c>
      <c r="D95">
        <v>98.7</v>
      </c>
      <c r="F95" t="s">
        <v>33</v>
      </c>
      <c r="G95" t="s">
        <v>34</v>
      </c>
    </row>
    <row r="96" spans="1:7">
      <c r="A96" s="7" t="s">
        <v>21</v>
      </c>
      <c r="B96" t="s">
        <v>39</v>
      </c>
      <c r="D96">
        <v>105.5</v>
      </c>
      <c r="F96" t="s">
        <v>33</v>
      </c>
      <c r="G96" t="s">
        <v>34</v>
      </c>
    </row>
    <row r="97" spans="1:9">
      <c r="A97" s="5" t="s">
        <v>3</v>
      </c>
      <c r="B97" t="s">
        <v>30</v>
      </c>
      <c r="C97">
        <v>48</v>
      </c>
      <c r="D97">
        <v>90.9</v>
      </c>
      <c r="E97">
        <v>5.3124999999999947</v>
      </c>
      <c r="F97" t="s">
        <v>26</v>
      </c>
      <c r="G97" t="s">
        <v>2</v>
      </c>
      <c r="H97" t="s">
        <v>165</v>
      </c>
      <c r="I97" t="s">
        <v>38</v>
      </c>
    </row>
    <row r="98" spans="1:9">
      <c r="A98" s="6" t="s">
        <v>4</v>
      </c>
      <c r="B98" t="s">
        <v>30</v>
      </c>
      <c r="C98">
        <v>44</v>
      </c>
      <c r="D98">
        <v>86.7</v>
      </c>
      <c r="E98">
        <v>4.4101433296582133</v>
      </c>
      <c r="F98" t="s">
        <v>26</v>
      </c>
      <c r="G98" t="s">
        <v>2</v>
      </c>
      <c r="H98" t="s">
        <v>165</v>
      </c>
      <c r="I98" t="s">
        <v>38</v>
      </c>
    </row>
    <row r="99" spans="1:9">
      <c r="A99" s="6" t="s">
        <v>5</v>
      </c>
      <c r="B99" t="s">
        <v>30</v>
      </c>
      <c r="C99">
        <v>48</v>
      </c>
      <c r="D99">
        <v>91.9</v>
      </c>
      <c r="E99">
        <v>4.3704474505723088</v>
      </c>
      <c r="F99" t="s">
        <v>26</v>
      </c>
      <c r="G99" t="s">
        <v>2</v>
      </c>
      <c r="H99" t="s">
        <v>165</v>
      </c>
      <c r="I99" t="s">
        <v>38</v>
      </c>
    </row>
    <row r="100" spans="1:9">
      <c r="A100" s="36" t="s">
        <v>6</v>
      </c>
      <c r="B100" t="s">
        <v>30</v>
      </c>
      <c r="C100">
        <v>50</v>
      </c>
      <c r="D100">
        <v>92.5</v>
      </c>
      <c r="E100">
        <v>4.3433298862461251</v>
      </c>
      <c r="F100" t="s">
        <v>26</v>
      </c>
      <c r="G100" t="s">
        <v>2</v>
      </c>
      <c r="H100" t="s">
        <v>165</v>
      </c>
      <c r="I100" t="s">
        <v>38</v>
      </c>
    </row>
    <row r="101" spans="1:9">
      <c r="A101" s="5" t="s">
        <v>7</v>
      </c>
      <c r="B101" t="s">
        <v>30</v>
      </c>
      <c r="C101">
        <v>51.5</v>
      </c>
      <c r="D101">
        <v>95.6</v>
      </c>
      <c r="E101">
        <v>3.140830800405277</v>
      </c>
      <c r="F101" t="s">
        <v>26</v>
      </c>
      <c r="G101" t="s">
        <v>2</v>
      </c>
      <c r="H101" t="s">
        <v>165</v>
      </c>
      <c r="I101" t="s">
        <v>38</v>
      </c>
    </row>
    <row r="102" spans="1:9">
      <c r="A102" s="6" t="s">
        <v>8</v>
      </c>
      <c r="B102" t="s">
        <v>30</v>
      </c>
      <c r="C102">
        <v>105</v>
      </c>
      <c r="D102">
        <v>89.4</v>
      </c>
      <c r="E102">
        <v>4.0772532188841168</v>
      </c>
      <c r="F102" t="s">
        <v>26</v>
      </c>
      <c r="G102" t="s">
        <v>2</v>
      </c>
      <c r="H102" t="s">
        <v>165</v>
      </c>
      <c r="I102" t="s">
        <v>38</v>
      </c>
    </row>
    <row r="103" spans="1:9">
      <c r="A103" s="7" t="s">
        <v>9</v>
      </c>
      <c r="B103" t="s">
        <v>30</v>
      </c>
      <c r="C103">
        <v>78.5</v>
      </c>
      <c r="D103">
        <v>94.9</v>
      </c>
      <c r="E103">
        <v>5.7596822244289942</v>
      </c>
      <c r="F103" t="s">
        <v>26</v>
      </c>
      <c r="G103" t="s">
        <v>2</v>
      </c>
      <c r="H103" t="s">
        <v>165</v>
      </c>
      <c r="I103" t="s">
        <v>38</v>
      </c>
    </row>
    <row r="104" spans="1:9">
      <c r="A104" s="37" t="s">
        <v>10</v>
      </c>
      <c r="B104" t="s">
        <v>30</v>
      </c>
      <c r="C104">
        <v>56.5</v>
      </c>
      <c r="D104">
        <v>93.7</v>
      </c>
      <c r="E104">
        <v>7.2277227722772244</v>
      </c>
      <c r="F104" t="s">
        <v>26</v>
      </c>
      <c r="G104" t="s">
        <v>2</v>
      </c>
      <c r="H104" t="s">
        <v>165</v>
      </c>
      <c r="I104" t="s">
        <v>38</v>
      </c>
    </row>
    <row r="105" spans="1:9">
      <c r="A105" s="6" t="s">
        <v>11</v>
      </c>
      <c r="B105" t="s">
        <v>30</v>
      </c>
      <c r="C105">
        <v>66.75</v>
      </c>
      <c r="D105">
        <v>95.1</v>
      </c>
      <c r="E105">
        <v>4.9950049950049955</v>
      </c>
      <c r="F105" t="s">
        <v>26</v>
      </c>
      <c r="G105" t="s">
        <v>2</v>
      </c>
      <c r="H105" t="s">
        <v>165</v>
      </c>
      <c r="I105" t="s">
        <v>38</v>
      </c>
    </row>
    <row r="106" spans="1:9">
      <c r="A106" s="7" t="s">
        <v>12</v>
      </c>
      <c r="B106" t="s">
        <v>30</v>
      </c>
      <c r="C106">
        <v>53.333333333333336</v>
      </c>
      <c r="D106">
        <v>93.8</v>
      </c>
      <c r="E106">
        <v>5.9177532597793441</v>
      </c>
      <c r="F106" t="s">
        <v>26</v>
      </c>
      <c r="G106" t="s">
        <v>2</v>
      </c>
      <c r="H106" t="s">
        <v>165</v>
      </c>
      <c r="I106" t="s">
        <v>38</v>
      </c>
    </row>
    <row r="107" spans="1:9">
      <c r="A107" s="5" t="s">
        <v>13</v>
      </c>
      <c r="B107" t="s">
        <v>40</v>
      </c>
      <c r="C107">
        <v>63</v>
      </c>
      <c r="D107">
        <v>75.8</v>
      </c>
      <c r="E107">
        <v>6.650246305418726</v>
      </c>
      <c r="F107" t="s">
        <v>26</v>
      </c>
      <c r="G107" t="s">
        <v>2</v>
      </c>
      <c r="H107" t="s">
        <v>165</v>
      </c>
      <c r="I107" t="s">
        <v>38</v>
      </c>
    </row>
    <row r="108" spans="1:9">
      <c r="A108" s="6" t="s">
        <v>14</v>
      </c>
      <c r="B108" t="s">
        <v>40</v>
      </c>
      <c r="C108">
        <v>63.5</v>
      </c>
      <c r="D108">
        <v>75.099999999999994</v>
      </c>
      <c r="E108">
        <v>6.3591022443890379</v>
      </c>
      <c r="F108" t="s">
        <v>26</v>
      </c>
      <c r="G108" t="s">
        <v>2</v>
      </c>
      <c r="H108" t="s">
        <v>165</v>
      </c>
      <c r="I108" t="s">
        <v>38</v>
      </c>
    </row>
    <row r="109" spans="1:9">
      <c r="A109" s="6" t="s">
        <v>15</v>
      </c>
      <c r="B109" t="s">
        <v>40</v>
      </c>
      <c r="C109">
        <v>64</v>
      </c>
      <c r="D109">
        <v>75.599999999999994</v>
      </c>
      <c r="E109">
        <v>6.6666666666666732</v>
      </c>
      <c r="F109" t="s">
        <v>26</v>
      </c>
      <c r="G109" t="s">
        <v>2</v>
      </c>
      <c r="H109" t="s">
        <v>165</v>
      </c>
      <c r="I109" t="s">
        <v>38</v>
      </c>
    </row>
    <row r="110" spans="1:9">
      <c r="A110" s="6" t="s">
        <v>16</v>
      </c>
      <c r="B110" t="s">
        <v>40</v>
      </c>
      <c r="C110">
        <v>61.5</v>
      </c>
      <c r="D110">
        <v>78.2</v>
      </c>
      <c r="E110">
        <v>5.6694813027744306</v>
      </c>
      <c r="F110" t="s">
        <v>26</v>
      </c>
      <c r="G110" t="s">
        <v>2</v>
      </c>
      <c r="H110" t="s">
        <v>165</v>
      </c>
      <c r="I110" t="s">
        <v>38</v>
      </c>
    </row>
    <row r="111" spans="1:9">
      <c r="A111" s="38" t="s">
        <v>17</v>
      </c>
      <c r="B111" t="s">
        <v>40</v>
      </c>
      <c r="C111">
        <v>60.5</v>
      </c>
      <c r="D111">
        <v>81.599999999999994</v>
      </c>
      <c r="E111">
        <v>4.4496487119438068</v>
      </c>
      <c r="F111" t="s">
        <v>26</v>
      </c>
      <c r="G111" t="s">
        <v>2</v>
      </c>
      <c r="H111" t="s">
        <v>165</v>
      </c>
      <c r="I111" t="s">
        <v>38</v>
      </c>
    </row>
    <row r="112" spans="1:9">
      <c r="A112" s="7" t="s">
        <v>18</v>
      </c>
      <c r="B112" t="s">
        <v>40</v>
      </c>
      <c r="C112">
        <v>55</v>
      </c>
      <c r="D112">
        <v>88.5</v>
      </c>
      <c r="E112">
        <v>6.5469904963041214</v>
      </c>
      <c r="F112" t="s">
        <v>26</v>
      </c>
      <c r="G112" t="s">
        <v>2</v>
      </c>
      <c r="H112" t="s">
        <v>165</v>
      </c>
      <c r="I112" t="s">
        <v>38</v>
      </c>
    </row>
    <row r="113" spans="1:9">
      <c r="A113" s="37" t="s">
        <v>19</v>
      </c>
      <c r="B113" t="s">
        <v>40</v>
      </c>
      <c r="C113">
        <v>58</v>
      </c>
      <c r="D113">
        <v>89.4</v>
      </c>
      <c r="E113">
        <v>5.0955414012738824</v>
      </c>
      <c r="F113" t="s">
        <v>26</v>
      </c>
      <c r="G113" t="s">
        <v>2</v>
      </c>
      <c r="H113" t="s">
        <v>165</v>
      </c>
      <c r="I113" t="s">
        <v>38</v>
      </c>
    </row>
    <row r="114" spans="1:9">
      <c r="A114" s="6" t="s">
        <v>20</v>
      </c>
      <c r="B114" t="s">
        <v>40</v>
      </c>
      <c r="C114">
        <v>43</v>
      </c>
      <c r="D114">
        <v>92.4</v>
      </c>
      <c r="E114">
        <v>6.3829787234042517</v>
      </c>
      <c r="F114" t="s">
        <v>26</v>
      </c>
      <c r="G114" t="s">
        <v>2</v>
      </c>
      <c r="H114" t="s">
        <v>165</v>
      </c>
      <c r="I114" t="s">
        <v>38</v>
      </c>
    </row>
    <row r="115" spans="1:9">
      <c r="A115" s="7" t="s">
        <v>21</v>
      </c>
      <c r="B115" t="s">
        <v>40</v>
      </c>
      <c r="C115">
        <v>41</v>
      </c>
      <c r="D115">
        <v>99</v>
      </c>
      <c r="E115">
        <v>6.1611374407582939</v>
      </c>
      <c r="F115" t="s">
        <v>26</v>
      </c>
      <c r="G115" t="s">
        <v>2</v>
      </c>
      <c r="H115" t="s">
        <v>165</v>
      </c>
      <c r="I115" t="s">
        <v>38</v>
      </c>
    </row>
    <row r="116" spans="1:9">
      <c r="A116" s="5" t="s">
        <v>3</v>
      </c>
      <c r="B116" t="s">
        <v>41</v>
      </c>
      <c r="C116">
        <v>83</v>
      </c>
      <c r="D116">
        <v>98.1</v>
      </c>
      <c r="E116">
        <v>5.9395248380129591</v>
      </c>
      <c r="F116" t="s">
        <v>1</v>
      </c>
      <c r="G116" t="s">
        <v>2</v>
      </c>
      <c r="H116" t="s">
        <v>169</v>
      </c>
      <c r="I116" t="s">
        <v>38</v>
      </c>
    </row>
    <row r="117" spans="1:9">
      <c r="A117" s="6" t="s">
        <v>4</v>
      </c>
      <c r="B117" t="s">
        <v>41</v>
      </c>
      <c r="C117">
        <v>289.5</v>
      </c>
      <c r="D117">
        <v>93.4</v>
      </c>
      <c r="E117">
        <v>5.0618672665916753</v>
      </c>
      <c r="F117" t="s">
        <v>1</v>
      </c>
      <c r="G117" t="s">
        <v>2</v>
      </c>
      <c r="H117" t="s">
        <v>169</v>
      </c>
      <c r="I117" t="s">
        <v>38</v>
      </c>
    </row>
    <row r="118" spans="1:9">
      <c r="A118" s="6" t="s">
        <v>5</v>
      </c>
      <c r="B118" t="s">
        <v>41</v>
      </c>
      <c r="C118">
        <v>250.5</v>
      </c>
      <c r="D118">
        <v>99.3</v>
      </c>
      <c r="E118">
        <v>6.203208556149729</v>
      </c>
      <c r="F118" t="s">
        <v>1</v>
      </c>
      <c r="G118" t="s">
        <v>2</v>
      </c>
      <c r="H118" t="s">
        <v>169</v>
      </c>
      <c r="I118" t="s">
        <v>38</v>
      </c>
    </row>
    <row r="119" spans="1:9">
      <c r="A119" s="36" t="s">
        <v>6</v>
      </c>
      <c r="B119" t="s">
        <v>41</v>
      </c>
      <c r="C119">
        <v>46.5</v>
      </c>
      <c r="D119">
        <v>98.3</v>
      </c>
      <c r="E119">
        <v>6.9640914036996637</v>
      </c>
      <c r="F119" t="s">
        <v>1</v>
      </c>
      <c r="G119" t="s">
        <v>2</v>
      </c>
      <c r="H119" t="s">
        <v>169</v>
      </c>
      <c r="I119" t="s">
        <v>38</v>
      </c>
    </row>
    <row r="120" spans="1:9">
      <c r="A120" s="5" t="s">
        <v>7</v>
      </c>
      <c r="B120" t="s">
        <v>41</v>
      </c>
      <c r="C120">
        <v>203.5</v>
      </c>
      <c r="D120">
        <v>102.3</v>
      </c>
      <c r="E120">
        <v>6.8965517241379253</v>
      </c>
      <c r="F120" t="s">
        <v>1</v>
      </c>
      <c r="G120" t="s">
        <v>2</v>
      </c>
      <c r="H120" t="s">
        <v>169</v>
      </c>
      <c r="I120" t="s">
        <v>38</v>
      </c>
    </row>
    <row r="121" spans="1:9">
      <c r="A121" s="6" t="s">
        <v>8</v>
      </c>
      <c r="B121" t="s">
        <v>41</v>
      </c>
      <c r="C121">
        <v>389</v>
      </c>
      <c r="D121">
        <v>95.3</v>
      </c>
      <c r="E121">
        <v>3.9258451472191869</v>
      </c>
      <c r="F121" t="s">
        <v>1</v>
      </c>
      <c r="G121" t="s">
        <v>2</v>
      </c>
      <c r="H121" t="s">
        <v>169</v>
      </c>
      <c r="I121" t="s">
        <v>38</v>
      </c>
    </row>
    <row r="122" spans="1:9">
      <c r="A122" s="7" t="s">
        <v>9</v>
      </c>
      <c r="B122" t="s">
        <v>41</v>
      </c>
      <c r="C122">
        <v>281</v>
      </c>
      <c r="D122">
        <v>99.1</v>
      </c>
      <c r="E122">
        <v>3.8784067085953757</v>
      </c>
      <c r="F122" t="s">
        <v>1</v>
      </c>
      <c r="G122" t="s">
        <v>2</v>
      </c>
      <c r="H122" t="s">
        <v>169</v>
      </c>
      <c r="I122" t="s">
        <v>38</v>
      </c>
    </row>
    <row r="123" spans="1:9">
      <c r="A123" s="37" t="s">
        <v>10</v>
      </c>
      <c r="B123" t="s">
        <v>41</v>
      </c>
      <c r="C123">
        <v>73.5</v>
      </c>
      <c r="D123">
        <v>102</v>
      </c>
      <c r="E123">
        <v>7.4815595363540499</v>
      </c>
      <c r="F123" t="s">
        <v>1</v>
      </c>
      <c r="G123" t="s">
        <v>2</v>
      </c>
      <c r="H123" t="s">
        <v>169</v>
      </c>
      <c r="I123" t="s">
        <v>38</v>
      </c>
    </row>
    <row r="124" spans="1:9">
      <c r="A124" s="6" t="s">
        <v>11</v>
      </c>
      <c r="B124" t="s">
        <v>41</v>
      </c>
      <c r="C124">
        <v>326.5</v>
      </c>
      <c r="D124">
        <v>104</v>
      </c>
      <c r="E124">
        <v>6.4483111566018394</v>
      </c>
      <c r="F124" t="s">
        <v>1</v>
      </c>
      <c r="G124" t="s">
        <v>2</v>
      </c>
      <c r="H124" t="s">
        <v>169</v>
      </c>
      <c r="I124" t="s">
        <v>38</v>
      </c>
    </row>
    <row r="125" spans="1:9">
      <c r="A125" s="7" t="s">
        <v>12</v>
      </c>
      <c r="B125" t="s">
        <v>41</v>
      </c>
      <c r="C125">
        <v>339.5</v>
      </c>
      <c r="D125">
        <v>102</v>
      </c>
      <c r="E125">
        <v>6.3607924921793471</v>
      </c>
      <c r="F125" t="s">
        <v>1</v>
      </c>
      <c r="G125" t="s">
        <v>2</v>
      </c>
      <c r="H125" t="s">
        <v>169</v>
      </c>
      <c r="I125" t="s">
        <v>38</v>
      </c>
    </row>
    <row r="126" spans="1:9">
      <c r="A126" s="5" t="s">
        <v>13</v>
      </c>
      <c r="B126" t="s">
        <v>47</v>
      </c>
      <c r="C126">
        <v>86</v>
      </c>
      <c r="D126">
        <v>83.1</v>
      </c>
      <c r="E126">
        <v>5.8598726114649606</v>
      </c>
      <c r="F126" t="s">
        <v>1</v>
      </c>
      <c r="G126" t="s">
        <v>2</v>
      </c>
      <c r="H126" t="s">
        <v>169</v>
      </c>
      <c r="I126" t="s">
        <v>38</v>
      </c>
    </row>
    <row r="127" spans="1:9">
      <c r="A127" s="6" t="s">
        <v>14</v>
      </c>
      <c r="B127" t="s">
        <v>47</v>
      </c>
      <c r="C127">
        <v>70.5</v>
      </c>
      <c r="D127">
        <v>84.2</v>
      </c>
      <c r="E127">
        <v>8.3655083655083651</v>
      </c>
      <c r="F127" t="s">
        <v>1</v>
      </c>
      <c r="G127" t="s">
        <v>2</v>
      </c>
      <c r="H127" t="s">
        <v>169</v>
      </c>
      <c r="I127" t="s">
        <v>38</v>
      </c>
    </row>
    <row r="128" spans="1:9">
      <c r="A128" s="6" t="s">
        <v>15</v>
      </c>
      <c r="B128" t="s">
        <v>47</v>
      </c>
      <c r="C128">
        <v>83</v>
      </c>
      <c r="D128">
        <v>82.9</v>
      </c>
      <c r="E128">
        <v>5.6050955414012806</v>
      </c>
      <c r="F128" t="s">
        <v>1</v>
      </c>
      <c r="G128" t="s">
        <v>2</v>
      </c>
      <c r="H128" t="s">
        <v>169</v>
      </c>
      <c r="I128" t="s">
        <v>38</v>
      </c>
    </row>
    <row r="129" spans="1:9">
      <c r="A129" s="6" t="s">
        <v>16</v>
      </c>
      <c r="B129" t="s">
        <v>47</v>
      </c>
      <c r="C129">
        <v>71.5</v>
      </c>
      <c r="D129">
        <v>85.1</v>
      </c>
      <c r="E129">
        <v>6.3749999999999929</v>
      </c>
      <c r="F129" t="s">
        <v>1</v>
      </c>
      <c r="G129" t="s">
        <v>2</v>
      </c>
      <c r="H129" t="s">
        <v>169</v>
      </c>
      <c r="I129" t="s">
        <v>38</v>
      </c>
    </row>
    <row r="130" spans="1:9">
      <c r="A130" s="38" t="s">
        <v>17</v>
      </c>
      <c r="B130" t="s">
        <v>47</v>
      </c>
      <c r="C130">
        <v>73.333333333333329</v>
      </c>
      <c r="D130">
        <v>87.6</v>
      </c>
      <c r="E130">
        <v>6.1818181818181754</v>
      </c>
      <c r="F130" t="s">
        <v>1</v>
      </c>
      <c r="G130" t="s">
        <v>2</v>
      </c>
      <c r="H130" t="s">
        <v>169</v>
      </c>
      <c r="I130" t="s">
        <v>38</v>
      </c>
    </row>
    <row r="131" spans="1:9">
      <c r="A131" s="7" t="s">
        <v>18</v>
      </c>
      <c r="B131" t="s">
        <v>47</v>
      </c>
      <c r="C131">
        <v>300</v>
      </c>
      <c r="D131">
        <v>95.4</v>
      </c>
      <c r="E131">
        <v>2.3605150214592303</v>
      </c>
      <c r="F131" t="s">
        <v>1</v>
      </c>
      <c r="G131" t="s">
        <v>2</v>
      </c>
      <c r="H131" t="s">
        <v>169</v>
      </c>
      <c r="I131" t="s">
        <v>38</v>
      </c>
    </row>
    <row r="132" spans="1:9">
      <c r="A132" s="37" t="s">
        <v>19</v>
      </c>
      <c r="B132" t="s">
        <v>47</v>
      </c>
      <c r="C132">
        <v>78.5</v>
      </c>
      <c r="D132">
        <v>95.9</v>
      </c>
      <c r="E132">
        <v>3.7878787878787881</v>
      </c>
      <c r="F132" t="s">
        <v>1</v>
      </c>
      <c r="G132" t="s">
        <v>2</v>
      </c>
      <c r="H132" t="s">
        <v>169</v>
      </c>
      <c r="I132" t="s">
        <v>38</v>
      </c>
    </row>
    <row r="133" spans="1:9">
      <c r="A133" s="6" t="s">
        <v>20</v>
      </c>
      <c r="B133" t="s">
        <v>47</v>
      </c>
      <c r="C133">
        <v>342.66666666666669</v>
      </c>
      <c r="D133">
        <v>102.2</v>
      </c>
      <c r="E133">
        <v>6.4583333333333366</v>
      </c>
      <c r="F133" t="s">
        <v>1</v>
      </c>
      <c r="G133" t="s">
        <v>2</v>
      </c>
      <c r="H133" t="s">
        <v>169</v>
      </c>
      <c r="I133" t="s">
        <v>38</v>
      </c>
    </row>
    <row r="134" spans="1:9">
      <c r="A134" s="7" t="s">
        <v>21</v>
      </c>
      <c r="B134" t="s">
        <v>47</v>
      </c>
      <c r="C134">
        <v>227.5</v>
      </c>
      <c r="D134">
        <v>109.6</v>
      </c>
      <c r="E134">
        <v>5.182341650671777</v>
      </c>
      <c r="F134" t="s">
        <v>1</v>
      </c>
      <c r="G134" t="s">
        <v>2</v>
      </c>
      <c r="H134" t="s">
        <v>169</v>
      </c>
      <c r="I134" t="s">
        <v>38</v>
      </c>
    </row>
    <row r="135" spans="1:9">
      <c r="A135" s="5" t="s">
        <v>3</v>
      </c>
      <c r="B135" t="s">
        <v>44</v>
      </c>
      <c r="D135">
        <v>101.3</v>
      </c>
      <c r="F135" t="s">
        <v>1</v>
      </c>
      <c r="G135" t="s">
        <v>34</v>
      </c>
    </row>
    <row r="136" spans="1:9">
      <c r="A136" s="6" t="s">
        <v>4</v>
      </c>
      <c r="B136" t="s">
        <v>44</v>
      </c>
      <c r="D136">
        <v>97</v>
      </c>
      <c r="F136" t="s">
        <v>1</v>
      </c>
      <c r="G136" t="s">
        <v>34</v>
      </c>
    </row>
    <row r="137" spans="1:9">
      <c r="A137" s="6" t="s">
        <v>5</v>
      </c>
      <c r="B137" t="s">
        <v>44</v>
      </c>
      <c r="D137">
        <v>101.3</v>
      </c>
      <c r="F137" t="s">
        <v>1</v>
      </c>
      <c r="G137" t="s">
        <v>34</v>
      </c>
    </row>
    <row r="138" spans="1:9">
      <c r="A138" s="36" t="s">
        <v>6</v>
      </c>
      <c r="B138" t="s">
        <v>44</v>
      </c>
      <c r="D138">
        <v>102.3</v>
      </c>
      <c r="F138" t="s">
        <v>1</v>
      </c>
      <c r="G138" t="s">
        <v>34</v>
      </c>
    </row>
    <row r="139" spans="1:9">
      <c r="A139" s="5" t="s">
        <v>7</v>
      </c>
      <c r="B139" t="s">
        <v>44</v>
      </c>
      <c r="D139">
        <v>106.2</v>
      </c>
      <c r="F139" t="s">
        <v>1</v>
      </c>
      <c r="G139" t="s">
        <v>34</v>
      </c>
    </row>
    <row r="140" spans="1:9">
      <c r="A140" s="6" t="s">
        <v>8</v>
      </c>
      <c r="B140" t="s">
        <v>44</v>
      </c>
      <c r="D140">
        <v>96.8</v>
      </c>
      <c r="F140" t="s">
        <v>1</v>
      </c>
      <c r="G140" t="s">
        <v>34</v>
      </c>
    </row>
    <row r="141" spans="1:9">
      <c r="A141" s="7" t="s">
        <v>9</v>
      </c>
      <c r="B141" t="s">
        <v>44</v>
      </c>
      <c r="D141">
        <v>103.2</v>
      </c>
      <c r="F141" t="s">
        <v>1</v>
      </c>
      <c r="G141" t="s">
        <v>34</v>
      </c>
    </row>
    <row r="142" spans="1:9">
      <c r="A142" s="37" t="s">
        <v>10</v>
      </c>
      <c r="B142" t="s">
        <v>44</v>
      </c>
      <c r="D142">
        <v>107.4</v>
      </c>
      <c r="F142" t="s">
        <v>1</v>
      </c>
      <c r="G142" t="s">
        <v>34</v>
      </c>
    </row>
    <row r="143" spans="1:9">
      <c r="A143" s="6" t="s">
        <v>11</v>
      </c>
      <c r="B143" t="s">
        <v>44</v>
      </c>
      <c r="D143">
        <v>106.1</v>
      </c>
      <c r="F143" t="s">
        <v>1</v>
      </c>
      <c r="G143" t="s">
        <v>34</v>
      </c>
    </row>
    <row r="144" spans="1:9">
      <c r="A144" s="7" t="s">
        <v>12</v>
      </c>
      <c r="B144" t="s">
        <v>44</v>
      </c>
      <c r="D144">
        <v>103.9</v>
      </c>
      <c r="F144" t="s">
        <v>1</v>
      </c>
      <c r="G144" t="s">
        <v>34</v>
      </c>
    </row>
    <row r="145" spans="1:10">
      <c r="A145" s="5" t="s">
        <v>13</v>
      </c>
      <c r="B145" t="s">
        <v>48</v>
      </c>
      <c r="D145">
        <v>86.2</v>
      </c>
      <c r="F145" t="s">
        <v>1</v>
      </c>
      <c r="G145" t="s">
        <v>34</v>
      </c>
    </row>
    <row r="146" spans="1:10">
      <c r="A146" s="6" t="s">
        <v>14</v>
      </c>
      <c r="B146" t="s">
        <v>48</v>
      </c>
      <c r="D146">
        <v>88.5</v>
      </c>
      <c r="F146" t="s">
        <v>1</v>
      </c>
      <c r="G146" t="s">
        <v>34</v>
      </c>
    </row>
    <row r="147" spans="1:10">
      <c r="A147" s="6" t="s">
        <v>15</v>
      </c>
      <c r="B147" t="s">
        <v>48</v>
      </c>
      <c r="D147">
        <v>85.7</v>
      </c>
      <c r="F147" t="s">
        <v>1</v>
      </c>
      <c r="G147" t="s">
        <v>34</v>
      </c>
    </row>
    <row r="148" spans="1:10">
      <c r="A148" s="6" t="s">
        <v>16</v>
      </c>
      <c r="B148" t="s">
        <v>48</v>
      </c>
      <c r="D148">
        <v>88.4</v>
      </c>
      <c r="F148" t="s">
        <v>1</v>
      </c>
      <c r="G148" t="s">
        <v>34</v>
      </c>
    </row>
    <row r="149" spans="1:10">
      <c r="A149" s="38" t="s">
        <v>17</v>
      </c>
      <c r="B149" t="s">
        <v>48</v>
      </c>
      <c r="D149">
        <v>91.7</v>
      </c>
      <c r="F149" t="s">
        <v>1</v>
      </c>
      <c r="G149" t="s">
        <v>34</v>
      </c>
    </row>
    <row r="150" spans="1:10">
      <c r="A150" s="7" t="s">
        <v>18</v>
      </c>
      <c r="B150" t="s">
        <v>48</v>
      </c>
      <c r="D150">
        <v>98.5</v>
      </c>
      <c r="F150" t="s">
        <v>1</v>
      </c>
      <c r="G150" t="s">
        <v>34</v>
      </c>
    </row>
    <row r="151" spans="1:10">
      <c r="A151" s="37" t="s">
        <v>19</v>
      </c>
      <c r="B151" t="s">
        <v>48</v>
      </c>
      <c r="F151" t="s">
        <v>1</v>
      </c>
      <c r="G151" t="s">
        <v>34</v>
      </c>
      <c r="J151" t="s">
        <v>159</v>
      </c>
    </row>
    <row r="152" spans="1:10">
      <c r="A152" s="6" t="s">
        <v>20</v>
      </c>
      <c r="B152" t="s">
        <v>48</v>
      </c>
      <c r="D152">
        <v>108</v>
      </c>
      <c r="F152" t="s">
        <v>1</v>
      </c>
      <c r="G152" t="s">
        <v>34</v>
      </c>
    </row>
    <row r="153" spans="1:10">
      <c r="A153" s="7" t="s">
        <v>21</v>
      </c>
      <c r="B153" t="s">
        <v>48</v>
      </c>
      <c r="D153">
        <v>114.3</v>
      </c>
      <c r="F153" t="s">
        <v>1</v>
      </c>
      <c r="G153" t="s">
        <v>34</v>
      </c>
    </row>
    <row r="154" spans="1:10">
      <c r="A154" s="5" t="s">
        <v>3</v>
      </c>
      <c r="B154" t="s">
        <v>45</v>
      </c>
      <c r="C154">
        <v>52.5</v>
      </c>
      <c r="D154">
        <v>94.9</v>
      </c>
      <c r="E154">
        <v>6.3178677196446111</v>
      </c>
      <c r="F154" t="s">
        <v>26</v>
      </c>
      <c r="G154" t="s">
        <v>2</v>
      </c>
      <c r="I154" t="s">
        <v>43</v>
      </c>
    </row>
    <row r="155" spans="1:10">
      <c r="A155" s="6" t="s">
        <v>4</v>
      </c>
      <c r="B155" t="s">
        <v>45</v>
      </c>
      <c r="C155">
        <v>40</v>
      </c>
      <c r="D155">
        <v>92.5</v>
      </c>
      <c r="E155">
        <v>4.6391752577319592</v>
      </c>
      <c r="F155" t="s">
        <v>26</v>
      </c>
      <c r="G155" t="s">
        <v>2</v>
      </c>
      <c r="I155" t="s">
        <v>43</v>
      </c>
    </row>
    <row r="156" spans="1:10">
      <c r="A156" s="6" t="s">
        <v>5</v>
      </c>
      <c r="B156" t="s">
        <v>45</v>
      </c>
      <c r="C156">
        <v>40</v>
      </c>
      <c r="D156">
        <v>96.8</v>
      </c>
      <c r="E156">
        <v>4.4422507403751235</v>
      </c>
      <c r="F156" t="s">
        <v>26</v>
      </c>
      <c r="G156" t="s">
        <v>2</v>
      </c>
      <c r="I156" t="s">
        <v>43</v>
      </c>
    </row>
    <row r="157" spans="1:10">
      <c r="A157" s="36" t="s">
        <v>6</v>
      </c>
      <c r="B157" t="s">
        <v>45</v>
      </c>
      <c r="C157">
        <v>64.5</v>
      </c>
      <c r="D157">
        <v>97.1</v>
      </c>
      <c r="E157">
        <v>5.0830889540566995</v>
      </c>
      <c r="F157" t="s">
        <v>26</v>
      </c>
      <c r="G157" t="s">
        <v>2</v>
      </c>
      <c r="I157" t="s">
        <v>43</v>
      </c>
    </row>
    <row r="158" spans="1:10">
      <c r="A158" s="5" t="s">
        <v>7</v>
      </c>
      <c r="B158" t="s">
        <v>45</v>
      </c>
      <c r="C158">
        <v>55</v>
      </c>
      <c r="D158">
        <v>100.5</v>
      </c>
      <c r="E158">
        <v>5.3672316384180814</v>
      </c>
      <c r="F158" t="s">
        <v>26</v>
      </c>
      <c r="G158" t="s">
        <v>2</v>
      </c>
      <c r="I158" t="s">
        <v>43</v>
      </c>
    </row>
    <row r="159" spans="1:10">
      <c r="A159" s="6" t="s">
        <v>8</v>
      </c>
      <c r="B159" t="s">
        <v>45</v>
      </c>
      <c r="C159">
        <v>67.5</v>
      </c>
      <c r="D159">
        <v>93</v>
      </c>
      <c r="E159">
        <v>3.9256198347107412</v>
      </c>
      <c r="F159" t="s">
        <v>26</v>
      </c>
      <c r="G159" t="s">
        <v>2</v>
      </c>
      <c r="I159" t="s">
        <v>43</v>
      </c>
    </row>
    <row r="160" spans="1:10">
      <c r="A160" s="7" t="s">
        <v>9</v>
      </c>
      <c r="B160" t="s">
        <v>45</v>
      </c>
      <c r="C160">
        <v>71</v>
      </c>
      <c r="D160">
        <v>99.5</v>
      </c>
      <c r="E160">
        <v>3.5852713178294602</v>
      </c>
      <c r="F160" t="s">
        <v>26</v>
      </c>
      <c r="G160" t="s">
        <v>2</v>
      </c>
      <c r="I160" t="s">
        <v>43</v>
      </c>
    </row>
    <row r="161" spans="1:10">
      <c r="A161" s="37" t="s">
        <v>10</v>
      </c>
      <c r="B161" t="s">
        <v>45</v>
      </c>
      <c r="C161">
        <v>41.5</v>
      </c>
      <c r="D161">
        <v>100.9</v>
      </c>
      <c r="E161">
        <v>6.0521415270018624</v>
      </c>
      <c r="F161" t="s">
        <v>26</v>
      </c>
      <c r="G161" t="s">
        <v>2</v>
      </c>
      <c r="I161" t="s">
        <v>43</v>
      </c>
    </row>
    <row r="162" spans="1:10">
      <c r="A162" s="6" t="s">
        <v>11</v>
      </c>
      <c r="B162" t="s">
        <v>45</v>
      </c>
      <c r="C162">
        <v>73.5</v>
      </c>
      <c r="D162">
        <v>99.6</v>
      </c>
      <c r="E162">
        <v>6.1262959472196048</v>
      </c>
      <c r="F162" t="s">
        <v>26</v>
      </c>
      <c r="G162" t="s">
        <v>2</v>
      </c>
      <c r="I162" t="s">
        <v>43</v>
      </c>
    </row>
    <row r="163" spans="1:10">
      <c r="A163" s="7" t="s">
        <v>12</v>
      </c>
      <c r="B163" t="s">
        <v>45</v>
      </c>
      <c r="C163">
        <v>50</v>
      </c>
      <c r="D163">
        <v>98.4</v>
      </c>
      <c r="E163">
        <v>5.2935514918190565</v>
      </c>
      <c r="F163" t="s">
        <v>26</v>
      </c>
      <c r="G163" t="s">
        <v>2</v>
      </c>
      <c r="I163" t="s">
        <v>43</v>
      </c>
    </row>
    <row r="164" spans="1:10">
      <c r="A164" s="5" t="s">
        <v>13</v>
      </c>
      <c r="B164" t="s">
        <v>49</v>
      </c>
      <c r="C164">
        <v>48.5</v>
      </c>
      <c r="D164">
        <v>81.8</v>
      </c>
      <c r="E164">
        <v>5.1044083526682202</v>
      </c>
      <c r="F164" t="s">
        <v>26</v>
      </c>
      <c r="G164" t="s">
        <v>2</v>
      </c>
      <c r="I164" t="s">
        <v>43</v>
      </c>
    </row>
    <row r="165" spans="1:10">
      <c r="A165" s="6" t="s">
        <v>14</v>
      </c>
      <c r="B165" t="s">
        <v>49</v>
      </c>
      <c r="C165">
        <v>51.5</v>
      </c>
      <c r="D165">
        <v>84.2</v>
      </c>
      <c r="E165">
        <v>4.8587570621468892</v>
      </c>
      <c r="F165" t="s">
        <v>26</v>
      </c>
      <c r="G165" t="s">
        <v>2</v>
      </c>
      <c r="I165" t="s">
        <v>43</v>
      </c>
    </row>
    <row r="166" spans="1:10">
      <c r="A166" s="6" t="s">
        <v>15</v>
      </c>
      <c r="B166" t="s">
        <v>49</v>
      </c>
      <c r="C166">
        <v>56.5</v>
      </c>
      <c r="D166">
        <v>82.1</v>
      </c>
      <c r="E166">
        <v>4.2007001166861242</v>
      </c>
      <c r="F166" t="s">
        <v>26</v>
      </c>
      <c r="G166" t="s">
        <v>2</v>
      </c>
      <c r="I166" t="s">
        <v>43</v>
      </c>
    </row>
    <row r="167" spans="1:10">
      <c r="A167" s="6" t="s">
        <v>16</v>
      </c>
      <c r="B167" t="s">
        <v>49</v>
      </c>
      <c r="C167">
        <v>62.5</v>
      </c>
      <c r="D167">
        <v>82.3</v>
      </c>
      <c r="E167">
        <v>6.900452488687792</v>
      </c>
      <c r="F167" t="s">
        <v>26</v>
      </c>
      <c r="G167" t="s">
        <v>2</v>
      </c>
      <c r="I167" t="s">
        <v>43</v>
      </c>
    </row>
    <row r="168" spans="1:10">
      <c r="A168" s="38" t="s">
        <v>17</v>
      </c>
      <c r="B168" t="s">
        <v>49</v>
      </c>
      <c r="C168">
        <v>55</v>
      </c>
      <c r="D168">
        <v>85.9</v>
      </c>
      <c r="E168">
        <v>6.3249727371864743</v>
      </c>
      <c r="F168" t="s">
        <v>26</v>
      </c>
      <c r="G168" t="s">
        <v>2</v>
      </c>
      <c r="I168" t="s">
        <v>43</v>
      </c>
    </row>
    <row r="169" spans="1:10">
      <c r="A169" s="7" t="s">
        <v>18</v>
      </c>
      <c r="B169" t="s">
        <v>49</v>
      </c>
      <c r="C169">
        <v>76.333333333333329</v>
      </c>
      <c r="D169">
        <v>93.6</v>
      </c>
      <c r="E169">
        <v>4.9746192893401071</v>
      </c>
      <c r="F169" t="s">
        <v>26</v>
      </c>
      <c r="G169" t="s">
        <v>2</v>
      </c>
      <c r="I169" t="s">
        <v>43</v>
      </c>
    </row>
    <row r="170" spans="1:10">
      <c r="A170" s="37" t="s">
        <v>19</v>
      </c>
      <c r="B170" t="s">
        <v>49</v>
      </c>
      <c r="F170" t="s">
        <v>26</v>
      </c>
      <c r="G170" t="s">
        <v>2</v>
      </c>
      <c r="I170" t="s">
        <v>43</v>
      </c>
      <c r="J170" t="s">
        <v>159</v>
      </c>
    </row>
    <row r="171" spans="1:10">
      <c r="A171" s="6" t="s">
        <v>20</v>
      </c>
      <c r="B171" t="s">
        <v>49</v>
      </c>
      <c r="C171">
        <v>44.5</v>
      </c>
      <c r="D171">
        <v>100.7</v>
      </c>
      <c r="E171">
        <v>6.7592592592592569</v>
      </c>
      <c r="F171" t="s">
        <v>26</v>
      </c>
      <c r="G171" t="s">
        <v>2</v>
      </c>
      <c r="I171" t="s">
        <v>43</v>
      </c>
    </row>
    <row r="172" spans="1:10">
      <c r="A172" s="7" t="s">
        <v>21</v>
      </c>
      <c r="B172" t="s">
        <v>49</v>
      </c>
      <c r="C172">
        <v>43.333333333333336</v>
      </c>
      <c r="D172">
        <v>107.9</v>
      </c>
      <c r="E172">
        <v>5.5993000874890564</v>
      </c>
      <c r="F172" t="s">
        <v>26</v>
      </c>
      <c r="G172" t="s">
        <v>2</v>
      </c>
      <c r="I172" t="s">
        <v>43</v>
      </c>
    </row>
    <row r="173" spans="1:10">
      <c r="A173" s="5" t="s">
        <v>3</v>
      </c>
      <c r="B173" t="s">
        <v>46</v>
      </c>
      <c r="C173">
        <v>206</v>
      </c>
      <c r="D173">
        <v>100.9</v>
      </c>
      <c r="E173">
        <v>2.8542303771661688</v>
      </c>
      <c r="F173" t="s">
        <v>1</v>
      </c>
      <c r="G173" t="s">
        <v>2</v>
      </c>
      <c r="H173" t="s">
        <v>170</v>
      </c>
      <c r="I173" t="s">
        <v>43</v>
      </c>
    </row>
    <row r="174" spans="1:10">
      <c r="A174" s="6" t="s">
        <v>4</v>
      </c>
      <c r="B174" t="s">
        <v>46</v>
      </c>
      <c r="C174">
        <v>326</v>
      </c>
      <c r="D174">
        <v>98.2</v>
      </c>
      <c r="E174">
        <v>5.1391862955032082</v>
      </c>
      <c r="F174" t="s">
        <v>1</v>
      </c>
      <c r="G174" t="s">
        <v>2</v>
      </c>
      <c r="H174" t="s">
        <v>170</v>
      </c>
      <c r="I174" t="s">
        <v>43</v>
      </c>
    </row>
    <row r="175" spans="1:10">
      <c r="A175" s="6" t="s">
        <v>5</v>
      </c>
      <c r="B175" t="s">
        <v>46</v>
      </c>
      <c r="C175">
        <v>139.5</v>
      </c>
      <c r="D175">
        <v>103</v>
      </c>
      <c r="E175">
        <v>3.7260825780463276</v>
      </c>
      <c r="F175" t="s">
        <v>1</v>
      </c>
      <c r="G175" t="s">
        <v>2</v>
      </c>
      <c r="H175" t="s">
        <v>170</v>
      </c>
      <c r="I175" t="s">
        <v>43</v>
      </c>
    </row>
    <row r="176" spans="1:10">
      <c r="A176" s="36" t="s">
        <v>6</v>
      </c>
      <c r="B176" t="s">
        <v>46</v>
      </c>
      <c r="C176">
        <v>78</v>
      </c>
      <c r="D176">
        <v>102.8</v>
      </c>
      <c r="E176">
        <v>4.5778229908443535</v>
      </c>
      <c r="F176" t="s">
        <v>1</v>
      </c>
      <c r="G176" t="s">
        <v>2</v>
      </c>
      <c r="H176" t="s">
        <v>170</v>
      </c>
      <c r="I176" t="s">
        <v>43</v>
      </c>
    </row>
    <row r="177" spans="1:10">
      <c r="A177" s="5" t="s">
        <v>7</v>
      </c>
      <c r="B177" t="s">
        <v>46</v>
      </c>
      <c r="C177">
        <v>205.5</v>
      </c>
      <c r="D177">
        <v>106.3</v>
      </c>
      <c r="E177">
        <v>3.9100684261974585</v>
      </c>
      <c r="F177" t="s">
        <v>1</v>
      </c>
      <c r="G177" t="s">
        <v>2</v>
      </c>
      <c r="H177" t="s">
        <v>170</v>
      </c>
      <c r="I177" t="s">
        <v>43</v>
      </c>
    </row>
    <row r="178" spans="1:10">
      <c r="A178" s="6" t="s">
        <v>8</v>
      </c>
      <c r="B178" t="s">
        <v>46</v>
      </c>
      <c r="C178">
        <v>367</v>
      </c>
      <c r="D178">
        <v>98.5</v>
      </c>
      <c r="E178">
        <v>3.3578174186778624</v>
      </c>
      <c r="F178" t="s">
        <v>1</v>
      </c>
      <c r="G178" t="s">
        <v>2</v>
      </c>
      <c r="H178" t="s">
        <v>170</v>
      </c>
      <c r="I178" t="s">
        <v>43</v>
      </c>
    </row>
    <row r="179" spans="1:10">
      <c r="A179" s="7" t="s">
        <v>9</v>
      </c>
      <c r="B179" t="s">
        <v>46</v>
      </c>
      <c r="C179">
        <v>349</v>
      </c>
      <c r="D179">
        <v>106.3</v>
      </c>
      <c r="E179">
        <v>7.2653884964682174</v>
      </c>
      <c r="F179" t="s">
        <v>1</v>
      </c>
      <c r="G179" t="s">
        <v>2</v>
      </c>
      <c r="H179" t="s">
        <v>170</v>
      </c>
      <c r="I179" t="s">
        <v>43</v>
      </c>
    </row>
    <row r="180" spans="1:10">
      <c r="A180" s="37" t="s">
        <v>10</v>
      </c>
      <c r="B180" t="s">
        <v>46</v>
      </c>
      <c r="C180">
        <v>45</v>
      </c>
      <c r="D180">
        <v>106</v>
      </c>
      <c r="E180">
        <v>3.9215686274509802</v>
      </c>
      <c r="F180" t="s">
        <v>1</v>
      </c>
      <c r="G180" t="s">
        <v>2</v>
      </c>
      <c r="H180" t="s">
        <v>170</v>
      </c>
      <c r="I180" t="s">
        <v>43</v>
      </c>
    </row>
    <row r="181" spans="1:10">
      <c r="A181" s="6" t="s">
        <v>11</v>
      </c>
      <c r="B181" t="s">
        <v>46</v>
      </c>
      <c r="C181">
        <v>321.5</v>
      </c>
      <c r="D181">
        <v>106.5</v>
      </c>
      <c r="E181">
        <v>2.4038461538461542</v>
      </c>
      <c r="F181" t="s">
        <v>1</v>
      </c>
      <c r="G181" t="s">
        <v>2</v>
      </c>
      <c r="H181" t="s">
        <v>170</v>
      </c>
      <c r="I181" t="s">
        <v>43</v>
      </c>
    </row>
    <row r="182" spans="1:10">
      <c r="A182" s="7" t="s">
        <v>12</v>
      </c>
      <c r="B182" t="s">
        <v>46</v>
      </c>
      <c r="C182">
        <v>330.5</v>
      </c>
      <c r="D182">
        <v>105.8</v>
      </c>
      <c r="E182">
        <v>3.7254901960784284</v>
      </c>
      <c r="F182" t="s">
        <v>1</v>
      </c>
      <c r="G182" t="s">
        <v>2</v>
      </c>
      <c r="H182" t="s">
        <v>170</v>
      </c>
      <c r="I182" t="s">
        <v>43</v>
      </c>
    </row>
    <row r="183" spans="1:10">
      <c r="A183" s="5" t="s">
        <v>13</v>
      </c>
      <c r="B183" t="s">
        <v>50</v>
      </c>
      <c r="C183">
        <v>71.5</v>
      </c>
      <c r="D183">
        <v>87.3</v>
      </c>
      <c r="E183">
        <v>5.0541516245487399</v>
      </c>
      <c r="F183" t="s">
        <v>1</v>
      </c>
      <c r="G183" t="s">
        <v>2</v>
      </c>
      <c r="H183" t="s">
        <v>170</v>
      </c>
      <c r="I183" t="s">
        <v>43</v>
      </c>
    </row>
    <row r="184" spans="1:10">
      <c r="A184" s="6" t="s">
        <v>14</v>
      </c>
      <c r="B184" t="s">
        <v>50</v>
      </c>
      <c r="C184">
        <v>59</v>
      </c>
      <c r="D184">
        <v>87.6</v>
      </c>
      <c r="E184">
        <v>4.0380047505938137</v>
      </c>
      <c r="F184" t="s">
        <v>1</v>
      </c>
      <c r="G184" t="s">
        <v>2</v>
      </c>
      <c r="H184" t="s">
        <v>170</v>
      </c>
      <c r="I184" t="s">
        <v>43</v>
      </c>
    </row>
    <row r="185" spans="1:10">
      <c r="A185" s="6" t="s">
        <v>15</v>
      </c>
      <c r="B185" t="s">
        <v>50</v>
      </c>
      <c r="C185">
        <v>69.5</v>
      </c>
      <c r="D185">
        <v>87.2</v>
      </c>
      <c r="E185">
        <v>5.186972255729791</v>
      </c>
      <c r="F185" t="s">
        <v>1</v>
      </c>
      <c r="G185" t="s">
        <v>2</v>
      </c>
      <c r="H185" t="s">
        <v>170</v>
      </c>
      <c r="I185" t="s">
        <v>43</v>
      </c>
    </row>
    <row r="186" spans="1:10">
      <c r="A186" s="6" t="s">
        <v>16</v>
      </c>
      <c r="B186" t="s">
        <v>50</v>
      </c>
      <c r="C186">
        <v>67.5</v>
      </c>
      <c r="D186">
        <v>89.5</v>
      </c>
      <c r="E186">
        <v>5.1703877790834376</v>
      </c>
      <c r="F186" t="s">
        <v>1</v>
      </c>
      <c r="G186" t="s">
        <v>2</v>
      </c>
      <c r="H186" t="s">
        <v>170</v>
      </c>
      <c r="I186" t="s">
        <v>43</v>
      </c>
    </row>
    <row r="187" spans="1:10">
      <c r="A187" s="38" t="s">
        <v>17</v>
      </c>
      <c r="B187" t="s">
        <v>50</v>
      </c>
      <c r="C187">
        <v>77</v>
      </c>
      <c r="D187">
        <v>90.9</v>
      </c>
      <c r="E187">
        <v>3.7671232876712457</v>
      </c>
      <c r="F187" t="s">
        <v>1</v>
      </c>
      <c r="G187" t="s">
        <v>2</v>
      </c>
      <c r="H187" t="s">
        <v>170</v>
      </c>
      <c r="I187" t="s">
        <v>43</v>
      </c>
    </row>
    <row r="188" spans="1:10">
      <c r="A188" s="7" t="s">
        <v>18</v>
      </c>
      <c r="B188" t="s">
        <v>50</v>
      </c>
      <c r="C188">
        <v>78.5</v>
      </c>
      <c r="D188">
        <v>93.1</v>
      </c>
      <c r="E188">
        <v>-2.4109014675052531</v>
      </c>
      <c r="F188" t="s">
        <v>1</v>
      </c>
      <c r="G188" t="s">
        <v>2</v>
      </c>
      <c r="H188" t="s">
        <v>170</v>
      </c>
      <c r="I188" t="s">
        <v>43</v>
      </c>
    </row>
    <row r="189" spans="1:10">
      <c r="A189" s="37" t="s">
        <v>19</v>
      </c>
      <c r="B189" t="s">
        <v>50</v>
      </c>
      <c r="F189" t="s">
        <v>1</v>
      </c>
      <c r="G189" t="s">
        <v>2</v>
      </c>
      <c r="H189" t="s">
        <v>170</v>
      </c>
      <c r="I189" t="s">
        <v>43</v>
      </c>
      <c r="J189" t="s">
        <v>159</v>
      </c>
    </row>
    <row r="190" spans="1:10">
      <c r="A190" s="6" t="s">
        <v>20</v>
      </c>
      <c r="B190" t="s">
        <v>50</v>
      </c>
      <c r="C190">
        <v>352</v>
      </c>
      <c r="D190">
        <v>107.8</v>
      </c>
      <c r="E190">
        <v>5.4794520547945149</v>
      </c>
      <c r="F190" t="s">
        <v>1</v>
      </c>
      <c r="G190" t="s">
        <v>2</v>
      </c>
      <c r="H190" t="s">
        <v>170</v>
      </c>
      <c r="I190" t="s">
        <v>43</v>
      </c>
    </row>
    <row r="191" spans="1:10">
      <c r="A191" s="7" t="s">
        <v>21</v>
      </c>
      <c r="B191" t="s">
        <v>50</v>
      </c>
      <c r="C191">
        <v>308</v>
      </c>
      <c r="D191">
        <v>116.6</v>
      </c>
      <c r="E191">
        <v>6.3868613138686134</v>
      </c>
      <c r="F191" t="s">
        <v>1</v>
      </c>
      <c r="G191" t="s">
        <v>2</v>
      </c>
      <c r="H191" t="s">
        <v>170</v>
      </c>
      <c r="I191" t="s">
        <v>43</v>
      </c>
    </row>
    <row r="192" spans="1:10">
      <c r="A192" s="5" t="s">
        <v>3</v>
      </c>
      <c r="B192" t="s">
        <v>53</v>
      </c>
      <c r="D192">
        <v>104.5</v>
      </c>
      <c r="F192" t="s">
        <v>33</v>
      </c>
      <c r="G192" t="s">
        <v>34</v>
      </c>
    </row>
    <row r="193" spans="1:10">
      <c r="A193" s="6" t="s">
        <v>4</v>
      </c>
      <c r="B193" t="s">
        <v>53</v>
      </c>
      <c r="D193">
        <v>98.1</v>
      </c>
      <c r="F193" t="s">
        <v>33</v>
      </c>
      <c r="G193" t="s">
        <v>34</v>
      </c>
    </row>
    <row r="194" spans="1:10">
      <c r="A194" s="6" t="s">
        <v>5</v>
      </c>
      <c r="B194" t="s">
        <v>53</v>
      </c>
      <c r="D194">
        <v>106.7</v>
      </c>
      <c r="F194" t="s">
        <v>33</v>
      </c>
      <c r="G194" t="s">
        <v>34</v>
      </c>
    </row>
    <row r="195" spans="1:10">
      <c r="A195" s="36" t="s">
        <v>6</v>
      </c>
      <c r="B195" t="s">
        <v>53</v>
      </c>
      <c r="D195">
        <v>105.7</v>
      </c>
      <c r="F195" t="s">
        <v>33</v>
      </c>
      <c r="G195" t="s">
        <v>34</v>
      </c>
    </row>
    <row r="196" spans="1:10">
      <c r="A196" s="5" t="s">
        <v>7</v>
      </c>
      <c r="B196" t="s">
        <v>53</v>
      </c>
      <c r="D196">
        <v>110.1</v>
      </c>
      <c r="F196" t="s">
        <v>33</v>
      </c>
      <c r="G196" t="s">
        <v>34</v>
      </c>
    </row>
    <row r="197" spans="1:10">
      <c r="A197" s="6" t="s">
        <v>8</v>
      </c>
      <c r="B197" t="s">
        <v>53</v>
      </c>
      <c r="D197">
        <v>102.3</v>
      </c>
      <c r="F197" t="s">
        <v>33</v>
      </c>
      <c r="G197" t="s">
        <v>34</v>
      </c>
    </row>
    <row r="198" spans="1:10">
      <c r="A198" s="7" t="s">
        <v>9</v>
      </c>
      <c r="B198" t="s">
        <v>53</v>
      </c>
      <c r="D198">
        <v>110.3</v>
      </c>
      <c r="F198" t="s">
        <v>33</v>
      </c>
      <c r="G198" t="s">
        <v>34</v>
      </c>
    </row>
    <row r="199" spans="1:10">
      <c r="A199" s="37" t="s">
        <v>10</v>
      </c>
      <c r="B199" t="s">
        <v>53</v>
      </c>
      <c r="D199">
        <v>109.9</v>
      </c>
      <c r="F199" t="s">
        <v>33</v>
      </c>
      <c r="G199" t="s">
        <v>34</v>
      </c>
    </row>
    <row r="200" spans="1:10">
      <c r="A200" s="6" t="s">
        <v>11</v>
      </c>
      <c r="B200" t="s">
        <v>53</v>
      </c>
      <c r="D200">
        <v>108.3</v>
      </c>
      <c r="F200" t="s">
        <v>33</v>
      </c>
      <c r="G200" t="s">
        <v>34</v>
      </c>
    </row>
    <row r="201" spans="1:10">
      <c r="A201" s="7" t="s">
        <v>12</v>
      </c>
      <c r="B201" t="s">
        <v>53</v>
      </c>
      <c r="D201">
        <v>107.4</v>
      </c>
      <c r="F201" t="s">
        <v>33</v>
      </c>
      <c r="G201" t="s">
        <v>34</v>
      </c>
    </row>
    <row r="202" spans="1:10">
      <c r="A202" s="5" t="s">
        <v>13</v>
      </c>
      <c r="B202" t="s">
        <v>55</v>
      </c>
      <c r="D202">
        <v>89</v>
      </c>
      <c r="F202" t="s">
        <v>33</v>
      </c>
      <c r="G202" t="s">
        <v>34</v>
      </c>
    </row>
    <row r="203" spans="1:10">
      <c r="A203" s="6" t="s">
        <v>14</v>
      </c>
      <c r="B203" t="s">
        <v>55</v>
      </c>
      <c r="D203">
        <v>89.5</v>
      </c>
      <c r="F203" t="s">
        <v>33</v>
      </c>
      <c r="G203" t="s">
        <v>34</v>
      </c>
    </row>
    <row r="204" spans="1:10">
      <c r="A204" s="6" t="s">
        <v>15</v>
      </c>
      <c r="B204" t="s">
        <v>55</v>
      </c>
      <c r="D204">
        <v>90.4</v>
      </c>
      <c r="F204" t="s">
        <v>33</v>
      </c>
      <c r="G204" t="s">
        <v>34</v>
      </c>
    </row>
    <row r="205" spans="1:10">
      <c r="A205" s="6" t="s">
        <v>16</v>
      </c>
      <c r="B205" t="s">
        <v>55</v>
      </c>
      <c r="D205">
        <v>93.4</v>
      </c>
      <c r="F205" t="s">
        <v>33</v>
      </c>
      <c r="G205" t="s">
        <v>34</v>
      </c>
    </row>
    <row r="206" spans="1:10">
      <c r="A206" s="38" t="s">
        <v>17</v>
      </c>
      <c r="B206" t="s">
        <v>55</v>
      </c>
      <c r="D206">
        <v>95</v>
      </c>
      <c r="F206" t="s">
        <v>33</v>
      </c>
      <c r="G206" t="s">
        <v>34</v>
      </c>
    </row>
    <row r="207" spans="1:10">
      <c r="A207" s="7" t="s">
        <v>18</v>
      </c>
      <c r="B207" t="s">
        <v>55</v>
      </c>
      <c r="D207">
        <v>97.4</v>
      </c>
      <c r="F207" t="s">
        <v>33</v>
      </c>
      <c r="G207" t="s">
        <v>34</v>
      </c>
    </row>
    <row r="208" spans="1:10">
      <c r="A208" s="37" t="s">
        <v>19</v>
      </c>
      <c r="B208" t="s">
        <v>55</v>
      </c>
      <c r="F208" t="s">
        <v>33</v>
      </c>
      <c r="G208" t="s">
        <v>34</v>
      </c>
      <c r="J208" t="s">
        <v>159</v>
      </c>
    </row>
    <row r="209" spans="1:9">
      <c r="A209" s="6" t="s">
        <v>20</v>
      </c>
      <c r="B209" t="s">
        <v>55</v>
      </c>
      <c r="D209">
        <v>109.5</v>
      </c>
      <c r="F209" t="s">
        <v>33</v>
      </c>
      <c r="G209" t="s">
        <v>34</v>
      </c>
    </row>
    <row r="210" spans="1:9">
      <c r="A210" s="7" t="s">
        <v>21</v>
      </c>
      <c r="B210" t="s">
        <v>55</v>
      </c>
      <c r="D210">
        <v>117.6</v>
      </c>
      <c r="F210" t="s">
        <v>33</v>
      </c>
      <c r="G210" t="s">
        <v>34</v>
      </c>
    </row>
    <row r="211" spans="1:9">
      <c r="A211" s="5" t="s">
        <v>3</v>
      </c>
      <c r="B211" t="s">
        <v>54</v>
      </c>
      <c r="C211">
        <v>50</v>
      </c>
      <c r="D211">
        <v>99.5</v>
      </c>
      <c r="E211">
        <v>1.3875123885034744</v>
      </c>
      <c r="F211" t="s">
        <v>26</v>
      </c>
      <c r="G211" t="s">
        <v>2</v>
      </c>
      <c r="H211" t="s">
        <v>165</v>
      </c>
      <c r="I211" t="s">
        <v>51</v>
      </c>
    </row>
    <row r="212" spans="1:9">
      <c r="A212" s="6" t="s">
        <v>4</v>
      </c>
      <c r="B212" t="s">
        <v>54</v>
      </c>
      <c r="C212">
        <v>34</v>
      </c>
      <c r="D212">
        <v>94.3</v>
      </c>
      <c r="E212">
        <v>3.9714867617107998</v>
      </c>
      <c r="F212" t="s">
        <v>26</v>
      </c>
      <c r="G212" t="s">
        <v>2</v>
      </c>
      <c r="H212" t="s">
        <v>165</v>
      </c>
      <c r="I212" t="s">
        <v>51</v>
      </c>
    </row>
    <row r="213" spans="1:9">
      <c r="A213" s="6" t="s">
        <v>5</v>
      </c>
      <c r="B213" t="s">
        <v>54</v>
      </c>
      <c r="C213">
        <v>38.5</v>
      </c>
      <c r="D213">
        <v>102.1</v>
      </c>
      <c r="E213">
        <v>0.8737864077669959</v>
      </c>
      <c r="F213" t="s">
        <v>26</v>
      </c>
      <c r="G213" t="s">
        <v>2</v>
      </c>
      <c r="H213" t="s">
        <v>165</v>
      </c>
      <c r="I213" t="s">
        <v>51</v>
      </c>
    </row>
    <row r="214" spans="1:9">
      <c r="A214" s="36" t="s">
        <v>6</v>
      </c>
      <c r="B214" t="s">
        <v>54</v>
      </c>
      <c r="C214">
        <v>63.5</v>
      </c>
      <c r="D214">
        <v>101</v>
      </c>
      <c r="E214">
        <v>1.7509727626459117</v>
      </c>
      <c r="F214" t="s">
        <v>26</v>
      </c>
      <c r="G214" t="s">
        <v>2</v>
      </c>
      <c r="H214" t="s">
        <v>165</v>
      </c>
      <c r="I214" t="s">
        <v>51</v>
      </c>
    </row>
    <row r="215" spans="1:9">
      <c r="A215" s="5" t="s">
        <v>7</v>
      </c>
      <c r="B215" t="s">
        <v>54</v>
      </c>
      <c r="C215">
        <v>46</v>
      </c>
      <c r="D215">
        <v>103.4</v>
      </c>
      <c r="E215">
        <v>2.7281279397930307</v>
      </c>
      <c r="F215" t="s">
        <v>26</v>
      </c>
      <c r="G215" t="s">
        <v>2</v>
      </c>
      <c r="H215" t="s">
        <v>165</v>
      </c>
      <c r="I215" t="s">
        <v>51</v>
      </c>
    </row>
    <row r="216" spans="1:9">
      <c r="A216" s="6" t="s">
        <v>8</v>
      </c>
      <c r="B216" t="s">
        <v>54</v>
      </c>
      <c r="C216">
        <v>61.5</v>
      </c>
      <c r="D216">
        <v>96.7</v>
      </c>
      <c r="E216">
        <v>1.8274111675126874</v>
      </c>
      <c r="F216" t="s">
        <v>26</v>
      </c>
      <c r="G216" t="s">
        <v>2</v>
      </c>
      <c r="H216" t="s">
        <v>165</v>
      </c>
      <c r="I216" t="s">
        <v>51</v>
      </c>
    </row>
    <row r="217" spans="1:9">
      <c r="A217" s="7" t="s">
        <v>9</v>
      </c>
      <c r="B217" t="s">
        <v>54</v>
      </c>
      <c r="C217">
        <v>50.5</v>
      </c>
      <c r="D217">
        <v>105.5</v>
      </c>
      <c r="E217">
        <v>0.752587017873939</v>
      </c>
      <c r="F217" t="s">
        <v>26</v>
      </c>
      <c r="G217" t="s">
        <v>2</v>
      </c>
      <c r="H217" t="s">
        <v>165</v>
      </c>
      <c r="I217" t="s">
        <v>51</v>
      </c>
    </row>
    <row r="218" spans="1:9">
      <c r="A218" s="37" t="s">
        <v>10</v>
      </c>
      <c r="B218" t="s">
        <v>54</v>
      </c>
      <c r="C218">
        <v>52</v>
      </c>
      <c r="D218">
        <v>104.7</v>
      </c>
      <c r="E218">
        <v>1.2264150943396199</v>
      </c>
      <c r="F218" t="s">
        <v>26</v>
      </c>
      <c r="G218" t="s">
        <v>2</v>
      </c>
      <c r="H218" t="s">
        <v>165</v>
      </c>
      <c r="I218" t="s">
        <v>51</v>
      </c>
    </row>
    <row r="219" spans="1:9">
      <c r="A219" s="6" t="s">
        <v>11</v>
      </c>
      <c r="B219" t="s">
        <v>54</v>
      </c>
      <c r="C219">
        <v>63.5</v>
      </c>
      <c r="D219">
        <v>102.9</v>
      </c>
      <c r="E219">
        <v>3.3802816901408397</v>
      </c>
      <c r="F219" t="s">
        <v>26</v>
      </c>
      <c r="G219" t="s">
        <v>2</v>
      </c>
      <c r="H219" t="s">
        <v>165</v>
      </c>
      <c r="I219" t="s">
        <v>51</v>
      </c>
    </row>
    <row r="220" spans="1:9">
      <c r="A220" s="7" t="s">
        <v>12</v>
      </c>
      <c r="B220" t="s">
        <v>54</v>
      </c>
      <c r="C220">
        <v>73.5</v>
      </c>
      <c r="D220">
        <v>99.9</v>
      </c>
      <c r="E220">
        <v>5.576559546313792</v>
      </c>
      <c r="F220" t="s">
        <v>26</v>
      </c>
      <c r="G220" t="s">
        <v>2</v>
      </c>
      <c r="H220" t="s">
        <v>165</v>
      </c>
      <c r="I220" t="s">
        <v>51</v>
      </c>
    </row>
    <row r="221" spans="1:9">
      <c r="A221" s="5" t="s">
        <v>13</v>
      </c>
      <c r="B221" t="s">
        <v>56</v>
      </c>
      <c r="C221">
        <v>63</v>
      </c>
      <c r="D221">
        <v>83.8</v>
      </c>
      <c r="E221">
        <v>4.0091638029782359</v>
      </c>
      <c r="F221" t="s">
        <v>26</v>
      </c>
      <c r="G221" t="s">
        <v>2</v>
      </c>
      <c r="H221" t="s">
        <v>165</v>
      </c>
      <c r="I221" t="s">
        <v>51</v>
      </c>
    </row>
    <row r="222" spans="1:9">
      <c r="A222" s="6" t="s">
        <v>14</v>
      </c>
      <c r="B222" t="s">
        <v>56</v>
      </c>
      <c r="C222">
        <v>60</v>
      </c>
      <c r="D222">
        <v>84.5</v>
      </c>
      <c r="E222">
        <v>3.5388127853881213</v>
      </c>
      <c r="F222" t="s">
        <v>26</v>
      </c>
      <c r="G222" t="s">
        <v>2</v>
      </c>
      <c r="H222" t="s">
        <v>165</v>
      </c>
      <c r="I222" t="s">
        <v>51</v>
      </c>
    </row>
    <row r="223" spans="1:9">
      <c r="A223" s="6" t="s">
        <v>15</v>
      </c>
      <c r="B223" t="s">
        <v>56</v>
      </c>
      <c r="C223">
        <v>56.5</v>
      </c>
      <c r="D223">
        <v>85.4</v>
      </c>
      <c r="E223">
        <v>2.0642201834862353</v>
      </c>
      <c r="F223" t="s">
        <v>26</v>
      </c>
      <c r="G223" t="s">
        <v>2</v>
      </c>
      <c r="H223" t="s">
        <v>165</v>
      </c>
      <c r="I223" t="s">
        <v>51</v>
      </c>
    </row>
    <row r="224" spans="1:9">
      <c r="A224" s="6" t="s">
        <v>16</v>
      </c>
      <c r="B224" t="s">
        <v>56</v>
      </c>
      <c r="C224">
        <v>54</v>
      </c>
      <c r="D224">
        <v>87.4</v>
      </c>
      <c r="E224">
        <v>2.3463687150837926</v>
      </c>
      <c r="F224" t="s">
        <v>26</v>
      </c>
      <c r="G224" t="s">
        <v>2</v>
      </c>
      <c r="H224" t="s">
        <v>165</v>
      </c>
      <c r="I224" t="s">
        <v>51</v>
      </c>
    </row>
    <row r="225" spans="1:10">
      <c r="A225" s="38" t="s">
        <v>17</v>
      </c>
      <c r="B225" t="s">
        <v>56</v>
      </c>
      <c r="C225">
        <v>58</v>
      </c>
      <c r="D225">
        <v>89.2</v>
      </c>
      <c r="E225">
        <v>1.8701870187018732</v>
      </c>
      <c r="F225" t="s">
        <v>26</v>
      </c>
      <c r="G225" t="s">
        <v>2</v>
      </c>
      <c r="H225" t="s">
        <v>165</v>
      </c>
      <c r="I225" t="s">
        <v>51</v>
      </c>
    </row>
    <row r="226" spans="1:10">
      <c r="A226" s="7" t="s">
        <v>18</v>
      </c>
      <c r="B226" t="s">
        <v>56</v>
      </c>
      <c r="C226">
        <v>63.333333333333336</v>
      </c>
      <c r="D226">
        <v>90.5</v>
      </c>
      <c r="E226">
        <v>2.7926960257787266</v>
      </c>
      <c r="F226" t="s">
        <v>26</v>
      </c>
      <c r="G226" t="s">
        <v>2</v>
      </c>
      <c r="H226" t="s">
        <v>165</v>
      </c>
      <c r="I226" t="s">
        <v>51</v>
      </c>
    </row>
    <row r="227" spans="1:10">
      <c r="A227" s="37" t="s">
        <v>19</v>
      </c>
      <c r="B227" t="s">
        <v>56</v>
      </c>
      <c r="F227" t="s">
        <v>26</v>
      </c>
      <c r="G227" t="s">
        <v>2</v>
      </c>
      <c r="H227" t="s">
        <v>165</v>
      </c>
      <c r="I227" t="s">
        <v>51</v>
      </c>
      <c r="J227" t="s">
        <v>159</v>
      </c>
    </row>
    <row r="228" spans="1:10">
      <c r="A228" s="6" t="s">
        <v>20</v>
      </c>
      <c r="B228" t="s">
        <v>56</v>
      </c>
      <c r="C228">
        <v>66.5</v>
      </c>
      <c r="D228">
        <v>102</v>
      </c>
      <c r="E228">
        <v>5.3803339517625206</v>
      </c>
      <c r="F228" t="s">
        <v>26</v>
      </c>
      <c r="G228" t="s">
        <v>2</v>
      </c>
      <c r="H228" t="s">
        <v>165</v>
      </c>
      <c r="I228" t="s">
        <v>51</v>
      </c>
    </row>
    <row r="229" spans="1:10">
      <c r="A229" s="7" t="s">
        <v>21</v>
      </c>
      <c r="B229" t="s">
        <v>56</v>
      </c>
      <c r="C229">
        <v>47</v>
      </c>
      <c r="D229">
        <v>111.9</v>
      </c>
      <c r="E229">
        <v>4.0308747855917568</v>
      </c>
      <c r="F229" t="s">
        <v>26</v>
      </c>
      <c r="G229" t="s">
        <v>2</v>
      </c>
      <c r="H229" t="s">
        <v>165</v>
      </c>
      <c r="I229" t="s">
        <v>51</v>
      </c>
    </row>
    <row r="230" spans="1:10">
      <c r="A230" s="5" t="s">
        <v>3</v>
      </c>
      <c r="B230" t="s">
        <v>57</v>
      </c>
      <c r="C230">
        <v>221</v>
      </c>
      <c r="D230">
        <v>104.4</v>
      </c>
      <c r="E230">
        <v>3.4687809712586719</v>
      </c>
      <c r="F230" t="s">
        <v>1</v>
      </c>
      <c r="G230" t="s">
        <v>2</v>
      </c>
      <c r="H230" t="s">
        <v>167</v>
      </c>
      <c r="I230" t="s">
        <v>51</v>
      </c>
    </row>
    <row r="231" spans="1:10">
      <c r="A231" s="6" t="s">
        <v>4</v>
      </c>
      <c r="B231" t="s">
        <v>57</v>
      </c>
      <c r="C231">
        <v>309</v>
      </c>
      <c r="D231">
        <v>98.8</v>
      </c>
      <c r="E231">
        <v>0.61099796334011636</v>
      </c>
      <c r="F231" t="s">
        <v>1</v>
      </c>
      <c r="G231" t="s">
        <v>2</v>
      </c>
      <c r="H231" t="s">
        <v>167</v>
      </c>
      <c r="I231" t="s">
        <v>51</v>
      </c>
    </row>
    <row r="232" spans="1:10">
      <c r="A232" s="6" t="s">
        <v>5</v>
      </c>
      <c r="B232" t="s">
        <v>57</v>
      </c>
      <c r="C232">
        <v>248.5</v>
      </c>
      <c r="D232">
        <v>107</v>
      </c>
      <c r="E232">
        <v>3.8834951456310676</v>
      </c>
      <c r="F232" t="s">
        <v>1</v>
      </c>
      <c r="G232" t="s">
        <v>2</v>
      </c>
      <c r="H232" t="s">
        <v>167</v>
      </c>
      <c r="I232" t="s">
        <v>51</v>
      </c>
    </row>
    <row r="233" spans="1:10">
      <c r="A233" s="36" t="s">
        <v>6</v>
      </c>
      <c r="B233" t="s">
        <v>57</v>
      </c>
      <c r="C233">
        <v>63</v>
      </c>
      <c r="D233">
        <v>105</v>
      </c>
      <c r="E233">
        <v>2.1400778210116758</v>
      </c>
      <c r="F233" t="s">
        <v>1</v>
      </c>
      <c r="G233" t="s">
        <v>2</v>
      </c>
      <c r="H233" t="s">
        <v>167</v>
      </c>
      <c r="I233" t="s">
        <v>51</v>
      </c>
    </row>
    <row r="234" spans="1:10">
      <c r="A234" s="5" t="s">
        <v>7</v>
      </c>
      <c r="B234" t="s">
        <v>57</v>
      </c>
      <c r="C234">
        <v>225.5</v>
      </c>
      <c r="D234">
        <v>108.3</v>
      </c>
      <c r="E234">
        <v>1.8814675446848543</v>
      </c>
      <c r="F234" t="s">
        <v>1</v>
      </c>
      <c r="G234" t="s">
        <v>2</v>
      </c>
      <c r="H234" t="s">
        <v>167</v>
      </c>
      <c r="I234" t="s">
        <v>51</v>
      </c>
    </row>
    <row r="235" spans="1:10">
      <c r="A235" s="6" t="s">
        <v>8</v>
      </c>
      <c r="B235" t="s">
        <v>57</v>
      </c>
      <c r="C235">
        <v>514</v>
      </c>
      <c r="D235">
        <v>103.2</v>
      </c>
      <c r="E235">
        <v>4.771573604060916</v>
      </c>
      <c r="F235" t="s">
        <v>1</v>
      </c>
      <c r="G235" t="s">
        <v>2</v>
      </c>
      <c r="H235" t="s">
        <v>167</v>
      </c>
      <c r="I235" t="s">
        <v>51</v>
      </c>
    </row>
    <row r="236" spans="1:10">
      <c r="A236" s="7" t="s">
        <v>9</v>
      </c>
      <c r="B236" t="s">
        <v>57</v>
      </c>
      <c r="C236">
        <v>391.5</v>
      </c>
      <c r="D236">
        <v>112.6</v>
      </c>
      <c r="E236">
        <v>5.9266227657572879</v>
      </c>
      <c r="F236" t="s">
        <v>1</v>
      </c>
      <c r="G236" t="s">
        <v>2</v>
      </c>
      <c r="H236" t="s">
        <v>167</v>
      </c>
      <c r="I236" t="s">
        <v>51</v>
      </c>
    </row>
    <row r="237" spans="1:10">
      <c r="A237" s="37" t="s">
        <v>10</v>
      </c>
      <c r="B237" t="s">
        <v>57</v>
      </c>
      <c r="C237">
        <v>61</v>
      </c>
      <c r="D237">
        <v>109.8</v>
      </c>
      <c r="E237">
        <v>3.5849056603773555</v>
      </c>
      <c r="F237" t="s">
        <v>1</v>
      </c>
      <c r="G237" t="s">
        <v>2</v>
      </c>
      <c r="H237" t="s">
        <v>167</v>
      </c>
      <c r="I237" t="s">
        <v>51</v>
      </c>
    </row>
    <row r="238" spans="1:10">
      <c r="A238" s="6" t="s">
        <v>11</v>
      </c>
      <c r="B238" t="s">
        <v>57</v>
      </c>
      <c r="C238">
        <v>384.5</v>
      </c>
      <c r="D238">
        <v>109.3</v>
      </c>
      <c r="E238">
        <v>2.6291079812206548</v>
      </c>
      <c r="F238" t="s">
        <v>1</v>
      </c>
      <c r="G238" t="s">
        <v>2</v>
      </c>
      <c r="H238" t="s">
        <v>167</v>
      </c>
      <c r="I238" t="s">
        <v>51</v>
      </c>
    </row>
    <row r="239" spans="1:10">
      <c r="A239" s="7" t="s">
        <v>12</v>
      </c>
      <c r="B239" t="s">
        <v>57</v>
      </c>
      <c r="C239">
        <v>413</v>
      </c>
      <c r="D239">
        <v>106.5</v>
      </c>
      <c r="E239">
        <v>0.66162570888469074</v>
      </c>
      <c r="F239" t="s">
        <v>1</v>
      </c>
      <c r="G239" t="s">
        <v>2</v>
      </c>
      <c r="H239" t="s">
        <v>167</v>
      </c>
      <c r="I239" t="s">
        <v>51</v>
      </c>
    </row>
    <row r="240" spans="1:10">
      <c r="A240" s="5" t="s">
        <v>13</v>
      </c>
      <c r="B240" t="s">
        <v>58</v>
      </c>
      <c r="C240">
        <v>78</v>
      </c>
      <c r="D240">
        <v>89.5</v>
      </c>
      <c r="E240">
        <v>2.5200458190148942</v>
      </c>
      <c r="F240" t="s">
        <v>1</v>
      </c>
      <c r="G240" t="s">
        <v>2</v>
      </c>
      <c r="H240" t="s">
        <v>167</v>
      </c>
      <c r="I240" t="s">
        <v>51</v>
      </c>
    </row>
    <row r="241" spans="1:10">
      <c r="A241" s="6" t="s">
        <v>14</v>
      </c>
      <c r="B241" t="s">
        <v>58</v>
      </c>
      <c r="C241">
        <v>58</v>
      </c>
      <c r="D241">
        <v>91</v>
      </c>
      <c r="E241">
        <v>3.8812785388127922</v>
      </c>
      <c r="F241" t="s">
        <v>1</v>
      </c>
      <c r="G241" t="s">
        <v>2</v>
      </c>
      <c r="H241" t="s">
        <v>167</v>
      </c>
      <c r="I241" t="s">
        <v>51</v>
      </c>
    </row>
    <row r="242" spans="1:10">
      <c r="A242" s="6" t="s">
        <v>15</v>
      </c>
      <c r="B242" t="s">
        <v>58</v>
      </c>
      <c r="C242">
        <v>65.5</v>
      </c>
      <c r="D242">
        <v>91.3</v>
      </c>
      <c r="E242">
        <v>4.7018348623853141</v>
      </c>
      <c r="F242" t="s">
        <v>1</v>
      </c>
      <c r="G242" t="s">
        <v>2</v>
      </c>
      <c r="H242" t="s">
        <v>167</v>
      </c>
      <c r="I242" t="s">
        <v>51</v>
      </c>
    </row>
    <row r="243" spans="1:10">
      <c r="A243" s="6" t="s">
        <v>16</v>
      </c>
      <c r="B243" t="s">
        <v>58</v>
      </c>
      <c r="C243">
        <v>98.333333333333329</v>
      </c>
      <c r="D243">
        <v>93.9</v>
      </c>
      <c r="E243">
        <v>4.9162011173184421</v>
      </c>
      <c r="F243" t="s">
        <v>1</v>
      </c>
      <c r="G243" t="s">
        <v>2</v>
      </c>
      <c r="H243" t="s">
        <v>167</v>
      </c>
      <c r="I243" t="s">
        <v>51</v>
      </c>
    </row>
    <row r="244" spans="1:10">
      <c r="A244" s="38" t="s">
        <v>17</v>
      </c>
      <c r="B244" t="s">
        <v>58</v>
      </c>
      <c r="C244">
        <v>68.5</v>
      </c>
      <c r="D244">
        <v>94.8</v>
      </c>
      <c r="E244">
        <v>4.2904290429042806</v>
      </c>
      <c r="F244" t="s">
        <v>1</v>
      </c>
      <c r="G244" t="s">
        <v>2</v>
      </c>
      <c r="H244" t="s">
        <v>167</v>
      </c>
      <c r="I244" t="s">
        <v>51</v>
      </c>
    </row>
    <row r="245" spans="1:10">
      <c r="A245" s="7" t="s">
        <v>18</v>
      </c>
      <c r="B245" t="s">
        <v>58</v>
      </c>
      <c r="C245">
        <v>295</v>
      </c>
      <c r="D245">
        <v>99.3</v>
      </c>
      <c r="E245">
        <v>6.6595059076262118</v>
      </c>
      <c r="F245" t="s">
        <v>1</v>
      </c>
      <c r="G245" t="s">
        <v>2</v>
      </c>
      <c r="H245" t="s">
        <v>167</v>
      </c>
      <c r="I245" t="s">
        <v>51</v>
      </c>
    </row>
    <row r="246" spans="1:10">
      <c r="A246" s="37" t="s">
        <v>19</v>
      </c>
      <c r="B246" t="s">
        <v>58</v>
      </c>
      <c r="F246" t="s">
        <v>1</v>
      </c>
      <c r="G246" t="s">
        <v>2</v>
      </c>
      <c r="H246" t="s">
        <v>167</v>
      </c>
      <c r="I246" t="s">
        <v>51</v>
      </c>
      <c r="J246" t="s">
        <v>159</v>
      </c>
    </row>
    <row r="247" spans="1:10">
      <c r="A247" s="6" t="s">
        <v>20</v>
      </c>
      <c r="B247" t="s">
        <v>58</v>
      </c>
      <c r="C247">
        <v>505.5</v>
      </c>
      <c r="D247">
        <v>109.7</v>
      </c>
      <c r="E247">
        <v>1.7625231910946251</v>
      </c>
      <c r="F247" t="s">
        <v>1</v>
      </c>
      <c r="G247" t="s">
        <v>2</v>
      </c>
      <c r="H247" t="s">
        <v>167</v>
      </c>
      <c r="I247" t="s">
        <v>51</v>
      </c>
    </row>
    <row r="248" spans="1:10">
      <c r="A248" s="7" t="s">
        <v>21</v>
      </c>
      <c r="B248" t="s">
        <v>58</v>
      </c>
      <c r="C248">
        <v>338.5</v>
      </c>
      <c r="D248">
        <v>112.9</v>
      </c>
      <c r="E248">
        <v>-3.1732418524871258</v>
      </c>
      <c r="F248" t="s">
        <v>1</v>
      </c>
      <c r="G248" t="s">
        <v>2</v>
      </c>
      <c r="H248" t="s">
        <v>167</v>
      </c>
      <c r="I248" t="s">
        <v>51</v>
      </c>
    </row>
    <row r="249" spans="1:10">
      <c r="A249" s="5" t="s">
        <v>3</v>
      </c>
      <c r="B249" t="s">
        <v>59</v>
      </c>
      <c r="D249">
        <v>105.1</v>
      </c>
      <c r="F249" t="s">
        <v>33</v>
      </c>
      <c r="G249" t="s">
        <v>34</v>
      </c>
    </row>
    <row r="250" spans="1:10">
      <c r="A250" s="6" t="s">
        <v>4</v>
      </c>
      <c r="B250" t="s">
        <v>59</v>
      </c>
      <c r="D250">
        <v>101.7</v>
      </c>
      <c r="F250" t="s">
        <v>33</v>
      </c>
      <c r="G250" t="s">
        <v>34</v>
      </c>
    </row>
    <row r="251" spans="1:10">
      <c r="A251" s="6" t="s">
        <v>5</v>
      </c>
      <c r="B251" t="s">
        <v>59</v>
      </c>
      <c r="D251">
        <v>109.1</v>
      </c>
      <c r="F251" t="s">
        <v>33</v>
      </c>
      <c r="G251" t="s">
        <v>34</v>
      </c>
    </row>
    <row r="252" spans="1:10">
      <c r="A252" s="36" t="s">
        <v>6</v>
      </c>
      <c r="B252" t="s">
        <v>59</v>
      </c>
      <c r="D252">
        <v>109.2</v>
      </c>
      <c r="F252" t="s">
        <v>33</v>
      </c>
      <c r="G252" t="s">
        <v>34</v>
      </c>
    </row>
    <row r="253" spans="1:10">
      <c r="A253" s="5" t="s">
        <v>7</v>
      </c>
      <c r="B253" t="s">
        <v>59</v>
      </c>
      <c r="D253">
        <v>110.4</v>
      </c>
      <c r="F253" t="s">
        <v>33</v>
      </c>
      <c r="G253" t="s">
        <v>34</v>
      </c>
    </row>
    <row r="254" spans="1:10">
      <c r="A254" s="6" t="s">
        <v>8</v>
      </c>
      <c r="B254" t="s">
        <v>59</v>
      </c>
      <c r="D254">
        <v>105.5</v>
      </c>
      <c r="F254" t="s">
        <v>33</v>
      </c>
      <c r="G254" t="s">
        <v>34</v>
      </c>
    </row>
    <row r="255" spans="1:10">
      <c r="A255" s="7" t="s">
        <v>9</v>
      </c>
      <c r="B255" t="s">
        <v>59</v>
      </c>
      <c r="D255">
        <v>112.1</v>
      </c>
      <c r="F255" t="s">
        <v>33</v>
      </c>
      <c r="G255" t="s">
        <v>34</v>
      </c>
    </row>
    <row r="256" spans="1:10">
      <c r="A256" s="37" t="s">
        <v>10</v>
      </c>
      <c r="B256" t="s">
        <v>59</v>
      </c>
      <c r="D256">
        <v>112.1</v>
      </c>
      <c r="F256" t="s">
        <v>33</v>
      </c>
      <c r="G256" t="s">
        <v>34</v>
      </c>
    </row>
    <row r="257" spans="1:10">
      <c r="A257" s="6" t="s">
        <v>11</v>
      </c>
      <c r="B257" t="s">
        <v>59</v>
      </c>
      <c r="D257">
        <v>113.2</v>
      </c>
      <c r="F257" t="s">
        <v>33</v>
      </c>
      <c r="G257" t="s">
        <v>34</v>
      </c>
    </row>
    <row r="258" spans="1:10">
      <c r="A258" s="7" t="s">
        <v>12</v>
      </c>
      <c r="B258" t="s">
        <v>59</v>
      </c>
      <c r="D258">
        <v>108.8</v>
      </c>
      <c r="F258" t="s">
        <v>33</v>
      </c>
      <c r="G258" t="s">
        <v>34</v>
      </c>
    </row>
    <row r="259" spans="1:10">
      <c r="A259" s="5" t="s">
        <v>13</v>
      </c>
      <c r="B259" t="s">
        <v>61</v>
      </c>
      <c r="D259">
        <v>92.4</v>
      </c>
      <c r="F259" t="s">
        <v>33</v>
      </c>
      <c r="G259" t="s">
        <v>34</v>
      </c>
    </row>
    <row r="260" spans="1:10">
      <c r="A260" s="6" t="s">
        <v>14</v>
      </c>
      <c r="B260" t="s">
        <v>61</v>
      </c>
      <c r="D260">
        <v>98.3</v>
      </c>
      <c r="F260" t="s">
        <v>33</v>
      </c>
      <c r="G260" t="s">
        <v>34</v>
      </c>
    </row>
    <row r="261" spans="1:10">
      <c r="A261" s="6" t="s">
        <v>15</v>
      </c>
      <c r="B261" t="s">
        <v>61</v>
      </c>
      <c r="D261">
        <v>94.5</v>
      </c>
      <c r="F261" t="s">
        <v>33</v>
      </c>
      <c r="G261" t="s">
        <v>34</v>
      </c>
    </row>
    <row r="262" spans="1:10">
      <c r="A262" s="6" t="s">
        <v>16</v>
      </c>
      <c r="B262" t="s">
        <v>61</v>
      </c>
      <c r="D262">
        <v>98</v>
      </c>
      <c r="F262" t="s">
        <v>33</v>
      </c>
      <c r="G262" t="s">
        <v>34</v>
      </c>
    </row>
    <row r="263" spans="1:10">
      <c r="A263" s="38" t="s">
        <v>17</v>
      </c>
      <c r="B263" t="s">
        <v>61</v>
      </c>
      <c r="D263">
        <v>98.3</v>
      </c>
      <c r="F263" t="s">
        <v>33</v>
      </c>
      <c r="G263" t="s">
        <v>34</v>
      </c>
    </row>
    <row r="264" spans="1:10">
      <c r="A264" s="7" t="s">
        <v>18</v>
      </c>
      <c r="B264" t="s">
        <v>61</v>
      </c>
      <c r="D264">
        <v>104.4</v>
      </c>
      <c r="F264" t="s">
        <v>33</v>
      </c>
      <c r="G264" t="s">
        <v>34</v>
      </c>
    </row>
    <row r="265" spans="1:10">
      <c r="A265" s="37" t="s">
        <v>19</v>
      </c>
      <c r="B265" t="s">
        <v>61</v>
      </c>
      <c r="F265" t="s">
        <v>33</v>
      </c>
      <c r="G265" t="s">
        <v>34</v>
      </c>
      <c r="J265" t="s">
        <v>159</v>
      </c>
    </row>
    <row r="266" spans="1:10">
      <c r="A266" s="6" t="s">
        <v>20</v>
      </c>
      <c r="B266" t="s">
        <v>61</v>
      </c>
      <c r="D266">
        <v>110.5</v>
      </c>
      <c r="F266" t="s">
        <v>33</v>
      </c>
      <c r="G266" t="s">
        <v>34</v>
      </c>
    </row>
    <row r="267" spans="1:10">
      <c r="A267" s="7" t="s">
        <v>21</v>
      </c>
      <c r="B267" t="s">
        <v>61</v>
      </c>
      <c r="D267">
        <v>121.3</v>
      </c>
      <c r="F267" t="s">
        <v>33</v>
      </c>
      <c r="G267" t="s">
        <v>34</v>
      </c>
    </row>
    <row r="268" spans="1:10">
      <c r="A268" s="5" t="s">
        <v>3</v>
      </c>
      <c r="B268" t="s">
        <v>60</v>
      </c>
      <c r="C268">
        <v>58.5</v>
      </c>
      <c r="D268">
        <v>100.9</v>
      </c>
      <c r="E268">
        <v>3.9961941008563167</v>
      </c>
      <c r="F268" t="s">
        <v>26</v>
      </c>
      <c r="G268" t="s">
        <v>2</v>
      </c>
      <c r="H268" t="s">
        <v>165</v>
      </c>
      <c r="I268" t="s">
        <v>52</v>
      </c>
    </row>
    <row r="269" spans="1:10">
      <c r="A269" s="6" t="s">
        <v>4</v>
      </c>
      <c r="B269" t="s">
        <v>60</v>
      </c>
      <c r="C269">
        <v>48</v>
      </c>
      <c r="D269">
        <v>97</v>
      </c>
      <c r="E269">
        <v>4.6214355948869255</v>
      </c>
      <c r="F269" t="s">
        <v>26</v>
      </c>
      <c r="G269" t="s">
        <v>2</v>
      </c>
      <c r="H269" t="s">
        <v>165</v>
      </c>
      <c r="I269" t="s">
        <v>52</v>
      </c>
    </row>
    <row r="270" spans="1:10">
      <c r="A270" s="6" t="s">
        <v>5</v>
      </c>
      <c r="B270" t="s">
        <v>60</v>
      </c>
      <c r="C270">
        <v>56.5</v>
      </c>
      <c r="D270">
        <v>105.4</v>
      </c>
      <c r="E270">
        <v>3.3913840513290459</v>
      </c>
      <c r="F270" t="s">
        <v>26</v>
      </c>
      <c r="G270" t="s">
        <v>2</v>
      </c>
      <c r="H270" t="s">
        <v>165</v>
      </c>
      <c r="I270" t="s">
        <v>52</v>
      </c>
    </row>
    <row r="271" spans="1:10">
      <c r="A271" s="36" t="s">
        <v>6</v>
      </c>
      <c r="B271" t="s">
        <v>60</v>
      </c>
      <c r="C271">
        <v>42</v>
      </c>
      <c r="D271">
        <v>105.1</v>
      </c>
      <c r="E271">
        <v>3.7545787545787621</v>
      </c>
      <c r="F271" t="s">
        <v>26</v>
      </c>
      <c r="G271" t="s">
        <v>2</v>
      </c>
      <c r="H271" t="s">
        <v>165</v>
      </c>
      <c r="I271" t="s">
        <v>52</v>
      </c>
    </row>
    <row r="272" spans="1:10">
      <c r="A272" s="5" t="s">
        <v>7</v>
      </c>
      <c r="B272" t="s">
        <v>60</v>
      </c>
      <c r="C272">
        <v>38.5</v>
      </c>
      <c r="D272">
        <v>106.6</v>
      </c>
      <c r="E272">
        <v>3.4420289855072568</v>
      </c>
      <c r="F272" t="s">
        <v>26</v>
      </c>
      <c r="G272" t="s">
        <v>2</v>
      </c>
      <c r="H272" t="s">
        <v>165</v>
      </c>
      <c r="I272" t="s">
        <v>52</v>
      </c>
    </row>
    <row r="273" spans="1:10">
      <c r="A273" s="6" t="s">
        <v>8</v>
      </c>
      <c r="B273" t="s">
        <v>60</v>
      </c>
      <c r="C273">
        <v>169</v>
      </c>
      <c r="D273">
        <v>98.7</v>
      </c>
      <c r="E273">
        <v>6.4454976303317508</v>
      </c>
      <c r="F273" t="s">
        <v>26</v>
      </c>
      <c r="G273" t="s">
        <v>2</v>
      </c>
      <c r="H273" t="s">
        <v>165</v>
      </c>
      <c r="I273" t="s">
        <v>52</v>
      </c>
    </row>
    <row r="274" spans="1:10">
      <c r="A274" s="7" t="s">
        <v>9</v>
      </c>
      <c r="B274" t="s">
        <v>60</v>
      </c>
      <c r="C274">
        <v>138</v>
      </c>
      <c r="D274">
        <v>107</v>
      </c>
      <c r="E274">
        <v>4.5495093666369266</v>
      </c>
      <c r="F274" t="s">
        <v>26</v>
      </c>
      <c r="G274" t="s">
        <v>2</v>
      </c>
      <c r="H274" t="s">
        <v>165</v>
      </c>
      <c r="I274" t="s">
        <v>52</v>
      </c>
    </row>
    <row r="275" spans="1:10">
      <c r="A275" s="37" t="s">
        <v>10</v>
      </c>
      <c r="B275" t="s">
        <v>60</v>
      </c>
      <c r="C275">
        <v>52</v>
      </c>
      <c r="D275">
        <v>107.2</v>
      </c>
      <c r="E275">
        <v>4.3710972346119457</v>
      </c>
      <c r="F275" t="s">
        <v>26</v>
      </c>
      <c r="G275" t="s">
        <v>2</v>
      </c>
      <c r="H275" t="s">
        <v>165</v>
      </c>
      <c r="I275" t="s">
        <v>52</v>
      </c>
    </row>
    <row r="276" spans="1:10">
      <c r="A276" s="6" t="s">
        <v>11</v>
      </c>
      <c r="B276" t="s">
        <v>60</v>
      </c>
      <c r="C276">
        <v>171</v>
      </c>
      <c r="D276">
        <v>105.1</v>
      </c>
      <c r="E276">
        <v>7.1554770318021284</v>
      </c>
      <c r="F276" t="s">
        <v>26</v>
      </c>
      <c r="G276" t="s">
        <v>2</v>
      </c>
      <c r="H276" t="s">
        <v>165</v>
      </c>
      <c r="I276" t="s">
        <v>52</v>
      </c>
    </row>
    <row r="277" spans="1:10">
      <c r="A277" s="7" t="s">
        <v>12</v>
      </c>
      <c r="B277" t="s">
        <v>60</v>
      </c>
      <c r="C277">
        <v>62</v>
      </c>
      <c r="D277">
        <v>100</v>
      </c>
      <c r="E277">
        <v>8.088235294117645</v>
      </c>
      <c r="F277" t="s">
        <v>26</v>
      </c>
      <c r="G277" t="s">
        <v>2</v>
      </c>
      <c r="H277" t="s">
        <v>165</v>
      </c>
      <c r="I277" t="s">
        <v>52</v>
      </c>
    </row>
    <row r="278" spans="1:10">
      <c r="A278" s="5" t="s">
        <v>13</v>
      </c>
      <c r="B278" t="s">
        <v>62</v>
      </c>
      <c r="C278">
        <v>72</v>
      </c>
      <c r="D278">
        <v>88</v>
      </c>
      <c r="E278">
        <v>4.7619047619047681</v>
      </c>
      <c r="F278" t="s">
        <v>26</v>
      </c>
      <c r="G278" t="s">
        <v>2</v>
      </c>
      <c r="H278" t="s">
        <v>165</v>
      </c>
      <c r="I278" t="s">
        <v>52</v>
      </c>
    </row>
    <row r="279" spans="1:10">
      <c r="A279" s="6" t="s">
        <v>14</v>
      </c>
      <c r="B279" t="s">
        <v>62</v>
      </c>
      <c r="C279">
        <v>59.5</v>
      </c>
      <c r="D279">
        <v>94.4</v>
      </c>
      <c r="E279">
        <v>3.9674465920650985</v>
      </c>
      <c r="F279" t="s">
        <v>26</v>
      </c>
      <c r="G279" t="s">
        <v>2</v>
      </c>
      <c r="H279" t="s">
        <v>165</v>
      </c>
      <c r="I279" t="s">
        <v>52</v>
      </c>
    </row>
    <row r="280" spans="1:10">
      <c r="A280" s="6" t="s">
        <v>15</v>
      </c>
      <c r="B280" t="s">
        <v>62</v>
      </c>
      <c r="C280">
        <v>50</v>
      </c>
      <c r="D280">
        <v>89.4</v>
      </c>
      <c r="E280">
        <v>5.396825396825391</v>
      </c>
      <c r="F280" t="s">
        <v>26</v>
      </c>
      <c r="G280" t="s">
        <v>2</v>
      </c>
      <c r="H280" t="s">
        <v>165</v>
      </c>
      <c r="I280" t="s">
        <v>52</v>
      </c>
    </row>
    <row r="281" spans="1:10">
      <c r="A281" s="6" t="s">
        <v>16</v>
      </c>
      <c r="B281" t="s">
        <v>62</v>
      </c>
      <c r="C281">
        <v>48</v>
      </c>
      <c r="D281">
        <v>91.6</v>
      </c>
      <c r="E281">
        <v>6.5306122448979655</v>
      </c>
      <c r="F281" t="s">
        <v>26</v>
      </c>
      <c r="G281" t="s">
        <v>2</v>
      </c>
      <c r="H281" t="s">
        <v>165</v>
      </c>
      <c r="I281" t="s">
        <v>52</v>
      </c>
    </row>
    <row r="282" spans="1:10">
      <c r="A282" s="38" t="s">
        <v>17</v>
      </c>
      <c r="B282" t="s">
        <v>62</v>
      </c>
      <c r="C282">
        <v>43</v>
      </c>
      <c r="D282">
        <v>95.6</v>
      </c>
      <c r="E282">
        <v>2.7466937945066152</v>
      </c>
      <c r="F282" t="s">
        <v>26</v>
      </c>
      <c r="G282" t="s">
        <v>2</v>
      </c>
      <c r="H282" t="s">
        <v>165</v>
      </c>
      <c r="I282" t="s">
        <v>52</v>
      </c>
    </row>
    <row r="283" spans="1:10">
      <c r="A283" s="7" t="s">
        <v>18</v>
      </c>
      <c r="B283" t="s">
        <v>62</v>
      </c>
      <c r="C283">
        <v>58.5</v>
      </c>
      <c r="D283">
        <v>98.8</v>
      </c>
      <c r="E283">
        <v>5.3639846743295099</v>
      </c>
      <c r="F283" t="s">
        <v>26</v>
      </c>
      <c r="G283" t="s">
        <v>2</v>
      </c>
      <c r="H283" t="s">
        <v>165</v>
      </c>
      <c r="I283" t="s">
        <v>52</v>
      </c>
    </row>
    <row r="284" spans="1:10">
      <c r="A284" s="37" t="s">
        <v>19</v>
      </c>
      <c r="B284" t="s">
        <v>62</v>
      </c>
      <c r="F284" t="s">
        <v>26</v>
      </c>
      <c r="G284" t="s">
        <v>2</v>
      </c>
      <c r="H284" t="s">
        <v>165</v>
      </c>
      <c r="I284" t="s">
        <v>52</v>
      </c>
      <c r="J284" t="s">
        <v>159</v>
      </c>
    </row>
    <row r="285" spans="1:10">
      <c r="A285" s="6" t="s">
        <v>20</v>
      </c>
      <c r="B285" t="s">
        <v>62</v>
      </c>
      <c r="C285">
        <v>64.5</v>
      </c>
      <c r="D285">
        <v>104</v>
      </c>
      <c r="E285">
        <v>5.8823529411764701</v>
      </c>
      <c r="F285" t="s">
        <v>26</v>
      </c>
      <c r="G285" t="s">
        <v>2</v>
      </c>
      <c r="H285" t="s">
        <v>165</v>
      </c>
      <c r="I285" t="s">
        <v>52</v>
      </c>
    </row>
    <row r="286" spans="1:10">
      <c r="A286" s="7" t="s">
        <v>21</v>
      </c>
      <c r="B286" t="s">
        <v>62</v>
      </c>
      <c r="C286">
        <v>48.5</v>
      </c>
      <c r="D286">
        <v>113.8</v>
      </c>
      <c r="E286">
        <v>6.1830173124484755</v>
      </c>
      <c r="F286" t="s">
        <v>26</v>
      </c>
      <c r="G286" t="s">
        <v>2</v>
      </c>
      <c r="H286" t="s">
        <v>165</v>
      </c>
      <c r="I286" t="s">
        <v>52</v>
      </c>
    </row>
    <row r="287" spans="1:10">
      <c r="A287" s="5" t="s">
        <v>3</v>
      </c>
      <c r="B287" t="s">
        <v>63</v>
      </c>
      <c r="C287">
        <v>193</v>
      </c>
      <c r="D287">
        <v>104.6</v>
      </c>
      <c r="F287" t="s">
        <v>135</v>
      </c>
      <c r="G287" t="s">
        <v>2</v>
      </c>
      <c r="H287" t="s">
        <v>167</v>
      </c>
      <c r="I287" t="s">
        <v>52</v>
      </c>
    </row>
    <row r="288" spans="1:10">
      <c r="A288" s="6" t="s">
        <v>4</v>
      </c>
      <c r="B288" t="s">
        <v>63</v>
      </c>
      <c r="C288">
        <v>370.5</v>
      </c>
      <c r="D288">
        <v>100.4</v>
      </c>
      <c r="F288" t="s">
        <v>135</v>
      </c>
      <c r="G288" t="s">
        <v>2</v>
      </c>
      <c r="H288" t="s">
        <v>167</v>
      </c>
      <c r="I288" t="s">
        <v>52</v>
      </c>
    </row>
    <row r="289" spans="1:10">
      <c r="A289" s="6" t="s">
        <v>5</v>
      </c>
      <c r="B289" t="s">
        <v>63</v>
      </c>
      <c r="C289">
        <v>90.333333333333329</v>
      </c>
      <c r="D289">
        <v>106.9</v>
      </c>
      <c r="F289" t="s">
        <v>135</v>
      </c>
      <c r="G289" t="s">
        <v>2</v>
      </c>
      <c r="H289" t="s">
        <v>167</v>
      </c>
      <c r="I289" t="s">
        <v>52</v>
      </c>
    </row>
    <row r="290" spans="1:10">
      <c r="A290" s="36" t="s">
        <v>6</v>
      </c>
      <c r="B290" t="s">
        <v>63</v>
      </c>
      <c r="F290" t="s">
        <v>135</v>
      </c>
      <c r="G290" t="s">
        <v>2</v>
      </c>
      <c r="H290" t="s">
        <v>167</v>
      </c>
      <c r="I290" t="s">
        <v>52</v>
      </c>
      <c r="J290" t="s">
        <v>132</v>
      </c>
    </row>
    <row r="291" spans="1:10">
      <c r="A291" s="5" t="s">
        <v>7</v>
      </c>
      <c r="B291" t="s">
        <v>63</v>
      </c>
      <c r="C291">
        <v>139.5</v>
      </c>
      <c r="D291">
        <v>108.6</v>
      </c>
      <c r="F291" t="s">
        <v>135</v>
      </c>
      <c r="G291" t="s">
        <v>2</v>
      </c>
      <c r="H291" t="s">
        <v>167</v>
      </c>
      <c r="I291" t="s">
        <v>52</v>
      </c>
    </row>
    <row r="292" spans="1:10">
      <c r="A292" s="6" t="s">
        <v>8</v>
      </c>
      <c r="B292" t="s">
        <v>63</v>
      </c>
      <c r="C292">
        <v>509</v>
      </c>
      <c r="D292">
        <v>101.8</v>
      </c>
      <c r="F292" t="s">
        <v>135</v>
      </c>
      <c r="G292" t="s">
        <v>2</v>
      </c>
      <c r="H292" t="s">
        <v>167</v>
      </c>
      <c r="I292" t="s">
        <v>52</v>
      </c>
    </row>
    <row r="293" spans="1:10">
      <c r="A293" s="7" t="s">
        <v>9</v>
      </c>
      <c r="B293" t="s">
        <v>63</v>
      </c>
      <c r="C293">
        <v>435.5</v>
      </c>
      <c r="D293">
        <v>110.7</v>
      </c>
      <c r="F293" t="s">
        <v>135</v>
      </c>
      <c r="G293" t="s">
        <v>2</v>
      </c>
      <c r="H293" t="s">
        <v>167</v>
      </c>
      <c r="I293" t="s">
        <v>52</v>
      </c>
    </row>
    <row r="294" spans="1:10">
      <c r="A294" s="37" t="s">
        <v>10</v>
      </c>
      <c r="B294" t="s">
        <v>63</v>
      </c>
      <c r="F294" t="s">
        <v>135</v>
      </c>
      <c r="G294" t="s">
        <v>2</v>
      </c>
      <c r="H294" t="s">
        <v>167</v>
      </c>
      <c r="I294" t="s">
        <v>52</v>
      </c>
      <c r="J294" t="s">
        <v>132</v>
      </c>
    </row>
    <row r="295" spans="1:10">
      <c r="A295" s="6" t="s">
        <v>11</v>
      </c>
      <c r="B295" t="s">
        <v>63</v>
      </c>
      <c r="C295">
        <v>600</v>
      </c>
      <c r="D295">
        <v>109.2</v>
      </c>
      <c r="F295" t="s">
        <v>135</v>
      </c>
      <c r="G295" t="s">
        <v>2</v>
      </c>
      <c r="H295" t="s">
        <v>167</v>
      </c>
      <c r="I295" t="s">
        <v>52</v>
      </c>
    </row>
    <row r="296" spans="1:10">
      <c r="A296" s="7" t="s">
        <v>12</v>
      </c>
      <c r="B296" t="s">
        <v>63</v>
      </c>
      <c r="C296">
        <v>537.5</v>
      </c>
      <c r="D296">
        <v>105.5</v>
      </c>
      <c r="F296" t="s">
        <v>135</v>
      </c>
      <c r="G296" t="s">
        <v>2</v>
      </c>
      <c r="H296" t="s">
        <v>167</v>
      </c>
      <c r="I296" t="s">
        <v>52</v>
      </c>
    </row>
    <row r="297" spans="1:10">
      <c r="A297" s="5" t="s">
        <v>13</v>
      </c>
      <c r="B297" t="s">
        <v>64</v>
      </c>
      <c r="C297">
        <v>68</v>
      </c>
      <c r="D297">
        <v>89.6</v>
      </c>
      <c r="F297" t="s">
        <v>135</v>
      </c>
      <c r="G297" t="s">
        <v>2</v>
      </c>
      <c r="H297" t="s">
        <v>167</v>
      </c>
      <c r="I297" t="s">
        <v>52</v>
      </c>
    </row>
    <row r="298" spans="1:10">
      <c r="A298" s="6" t="s">
        <v>14</v>
      </c>
      <c r="B298" t="s">
        <v>64</v>
      </c>
      <c r="C298">
        <v>44</v>
      </c>
      <c r="D298">
        <v>97.5</v>
      </c>
      <c r="F298" t="s">
        <v>135</v>
      </c>
      <c r="G298" t="s">
        <v>2</v>
      </c>
      <c r="H298" t="s">
        <v>167</v>
      </c>
      <c r="I298" t="s">
        <v>52</v>
      </c>
    </row>
    <row r="299" spans="1:10">
      <c r="A299" s="6" t="s">
        <v>15</v>
      </c>
      <c r="B299" t="s">
        <v>64</v>
      </c>
      <c r="C299">
        <v>65</v>
      </c>
      <c r="D299">
        <v>92.3</v>
      </c>
      <c r="F299" t="s">
        <v>135</v>
      </c>
      <c r="G299" t="s">
        <v>2</v>
      </c>
      <c r="H299" t="s">
        <v>167</v>
      </c>
      <c r="I299" t="s">
        <v>52</v>
      </c>
    </row>
    <row r="300" spans="1:10">
      <c r="A300" s="6" t="s">
        <v>16</v>
      </c>
      <c r="B300" t="s">
        <v>64</v>
      </c>
      <c r="C300">
        <v>70</v>
      </c>
      <c r="D300">
        <v>94.4</v>
      </c>
      <c r="F300" t="s">
        <v>135</v>
      </c>
      <c r="G300" t="s">
        <v>2</v>
      </c>
      <c r="H300" t="s">
        <v>167</v>
      </c>
      <c r="I300" t="s">
        <v>52</v>
      </c>
    </row>
    <row r="301" spans="1:10">
      <c r="A301" s="38" t="s">
        <v>17</v>
      </c>
      <c r="B301" t="s">
        <v>64</v>
      </c>
      <c r="C301">
        <v>61.5</v>
      </c>
      <c r="D301">
        <v>94.8</v>
      </c>
      <c r="F301" t="s">
        <v>135</v>
      </c>
      <c r="G301" t="s">
        <v>2</v>
      </c>
      <c r="H301" t="s">
        <v>167</v>
      </c>
      <c r="I301" t="s">
        <v>52</v>
      </c>
    </row>
    <row r="302" spans="1:10">
      <c r="A302" s="7" t="s">
        <v>18</v>
      </c>
      <c r="B302" t="s">
        <v>64</v>
      </c>
      <c r="C302">
        <v>95.5</v>
      </c>
      <c r="D302">
        <v>100.6</v>
      </c>
      <c r="F302" t="s">
        <v>135</v>
      </c>
      <c r="G302" t="s">
        <v>2</v>
      </c>
      <c r="H302" t="s">
        <v>167</v>
      </c>
      <c r="I302" t="s">
        <v>52</v>
      </c>
    </row>
    <row r="303" spans="1:10">
      <c r="A303" s="37" t="s">
        <v>19</v>
      </c>
      <c r="B303" t="s">
        <v>64</v>
      </c>
      <c r="F303" t="s">
        <v>135</v>
      </c>
      <c r="G303" t="s">
        <v>2</v>
      </c>
      <c r="H303" t="s">
        <v>167</v>
      </c>
      <c r="I303" t="s">
        <v>52</v>
      </c>
      <c r="J303" t="s">
        <v>159</v>
      </c>
    </row>
    <row r="304" spans="1:10">
      <c r="A304" s="6" t="s">
        <v>20</v>
      </c>
      <c r="B304" t="s">
        <v>64</v>
      </c>
      <c r="F304" t="s">
        <v>135</v>
      </c>
      <c r="G304" t="s">
        <v>2</v>
      </c>
      <c r="H304" t="s">
        <v>167</v>
      </c>
      <c r="I304" t="s">
        <v>52</v>
      </c>
      <c r="J304" t="s">
        <v>149</v>
      </c>
    </row>
    <row r="305" spans="1:10">
      <c r="A305" s="7" t="s">
        <v>21</v>
      </c>
      <c r="B305" t="s">
        <v>64</v>
      </c>
      <c r="F305" t="s">
        <v>135</v>
      </c>
      <c r="G305" t="s">
        <v>2</v>
      </c>
      <c r="H305" t="s">
        <v>167</v>
      </c>
      <c r="I305" t="s">
        <v>52</v>
      </c>
      <c r="J305" t="s">
        <v>149</v>
      </c>
    </row>
  </sheetData>
  <phoneticPr fontId="8" type="noConversion"/>
  <conditionalFormatting sqref="D2:D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A1A7-F666-4315-911C-3CBD5B505094}">
  <dimension ref="A1:T33"/>
  <sheetViews>
    <sheetView tabSelected="1" workbookViewId="0">
      <selection activeCell="E20" sqref="E20"/>
    </sheetView>
  </sheetViews>
  <sheetFormatPr defaultRowHeight="15.5"/>
  <cols>
    <col min="2" max="3" width="12.58203125" customWidth="1"/>
    <col min="5" max="5" width="49.83203125" bestFit="1" customWidth="1"/>
    <col min="6" max="9" width="11.6640625" bestFit="1" customWidth="1"/>
    <col min="10" max="10" width="12.6640625" bestFit="1" customWidth="1"/>
    <col min="11" max="11" width="14.6640625" bestFit="1" customWidth="1"/>
    <col min="12" max="12" width="6.08203125" bestFit="1" customWidth="1"/>
    <col min="13" max="13" width="22.75" bestFit="1" customWidth="1"/>
    <col min="14" max="14" width="11.75" bestFit="1" customWidth="1"/>
    <col min="15" max="15" width="25.33203125" bestFit="1" customWidth="1"/>
    <col min="16" max="17" width="11.75" bestFit="1" customWidth="1"/>
    <col min="18" max="18" width="6.58203125" bestFit="1" customWidth="1"/>
    <col min="19" max="19" width="11.75" bestFit="1" customWidth="1"/>
    <col min="20" max="20" width="33.83203125" bestFit="1" customWidth="1"/>
  </cols>
  <sheetData>
    <row r="1" spans="1:20">
      <c r="A1" t="s">
        <v>157</v>
      </c>
      <c r="B1" t="s">
        <v>32</v>
      </c>
      <c r="C1" t="s">
        <v>179</v>
      </c>
      <c r="D1" t="s">
        <v>177</v>
      </c>
      <c r="E1" t="s">
        <v>110</v>
      </c>
      <c r="F1" t="s">
        <v>109</v>
      </c>
      <c r="G1" t="s">
        <v>111</v>
      </c>
      <c r="H1" t="s">
        <v>112</v>
      </c>
      <c r="I1" t="s">
        <v>113</v>
      </c>
      <c r="J1" t="s">
        <v>114</v>
      </c>
      <c r="K1" t="s">
        <v>119</v>
      </c>
      <c r="L1" t="s">
        <v>115</v>
      </c>
      <c r="M1" t="s">
        <v>116</v>
      </c>
      <c r="N1" t="s">
        <v>120</v>
      </c>
      <c r="O1" t="s">
        <v>117</v>
      </c>
      <c r="P1" t="s">
        <v>121</v>
      </c>
      <c r="Q1" t="s">
        <v>122</v>
      </c>
      <c r="R1" t="s">
        <v>125</v>
      </c>
      <c r="S1" t="s">
        <v>130</v>
      </c>
      <c r="T1" t="s">
        <v>158</v>
      </c>
    </row>
    <row r="2" spans="1:20">
      <c r="A2" s="5" t="s">
        <v>3</v>
      </c>
      <c r="B2" s="2">
        <v>44219</v>
      </c>
      <c r="C2" s="2" t="b">
        <v>1</v>
      </c>
      <c r="D2" t="s">
        <v>178</v>
      </c>
      <c r="E2">
        <v>58.5</v>
      </c>
      <c r="F2">
        <v>178</v>
      </c>
      <c r="G2">
        <v>314.5</v>
      </c>
      <c r="H2">
        <v>551</v>
      </c>
      <c r="I2">
        <v>589</v>
      </c>
      <c r="J2">
        <v>200</v>
      </c>
      <c r="K2">
        <v>1761.75</v>
      </c>
      <c r="M2">
        <v>2.0448</v>
      </c>
      <c r="N2">
        <v>1.9455756422454804</v>
      </c>
      <c r="O2">
        <v>0.71850000000000003</v>
      </c>
      <c r="P2">
        <v>0.68363463368220745</v>
      </c>
      <c r="Q2">
        <v>2.8459290187891439</v>
      </c>
      <c r="R2" t="s">
        <v>131</v>
      </c>
      <c r="S2" t="s">
        <v>128</v>
      </c>
    </row>
    <row r="3" spans="1:20">
      <c r="A3" s="6" t="s">
        <v>4</v>
      </c>
      <c r="B3" s="2">
        <v>44219</v>
      </c>
      <c r="C3" s="2" t="b">
        <v>0</v>
      </c>
      <c r="E3">
        <v>48</v>
      </c>
      <c r="F3">
        <v>196.5</v>
      </c>
      <c r="G3">
        <v>344.5</v>
      </c>
      <c r="H3">
        <v>449.5</v>
      </c>
      <c r="I3">
        <v>518</v>
      </c>
      <c r="J3">
        <v>284.5</v>
      </c>
      <c r="K3">
        <v>1674.8</v>
      </c>
      <c r="M3">
        <v>1.7807999999999999</v>
      </c>
      <c r="N3">
        <v>1.7510324483775812</v>
      </c>
      <c r="O3">
        <v>0.60589999999999999</v>
      </c>
      <c r="P3">
        <v>0.59577187807276299</v>
      </c>
      <c r="Q3">
        <v>2.9390988611982181</v>
      </c>
      <c r="R3" t="s">
        <v>131</v>
      </c>
      <c r="S3" t="s">
        <v>129</v>
      </c>
    </row>
    <row r="4" spans="1:20">
      <c r="A4" s="6" t="s">
        <v>5</v>
      </c>
      <c r="B4" s="2">
        <v>44219</v>
      </c>
      <c r="C4" s="2" t="b">
        <v>1</v>
      </c>
      <c r="D4" t="s">
        <v>178</v>
      </c>
      <c r="E4">
        <v>56.5</v>
      </c>
      <c r="F4">
        <v>219</v>
      </c>
      <c r="G4">
        <v>334</v>
      </c>
      <c r="H4">
        <v>462</v>
      </c>
      <c r="I4">
        <v>511</v>
      </c>
      <c r="J4">
        <v>189</v>
      </c>
      <c r="K4">
        <v>1648.75</v>
      </c>
      <c r="M4">
        <v>2.5185</v>
      </c>
      <c r="N4">
        <v>2.3084326306141154</v>
      </c>
      <c r="O4">
        <v>0.74390000000000001</v>
      </c>
      <c r="P4">
        <v>0.68185151237396879</v>
      </c>
      <c r="Q4">
        <v>3.3855356902809519</v>
      </c>
      <c r="R4" t="s">
        <v>131</v>
      </c>
      <c r="S4" t="s">
        <v>128</v>
      </c>
    </row>
    <row r="5" spans="1:20">
      <c r="A5" s="36" t="s">
        <v>6</v>
      </c>
      <c r="B5" s="40">
        <v>44219</v>
      </c>
      <c r="C5" s="40" t="b">
        <v>0</v>
      </c>
      <c r="M5">
        <v>2.5485000000000002</v>
      </c>
      <c r="N5">
        <v>2.3337912087912089</v>
      </c>
      <c r="O5">
        <v>0.86140000000000005</v>
      </c>
      <c r="P5">
        <v>0.78882783882783891</v>
      </c>
      <c r="Q5">
        <v>2.9585558393313209</v>
      </c>
      <c r="S5" t="s">
        <v>128</v>
      </c>
      <c r="T5" t="s">
        <v>173</v>
      </c>
    </row>
    <row r="6" spans="1:20">
      <c r="A6" s="5" t="s">
        <v>7</v>
      </c>
      <c r="B6" s="2">
        <v>44219</v>
      </c>
      <c r="C6" s="2" t="b">
        <v>1</v>
      </c>
      <c r="D6" t="s">
        <v>178</v>
      </c>
      <c r="E6">
        <v>38.5</v>
      </c>
      <c r="F6">
        <v>160</v>
      </c>
      <c r="G6">
        <v>308</v>
      </c>
      <c r="H6">
        <v>368</v>
      </c>
      <c r="I6">
        <v>445.5</v>
      </c>
      <c r="J6">
        <v>99</v>
      </c>
      <c r="K6">
        <v>1350.25</v>
      </c>
      <c r="M6">
        <v>2.5059999999999998</v>
      </c>
      <c r="N6">
        <v>2.2699275362318838</v>
      </c>
      <c r="O6">
        <v>0.71640000000000004</v>
      </c>
      <c r="P6">
        <v>0.64891304347826084</v>
      </c>
      <c r="Q6">
        <v>3.4980457844779451</v>
      </c>
      <c r="R6" t="s">
        <v>131</v>
      </c>
      <c r="S6" t="s">
        <v>129</v>
      </c>
    </row>
    <row r="7" spans="1:20">
      <c r="A7" s="6" t="s">
        <v>8</v>
      </c>
      <c r="B7" s="2">
        <v>44219</v>
      </c>
      <c r="C7" s="2" t="b">
        <v>0</v>
      </c>
      <c r="E7">
        <v>169</v>
      </c>
      <c r="F7">
        <v>355</v>
      </c>
      <c r="G7">
        <v>600</v>
      </c>
      <c r="H7">
        <v>600</v>
      </c>
      <c r="I7">
        <v>569.5</v>
      </c>
      <c r="J7">
        <v>392</v>
      </c>
      <c r="K7">
        <v>3365</v>
      </c>
      <c r="M7">
        <v>1.3107</v>
      </c>
      <c r="N7">
        <v>1.2423696682464453</v>
      </c>
      <c r="O7">
        <v>0.59099999999999997</v>
      </c>
      <c r="P7">
        <v>0.56018957345971565</v>
      </c>
      <c r="Q7">
        <v>2.2177664974619287</v>
      </c>
      <c r="R7" t="s">
        <v>126</v>
      </c>
      <c r="S7" t="s">
        <v>127</v>
      </c>
    </row>
    <row r="8" spans="1:20">
      <c r="A8" s="7" t="s">
        <v>9</v>
      </c>
      <c r="B8" s="2">
        <v>44219</v>
      </c>
      <c r="C8" s="2" t="b">
        <v>1</v>
      </c>
      <c r="D8" t="s">
        <v>180</v>
      </c>
      <c r="E8">
        <v>138</v>
      </c>
      <c r="F8">
        <v>352.5</v>
      </c>
      <c r="G8">
        <v>513.5</v>
      </c>
      <c r="H8">
        <v>585</v>
      </c>
      <c r="I8">
        <v>600</v>
      </c>
      <c r="J8">
        <v>406.5</v>
      </c>
      <c r="K8">
        <v>2321.25</v>
      </c>
      <c r="M8">
        <v>1.4332</v>
      </c>
      <c r="N8">
        <v>1.2785013380909902</v>
      </c>
      <c r="O8">
        <v>0.69599999999999995</v>
      </c>
      <c r="P8">
        <v>0.62087421944692234</v>
      </c>
      <c r="Q8">
        <v>2.0591954022988506</v>
      </c>
      <c r="R8" t="s">
        <v>126</v>
      </c>
      <c r="S8" t="s">
        <v>129</v>
      </c>
    </row>
    <row r="9" spans="1:20">
      <c r="A9" s="37" t="s">
        <v>10</v>
      </c>
      <c r="B9" s="40">
        <v>44220</v>
      </c>
      <c r="C9" s="40" t="b">
        <v>0</v>
      </c>
      <c r="M9">
        <v>1.9369000000000001</v>
      </c>
      <c r="N9">
        <v>1.7278322925958969</v>
      </c>
      <c r="O9">
        <v>0.77539999999999998</v>
      </c>
      <c r="P9">
        <v>0.6917038358608385</v>
      </c>
      <c r="Q9">
        <v>2.4979365488779992</v>
      </c>
      <c r="S9" t="s">
        <v>128</v>
      </c>
      <c r="T9" t="s">
        <v>173</v>
      </c>
    </row>
    <row r="10" spans="1:20">
      <c r="A10" s="6" t="s">
        <v>11</v>
      </c>
      <c r="B10" s="2">
        <v>44220</v>
      </c>
      <c r="C10" s="2" t="b">
        <v>0</v>
      </c>
      <c r="E10">
        <v>171</v>
      </c>
      <c r="F10">
        <v>345</v>
      </c>
      <c r="G10">
        <v>547</v>
      </c>
      <c r="H10">
        <v>600</v>
      </c>
      <c r="I10">
        <v>563</v>
      </c>
      <c r="J10">
        <v>428.5</v>
      </c>
      <c r="K10">
        <v>2354.75</v>
      </c>
      <c r="M10">
        <v>1.3511</v>
      </c>
      <c r="N10">
        <v>1.1935512367491166</v>
      </c>
      <c r="O10">
        <v>0.62829999999999997</v>
      </c>
      <c r="P10">
        <v>0.55503533568904595</v>
      </c>
      <c r="Q10">
        <v>2.1504058570746456</v>
      </c>
      <c r="R10" t="s">
        <v>126</v>
      </c>
      <c r="S10" t="s">
        <v>128</v>
      </c>
    </row>
    <row r="11" spans="1:20">
      <c r="A11" s="7" t="s">
        <v>12</v>
      </c>
      <c r="B11" s="2">
        <v>44220</v>
      </c>
      <c r="C11" s="2" t="b">
        <v>1</v>
      </c>
      <c r="D11" t="s">
        <v>180</v>
      </c>
      <c r="E11">
        <v>62</v>
      </c>
      <c r="F11">
        <v>258</v>
      </c>
      <c r="G11">
        <v>600</v>
      </c>
      <c r="H11">
        <v>600</v>
      </c>
      <c r="I11">
        <v>571.5</v>
      </c>
      <c r="J11">
        <v>328.5</v>
      </c>
      <c r="K11">
        <v>2224.75</v>
      </c>
      <c r="M11">
        <v>0.89039999999999997</v>
      </c>
      <c r="N11">
        <v>0.81838235294117645</v>
      </c>
      <c r="O11">
        <v>0.65149999999999997</v>
      </c>
      <c r="P11">
        <v>0.59880514705882348</v>
      </c>
      <c r="Q11">
        <v>1.3666922486569455</v>
      </c>
      <c r="R11" t="s">
        <v>126</v>
      </c>
      <c r="S11" t="s">
        <v>127</v>
      </c>
    </row>
    <row r="12" spans="1:20">
      <c r="A12" s="5" t="s">
        <v>13</v>
      </c>
      <c r="B12" s="2">
        <v>44227</v>
      </c>
      <c r="C12" s="2" t="b">
        <v>1</v>
      </c>
      <c r="D12" t="s">
        <v>181</v>
      </c>
      <c r="E12">
        <v>72</v>
      </c>
      <c r="F12">
        <v>172.5</v>
      </c>
      <c r="G12">
        <v>201.5</v>
      </c>
      <c r="H12">
        <v>208</v>
      </c>
      <c r="I12">
        <v>195</v>
      </c>
      <c r="J12">
        <v>67.5</v>
      </c>
      <c r="K12">
        <v>846.75</v>
      </c>
      <c r="M12">
        <v>1.4930000000000001</v>
      </c>
      <c r="N12">
        <v>1.615800865800866</v>
      </c>
      <c r="O12">
        <v>0.53539999999999999</v>
      </c>
      <c r="P12">
        <v>0.57943722943722942</v>
      </c>
      <c r="Q12">
        <v>2.7885692939858053</v>
      </c>
      <c r="R12" t="s">
        <v>138</v>
      </c>
      <c r="S12" t="s">
        <v>129</v>
      </c>
    </row>
    <row r="13" spans="1:20">
      <c r="A13" s="6" t="s">
        <v>14</v>
      </c>
      <c r="B13" s="2">
        <v>44227</v>
      </c>
      <c r="C13" s="2" t="b">
        <v>1</v>
      </c>
      <c r="D13" t="s">
        <v>178</v>
      </c>
      <c r="E13">
        <v>59.5</v>
      </c>
      <c r="F13">
        <v>206</v>
      </c>
      <c r="G13">
        <v>303.5</v>
      </c>
      <c r="H13">
        <v>392</v>
      </c>
      <c r="I13">
        <v>401</v>
      </c>
      <c r="J13">
        <v>91.5</v>
      </c>
      <c r="K13">
        <v>1377.95</v>
      </c>
      <c r="M13">
        <v>1.2902</v>
      </c>
      <c r="N13">
        <v>1.3125127161749746</v>
      </c>
      <c r="O13">
        <v>0.63119999999999998</v>
      </c>
      <c r="P13">
        <v>0.64211597151576805</v>
      </c>
      <c r="Q13">
        <v>2.04404309252218</v>
      </c>
      <c r="R13" t="s">
        <v>138</v>
      </c>
      <c r="S13" t="s">
        <v>129</v>
      </c>
    </row>
    <row r="14" spans="1:20">
      <c r="A14" s="6" t="s">
        <v>15</v>
      </c>
      <c r="B14" s="2">
        <v>44227</v>
      </c>
      <c r="C14" s="2" t="b">
        <v>1</v>
      </c>
      <c r="D14" t="s">
        <v>181</v>
      </c>
      <c r="E14">
        <v>50</v>
      </c>
      <c r="F14">
        <v>139.5</v>
      </c>
      <c r="G14">
        <v>221</v>
      </c>
      <c r="H14">
        <v>268.5</v>
      </c>
      <c r="I14">
        <v>300.5</v>
      </c>
      <c r="J14">
        <v>77</v>
      </c>
      <c r="K14">
        <v>993</v>
      </c>
      <c r="M14">
        <v>1.1374</v>
      </c>
      <c r="N14">
        <v>1.2035978835978836</v>
      </c>
      <c r="O14">
        <v>0.54620000000000002</v>
      </c>
      <c r="P14">
        <v>0.57798941798941805</v>
      </c>
      <c r="Q14">
        <v>2.0823874038813619</v>
      </c>
      <c r="R14" t="s">
        <v>138</v>
      </c>
      <c r="S14" t="s">
        <v>127</v>
      </c>
    </row>
    <row r="15" spans="1:20">
      <c r="A15" s="6" t="s">
        <v>16</v>
      </c>
      <c r="B15" s="2">
        <v>44227</v>
      </c>
      <c r="C15" s="2" t="b">
        <v>0</v>
      </c>
      <c r="E15">
        <v>48</v>
      </c>
      <c r="F15">
        <v>135</v>
      </c>
      <c r="G15">
        <v>195.5</v>
      </c>
      <c r="H15">
        <v>237.5</v>
      </c>
      <c r="I15">
        <v>219</v>
      </c>
      <c r="J15">
        <v>63.5</v>
      </c>
      <c r="K15">
        <v>842.75</v>
      </c>
      <c r="M15">
        <v>1.5392999999999999</v>
      </c>
      <c r="N15">
        <v>1.5707142857142857</v>
      </c>
      <c r="O15">
        <v>0.64100000000000001</v>
      </c>
      <c r="P15">
        <v>0.65408163265306118</v>
      </c>
      <c r="Q15">
        <v>2.4014040561622467</v>
      </c>
      <c r="R15" t="s">
        <v>138</v>
      </c>
      <c r="S15" t="s">
        <v>129</v>
      </c>
    </row>
    <row r="16" spans="1:20">
      <c r="A16" s="38" t="s">
        <v>17</v>
      </c>
      <c r="B16" s="40">
        <v>44227</v>
      </c>
      <c r="C16" s="40" t="b">
        <v>0</v>
      </c>
      <c r="E16">
        <v>43</v>
      </c>
      <c r="F16">
        <v>85.5</v>
      </c>
      <c r="G16">
        <v>445.5</v>
      </c>
      <c r="H16">
        <v>483</v>
      </c>
      <c r="I16">
        <v>517.5</v>
      </c>
      <c r="J16">
        <v>119.5</v>
      </c>
      <c r="M16">
        <v>1.7470000000000001</v>
      </c>
      <c r="N16">
        <v>1.7772126144455749</v>
      </c>
      <c r="O16">
        <v>0.64119999999999999</v>
      </c>
      <c r="P16">
        <v>0.65228891149542223</v>
      </c>
      <c r="Q16">
        <v>2.7245789145352464</v>
      </c>
      <c r="R16" t="s">
        <v>138</v>
      </c>
      <c r="S16" t="s">
        <v>134</v>
      </c>
      <c r="T16" t="s">
        <v>172</v>
      </c>
    </row>
    <row r="17" spans="1:20">
      <c r="A17" s="7" t="s">
        <v>18</v>
      </c>
      <c r="B17" s="2">
        <v>44227</v>
      </c>
      <c r="C17" s="2" t="b">
        <v>0</v>
      </c>
      <c r="E17">
        <v>58.5</v>
      </c>
      <c r="F17">
        <v>186</v>
      </c>
      <c r="G17">
        <v>248.5</v>
      </c>
      <c r="H17">
        <v>302.5</v>
      </c>
      <c r="I17">
        <v>485.5</v>
      </c>
      <c r="J17">
        <v>299</v>
      </c>
      <c r="K17">
        <v>1401.25</v>
      </c>
      <c r="M17">
        <v>1.1691</v>
      </c>
      <c r="N17">
        <v>1.1198275862068965</v>
      </c>
      <c r="O17">
        <v>0.60140000000000005</v>
      </c>
      <c r="P17">
        <v>0.57605363984674329</v>
      </c>
      <c r="Q17">
        <v>1.9439640838044561</v>
      </c>
      <c r="R17" t="s">
        <v>138</v>
      </c>
      <c r="S17" t="s">
        <v>129</v>
      </c>
    </row>
    <row r="18" spans="1:20">
      <c r="A18" s="37" t="s">
        <v>19</v>
      </c>
      <c r="B18" s="40">
        <v>44228</v>
      </c>
      <c r="C18" s="40" t="b">
        <v>0</v>
      </c>
      <c r="T18" t="s">
        <v>159</v>
      </c>
    </row>
    <row r="19" spans="1:20">
      <c r="A19" s="6" t="s">
        <v>20</v>
      </c>
      <c r="B19" s="2">
        <v>44228</v>
      </c>
      <c r="C19" s="2" t="b">
        <v>1</v>
      </c>
      <c r="D19" t="s">
        <v>180</v>
      </c>
      <c r="E19">
        <v>64.5</v>
      </c>
      <c r="F19">
        <v>216.5</v>
      </c>
      <c r="G19">
        <v>519.5</v>
      </c>
      <c r="H19">
        <v>582</v>
      </c>
      <c r="I19">
        <v>587</v>
      </c>
      <c r="J19">
        <v>309</v>
      </c>
      <c r="K19">
        <v>2015.75</v>
      </c>
      <c r="M19">
        <v>0.92620000000000002</v>
      </c>
      <c r="N19">
        <v>0.83819004524886886</v>
      </c>
      <c r="O19">
        <v>0.62160000000000004</v>
      </c>
      <c r="P19">
        <v>0.5625339366515838</v>
      </c>
      <c r="Q19">
        <v>1.49002574002574</v>
      </c>
      <c r="R19" t="s">
        <v>131</v>
      </c>
      <c r="S19" t="s">
        <v>133</v>
      </c>
    </row>
    <row r="20" spans="1:20">
      <c r="A20" s="7" t="s">
        <v>21</v>
      </c>
      <c r="B20" s="2">
        <v>44228</v>
      </c>
      <c r="C20" s="2" t="b">
        <v>1</v>
      </c>
      <c r="D20" t="s">
        <v>178</v>
      </c>
      <c r="E20">
        <v>48.5</v>
      </c>
      <c r="F20">
        <v>216.5</v>
      </c>
      <c r="G20">
        <v>477.5</v>
      </c>
      <c r="H20">
        <v>343.5</v>
      </c>
      <c r="I20">
        <v>538.5</v>
      </c>
      <c r="J20">
        <v>276</v>
      </c>
      <c r="K20">
        <v>1738.25</v>
      </c>
      <c r="M20">
        <v>1.7053</v>
      </c>
      <c r="N20">
        <v>1.405853256389118</v>
      </c>
      <c r="O20">
        <v>0.878</v>
      </c>
      <c r="P20">
        <v>0.72382522671063476</v>
      </c>
      <c r="Q20">
        <v>1.9422551252847382</v>
      </c>
      <c r="R20" t="s">
        <v>131</v>
      </c>
      <c r="S20" t="s">
        <v>134</v>
      </c>
    </row>
    <row r="25" spans="1:20">
      <c r="B25" s="67"/>
      <c r="C25" s="67"/>
    </row>
    <row r="26" spans="1:20">
      <c r="B26" s="67"/>
      <c r="C26" s="67"/>
    </row>
    <row r="27" spans="1:20">
      <c r="B27" s="67"/>
      <c r="C27" s="67"/>
    </row>
    <row r="28" spans="1:20">
      <c r="B28" s="67"/>
      <c r="C28" s="67"/>
    </row>
    <row r="29" spans="1:20">
      <c r="B29" s="67"/>
      <c r="C29" s="67"/>
    </row>
    <row r="30" spans="1:20">
      <c r="B30" s="67"/>
      <c r="C30" s="67"/>
    </row>
    <row r="31" spans="1:20">
      <c r="B31" s="67"/>
      <c r="C31" s="67"/>
    </row>
    <row r="32" spans="1:20">
      <c r="B32" s="67"/>
      <c r="C32" s="67"/>
    </row>
    <row r="33" spans="2:3">
      <c r="B33" s="67"/>
      <c r="C33" s="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6BEE-539B-42C2-8872-FAB22CBC602B}">
  <dimension ref="A1:H24"/>
  <sheetViews>
    <sheetView workbookViewId="0">
      <selection activeCell="A3" sqref="A3:A12"/>
    </sheetView>
  </sheetViews>
  <sheetFormatPr defaultRowHeight="15.5"/>
  <cols>
    <col min="3" max="3" width="10.83203125" customWidth="1"/>
  </cols>
  <sheetData>
    <row r="1" spans="1:8">
      <c r="C1" t="s">
        <v>52</v>
      </c>
      <c r="D1" t="s">
        <v>51</v>
      </c>
      <c r="E1" t="s">
        <v>51</v>
      </c>
    </row>
    <row r="2" spans="1:8">
      <c r="B2" s="12" t="s">
        <v>119</v>
      </c>
      <c r="C2" t="s">
        <v>2</v>
      </c>
      <c r="D2" t="s">
        <v>26</v>
      </c>
      <c r="E2" t="s">
        <v>1</v>
      </c>
      <c r="H2" t="s">
        <v>156</v>
      </c>
    </row>
    <row r="3" spans="1:8">
      <c r="A3" s="50" t="s">
        <v>9</v>
      </c>
      <c r="B3">
        <f>138+((352.5-138)*0.5)+352.5+((513.5-352.5)*0.5)+513.5+((585-513.5)*0.5)+585+((600-585)*0.5)+404.5+((600-406.5)*0.5)</f>
        <v>2321.25</v>
      </c>
      <c r="C3">
        <v>110.7</v>
      </c>
      <c r="D3">
        <f>(43+58)/2</f>
        <v>50.5</v>
      </c>
      <c r="E3" s="20">
        <f>(367+416)/2</f>
        <v>391.5</v>
      </c>
      <c r="G3" t="s">
        <v>154</v>
      </c>
      <c r="H3">
        <v>1.8540490028395307E-2</v>
      </c>
    </row>
    <row r="4" spans="1:8">
      <c r="A4" s="51" t="s">
        <v>14</v>
      </c>
      <c r="B4" s="16">
        <f>59.5+((206-59.6)*0.5)+206+((303.5-206)*0.5)+303.5+((392-303.5)*0.5)+392+((401-392)*0.5)+91.5+((401-91.5)*0.5)</f>
        <v>1377.95</v>
      </c>
      <c r="C4">
        <v>97.5</v>
      </c>
      <c r="D4">
        <f>(76+52+52)/3</f>
        <v>60</v>
      </c>
      <c r="E4" s="16">
        <f>(52+64)/2</f>
        <v>58</v>
      </c>
      <c r="G4" t="s">
        <v>153</v>
      </c>
      <c r="H4">
        <v>5.736869215835827E-2</v>
      </c>
    </row>
    <row r="5" spans="1:8">
      <c r="A5" s="51" t="s">
        <v>3</v>
      </c>
      <c r="B5" s="16">
        <f>58.5+((178-58.5)*0.5)+178+((314.5-178)*0.5)+314.5+((551-314.5)*0.5)+551+((589-551)*0.5)+200+((589-200)*0.5)</f>
        <v>1761.75</v>
      </c>
      <c r="C5">
        <v>104.6</v>
      </c>
      <c r="D5">
        <f>(52+48)/2</f>
        <v>50</v>
      </c>
      <c r="E5" s="20">
        <f>(210+232)/2</f>
        <v>221</v>
      </c>
      <c r="G5" t="s">
        <v>155</v>
      </c>
      <c r="H5">
        <v>0.10432772285303704</v>
      </c>
    </row>
    <row r="6" spans="1:8">
      <c r="A6" s="50" t="s">
        <v>13</v>
      </c>
      <c r="B6">
        <f>72+((172.5-72)*0.5)+172.5+((201.5-172.5)*0.5)+201.5+((208-201.5)*0.5)+195+((208-195)*0.5)+67.5+((195-67.5)*0.5)</f>
        <v>846.75</v>
      </c>
      <c r="C6">
        <v>89.6</v>
      </c>
      <c r="D6">
        <f>(57+69)/2</f>
        <v>63</v>
      </c>
      <c r="E6">
        <f>(74+82)/2</f>
        <v>78</v>
      </c>
      <c r="G6" t="s">
        <v>153</v>
      </c>
      <c r="H6">
        <v>0.27718539535822273</v>
      </c>
    </row>
    <row r="7" spans="1:8">
      <c r="A7" s="51" t="s">
        <v>12</v>
      </c>
      <c r="B7" s="35">
        <f>62+((258-62)*0.5)+258+((600-258)*0.5)+600+571.5+((600-571.5)*0.5)+328.5+((571.5-328.5)*0.5)</f>
        <v>2224.75</v>
      </c>
      <c r="C7">
        <v>105.5</v>
      </c>
      <c r="D7">
        <f>(55+90+71+78)/4</f>
        <v>73.5</v>
      </c>
      <c r="E7" s="34">
        <f>(414+412)/2</f>
        <v>413</v>
      </c>
      <c r="G7" t="s">
        <v>154</v>
      </c>
      <c r="H7">
        <v>0.28324314711083798</v>
      </c>
    </row>
    <row r="8" spans="1:8">
      <c r="A8" s="52" t="s">
        <v>21</v>
      </c>
      <c r="B8">
        <f>48.5+((216.5-48.5)*0.5)+216.5+((477.5-216.5)*0.5)+343.5+((477.5-343.5)*0.5)+343.5+((538.5-343.5)*0.5)+276+((538.5-276)*0.5)</f>
        <v>1738.25</v>
      </c>
      <c r="C8">
        <v>113.8</v>
      </c>
      <c r="D8">
        <f>(37+57)/2</f>
        <v>47</v>
      </c>
      <c r="E8" s="1">
        <f>(309+368)/2</f>
        <v>338.5</v>
      </c>
      <c r="G8" t="s">
        <v>155</v>
      </c>
      <c r="H8">
        <v>0.29987596754295265</v>
      </c>
    </row>
    <row r="9" spans="1:8">
      <c r="A9" s="51" t="s">
        <v>15</v>
      </c>
      <c r="B9">
        <f>50+((139.5-50)*0.5)+139.5+((221-139.5)*0.5)+221+((268.5-221)*0.5)+268.5+((300.5-268.5)*0.5)+77+((300.5-77)*0.5)</f>
        <v>993</v>
      </c>
      <c r="C9">
        <v>92.3</v>
      </c>
      <c r="D9">
        <f>(55+58)/2</f>
        <v>56.5</v>
      </c>
      <c r="E9">
        <f>(61+70)/2</f>
        <v>65.5</v>
      </c>
      <c r="G9" t="s">
        <v>153</v>
      </c>
      <c r="H9">
        <v>0.33558324694968389</v>
      </c>
    </row>
    <row r="10" spans="1:8">
      <c r="A10" s="52" t="s">
        <v>20</v>
      </c>
      <c r="B10">
        <f>64.5+((216.5=64.5)*0.5)+216.5+((519.5-216.5)*0.5)+519.5+((582-519.5)*0.5)+582+((587-582)*0.5)+309+((587-309)*0.5)</f>
        <v>2015.75</v>
      </c>
      <c r="C10">
        <v>104</v>
      </c>
      <c r="D10">
        <f>(66+73+58+69)/4</f>
        <v>66.5</v>
      </c>
      <c r="E10" s="34">
        <f>(443+568)/2</f>
        <v>505.5</v>
      </c>
      <c r="G10" t="s">
        <v>154</v>
      </c>
      <c r="H10">
        <v>0.40256684243697383</v>
      </c>
    </row>
    <row r="11" spans="1:8">
      <c r="A11" s="50" t="s">
        <v>5</v>
      </c>
      <c r="B11">
        <f>56.5+((219-56.5)*0.5)+219+((334-219)*0.5)+334+((462-334)*0.5)+462+((511-462)*0.5)+189+((511-189)*0.5)</f>
        <v>1648.75</v>
      </c>
      <c r="C11">
        <v>106.9</v>
      </c>
      <c r="D11">
        <f>(41+36)/2</f>
        <v>38.5</v>
      </c>
      <c r="E11" s="1">
        <f>(248+249)/2</f>
        <v>248.5</v>
      </c>
      <c r="G11" t="s">
        <v>155</v>
      </c>
      <c r="H11">
        <v>0.42530099490134621</v>
      </c>
    </row>
    <row r="12" spans="1:8">
      <c r="A12" s="51" t="s">
        <v>7</v>
      </c>
      <c r="B12">
        <f>38.5+((160-38.5)*0.5)+160+((308-160)*0.5)+308+((368-308)*0.5)+368+((445.5-368)*0.5)+99+((445.5-99)*0.5)</f>
        <v>1350.25</v>
      </c>
      <c r="C12">
        <v>108.6</v>
      </c>
      <c r="D12">
        <f>(45+47)/2</f>
        <v>46</v>
      </c>
      <c r="E12" s="1">
        <f>(219+232)/2</f>
        <v>225.5</v>
      </c>
      <c r="G12" t="s">
        <v>153</v>
      </c>
      <c r="H12">
        <v>0.59008766371599153</v>
      </c>
    </row>
    <row r="13" spans="1:8">
      <c r="A13" s="6" t="s">
        <v>11</v>
      </c>
      <c r="B13">
        <f>171+((345-171)*0.5)+345+((547-345)*0.5)+547+((600-547)*0.5)+563+((600-563)*0.5)+428.5+((563-428.5)*0.5)</f>
        <v>2354.75</v>
      </c>
      <c r="C13">
        <v>109.2</v>
      </c>
      <c r="D13">
        <f>(65+62)/2</f>
        <v>63.5</v>
      </c>
      <c r="E13" s="20">
        <f>(378+391)/2</f>
        <v>384.5</v>
      </c>
      <c r="F13" t="s">
        <v>152</v>
      </c>
      <c r="G13" t="s">
        <v>154</v>
      </c>
      <c r="H13">
        <v>0.62064019564487405</v>
      </c>
    </row>
    <row r="14" spans="1:8">
      <c r="A14" s="6" t="s">
        <v>16</v>
      </c>
      <c r="B14">
        <f>48+((135-48)*0.5)+135+((195.5-135)*0.5)+195.5+((237.5-195.5)*0.5)+219+((237.5-219)*0.5)+63.5+((219-63.5)*0.5)</f>
        <v>842.75</v>
      </c>
      <c r="C14">
        <v>94.4</v>
      </c>
      <c r="D14">
        <f>(48+60)/2</f>
        <v>54</v>
      </c>
      <c r="E14">
        <f>(97+128+70)/3</f>
        <v>98.333333333333329</v>
      </c>
      <c r="G14" t="s">
        <v>153</v>
      </c>
      <c r="H14">
        <v>0.6278114551757874</v>
      </c>
    </row>
    <row r="15" spans="1:8">
      <c r="A15" s="7" t="s">
        <v>8</v>
      </c>
      <c r="B15" s="16">
        <f>169+((355-169)*5)+355+((600-355)+0.5)+600+569.5+((600-569.5)*0.5)+392+((569.5-392)*0.5)</f>
        <v>3365</v>
      </c>
      <c r="C15">
        <v>101.8</v>
      </c>
      <c r="D15">
        <f>(60+63)/2</f>
        <v>61.5</v>
      </c>
      <c r="E15" s="20">
        <f>(487+541)/2</f>
        <v>514</v>
      </c>
      <c r="G15" t="s">
        <v>154</v>
      </c>
      <c r="H15">
        <v>0.73058782278798784</v>
      </c>
    </row>
    <row r="16" spans="1:8">
      <c r="A16" s="6" t="s">
        <v>4</v>
      </c>
      <c r="B16" s="16">
        <f>48+((196.5-48)*0.5)+196.5+((344.6-196.5)*0.5)+344.5+((449.5-344.5)*0.5)+449.5+((518-449.5)*0.5)+284.5+((518-284.5)*0.5)</f>
        <v>1674.8</v>
      </c>
      <c r="C16">
        <v>100.4</v>
      </c>
      <c r="D16">
        <f>(36+32)/2</f>
        <v>34</v>
      </c>
      <c r="E16" s="34">
        <f>(295+323)/2</f>
        <v>309</v>
      </c>
      <c r="G16" t="s">
        <v>155</v>
      </c>
      <c r="H16">
        <v>0.82895863296575922</v>
      </c>
    </row>
    <row r="17" spans="1:8">
      <c r="A17" s="7" t="s">
        <v>18</v>
      </c>
      <c r="B17">
        <f>58.5+((186-58.5)*0.5)+186+((248.5-186)*0.5)+248.5+((302.5-248.5)*0.5)+302.5+((485.5-302.5)*0.5)+299+((485.5-299)*0.5)</f>
        <v>1401.25</v>
      </c>
      <c r="C17">
        <v>100.6</v>
      </c>
      <c r="D17">
        <f>(64+77+49)/3</f>
        <v>63.333333333333336</v>
      </c>
      <c r="E17" s="20">
        <f>(292+298)/2</f>
        <v>295</v>
      </c>
      <c r="F17" t="s">
        <v>152</v>
      </c>
      <c r="G17" t="s">
        <v>155</v>
      </c>
      <c r="H17">
        <v>0.97099140165317221</v>
      </c>
    </row>
    <row r="23" spans="1:8">
      <c r="A23" s="1"/>
    </row>
    <row r="24" spans="1:8">
      <c r="A24" s="49"/>
    </row>
  </sheetData>
  <sortState xmlns:xlrd2="http://schemas.microsoft.com/office/spreadsheetml/2017/richdata2" ref="A3:H17">
    <sortCondition ref="H3:H17"/>
  </sortState>
  <conditionalFormatting sqref="B3:B10">
    <cfRule type="colorScale" priority="28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3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0DD2-35F7-924C-9D92-F0FD0EF19850}">
  <dimension ref="A2:U68"/>
  <sheetViews>
    <sheetView topLeftCell="A31" workbookViewId="0">
      <selection activeCell="A49" sqref="A49:XFD49"/>
    </sheetView>
  </sheetViews>
  <sheetFormatPr defaultColWidth="11" defaultRowHeight="15.5"/>
  <sheetData>
    <row r="2" spans="1:21">
      <c r="B2" t="s">
        <v>141</v>
      </c>
      <c r="C2" t="s">
        <v>143</v>
      </c>
      <c r="K2" t="s">
        <v>139</v>
      </c>
      <c r="L2" t="s">
        <v>143</v>
      </c>
      <c r="T2" t="s">
        <v>140</v>
      </c>
      <c r="U2" t="s">
        <v>143</v>
      </c>
    </row>
    <row r="3" spans="1:21">
      <c r="A3" s="5" t="s">
        <v>3</v>
      </c>
      <c r="B3">
        <v>1761.75</v>
      </c>
      <c r="C3">
        <v>1.9455756422454804</v>
      </c>
      <c r="K3" s="1">
        <v>221</v>
      </c>
      <c r="L3">
        <v>1.9455756422454804</v>
      </c>
      <c r="T3">
        <v>58.5</v>
      </c>
      <c r="U3">
        <v>1.9455756422454804</v>
      </c>
    </row>
    <row r="4" spans="1:21">
      <c r="A4" s="6" t="s">
        <v>4</v>
      </c>
      <c r="B4">
        <v>1674.8</v>
      </c>
      <c r="C4">
        <v>1.7510324483775812</v>
      </c>
      <c r="K4" s="1">
        <v>309</v>
      </c>
      <c r="L4">
        <v>1.7510324483775812</v>
      </c>
      <c r="T4">
        <v>48</v>
      </c>
      <c r="U4">
        <v>1.7510324483775812</v>
      </c>
    </row>
    <row r="5" spans="1:21">
      <c r="A5" s="6" t="s">
        <v>5</v>
      </c>
      <c r="B5">
        <v>1648.75</v>
      </c>
      <c r="C5">
        <v>2.3084326306141154</v>
      </c>
      <c r="K5" s="1">
        <v>248.5</v>
      </c>
      <c r="L5">
        <v>2.3084326306141154</v>
      </c>
      <c r="T5">
        <v>56.5</v>
      </c>
      <c r="U5">
        <v>2.3084326306141154</v>
      </c>
    </row>
    <row r="6" spans="1:21">
      <c r="A6" s="5" t="s">
        <v>7</v>
      </c>
      <c r="B6">
        <v>1350.25</v>
      </c>
      <c r="C6">
        <v>2.2699275362318838</v>
      </c>
      <c r="K6" s="1">
        <v>225.5</v>
      </c>
      <c r="L6">
        <v>2.2699275362318838</v>
      </c>
      <c r="T6">
        <v>38.5</v>
      </c>
      <c r="U6">
        <v>2.2699275362318838</v>
      </c>
    </row>
    <row r="7" spans="1:21">
      <c r="A7" s="6" t="s">
        <v>8</v>
      </c>
      <c r="B7" s="35">
        <v>3365</v>
      </c>
      <c r="C7">
        <v>1.2423696682464453</v>
      </c>
      <c r="K7" s="34">
        <v>514</v>
      </c>
      <c r="L7">
        <v>1.2423696682464453</v>
      </c>
      <c r="T7" s="1">
        <v>169</v>
      </c>
      <c r="U7">
        <v>1.2423696682464453</v>
      </c>
    </row>
    <row r="8" spans="1:21">
      <c r="A8" s="7" t="s">
        <v>9</v>
      </c>
      <c r="B8">
        <v>2321.25</v>
      </c>
      <c r="C8">
        <v>1.2785013380909902</v>
      </c>
      <c r="K8" s="1">
        <v>391.5</v>
      </c>
      <c r="L8">
        <v>1.2785013380909902</v>
      </c>
      <c r="T8" s="1">
        <v>138</v>
      </c>
      <c r="U8">
        <v>1.2785013380909902</v>
      </c>
    </row>
    <row r="9" spans="1:21">
      <c r="A9" s="6" t="s">
        <v>11</v>
      </c>
      <c r="B9">
        <v>2354.75</v>
      </c>
      <c r="C9">
        <v>1.1935512367491166</v>
      </c>
      <c r="K9" s="1">
        <v>384.5</v>
      </c>
      <c r="L9">
        <v>1.1935512367491166</v>
      </c>
      <c r="T9" s="1">
        <v>171</v>
      </c>
      <c r="U9">
        <v>1.1935512367491166</v>
      </c>
    </row>
    <row r="10" spans="1:21">
      <c r="A10" s="7" t="s">
        <v>12</v>
      </c>
      <c r="B10">
        <v>2224.75</v>
      </c>
      <c r="C10">
        <v>0.81838235294117645</v>
      </c>
      <c r="K10" s="34">
        <v>413</v>
      </c>
      <c r="L10">
        <v>0.81838235294117645</v>
      </c>
      <c r="T10">
        <v>62</v>
      </c>
      <c r="U10">
        <v>0.81838235294117645</v>
      </c>
    </row>
    <row r="11" spans="1:21">
      <c r="A11" s="5" t="s">
        <v>13</v>
      </c>
      <c r="B11">
        <v>846.75</v>
      </c>
      <c r="C11">
        <v>1.615800865800866</v>
      </c>
      <c r="K11">
        <v>78</v>
      </c>
      <c r="L11">
        <v>1.615800865800866</v>
      </c>
      <c r="T11">
        <v>72</v>
      </c>
      <c r="U11">
        <v>1.615800865800866</v>
      </c>
    </row>
    <row r="12" spans="1:21">
      <c r="A12" s="6" t="s">
        <v>14</v>
      </c>
      <c r="B12">
        <v>1377.95</v>
      </c>
      <c r="C12">
        <v>1.3125127161749746</v>
      </c>
      <c r="K12">
        <v>58</v>
      </c>
      <c r="L12">
        <v>1.3125127161749746</v>
      </c>
      <c r="T12">
        <v>59.5</v>
      </c>
      <c r="U12">
        <v>1.3125127161749746</v>
      </c>
    </row>
    <row r="13" spans="1:21">
      <c r="A13" s="6" t="s">
        <v>15</v>
      </c>
      <c r="B13">
        <v>993</v>
      </c>
      <c r="C13">
        <v>1.2035978835978836</v>
      </c>
      <c r="K13">
        <v>65.5</v>
      </c>
      <c r="L13">
        <v>1.2035978835978836</v>
      </c>
      <c r="T13">
        <v>50</v>
      </c>
      <c r="U13">
        <v>1.2035978835978836</v>
      </c>
    </row>
    <row r="14" spans="1:21">
      <c r="A14" s="6" t="s">
        <v>16</v>
      </c>
      <c r="B14">
        <v>842.75</v>
      </c>
      <c r="C14">
        <v>1.5707142857142857</v>
      </c>
      <c r="K14">
        <v>98.333333333333329</v>
      </c>
      <c r="L14">
        <v>1.5707142857142857</v>
      </c>
      <c r="T14">
        <v>48</v>
      </c>
      <c r="U14">
        <v>1.5707142857142857</v>
      </c>
    </row>
    <row r="15" spans="1:21">
      <c r="A15" s="7" t="s">
        <v>18</v>
      </c>
      <c r="B15">
        <v>1401.25</v>
      </c>
      <c r="C15">
        <v>1.1198275862068965</v>
      </c>
      <c r="K15" s="1">
        <v>295</v>
      </c>
      <c r="L15">
        <v>1.1198275862068965</v>
      </c>
      <c r="T15">
        <v>58.5</v>
      </c>
      <c r="U15">
        <v>1.1198275862068965</v>
      </c>
    </row>
    <row r="16" spans="1:21">
      <c r="A16" s="6" t="s">
        <v>20</v>
      </c>
      <c r="B16">
        <v>2015.75</v>
      </c>
      <c r="C16">
        <v>0.83819004524886886</v>
      </c>
      <c r="K16" s="34">
        <v>505.5</v>
      </c>
      <c r="L16">
        <v>0.83819004524886886</v>
      </c>
      <c r="T16">
        <v>64.5</v>
      </c>
      <c r="U16">
        <v>0.83819004524886886</v>
      </c>
    </row>
    <row r="17" spans="1:21">
      <c r="A17" s="7" t="s">
        <v>21</v>
      </c>
      <c r="B17">
        <v>1738.25</v>
      </c>
      <c r="C17">
        <v>1.405853256389118</v>
      </c>
      <c r="K17" s="1">
        <v>338.5</v>
      </c>
      <c r="L17">
        <v>1.405853256389118</v>
      </c>
      <c r="T17">
        <v>48.5</v>
      </c>
      <c r="U17">
        <v>1.405853256389118</v>
      </c>
    </row>
    <row r="19" spans="1:21">
      <c r="B19" t="s">
        <v>141</v>
      </c>
      <c r="C19" t="s">
        <v>142</v>
      </c>
      <c r="K19" t="s">
        <v>144</v>
      </c>
      <c r="L19" t="s">
        <v>142</v>
      </c>
      <c r="T19" t="s">
        <v>140</v>
      </c>
      <c r="U19" t="s">
        <v>142</v>
      </c>
    </row>
    <row r="20" spans="1:21">
      <c r="A20" s="5" t="s">
        <v>3</v>
      </c>
      <c r="B20">
        <v>1761.75</v>
      </c>
      <c r="C20">
        <v>0.68363463368220745</v>
      </c>
      <c r="K20" s="1">
        <v>221</v>
      </c>
      <c r="L20">
        <v>0.68363463368220745</v>
      </c>
      <c r="T20">
        <v>58.5</v>
      </c>
      <c r="U20">
        <v>0.68363463368220745</v>
      </c>
    </row>
    <row r="21" spans="1:21">
      <c r="A21" s="6" t="s">
        <v>4</v>
      </c>
      <c r="B21">
        <v>1674.8</v>
      </c>
      <c r="C21">
        <v>0.59577187807276299</v>
      </c>
      <c r="K21" s="1">
        <v>309</v>
      </c>
      <c r="L21">
        <v>0.59577187807276299</v>
      </c>
      <c r="T21">
        <v>48</v>
      </c>
      <c r="U21">
        <v>0.59577187807276299</v>
      </c>
    </row>
    <row r="22" spans="1:21">
      <c r="A22" s="6" t="s">
        <v>5</v>
      </c>
      <c r="B22">
        <v>1648.75</v>
      </c>
      <c r="C22">
        <v>0.68185151237396879</v>
      </c>
      <c r="K22" s="1">
        <v>248.5</v>
      </c>
      <c r="L22">
        <v>0.68185151237396879</v>
      </c>
      <c r="T22">
        <v>56.5</v>
      </c>
      <c r="U22">
        <v>0.68185151237396879</v>
      </c>
    </row>
    <row r="23" spans="1:21">
      <c r="A23" s="5" t="s">
        <v>7</v>
      </c>
      <c r="B23">
        <v>1350.25</v>
      </c>
      <c r="C23">
        <v>0.64891304347826084</v>
      </c>
      <c r="K23" s="1">
        <v>225.5</v>
      </c>
      <c r="L23">
        <v>0.64891304347826084</v>
      </c>
      <c r="T23">
        <v>38.5</v>
      </c>
      <c r="U23">
        <v>0.64891304347826084</v>
      </c>
    </row>
    <row r="24" spans="1:21">
      <c r="A24" s="6" t="s">
        <v>8</v>
      </c>
      <c r="B24" s="35">
        <v>3365</v>
      </c>
      <c r="C24">
        <v>0.56018957345971565</v>
      </c>
      <c r="K24" s="34">
        <v>514</v>
      </c>
      <c r="L24">
        <v>0.56018957345971565</v>
      </c>
      <c r="T24" s="1">
        <v>169</v>
      </c>
      <c r="U24">
        <v>0.56018957345971565</v>
      </c>
    </row>
    <row r="25" spans="1:21">
      <c r="A25" s="7" t="s">
        <v>9</v>
      </c>
      <c r="B25">
        <v>2321.25</v>
      </c>
      <c r="C25">
        <v>0.62087421944692234</v>
      </c>
      <c r="K25" s="1">
        <v>391.5</v>
      </c>
      <c r="L25">
        <v>0.62087421944692234</v>
      </c>
      <c r="T25" s="1">
        <v>138</v>
      </c>
      <c r="U25">
        <v>0.62087421944692234</v>
      </c>
    </row>
    <row r="26" spans="1:21">
      <c r="A26" s="6" t="s">
        <v>11</v>
      </c>
      <c r="B26">
        <v>2354.75</v>
      </c>
      <c r="C26">
        <v>0.55503533568904595</v>
      </c>
      <c r="K26" s="1">
        <v>384.5</v>
      </c>
      <c r="L26">
        <v>0.55503533568904595</v>
      </c>
      <c r="T26" s="1">
        <v>171</v>
      </c>
      <c r="U26">
        <v>0.55503533568904595</v>
      </c>
    </row>
    <row r="27" spans="1:21">
      <c r="A27" s="7" t="s">
        <v>12</v>
      </c>
      <c r="B27">
        <v>2224.75</v>
      </c>
      <c r="C27">
        <v>0.59880514705882348</v>
      </c>
      <c r="K27" s="34">
        <v>413</v>
      </c>
      <c r="L27">
        <v>0.59880514705882348</v>
      </c>
      <c r="T27">
        <v>62</v>
      </c>
      <c r="U27">
        <v>0.59880514705882348</v>
      </c>
    </row>
    <row r="28" spans="1:21">
      <c r="A28" s="5" t="s">
        <v>13</v>
      </c>
      <c r="B28">
        <v>846.75</v>
      </c>
      <c r="C28">
        <v>0.57943722943722942</v>
      </c>
      <c r="K28">
        <v>78</v>
      </c>
      <c r="L28">
        <v>0.57943722943722942</v>
      </c>
      <c r="T28">
        <v>72</v>
      </c>
      <c r="U28">
        <v>0.57943722943722942</v>
      </c>
    </row>
    <row r="29" spans="1:21">
      <c r="A29" s="6" t="s">
        <v>14</v>
      </c>
      <c r="B29">
        <v>1377.95</v>
      </c>
      <c r="C29">
        <v>0.64211597151576805</v>
      </c>
      <c r="K29">
        <v>58</v>
      </c>
      <c r="L29">
        <v>0.64211597151576805</v>
      </c>
      <c r="T29">
        <v>59.5</v>
      </c>
      <c r="U29">
        <v>0.64211597151576805</v>
      </c>
    </row>
    <row r="30" spans="1:21">
      <c r="A30" s="6" t="s">
        <v>15</v>
      </c>
      <c r="B30">
        <v>993</v>
      </c>
      <c r="C30">
        <v>0.57798941798941805</v>
      </c>
      <c r="K30">
        <v>65.5</v>
      </c>
      <c r="L30">
        <v>0.57798941798941805</v>
      </c>
      <c r="T30">
        <v>50</v>
      </c>
      <c r="U30">
        <v>0.57798941798941805</v>
      </c>
    </row>
    <row r="31" spans="1:21">
      <c r="A31" s="6" t="s">
        <v>16</v>
      </c>
      <c r="B31">
        <v>842.75</v>
      </c>
      <c r="C31">
        <v>0.65408163265306118</v>
      </c>
      <c r="K31">
        <v>98.333333333333329</v>
      </c>
      <c r="L31">
        <v>0.65408163265306118</v>
      </c>
      <c r="T31">
        <v>48</v>
      </c>
      <c r="U31">
        <v>0.65408163265306118</v>
      </c>
    </row>
    <row r="32" spans="1:21">
      <c r="A32" s="7" t="s">
        <v>18</v>
      </c>
      <c r="B32">
        <v>1401.25</v>
      </c>
      <c r="C32">
        <v>0.57605363984674329</v>
      </c>
      <c r="K32" s="1">
        <v>295</v>
      </c>
      <c r="L32">
        <v>0.57605363984674329</v>
      </c>
      <c r="T32">
        <v>58.5</v>
      </c>
      <c r="U32">
        <v>0.57605363984674329</v>
      </c>
    </row>
    <row r="33" spans="1:21">
      <c r="A33" s="6" t="s">
        <v>20</v>
      </c>
      <c r="B33">
        <v>2015.75</v>
      </c>
      <c r="C33">
        <v>0.5625339366515838</v>
      </c>
      <c r="K33" s="34">
        <v>505.5</v>
      </c>
      <c r="L33">
        <v>0.5625339366515838</v>
      </c>
      <c r="T33">
        <v>64.5</v>
      </c>
      <c r="U33">
        <v>0.5625339366515838</v>
      </c>
    </row>
    <row r="34" spans="1:21">
      <c r="A34" s="7" t="s">
        <v>21</v>
      </c>
      <c r="B34">
        <v>1738.25</v>
      </c>
      <c r="C34">
        <v>0.72382522671063476</v>
      </c>
      <c r="K34" s="1">
        <v>338.5</v>
      </c>
      <c r="L34">
        <v>0.72382522671063476</v>
      </c>
      <c r="T34">
        <v>48.5</v>
      </c>
      <c r="U34">
        <v>0.72382522671063476</v>
      </c>
    </row>
    <row r="36" spans="1:21">
      <c r="B36" t="s">
        <v>141</v>
      </c>
      <c r="C36" t="s">
        <v>145</v>
      </c>
      <c r="K36" t="s">
        <v>141</v>
      </c>
      <c r="L36" t="s">
        <v>146</v>
      </c>
      <c r="T36" t="s">
        <v>141</v>
      </c>
      <c r="U36" t="s">
        <v>147</v>
      </c>
    </row>
    <row r="37" spans="1:21">
      <c r="A37" s="5" t="s">
        <v>3</v>
      </c>
      <c r="B37">
        <v>1761.75</v>
      </c>
      <c r="C37">
        <v>105.1</v>
      </c>
      <c r="K37">
        <v>1761.75</v>
      </c>
      <c r="L37" s="46">
        <v>53.7</v>
      </c>
      <c r="T37">
        <v>1761.75</v>
      </c>
      <c r="U37" s="32">
        <v>193</v>
      </c>
    </row>
    <row r="38" spans="1:21">
      <c r="A38" s="6" t="s">
        <v>4</v>
      </c>
      <c r="B38">
        <v>1674.8</v>
      </c>
      <c r="C38">
        <v>101.7</v>
      </c>
      <c r="K38">
        <v>1674.8</v>
      </c>
      <c r="L38" s="47">
        <v>52.1</v>
      </c>
      <c r="T38">
        <v>1674.8</v>
      </c>
      <c r="U38" s="1">
        <v>370.5</v>
      </c>
    </row>
    <row r="39" spans="1:21">
      <c r="A39" s="6" t="s">
        <v>5</v>
      </c>
      <c r="B39">
        <v>1648.75</v>
      </c>
      <c r="C39">
        <v>109.1</v>
      </c>
      <c r="K39">
        <v>1648.75</v>
      </c>
      <c r="L39" s="48">
        <v>51.3</v>
      </c>
      <c r="T39">
        <v>1648.75</v>
      </c>
      <c r="U39">
        <v>90.333333333333329</v>
      </c>
    </row>
    <row r="40" spans="1:21">
      <c r="A40" s="5" t="s">
        <v>7</v>
      </c>
      <c r="B40">
        <v>1350.25</v>
      </c>
      <c r="C40">
        <v>110.4</v>
      </c>
      <c r="K40">
        <v>1350.25</v>
      </c>
      <c r="L40" s="46">
        <v>55.8</v>
      </c>
      <c r="T40">
        <v>1350.25</v>
      </c>
      <c r="U40" s="32">
        <v>139.5</v>
      </c>
    </row>
    <row r="41" spans="1:21">
      <c r="A41" s="6" t="s">
        <v>8</v>
      </c>
      <c r="B41" s="35">
        <v>3365</v>
      </c>
      <c r="C41">
        <v>105.5</v>
      </c>
      <c r="K41" s="24">
        <v>3365</v>
      </c>
      <c r="L41" s="47">
        <v>56.3</v>
      </c>
      <c r="T41" s="35">
        <v>3365</v>
      </c>
      <c r="U41" s="1">
        <v>509</v>
      </c>
    </row>
    <row r="42" spans="1:21">
      <c r="A42" s="7" t="s">
        <v>9</v>
      </c>
      <c r="B42">
        <v>2321.25</v>
      </c>
      <c r="C42">
        <v>112.1</v>
      </c>
      <c r="K42">
        <v>2321.25</v>
      </c>
      <c r="L42" s="48">
        <v>60.7</v>
      </c>
      <c r="T42">
        <v>2321.25</v>
      </c>
      <c r="U42" s="1">
        <v>435.5</v>
      </c>
    </row>
    <row r="43" spans="1:21">
      <c r="A43" s="6" t="s">
        <v>11</v>
      </c>
      <c r="B43">
        <v>2354.75</v>
      </c>
      <c r="C43">
        <v>113.2</v>
      </c>
      <c r="K43">
        <v>2354.75</v>
      </c>
      <c r="L43" s="46">
        <v>56.2</v>
      </c>
      <c r="T43">
        <v>2354.75</v>
      </c>
      <c r="U43" s="1">
        <v>600</v>
      </c>
    </row>
    <row r="44" spans="1:21">
      <c r="A44" s="7" t="s">
        <v>12</v>
      </c>
      <c r="B44">
        <v>2224.75</v>
      </c>
      <c r="C44">
        <v>108.8</v>
      </c>
      <c r="K44">
        <v>2224.75</v>
      </c>
      <c r="L44" s="48">
        <v>54.1</v>
      </c>
      <c r="T44">
        <v>2224.75</v>
      </c>
      <c r="U44" s="1">
        <v>537.5</v>
      </c>
    </row>
    <row r="45" spans="1:21">
      <c r="A45" s="5" t="s">
        <v>13</v>
      </c>
      <c r="B45">
        <v>846.75</v>
      </c>
      <c r="C45">
        <v>92.4</v>
      </c>
      <c r="K45">
        <v>846.75</v>
      </c>
      <c r="L45" s="46">
        <v>41.1</v>
      </c>
      <c r="T45">
        <v>846.75</v>
      </c>
      <c r="U45">
        <v>68</v>
      </c>
    </row>
    <row r="46" spans="1:21">
      <c r="A46" s="6" t="s">
        <v>14</v>
      </c>
      <c r="B46">
        <v>1377.95</v>
      </c>
      <c r="C46">
        <v>98.3</v>
      </c>
      <c r="K46">
        <v>1377.95</v>
      </c>
      <c r="L46" s="47">
        <v>39.4</v>
      </c>
      <c r="T46">
        <v>1377.95</v>
      </c>
      <c r="U46">
        <v>44</v>
      </c>
    </row>
    <row r="47" spans="1:21">
      <c r="A47" s="6" t="s">
        <v>15</v>
      </c>
      <c r="B47">
        <v>993</v>
      </c>
      <c r="C47">
        <v>94.5</v>
      </c>
      <c r="K47">
        <v>993</v>
      </c>
      <c r="L47" s="47">
        <v>41.3</v>
      </c>
      <c r="T47">
        <v>993</v>
      </c>
      <c r="U47">
        <v>65</v>
      </c>
    </row>
    <row r="48" spans="1:21">
      <c r="A48" s="6" t="s">
        <v>16</v>
      </c>
      <c r="B48">
        <v>842.75</v>
      </c>
      <c r="C48">
        <v>98</v>
      </c>
      <c r="K48">
        <v>842.75</v>
      </c>
      <c r="L48" s="47">
        <v>40.200000000000003</v>
      </c>
      <c r="T48">
        <v>842.75</v>
      </c>
      <c r="U48">
        <v>70</v>
      </c>
    </row>
    <row r="49" spans="1:21">
      <c r="A49" s="7" t="s">
        <v>18</v>
      </c>
      <c r="B49">
        <v>1401.25</v>
      </c>
      <c r="C49">
        <v>104.4</v>
      </c>
      <c r="K49">
        <v>1401.25</v>
      </c>
      <c r="L49" s="48">
        <v>45.1</v>
      </c>
      <c r="T49">
        <v>1401.25</v>
      </c>
      <c r="U49">
        <v>95.5</v>
      </c>
    </row>
    <row r="50" spans="1:21">
      <c r="A50" s="6" t="s">
        <v>20</v>
      </c>
      <c r="B50">
        <v>2015.75</v>
      </c>
      <c r="C50">
        <v>110.5</v>
      </c>
      <c r="K50">
        <v>2015.75</v>
      </c>
      <c r="L50" s="46">
        <v>41</v>
      </c>
    </row>
    <row r="51" spans="1:21">
      <c r="A51" s="7" t="s">
        <v>21</v>
      </c>
      <c r="B51">
        <v>1738.25</v>
      </c>
      <c r="C51">
        <v>121.3</v>
      </c>
      <c r="K51">
        <v>1738.25</v>
      </c>
      <c r="L51" s="48">
        <v>48</v>
      </c>
    </row>
    <row r="53" spans="1:21">
      <c r="B53" t="s">
        <v>141</v>
      </c>
      <c r="C53" t="s">
        <v>139</v>
      </c>
      <c r="K53" t="s">
        <v>141</v>
      </c>
    </row>
    <row r="54" spans="1:21">
      <c r="A54" s="5" t="s">
        <v>3</v>
      </c>
      <c r="B54">
        <v>1761.75</v>
      </c>
      <c r="C54" s="1">
        <v>221</v>
      </c>
      <c r="K54">
        <v>1761.75</v>
      </c>
      <c r="L54">
        <v>50</v>
      </c>
    </row>
    <row r="55" spans="1:21">
      <c r="A55" s="6" t="s">
        <v>4</v>
      </c>
      <c r="B55">
        <v>1674.8</v>
      </c>
      <c r="C55" s="1">
        <v>309</v>
      </c>
      <c r="K55">
        <v>1674.8</v>
      </c>
      <c r="L55">
        <v>34</v>
      </c>
    </row>
    <row r="56" spans="1:21">
      <c r="A56" s="6" t="s">
        <v>5</v>
      </c>
      <c r="B56">
        <v>1648.75</v>
      </c>
      <c r="C56" s="1">
        <v>248.5</v>
      </c>
      <c r="K56">
        <v>1648.75</v>
      </c>
      <c r="L56">
        <v>38.5</v>
      </c>
    </row>
    <row r="57" spans="1:21">
      <c r="A57" s="5" t="s">
        <v>7</v>
      </c>
      <c r="B57">
        <v>1350.25</v>
      </c>
      <c r="C57" s="1">
        <v>225.5</v>
      </c>
      <c r="K57">
        <v>1350.25</v>
      </c>
      <c r="L57">
        <v>46</v>
      </c>
    </row>
    <row r="58" spans="1:21">
      <c r="A58" s="6" t="s">
        <v>8</v>
      </c>
      <c r="B58" s="35">
        <v>3365</v>
      </c>
      <c r="C58" s="34">
        <v>514</v>
      </c>
      <c r="K58" s="35">
        <v>3365</v>
      </c>
      <c r="L58">
        <v>61.5</v>
      </c>
    </row>
    <row r="59" spans="1:21">
      <c r="A59" s="7" t="s">
        <v>9</v>
      </c>
      <c r="B59">
        <v>2321.25</v>
      </c>
      <c r="C59" s="1">
        <v>391.5</v>
      </c>
      <c r="K59">
        <v>2321.25</v>
      </c>
      <c r="L59">
        <v>50.5</v>
      </c>
    </row>
    <row r="60" spans="1:21">
      <c r="A60" s="6" t="s">
        <v>11</v>
      </c>
      <c r="B60">
        <v>2354.75</v>
      </c>
      <c r="C60" s="1">
        <v>384.5</v>
      </c>
      <c r="K60">
        <v>2354.75</v>
      </c>
      <c r="L60">
        <v>63.5</v>
      </c>
    </row>
    <row r="61" spans="1:21">
      <c r="A61" s="7" t="s">
        <v>12</v>
      </c>
      <c r="B61">
        <v>2224.75</v>
      </c>
      <c r="C61" s="34">
        <v>413</v>
      </c>
      <c r="K61">
        <v>2224.75</v>
      </c>
      <c r="L61">
        <v>73.5</v>
      </c>
    </row>
    <row r="62" spans="1:21">
      <c r="A62" s="5" t="s">
        <v>13</v>
      </c>
      <c r="B62">
        <v>846.75</v>
      </c>
      <c r="C62">
        <v>78</v>
      </c>
      <c r="K62">
        <v>846.75</v>
      </c>
      <c r="L62">
        <v>63</v>
      </c>
    </row>
    <row r="63" spans="1:21">
      <c r="A63" s="6" t="s">
        <v>14</v>
      </c>
      <c r="B63">
        <v>1377.95</v>
      </c>
      <c r="C63">
        <v>58</v>
      </c>
      <c r="K63">
        <v>1377.95</v>
      </c>
      <c r="L63">
        <v>60</v>
      </c>
    </row>
    <row r="64" spans="1:21">
      <c r="A64" s="6" t="s">
        <v>15</v>
      </c>
      <c r="B64">
        <v>993</v>
      </c>
      <c r="C64">
        <v>65.5</v>
      </c>
      <c r="K64">
        <v>993</v>
      </c>
      <c r="L64">
        <v>56.5</v>
      </c>
    </row>
    <row r="65" spans="1:12">
      <c r="A65" s="6" t="s">
        <v>16</v>
      </c>
      <c r="B65">
        <v>842.75</v>
      </c>
      <c r="C65">
        <v>98.333333333333329</v>
      </c>
      <c r="K65">
        <v>842.75</v>
      </c>
      <c r="L65">
        <v>54</v>
      </c>
    </row>
    <row r="66" spans="1:12">
      <c r="A66" s="7" t="s">
        <v>18</v>
      </c>
      <c r="B66">
        <v>1401.25</v>
      </c>
      <c r="C66" s="1">
        <v>295</v>
      </c>
      <c r="K66">
        <v>1401.25</v>
      </c>
      <c r="L66">
        <v>63.333333333333336</v>
      </c>
    </row>
    <row r="67" spans="1:12">
      <c r="A67" s="6" t="s">
        <v>20</v>
      </c>
      <c r="B67">
        <v>2015.75</v>
      </c>
      <c r="C67" s="34">
        <v>505.5</v>
      </c>
      <c r="K67">
        <v>2015.75</v>
      </c>
      <c r="L67">
        <v>66.5</v>
      </c>
    </row>
    <row r="68" spans="1:12">
      <c r="A68" s="7" t="s">
        <v>21</v>
      </c>
      <c r="B68">
        <v>1738.25</v>
      </c>
      <c r="C68" s="1">
        <v>338.5</v>
      </c>
      <c r="K68">
        <v>1738.25</v>
      </c>
      <c r="L68">
        <v>47</v>
      </c>
    </row>
  </sheetData>
  <conditionalFormatting sqref="B3:B1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C3:C17">
    <cfRule type="colorScale" priority="22">
      <colorScale>
        <cfvo type="min"/>
        <cfvo type="max"/>
        <color rgb="FFF8696B"/>
        <color rgb="FFFCFCFF"/>
      </colorScale>
    </cfRule>
  </conditionalFormatting>
  <conditionalFormatting sqref="C20:C34">
    <cfRule type="colorScale" priority="21">
      <colorScale>
        <cfvo type="min"/>
        <cfvo type="max"/>
        <color rgb="FFF8696B"/>
        <color rgb="FFFCFCFF"/>
      </colorScale>
    </cfRule>
  </conditionalFormatting>
  <conditionalFormatting sqref="B20:B27">
    <cfRule type="colorScale" priority="20">
      <colorScale>
        <cfvo type="min"/>
        <cfvo type="max"/>
        <color rgb="FFFCFCFF"/>
        <color rgb="FFF8696B"/>
      </colorScale>
    </cfRule>
  </conditionalFormatting>
  <conditionalFormatting sqref="B20:B34">
    <cfRule type="colorScale" priority="19">
      <colorScale>
        <cfvo type="min"/>
        <cfvo type="max"/>
        <color rgb="FFFCFCFF"/>
        <color rgb="FFF8696B"/>
      </colorScale>
    </cfRule>
  </conditionalFormatting>
  <conditionalFormatting sqref="B37:B44"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:B5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:L17">
    <cfRule type="colorScale" priority="15">
      <colorScale>
        <cfvo type="min"/>
        <cfvo type="max"/>
        <color rgb="FFF8696B"/>
        <color rgb="FFFCFCFF"/>
      </colorScale>
    </cfRule>
  </conditionalFormatting>
  <conditionalFormatting sqref="U3:U17">
    <cfRule type="colorScale" priority="14">
      <colorScale>
        <cfvo type="min"/>
        <cfvo type="max"/>
        <color rgb="FFF8696B"/>
        <color rgb="FFFCFCFF"/>
      </colorScale>
    </cfRule>
  </conditionalFormatting>
  <conditionalFormatting sqref="L20:L34">
    <cfRule type="colorScale" priority="13">
      <colorScale>
        <cfvo type="min"/>
        <cfvo type="max"/>
        <color rgb="FFF8696B"/>
        <color rgb="FFFCFCFF"/>
      </colorScale>
    </cfRule>
  </conditionalFormatting>
  <conditionalFormatting sqref="U20:U34">
    <cfRule type="colorScale" priority="12">
      <colorScale>
        <cfvo type="min"/>
        <cfvo type="max"/>
        <color rgb="FFF8696B"/>
        <color rgb="FFFCFCFF"/>
      </colorScale>
    </cfRule>
  </conditionalFormatting>
  <conditionalFormatting sqref="L37:L51">
    <cfRule type="colorScale" priority="9">
      <colorScale>
        <cfvo type="min"/>
        <cfvo type="max"/>
        <color rgb="FFFCFCFF"/>
        <color rgb="FFF8696B"/>
      </colorScale>
    </cfRule>
  </conditionalFormatting>
  <conditionalFormatting sqref="K37:K44">
    <cfRule type="colorScale" priority="8">
      <colorScale>
        <cfvo type="min"/>
        <cfvo type="max"/>
        <color rgb="FFFCFCFF"/>
        <color rgb="FFF8696B"/>
      </colorScale>
    </cfRule>
  </conditionalFormatting>
  <conditionalFormatting sqref="K37:K51">
    <cfRule type="colorScale" priority="7">
      <colorScale>
        <cfvo type="min"/>
        <cfvo type="max"/>
        <color rgb="FFFCFCFF"/>
        <color rgb="FFF8696B"/>
      </colorScale>
    </cfRule>
  </conditionalFormatting>
  <conditionalFormatting sqref="T37:T44">
    <cfRule type="colorScale" priority="6">
      <colorScale>
        <cfvo type="min"/>
        <cfvo type="max"/>
        <color rgb="FFFCFCFF"/>
        <color rgb="FFF8696B"/>
      </colorScale>
    </cfRule>
  </conditionalFormatting>
  <conditionalFormatting sqref="T37:T51">
    <cfRule type="colorScale" priority="5">
      <colorScale>
        <cfvo type="min"/>
        <cfvo type="max"/>
        <color rgb="FFFCFCFF"/>
        <color rgb="FFF8696B"/>
      </colorScale>
    </cfRule>
  </conditionalFormatting>
  <conditionalFormatting sqref="B54:B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54:B68">
    <cfRule type="colorScale" priority="3">
      <colorScale>
        <cfvo type="min"/>
        <cfvo type="max"/>
        <color rgb="FFFCFCFF"/>
        <color rgb="FFF8696B"/>
      </colorScale>
    </cfRule>
  </conditionalFormatting>
  <conditionalFormatting sqref="K54:K61">
    <cfRule type="colorScale" priority="2">
      <colorScale>
        <cfvo type="min"/>
        <cfvo type="max"/>
        <color rgb="FFFCFCFF"/>
        <color rgb="FFF8696B"/>
      </colorScale>
    </cfRule>
  </conditionalFormatting>
  <conditionalFormatting sqref="K54:K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B368-64A7-C149-908F-DA17218E1EC7}">
  <dimension ref="A1:F40"/>
  <sheetViews>
    <sheetView zoomScale="75" zoomScaleNormal="75" workbookViewId="0">
      <selection activeCell="P40" sqref="P40"/>
    </sheetView>
  </sheetViews>
  <sheetFormatPr defaultColWidth="11" defaultRowHeight="15.5"/>
  <sheetData>
    <row r="1" spans="1:5">
      <c r="B1" t="s">
        <v>82</v>
      </c>
      <c r="C1" t="s">
        <v>83</v>
      </c>
      <c r="D1" s="12" t="s">
        <v>84</v>
      </c>
      <c r="E1" s="12" t="s">
        <v>90</v>
      </c>
    </row>
    <row r="2" spans="1:5">
      <c r="A2" s="5" t="s">
        <v>3</v>
      </c>
      <c r="B2" s="11">
        <v>225</v>
      </c>
      <c r="C2" s="10">
        <v>83</v>
      </c>
      <c r="D2" s="1">
        <v>206</v>
      </c>
      <c r="E2" s="1">
        <v>221</v>
      </c>
    </row>
    <row r="3" spans="1:5">
      <c r="A3" s="6" t="s">
        <v>4</v>
      </c>
      <c r="B3" s="11">
        <v>265</v>
      </c>
      <c r="C3" s="11">
        <v>289.5</v>
      </c>
      <c r="D3" s="1">
        <v>326</v>
      </c>
      <c r="E3" s="1">
        <v>309</v>
      </c>
    </row>
    <row r="4" spans="1:5">
      <c r="A4" s="6" t="s">
        <v>5</v>
      </c>
      <c r="B4" s="11">
        <v>256.5</v>
      </c>
      <c r="C4" s="11">
        <v>250.5</v>
      </c>
      <c r="D4" s="1">
        <v>139.5</v>
      </c>
      <c r="E4" s="1">
        <v>248.5</v>
      </c>
    </row>
    <row r="5" spans="1:5">
      <c r="A5" s="7" t="s">
        <v>6</v>
      </c>
      <c r="B5" s="10">
        <v>63</v>
      </c>
      <c r="C5" s="10">
        <v>46.5</v>
      </c>
      <c r="D5">
        <v>78</v>
      </c>
      <c r="E5">
        <v>63</v>
      </c>
    </row>
    <row r="6" spans="1:5">
      <c r="A6" s="5" t="s">
        <v>7</v>
      </c>
      <c r="B6" s="11">
        <v>232.5</v>
      </c>
      <c r="C6" s="11">
        <v>203.5</v>
      </c>
      <c r="D6" s="1">
        <v>205.5</v>
      </c>
      <c r="E6" s="1">
        <v>225.5</v>
      </c>
    </row>
    <row r="7" spans="1:5">
      <c r="A7" s="6" t="s">
        <v>8</v>
      </c>
      <c r="B7" s="11">
        <v>383</v>
      </c>
      <c r="C7" s="11">
        <v>389</v>
      </c>
      <c r="D7" s="1">
        <v>367</v>
      </c>
      <c r="E7" s="1">
        <v>514</v>
      </c>
    </row>
    <row r="8" spans="1:5">
      <c r="A8" s="7" t="s">
        <v>9</v>
      </c>
      <c r="B8" s="11">
        <v>387.66666666666669</v>
      </c>
      <c r="C8" s="11">
        <v>281</v>
      </c>
      <c r="D8" s="1">
        <v>349</v>
      </c>
      <c r="E8" s="1">
        <v>391.5</v>
      </c>
    </row>
    <row r="9" spans="1:5">
      <c r="A9" s="5" t="s">
        <v>10</v>
      </c>
      <c r="B9" s="11">
        <v>117.33333333333333</v>
      </c>
      <c r="C9" s="10">
        <v>73.5</v>
      </c>
      <c r="D9">
        <v>45</v>
      </c>
      <c r="E9">
        <v>61</v>
      </c>
    </row>
    <row r="10" spans="1:5">
      <c r="A10" s="6" t="s">
        <v>11</v>
      </c>
      <c r="B10" s="11">
        <v>297.33333333333331</v>
      </c>
      <c r="C10" s="11">
        <v>326.5</v>
      </c>
      <c r="D10" s="1">
        <v>321.5</v>
      </c>
      <c r="E10" s="1">
        <v>384.5</v>
      </c>
    </row>
    <row r="11" spans="1:5">
      <c r="A11" s="7" t="s">
        <v>12</v>
      </c>
      <c r="B11" s="11">
        <v>272</v>
      </c>
      <c r="C11" s="11">
        <v>339.5</v>
      </c>
      <c r="D11" s="1">
        <v>330.5</v>
      </c>
      <c r="E11" s="1">
        <v>413</v>
      </c>
    </row>
    <row r="12" spans="1:5">
      <c r="A12" s="5" t="s">
        <v>13</v>
      </c>
      <c r="B12" s="11">
        <f>(111+106)/2</f>
        <v>108.5</v>
      </c>
      <c r="C12" s="10">
        <f>(93+78+87)/3</f>
        <v>86</v>
      </c>
      <c r="D12">
        <v>71.5</v>
      </c>
      <c r="E12">
        <v>78</v>
      </c>
    </row>
    <row r="13" spans="1:5">
      <c r="A13" s="6" t="s">
        <v>14</v>
      </c>
      <c r="B13" s="10">
        <f>(84+68)/2</f>
        <v>76</v>
      </c>
      <c r="C13" s="10">
        <f>(70+71)/2</f>
        <v>70.5</v>
      </c>
      <c r="D13">
        <v>59</v>
      </c>
      <c r="E13">
        <v>58</v>
      </c>
    </row>
    <row r="14" spans="1:5">
      <c r="A14" s="6" t="s">
        <v>15</v>
      </c>
      <c r="B14" s="10">
        <f>(76+88)/2</f>
        <v>82</v>
      </c>
      <c r="C14" s="10">
        <f>(80+86)/2</f>
        <v>83</v>
      </c>
      <c r="D14">
        <v>69.5</v>
      </c>
      <c r="E14">
        <v>65.5</v>
      </c>
    </row>
    <row r="15" spans="1:5">
      <c r="A15" s="6" t="s">
        <v>16</v>
      </c>
      <c r="B15" s="11">
        <f>(193+173)/2</f>
        <v>183</v>
      </c>
      <c r="C15" s="10">
        <f>(68+75)/2</f>
        <v>71.5</v>
      </c>
      <c r="D15">
        <v>67.5</v>
      </c>
      <c r="E15">
        <v>98.333333333333329</v>
      </c>
    </row>
    <row r="16" spans="1:5">
      <c r="A16" s="6" t="s">
        <v>17</v>
      </c>
      <c r="B16" s="10">
        <f>(80+88)/2</f>
        <v>84</v>
      </c>
      <c r="C16" s="10">
        <f>(74+70+76)/3</f>
        <v>73.333333333333329</v>
      </c>
      <c r="D16">
        <v>77</v>
      </c>
      <c r="E16">
        <v>68.5</v>
      </c>
    </row>
    <row r="17" spans="1:6">
      <c r="A17" s="7" t="s">
        <v>18</v>
      </c>
      <c r="B17" s="11">
        <f>(207+201)/2</f>
        <v>204</v>
      </c>
      <c r="C17" s="11">
        <f>(297+303)/2</f>
        <v>300</v>
      </c>
      <c r="D17">
        <v>78.5</v>
      </c>
      <c r="E17" s="1">
        <v>295</v>
      </c>
    </row>
    <row r="18" spans="1:6">
      <c r="A18" s="6" t="s">
        <v>20</v>
      </c>
      <c r="B18" s="11">
        <f>(416+503)/2</f>
        <v>459.5</v>
      </c>
      <c r="C18" s="11">
        <f>(264+443+321)/3</f>
        <v>342.66666666666669</v>
      </c>
      <c r="D18" s="1">
        <v>352</v>
      </c>
      <c r="E18" s="1">
        <v>505.5</v>
      </c>
    </row>
    <row r="19" spans="1:6">
      <c r="A19" s="7" t="s">
        <v>21</v>
      </c>
      <c r="B19" s="11">
        <f>(277+322)/2</f>
        <v>299.5</v>
      </c>
      <c r="C19" s="11">
        <f>(224+231)/2</f>
        <v>227.5</v>
      </c>
      <c r="D19" s="1">
        <v>308</v>
      </c>
      <c r="E19" s="1">
        <v>338.5</v>
      </c>
    </row>
    <row r="20" spans="1:6">
      <c r="B20">
        <f>AVERAGE(B2:B19)</f>
        <v>221.99074074074076</v>
      </c>
      <c r="C20">
        <f t="shared" ref="C20:E20" si="0">AVERAGE(C2:C19)</f>
        <v>196.5</v>
      </c>
      <c r="D20">
        <f t="shared" si="0"/>
        <v>191.72222222222223</v>
      </c>
      <c r="E20">
        <f t="shared" si="0"/>
        <v>241.01851851851856</v>
      </c>
    </row>
    <row r="21" spans="1:6">
      <c r="B21" t="s">
        <v>85</v>
      </c>
      <c r="C21" t="s">
        <v>86</v>
      </c>
      <c r="D21" s="12" t="s">
        <v>87</v>
      </c>
      <c r="E21" s="12" t="s">
        <v>88</v>
      </c>
      <c r="F21" s="12" t="s">
        <v>91</v>
      </c>
    </row>
    <row r="22" spans="1:6">
      <c r="A22" s="5" t="s">
        <v>3</v>
      </c>
      <c r="B22" s="10">
        <v>41</v>
      </c>
      <c r="C22" s="10">
        <v>48</v>
      </c>
      <c r="D22">
        <v>52.5</v>
      </c>
      <c r="E22">
        <f>(52+48)/2</f>
        <v>50</v>
      </c>
      <c r="F22">
        <f>(60+57)/2</f>
        <v>58.5</v>
      </c>
    </row>
    <row r="23" spans="1:6">
      <c r="A23" s="6" t="s">
        <v>4</v>
      </c>
      <c r="B23" s="10">
        <v>43</v>
      </c>
      <c r="C23" s="10">
        <v>44</v>
      </c>
      <c r="D23">
        <v>40</v>
      </c>
      <c r="E23">
        <f>(36+32)/2</f>
        <v>34</v>
      </c>
      <c r="F23">
        <f>(42+54)/2</f>
        <v>48</v>
      </c>
    </row>
    <row r="24" spans="1:6">
      <c r="A24" s="6" t="s">
        <v>5</v>
      </c>
      <c r="B24" s="10">
        <v>52.333333333333336</v>
      </c>
      <c r="C24" s="10">
        <v>48</v>
      </c>
      <c r="D24">
        <v>40</v>
      </c>
      <c r="E24">
        <f>(41+36)/2</f>
        <v>38.5</v>
      </c>
      <c r="F24">
        <f>(55+58)/2</f>
        <v>56.5</v>
      </c>
    </row>
    <row r="25" spans="1:6">
      <c r="A25" s="7" t="s">
        <v>6</v>
      </c>
      <c r="B25" s="10">
        <v>41</v>
      </c>
      <c r="C25" s="10">
        <v>50</v>
      </c>
      <c r="D25">
        <v>64.5</v>
      </c>
      <c r="E25">
        <f>(68+59)/2</f>
        <v>63.5</v>
      </c>
      <c r="F25">
        <f>(41+43)/2</f>
        <v>42</v>
      </c>
    </row>
    <row r="26" spans="1:6">
      <c r="A26" s="5" t="s">
        <v>7</v>
      </c>
      <c r="B26" s="11">
        <v>171.33333333333334</v>
      </c>
      <c r="C26" s="10">
        <v>51.5</v>
      </c>
      <c r="D26">
        <v>55</v>
      </c>
      <c r="E26">
        <f>(45+47)/2</f>
        <v>46</v>
      </c>
      <c r="F26">
        <f>(37+40)/2</f>
        <v>38.5</v>
      </c>
    </row>
    <row r="27" spans="1:6">
      <c r="A27" s="6" t="s">
        <v>8</v>
      </c>
      <c r="B27" s="15">
        <v>77.25</v>
      </c>
      <c r="C27" s="11">
        <v>105</v>
      </c>
      <c r="D27">
        <v>67.5</v>
      </c>
      <c r="E27">
        <f>(60+63)/2</f>
        <v>61.5</v>
      </c>
      <c r="F27" s="1">
        <f>(183+155)/2</f>
        <v>169</v>
      </c>
    </row>
    <row r="28" spans="1:6">
      <c r="A28" s="7" t="s">
        <v>9</v>
      </c>
      <c r="B28" s="11">
        <v>174.33333333333334</v>
      </c>
      <c r="C28" s="15">
        <v>78.5</v>
      </c>
      <c r="D28">
        <v>71</v>
      </c>
      <c r="E28">
        <f>(43+58)/2</f>
        <v>50.5</v>
      </c>
      <c r="F28" s="1">
        <f>(150+126)/2</f>
        <v>138</v>
      </c>
    </row>
    <row r="29" spans="1:6">
      <c r="A29" s="5" t="s">
        <v>10</v>
      </c>
      <c r="B29" s="10">
        <v>50.25</v>
      </c>
      <c r="C29" s="10">
        <v>56.5</v>
      </c>
      <c r="D29">
        <v>41.5</v>
      </c>
      <c r="E29">
        <f>(58+46)/2</f>
        <v>52</v>
      </c>
      <c r="F29">
        <f>(46+58)/2</f>
        <v>52</v>
      </c>
    </row>
    <row r="30" spans="1:6">
      <c r="A30" s="6" t="s">
        <v>11</v>
      </c>
      <c r="B30" s="10">
        <v>57</v>
      </c>
      <c r="C30" s="10">
        <v>66.75</v>
      </c>
      <c r="D30">
        <v>73.5</v>
      </c>
      <c r="E30">
        <f>(65+62)/2</f>
        <v>63.5</v>
      </c>
      <c r="F30" s="1">
        <f>(163+179)/2</f>
        <v>171</v>
      </c>
    </row>
    <row r="31" spans="1:6">
      <c r="A31" s="7" t="s">
        <v>12</v>
      </c>
      <c r="B31" s="10">
        <v>59</v>
      </c>
      <c r="C31" s="10">
        <v>53.333333333333336</v>
      </c>
      <c r="D31">
        <v>50</v>
      </c>
      <c r="E31">
        <f>(55+90+71+78)/4</f>
        <v>73.5</v>
      </c>
      <c r="F31">
        <f>(57+67)/2</f>
        <v>62</v>
      </c>
    </row>
    <row r="32" spans="1:6">
      <c r="A32" s="5" t="s">
        <v>13</v>
      </c>
      <c r="B32" s="10">
        <f>(52+55+53)/3</f>
        <v>53.333333333333336</v>
      </c>
      <c r="C32" s="10">
        <f>(63+63)/2</f>
        <v>63</v>
      </c>
      <c r="D32">
        <f>(48+49)/2</f>
        <v>48.5</v>
      </c>
      <c r="E32">
        <v>63</v>
      </c>
      <c r="F32">
        <f>(75+69)/2</f>
        <v>72</v>
      </c>
    </row>
    <row r="33" spans="1:6">
      <c r="A33" s="6" t="s">
        <v>14</v>
      </c>
      <c r="B33" s="10">
        <f>(46+46)/2</f>
        <v>46</v>
      </c>
      <c r="C33" s="10">
        <f>(65+62)/2</f>
        <v>63.5</v>
      </c>
      <c r="D33">
        <f>(49+54)/2</f>
        <v>51.5</v>
      </c>
      <c r="E33">
        <v>60</v>
      </c>
      <c r="F33">
        <f>(59+60)/2</f>
        <v>59.5</v>
      </c>
    </row>
    <row r="34" spans="1:6">
      <c r="A34" s="6" t="s">
        <v>15</v>
      </c>
      <c r="B34" s="10">
        <f>(43+51)/2</f>
        <v>47</v>
      </c>
      <c r="C34" s="10">
        <f>(65+63)/2</f>
        <v>64</v>
      </c>
      <c r="D34">
        <f>(56+57)/2</f>
        <v>56.5</v>
      </c>
      <c r="E34">
        <v>56.5</v>
      </c>
      <c r="F34">
        <f>(48+52)/2</f>
        <v>50</v>
      </c>
    </row>
    <row r="35" spans="1:6">
      <c r="A35" s="6" t="s">
        <v>16</v>
      </c>
      <c r="B35" s="10">
        <f>(44+55)/2</f>
        <v>49.5</v>
      </c>
      <c r="C35" s="10">
        <f>(56+67)/2</f>
        <v>61.5</v>
      </c>
      <c r="D35">
        <f>(63+62)/2</f>
        <v>62.5</v>
      </c>
      <c r="E35">
        <v>54</v>
      </c>
      <c r="F35">
        <f>(50+46)/2</f>
        <v>48</v>
      </c>
    </row>
    <row r="36" spans="1:6">
      <c r="A36" s="6" t="s">
        <v>17</v>
      </c>
      <c r="B36" s="10">
        <f>(45+57)/2</f>
        <v>51</v>
      </c>
      <c r="C36" s="10">
        <f>(59+62)/2</f>
        <v>60.5</v>
      </c>
      <c r="D36">
        <f>(54+56)/2</f>
        <v>55</v>
      </c>
      <c r="E36">
        <v>58</v>
      </c>
      <c r="F36">
        <f>(44+42)/2</f>
        <v>43</v>
      </c>
    </row>
    <row r="37" spans="1:6">
      <c r="A37" s="7" t="s">
        <v>18</v>
      </c>
      <c r="B37" s="10">
        <f>(39+40)/2</f>
        <v>39.5</v>
      </c>
      <c r="C37" s="10">
        <f>(60+50)/2</f>
        <v>55</v>
      </c>
      <c r="D37" s="39">
        <f>(79+69+81)/3</f>
        <v>76.333333333333329</v>
      </c>
      <c r="E37">
        <v>63.333333333333336</v>
      </c>
      <c r="F37">
        <f>(65+52)/2</f>
        <v>58.5</v>
      </c>
    </row>
    <row r="38" spans="1:6">
      <c r="A38" s="6" t="s">
        <v>20</v>
      </c>
      <c r="B38" s="10">
        <f>(33+58+40+32)/4</f>
        <v>40.75</v>
      </c>
      <c r="C38" s="10">
        <f>(43+43)/2</f>
        <v>43</v>
      </c>
      <c r="D38">
        <f>(49+40)/2</f>
        <v>44.5</v>
      </c>
      <c r="E38">
        <v>66.5</v>
      </c>
      <c r="F38">
        <f>(63+66)/2</f>
        <v>64.5</v>
      </c>
    </row>
    <row r="39" spans="1:6">
      <c r="A39" s="7" t="s">
        <v>21</v>
      </c>
      <c r="B39" s="10">
        <f>(31+54+33)/3</f>
        <v>39.333333333333336</v>
      </c>
      <c r="C39" s="10">
        <f>(38+44)/2</f>
        <v>41</v>
      </c>
      <c r="D39">
        <f>(38+49+43)/3</f>
        <v>43.333333333333336</v>
      </c>
      <c r="E39">
        <v>47</v>
      </c>
      <c r="F39">
        <f>(52+45)/2</f>
        <v>48.5</v>
      </c>
    </row>
    <row r="40" spans="1:6">
      <c r="B40">
        <f>AVERAGE(B22:B39)</f>
        <v>62.939814814814817</v>
      </c>
      <c r="C40">
        <f t="shared" ref="C40:F40" si="1">AVERAGE(C22:C39)</f>
        <v>58.50462962962964</v>
      </c>
      <c r="D40">
        <f t="shared" si="1"/>
        <v>55.203703703703709</v>
      </c>
      <c r="E40">
        <f t="shared" si="1"/>
        <v>55.629629629629633</v>
      </c>
      <c r="F40">
        <f t="shared" si="1"/>
        <v>71.083333333333329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BCAA-6923-1543-9A38-B8C7EE767B9B}">
  <dimension ref="A1:D19"/>
  <sheetViews>
    <sheetView workbookViewId="0">
      <selection activeCell="F31" sqref="F31"/>
    </sheetView>
  </sheetViews>
  <sheetFormatPr defaultColWidth="11" defaultRowHeight="15.5"/>
  <cols>
    <col min="2" max="2" width="22.83203125" bestFit="1" customWidth="1"/>
  </cols>
  <sheetData>
    <row r="1" spans="1:4">
      <c r="A1" s="14" t="s">
        <v>70</v>
      </c>
      <c r="B1" t="s">
        <v>74</v>
      </c>
      <c r="C1" s="13">
        <v>390</v>
      </c>
      <c r="D1" t="s">
        <v>94</v>
      </c>
    </row>
    <row r="2" spans="1:4">
      <c r="A2" t="s">
        <v>72</v>
      </c>
      <c r="B2" t="s">
        <v>97</v>
      </c>
      <c r="C2" s="13">
        <v>795</v>
      </c>
      <c r="D2" t="s">
        <v>93</v>
      </c>
    </row>
    <row r="3" spans="1:4">
      <c r="A3" s="14" t="s">
        <v>95</v>
      </c>
      <c r="B3" t="s">
        <v>92</v>
      </c>
      <c r="C3" s="13">
        <v>680</v>
      </c>
      <c r="D3" t="s">
        <v>98</v>
      </c>
    </row>
    <row r="4" spans="1:4">
      <c r="A4" s="14" t="s">
        <v>78</v>
      </c>
      <c r="B4" t="s">
        <v>92</v>
      </c>
      <c r="C4" s="13">
        <v>540</v>
      </c>
      <c r="D4" t="s">
        <v>107</v>
      </c>
    </row>
    <row r="5" spans="1:4">
      <c r="A5" t="s">
        <v>77</v>
      </c>
      <c r="B5" t="s">
        <v>105</v>
      </c>
      <c r="C5" s="13">
        <v>637</v>
      </c>
      <c r="D5" s="33" t="s">
        <v>104</v>
      </c>
    </row>
    <row r="6" spans="1:4">
      <c r="C6" s="13"/>
    </row>
    <row r="7" spans="1:4">
      <c r="A7" t="s">
        <v>71</v>
      </c>
    </row>
    <row r="8" spans="1:4">
      <c r="A8" t="s">
        <v>73</v>
      </c>
    </row>
    <row r="9" spans="1:4">
      <c r="A9" t="s">
        <v>75</v>
      </c>
      <c r="B9" t="s">
        <v>96</v>
      </c>
    </row>
    <row r="10" spans="1:4">
      <c r="A10" t="s">
        <v>76</v>
      </c>
    </row>
    <row r="11" spans="1:4">
      <c r="A11" t="s">
        <v>78</v>
      </c>
    </row>
    <row r="12" spans="1:4">
      <c r="A12" t="s">
        <v>79</v>
      </c>
      <c r="D12" t="s">
        <v>99</v>
      </c>
    </row>
    <row r="13" spans="1:4">
      <c r="A13" s="14" t="s">
        <v>80</v>
      </c>
      <c r="D13" t="s">
        <v>100</v>
      </c>
    </row>
    <row r="14" spans="1:4">
      <c r="A14" t="s">
        <v>89</v>
      </c>
      <c r="C14" s="13"/>
    </row>
    <row r="15" spans="1:4">
      <c r="A15" t="s">
        <v>101</v>
      </c>
    </row>
    <row r="16" spans="1:4">
      <c r="A16" t="s">
        <v>102</v>
      </c>
    </row>
    <row r="17" spans="1:1">
      <c r="A17" t="s">
        <v>103</v>
      </c>
    </row>
    <row r="19" spans="1:1">
      <c r="A19" t="s">
        <v>106</v>
      </c>
    </row>
  </sheetData>
  <hyperlinks>
    <hyperlink ref="D5" r:id="rId1" location="anchor_PR" xr:uid="{670C0C22-F0E7-4546-B44C-2D1356F390A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13A-41E7-6849-BF2E-2D4244CC5257}">
  <dimension ref="A1:BW57"/>
  <sheetViews>
    <sheetView topLeftCell="A16" zoomScale="91" workbookViewId="0">
      <selection activeCell="A35" sqref="A35:XFD57"/>
    </sheetView>
  </sheetViews>
  <sheetFormatPr defaultColWidth="11" defaultRowHeight="15.5"/>
  <sheetData>
    <row r="1" spans="1:10">
      <c r="A1" s="16"/>
      <c r="B1" s="16" t="s">
        <v>82</v>
      </c>
      <c r="C1" s="16" t="s">
        <v>83</v>
      </c>
      <c r="D1" s="17" t="s">
        <v>84</v>
      </c>
      <c r="E1" s="19" t="s">
        <v>108</v>
      </c>
      <c r="F1" s="16"/>
      <c r="G1" s="16" t="s">
        <v>85</v>
      </c>
      <c r="H1" t="s">
        <v>86</v>
      </c>
      <c r="I1" s="12" t="s">
        <v>87</v>
      </c>
      <c r="J1" t="s">
        <v>108</v>
      </c>
    </row>
    <row r="2" spans="1:10">
      <c r="A2" s="16" t="s">
        <v>3</v>
      </c>
      <c r="B2" s="18">
        <v>225</v>
      </c>
      <c r="C2" s="19">
        <v>83</v>
      </c>
      <c r="D2" s="20">
        <v>206</v>
      </c>
      <c r="E2" s="23">
        <f>STDEV(B2:D2)</f>
        <v>77.086531465187463</v>
      </c>
      <c r="F2" s="16" t="s">
        <v>3</v>
      </c>
      <c r="G2" s="19">
        <v>41</v>
      </c>
      <c r="H2" s="10">
        <v>48</v>
      </c>
      <c r="I2">
        <v>52.5</v>
      </c>
      <c r="J2">
        <f>STDEV(G2:I2)</f>
        <v>5.7951128835712371</v>
      </c>
    </row>
    <row r="3" spans="1:10">
      <c r="A3" s="16" t="s">
        <v>4</v>
      </c>
      <c r="B3" s="18">
        <v>265</v>
      </c>
      <c r="C3" s="18">
        <v>289.5</v>
      </c>
      <c r="D3" s="20">
        <v>326</v>
      </c>
      <c r="E3" s="16">
        <f t="shared" ref="E3:E23" si="0">STDEV(B3:D3)</f>
        <v>30.696090956341656</v>
      </c>
      <c r="F3" s="16" t="s">
        <v>4</v>
      </c>
      <c r="G3" s="19">
        <v>43</v>
      </c>
      <c r="H3" s="10">
        <v>44</v>
      </c>
      <c r="I3">
        <v>40</v>
      </c>
      <c r="J3">
        <f t="shared" ref="J3:J23" si="1">STDEV(G3:I3)</f>
        <v>2.0816659994661326</v>
      </c>
    </row>
    <row r="4" spans="1:10">
      <c r="A4" s="16" t="s">
        <v>5</v>
      </c>
      <c r="B4" s="18">
        <v>256.5</v>
      </c>
      <c r="C4" s="18">
        <v>250.5</v>
      </c>
      <c r="D4" s="21">
        <v>139.5</v>
      </c>
      <c r="E4" s="23">
        <f t="shared" si="0"/>
        <v>65.886265640116534</v>
      </c>
      <c r="F4" s="16" t="s">
        <v>5</v>
      </c>
      <c r="G4" s="19">
        <v>52.333333333333336</v>
      </c>
      <c r="H4" s="10">
        <v>48</v>
      </c>
      <c r="I4">
        <v>40</v>
      </c>
      <c r="J4">
        <f t="shared" si="1"/>
        <v>6.2568481001337535</v>
      </c>
    </row>
    <row r="5" spans="1:10">
      <c r="A5" s="16" t="s">
        <v>7</v>
      </c>
      <c r="B5" s="18">
        <v>232.5</v>
      </c>
      <c r="C5" s="18">
        <v>203.5</v>
      </c>
      <c r="D5" s="20">
        <v>205.5</v>
      </c>
      <c r="E5" s="16">
        <f t="shared" si="0"/>
        <v>16.19670748434179</v>
      </c>
      <c r="F5" s="16" t="s">
        <v>7</v>
      </c>
      <c r="G5" s="18">
        <v>171.33333333333334</v>
      </c>
      <c r="H5" s="10">
        <v>51.5</v>
      </c>
      <c r="I5">
        <v>55</v>
      </c>
      <c r="J5" s="14">
        <f t="shared" si="1"/>
        <v>68.197901021246238</v>
      </c>
    </row>
    <row r="6" spans="1:10">
      <c r="A6" s="16" t="s">
        <v>8</v>
      </c>
      <c r="B6" s="18">
        <v>383</v>
      </c>
      <c r="C6" s="18">
        <v>389</v>
      </c>
      <c r="D6" s="20">
        <v>367</v>
      </c>
      <c r="E6" s="16">
        <f t="shared" si="0"/>
        <v>11.372481406154654</v>
      </c>
      <c r="F6" s="16" t="s">
        <v>8</v>
      </c>
      <c r="G6" s="22">
        <v>77.25</v>
      </c>
      <c r="H6" s="15">
        <v>105</v>
      </c>
      <c r="I6">
        <v>67.5</v>
      </c>
      <c r="J6" s="14">
        <f t="shared" si="1"/>
        <v>19.456682656609271</v>
      </c>
    </row>
    <row r="7" spans="1:10">
      <c r="A7" s="16" t="s">
        <v>9</v>
      </c>
      <c r="B7" s="18">
        <v>387.66666666666669</v>
      </c>
      <c r="C7" s="18">
        <v>281</v>
      </c>
      <c r="D7" s="20">
        <v>349</v>
      </c>
      <c r="E7" s="19">
        <f t="shared" si="0"/>
        <v>54.001371724689974</v>
      </c>
      <c r="F7" s="16" t="s">
        <v>9</v>
      </c>
      <c r="G7" s="18">
        <v>174.33333333333334</v>
      </c>
      <c r="H7" s="15">
        <v>78.5</v>
      </c>
      <c r="I7">
        <v>71</v>
      </c>
      <c r="J7" s="14">
        <f t="shared" si="1"/>
        <v>57.616628901090031</v>
      </c>
    </row>
    <row r="8" spans="1:10">
      <c r="A8" s="16" t="s">
        <v>11</v>
      </c>
      <c r="B8" s="18">
        <v>297.33333333333331</v>
      </c>
      <c r="C8" s="18">
        <v>326.5</v>
      </c>
      <c r="D8" s="20">
        <v>321.5</v>
      </c>
      <c r="E8" s="16">
        <f t="shared" si="0"/>
        <v>15.597661268184963</v>
      </c>
      <c r="F8" s="16" t="s">
        <v>11</v>
      </c>
      <c r="G8" s="19">
        <v>57</v>
      </c>
      <c r="H8" s="10">
        <v>66.75</v>
      </c>
      <c r="I8">
        <v>73.5</v>
      </c>
      <c r="J8">
        <f t="shared" si="1"/>
        <v>8.2953300115185282</v>
      </c>
    </row>
    <row r="9" spans="1:10">
      <c r="A9" s="16" t="s">
        <v>12</v>
      </c>
      <c r="B9" s="18">
        <v>272</v>
      </c>
      <c r="C9" s="18">
        <v>339.5</v>
      </c>
      <c r="D9" s="20">
        <v>330.5</v>
      </c>
      <c r="E9" s="16">
        <f t="shared" si="0"/>
        <v>36.650375168611852</v>
      </c>
      <c r="F9" s="16" t="s">
        <v>12</v>
      </c>
      <c r="G9" s="19">
        <v>59</v>
      </c>
      <c r="H9" s="10">
        <v>53.333333333333336</v>
      </c>
      <c r="I9">
        <v>50</v>
      </c>
      <c r="J9">
        <f t="shared" si="1"/>
        <v>4.5501322732096154</v>
      </c>
    </row>
    <row r="10" spans="1:10">
      <c r="A10" s="24" t="s">
        <v>18</v>
      </c>
      <c r="B10" s="25">
        <f>(207+201)/2</f>
        <v>204</v>
      </c>
      <c r="C10" s="25">
        <f>(297+303)/2</f>
        <v>300</v>
      </c>
      <c r="D10" s="26">
        <v>78.5</v>
      </c>
      <c r="E10" s="27">
        <f t="shared" si="0"/>
        <v>111.07692529654094</v>
      </c>
      <c r="F10" s="26" t="s">
        <v>18</v>
      </c>
      <c r="G10" s="28">
        <f>(39+40)/2</f>
        <v>39.5</v>
      </c>
      <c r="H10" s="28">
        <f>(60+50)/2</f>
        <v>55</v>
      </c>
      <c r="I10" s="29">
        <f>(79+69+81)/3</f>
        <v>76.333333333333329</v>
      </c>
      <c r="J10" s="30">
        <f t="shared" si="1"/>
        <v>18.493492348911822</v>
      </c>
    </row>
    <row r="11" spans="1:10">
      <c r="A11" s="16" t="s">
        <v>20</v>
      </c>
      <c r="B11" s="18">
        <f>(416+503)/2</f>
        <v>459.5</v>
      </c>
      <c r="C11" s="18">
        <f>(264+443+321)/3</f>
        <v>342.66666666666669</v>
      </c>
      <c r="D11" s="20">
        <v>352</v>
      </c>
      <c r="E11" s="19">
        <f t="shared" si="0"/>
        <v>64.927381086986514</v>
      </c>
      <c r="F11" s="16" t="s">
        <v>20</v>
      </c>
      <c r="G11" s="19">
        <f>(33+58+40+32)/4</f>
        <v>40.75</v>
      </c>
      <c r="H11" s="10">
        <f>(43+43)/2</f>
        <v>43</v>
      </c>
      <c r="I11">
        <f>(49+40)/2</f>
        <v>44.5</v>
      </c>
      <c r="J11">
        <f t="shared" si="1"/>
        <v>1.8874586088176875</v>
      </c>
    </row>
    <row r="12" spans="1:10">
      <c r="A12" s="16" t="s">
        <v>21</v>
      </c>
      <c r="B12" s="18">
        <f>(277+322)/2</f>
        <v>299.5</v>
      </c>
      <c r="C12" s="18">
        <f>(224+231)/2</f>
        <v>227.5</v>
      </c>
      <c r="D12" s="20">
        <v>308</v>
      </c>
      <c r="E12" s="16">
        <f t="shared" si="0"/>
        <v>44.227630880856921</v>
      </c>
      <c r="F12" s="16" t="s">
        <v>21</v>
      </c>
      <c r="G12" s="19">
        <f>(31+54+33)/3</f>
        <v>39.333333333333336</v>
      </c>
      <c r="H12" s="10">
        <f>(38+44)/2</f>
        <v>41</v>
      </c>
      <c r="I12">
        <f>(38+49+43)/3</f>
        <v>43.333333333333336</v>
      </c>
      <c r="J12">
        <f t="shared" si="1"/>
        <v>2.0092379244472363</v>
      </c>
    </row>
    <row r="13" spans="1:10">
      <c r="A13" s="16"/>
      <c r="B13" s="16"/>
      <c r="C13" s="16"/>
      <c r="D13" s="16"/>
      <c r="E13" s="16"/>
      <c r="F13" s="16"/>
      <c r="G13" s="16"/>
    </row>
    <row r="14" spans="1:10">
      <c r="A14" s="16"/>
      <c r="B14" s="16">
        <f>AVERAGE(B2:B12)</f>
        <v>298.36363636363637</v>
      </c>
      <c r="C14" s="16">
        <f t="shared" ref="C14:I14" si="2">AVERAGE(C2:C12)</f>
        <v>275.69696969696969</v>
      </c>
      <c r="D14" s="16">
        <f t="shared" si="2"/>
        <v>271.22727272727275</v>
      </c>
      <c r="E14" s="16"/>
      <c r="F14" s="16"/>
      <c r="G14" s="16">
        <f t="shared" si="2"/>
        <v>72.257575757575765</v>
      </c>
      <c r="H14">
        <f t="shared" si="2"/>
        <v>57.643939393939384</v>
      </c>
      <c r="I14">
        <f t="shared" si="2"/>
        <v>55.787878787878796</v>
      </c>
    </row>
    <row r="15" spans="1:10">
      <c r="A15" s="16"/>
      <c r="B15" s="16"/>
      <c r="C15" s="16"/>
      <c r="D15" s="16"/>
      <c r="E15" s="16"/>
      <c r="F15" s="16"/>
      <c r="G15" s="16"/>
    </row>
    <row r="16" spans="1:10">
      <c r="A16" s="16"/>
      <c r="B16" s="16" t="s">
        <v>82</v>
      </c>
      <c r="C16" s="16" t="s">
        <v>83</v>
      </c>
      <c r="D16" s="17" t="s">
        <v>84</v>
      </c>
      <c r="E16" s="19" t="s">
        <v>108</v>
      </c>
      <c r="F16" s="16"/>
      <c r="G16" s="16" t="s">
        <v>85</v>
      </c>
      <c r="H16" t="s">
        <v>86</v>
      </c>
      <c r="I16" s="12" t="s">
        <v>87</v>
      </c>
      <c r="J16" t="s">
        <v>108</v>
      </c>
    </row>
    <row r="17" spans="1:10">
      <c r="A17" s="16" t="s">
        <v>6</v>
      </c>
      <c r="B17" s="19">
        <v>63</v>
      </c>
      <c r="C17" s="19">
        <v>46.5</v>
      </c>
      <c r="D17" s="16">
        <v>78</v>
      </c>
      <c r="E17" s="16">
        <f t="shared" si="0"/>
        <v>15.75595125658873</v>
      </c>
      <c r="F17" s="16" t="s">
        <v>6</v>
      </c>
      <c r="G17" s="19">
        <v>41</v>
      </c>
      <c r="H17" s="10">
        <v>50</v>
      </c>
      <c r="I17">
        <v>64.5</v>
      </c>
      <c r="J17">
        <f t="shared" si="1"/>
        <v>11.856784274554947</v>
      </c>
    </row>
    <row r="18" spans="1:10">
      <c r="A18" s="16" t="s">
        <v>10</v>
      </c>
      <c r="B18" s="22">
        <v>117.33333333333333</v>
      </c>
      <c r="C18" s="19">
        <v>73.5</v>
      </c>
      <c r="D18" s="16">
        <v>45</v>
      </c>
      <c r="E18" s="16">
        <f t="shared" si="0"/>
        <v>36.436525223604548</v>
      </c>
      <c r="F18" s="16" t="s">
        <v>10</v>
      </c>
      <c r="G18" s="19">
        <v>50.25</v>
      </c>
      <c r="H18" s="10">
        <v>56.5</v>
      </c>
      <c r="I18">
        <v>41.5</v>
      </c>
      <c r="J18">
        <f t="shared" si="1"/>
        <v>7.5346422166771454</v>
      </c>
    </row>
    <row r="19" spans="1:10">
      <c r="A19" s="16" t="s">
        <v>13</v>
      </c>
      <c r="B19" s="22">
        <v>108.5</v>
      </c>
      <c r="C19" s="19">
        <v>86</v>
      </c>
      <c r="D19" s="16">
        <v>71.5</v>
      </c>
      <c r="E19" s="16">
        <f t="shared" si="0"/>
        <v>18.643586922406694</v>
      </c>
      <c r="F19" s="16" t="s">
        <v>13</v>
      </c>
      <c r="G19" s="19">
        <f>(52+55+53)/3</f>
        <v>53.333333333333336</v>
      </c>
      <c r="H19" s="10">
        <f>(63+63)/2</f>
        <v>63</v>
      </c>
      <c r="I19">
        <f>(48+49)/2</f>
        <v>48.5</v>
      </c>
      <c r="J19">
        <f t="shared" si="1"/>
        <v>7.3830386196510664</v>
      </c>
    </row>
    <row r="20" spans="1:10">
      <c r="A20" s="16" t="s">
        <v>14</v>
      </c>
      <c r="B20" s="22">
        <v>76</v>
      </c>
      <c r="C20" s="19">
        <v>70.5</v>
      </c>
      <c r="D20" s="16">
        <v>59</v>
      </c>
      <c r="E20" s="16">
        <f t="shared" si="0"/>
        <v>8.674675786448736</v>
      </c>
      <c r="F20" s="16" t="s">
        <v>14</v>
      </c>
      <c r="G20" s="19">
        <f>(46+46)/2</f>
        <v>46</v>
      </c>
      <c r="H20" s="10">
        <f>(65+62)/2</f>
        <v>63.5</v>
      </c>
      <c r="I20">
        <f>(49+54)/2</f>
        <v>51.5</v>
      </c>
      <c r="J20">
        <f t="shared" si="1"/>
        <v>8.9489291724391826</v>
      </c>
    </row>
    <row r="21" spans="1:10">
      <c r="A21" s="16" t="s">
        <v>15</v>
      </c>
      <c r="B21" s="22">
        <v>82</v>
      </c>
      <c r="C21" s="19">
        <v>83</v>
      </c>
      <c r="D21" s="16">
        <v>69.5</v>
      </c>
      <c r="E21" s="16">
        <f t="shared" si="0"/>
        <v>7.5221893975978391</v>
      </c>
      <c r="F21" s="16" t="s">
        <v>15</v>
      </c>
      <c r="G21" s="19">
        <f>(43+51)/2</f>
        <v>47</v>
      </c>
      <c r="H21" s="10">
        <f>(65+63)/2</f>
        <v>64</v>
      </c>
      <c r="I21">
        <f>(56+57)/2</f>
        <v>56.5</v>
      </c>
      <c r="J21">
        <f t="shared" si="1"/>
        <v>8.5195852794213547</v>
      </c>
    </row>
    <row r="22" spans="1:10">
      <c r="A22" s="16" t="s">
        <v>16</v>
      </c>
      <c r="B22" s="22">
        <v>183</v>
      </c>
      <c r="C22" s="19">
        <v>71.5</v>
      </c>
      <c r="D22" s="16">
        <v>67.5</v>
      </c>
      <c r="E22" s="16">
        <f t="shared" si="0"/>
        <v>65.559769167785603</v>
      </c>
      <c r="F22" s="16" t="s">
        <v>16</v>
      </c>
      <c r="G22" s="19">
        <f>(44+55)/2</f>
        <v>49.5</v>
      </c>
      <c r="H22" s="10">
        <f>(56+67)/2</f>
        <v>61.5</v>
      </c>
      <c r="I22">
        <f>(63+62)/2</f>
        <v>62.5</v>
      </c>
      <c r="J22">
        <f t="shared" si="1"/>
        <v>7.2341781380702139</v>
      </c>
    </row>
    <row r="23" spans="1:10">
      <c r="A23" s="16" t="s">
        <v>17</v>
      </c>
      <c r="B23" s="19">
        <v>84</v>
      </c>
      <c r="C23" s="19">
        <v>73.333333333333329</v>
      </c>
      <c r="D23" s="16">
        <v>77</v>
      </c>
      <c r="E23" s="16">
        <f t="shared" si="0"/>
        <v>5.419443732558757</v>
      </c>
      <c r="F23" s="16" t="s">
        <v>17</v>
      </c>
      <c r="G23" s="19">
        <f>(45+57)/2</f>
        <v>51</v>
      </c>
      <c r="H23" s="10">
        <f>(59+62)/2</f>
        <v>60.5</v>
      </c>
      <c r="I23">
        <f>(54+56)/2</f>
        <v>55</v>
      </c>
      <c r="J23">
        <f t="shared" si="1"/>
        <v>4.7696960070847281</v>
      </c>
    </row>
    <row r="25" spans="1:10">
      <c r="B25">
        <f>AVERAGE(B17:B23)</f>
        <v>101.97619047619047</v>
      </c>
      <c r="C25">
        <f t="shared" ref="C25:D25" si="3">AVERAGE(C17:C23)</f>
        <v>72.047619047619051</v>
      </c>
      <c r="D25">
        <f t="shared" si="3"/>
        <v>66.785714285714292</v>
      </c>
      <c r="G25">
        <f>AVERAGE(G17:G23)</f>
        <v>48.297619047619051</v>
      </c>
      <c r="H25">
        <f t="shared" ref="H25:I25" si="4">AVERAGE(H17:H23)</f>
        <v>59.857142857142854</v>
      </c>
      <c r="I25">
        <f t="shared" si="4"/>
        <v>54.285714285714285</v>
      </c>
    </row>
    <row r="35" spans="1:75">
      <c r="C35" t="s">
        <v>35</v>
      </c>
      <c r="D35" t="s">
        <v>35</v>
      </c>
      <c r="H35" s="53"/>
      <c r="I35" s="53" t="s">
        <v>37</v>
      </c>
      <c r="J35" s="53" t="s">
        <v>37</v>
      </c>
      <c r="K35" s="53"/>
      <c r="L35" s="53"/>
      <c r="M35" s="53" t="s">
        <v>37</v>
      </c>
      <c r="N35" s="53" t="s">
        <v>37</v>
      </c>
      <c r="O35" s="53" t="s">
        <v>69</v>
      </c>
      <c r="P35" s="53"/>
      <c r="Q35" s="53"/>
      <c r="R35" s="53"/>
      <c r="S35" s="53"/>
      <c r="T35" s="53" t="s">
        <v>38</v>
      </c>
      <c r="U35" s="53" t="s">
        <v>38</v>
      </c>
      <c r="V35" s="53"/>
      <c r="W35" s="53"/>
      <c r="X35" s="53" t="s">
        <v>38</v>
      </c>
      <c r="Y35" s="53" t="s">
        <v>38</v>
      </c>
      <c r="Z35" s="53" t="s">
        <v>68</v>
      </c>
      <c r="AA35" s="53"/>
      <c r="AB35" s="53"/>
      <c r="AC35" s="53"/>
      <c r="AD35" s="53"/>
      <c r="AE35" s="53" t="s">
        <v>43</v>
      </c>
      <c r="AF35" s="53" t="s">
        <v>43</v>
      </c>
      <c r="AG35" s="53"/>
      <c r="AH35" s="53"/>
      <c r="AI35" s="53" t="s">
        <v>43</v>
      </c>
      <c r="AJ35" s="53" t="s">
        <v>43</v>
      </c>
      <c r="AK35" s="53" t="s">
        <v>81</v>
      </c>
      <c r="AL35" s="53"/>
      <c r="AM35" s="53"/>
      <c r="AN35" s="53"/>
      <c r="AO35" s="53"/>
      <c r="AP35" s="53" t="s">
        <v>51</v>
      </c>
      <c r="AQ35" s="53" t="s">
        <v>51</v>
      </c>
      <c r="AR35" s="53"/>
      <c r="AS35" s="53"/>
      <c r="AT35" s="53" t="s">
        <v>51</v>
      </c>
      <c r="AU35" s="53" t="s">
        <v>51</v>
      </c>
      <c r="AV35" s="53"/>
      <c r="AW35" s="53"/>
      <c r="AX35" s="53"/>
      <c r="AY35" s="53"/>
      <c r="AZ35" s="53"/>
      <c r="BA35" s="53" t="s">
        <v>52</v>
      </c>
      <c r="BB35" s="53" t="s">
        <v>52</v>
      </c>
      <c r="BC35" s="53"/>
      <c r="BE35" t="s">
        <v>52</v>
      </c>
      <c r="BF35" t="s">
        <v>52</v>
      </c>
    </row>
    <row r="36" spans="1:75">
      <c r="B36" t="s">
        <v>0</v>
      </c>
      <c r="C36" t="s">
        <v>1</v>
      </c>
      <c r="D36" s="3" t="s">
        <v>2</v>
      </c>
      <c r="E36" s="53" t="s">
        <v>0</v>
      </c>
      <c r="F36" s="53" t="s">
        <v>33</v>
      </c>
      <c r="G36" s="53" t="s">
        <v>34</v>
      </c>
      <c r="H36" s="53" t="s">
        <v>0</v>
      </c>
      <c r="I36" s="53" t="s">
        <v>26</v>
      </c>
      <c r="J36" s="53" t="s">
        <v>2</v>
      </c>
      <c r="K36" s="53" t="s">
        <v>23</v>
      </c>
      <c r="L36" s="53" t="s">
        <v>0</v>
      </c>
      <c r="M36" s="53" t="s">
        <v>1</v>
      </c>
      <c r="N36" s="53" t="s">
        <v>2</v>
      </c>
      <c r="O36" s="53" t="s">
        <v>67</v>
      </c>
      <c r="P36" s="53" t="s">
        <v>0</v>
      </c>
      <c r="Q36" s="53" t="s">
        <v>33</v>
      </c>
      <c r="R36" s="53" t="s">
        <v>34</v>
      </c>
      <c r="S36" s="53" t="s">
        <v>0</v>
      </c>
      <c r="T36" s="53" t="s">
        <v>26</v>
      </c>
      <c r="U36" s="53" t="s">
        <v>2</v>
      </c>
      <c r="V36" s="53" t="s">
        <v>23</v>
      </c>
      <c r="W36" s="53" t="s">
        <v>0</v>
      </c>
      <c r="X36" s="53" t="s">
        <v>1</v>
      </c>
      <c r="Y36" s="53" t="s">
        <v>2</v>
      </c>
      <c r="Z36" s="53" t="s">
        <v>42</v>
      </c>
      <c r="AA36" s="53" t="s">
        <v>0</v>
      </c>
      <c r="AB36" s="53" t="s">
        <v>33</v>
      </c>
      <c r="AC36" s="53" t="s">
        <v>34</v>
      </c>
      <c r="AD36" s="53" t="s">
        <v>0</v>
      </c>
      <c r="AE36" s="53" t="s">
        <v>26</v>
      </c>
      <c r="AF36" s="53" t="s">
        <v>2</v>
      </c>
      <c r="AG36" s="53" t="s">
        <v>23</v>
      </c>
      <c r="AH36" s="53" t="s">
        <v>0</v>
      </c>
      <c r="AI36" s="53" t="s">
        <v>1</v>
      </c>
      <c r="AJ36" s="53" t="s">
        <v>2</v>
      </c>
      <c r="AK36" s="53" t="s">
        <v>42</v>
      </c>
      <c r="AL36" s="53" t="s">
        <v>0</v>
      </c>
      <c r="AM36" s="53" t="s">
        <v>33</v>
      </c>
      <c r="AN36" s="53" t="s">
        <v>34</v>
      </c>
      <c r="AO36" s="53" t="s">
        <v>0</v>
      </c>
      <c r="AP36" s="53" t="s">
        <v>26</v>
      </c>
      <c r="AQ36" s="53" t="s">
        <v>2</v>
      </c>
      <c r="AR36" s="53" t="s">
        <v>23</v>
      </c>
      <c r="AS36" s="53" t="s">
        <v>0</v>
      </c>
      <c r="AT36" s="53" t="s">
        <v>1</v>
      </c>
      <c r="AU36" s="53" t="s">
        <v>2</v>
      </c>
      <c r="AV36" s="53" t="s">
        <v>42</v>
      </c>
      <c r="AW36" s="53" t="s">
        <v>0</v>
      </c>
      <c r="AX36" s="53" t="s">
        <v>33</v>
      </c>
      <c r="AY36" s="53" t="s">
        <v>34</v>
      </c>
      <c r="AZ36" s="53" t="s">
        <v>0</v>
      </c>
      <c r="BA36" s="53" t="s">
        <v>26</v>
      </c>
      <c r="BB36" s="53" t="s">
        <v>2</v>
      </c>
      <c r="BC36" s="53" t="s">
        <v>23</v>
      </c>
      <c r="BD36" t="s">
        <v>0</v>
      </c>
      <c r="BE36" t="s">
        <v>135</v>
      </c>
      <c r="BF36" t="s">
        <v>2</v>
      </c>
      <c r="BG36" t="s">
        <v>42</v>
      </c>
    </row>
    <row r="37" spans="1:75">
      <c r="A37" s="5" t="s">
        <v>3</v>
      </c>
      <c r="B37" s="8" t="s">
        <v>65</v>
      </c>
      <c r="C37" s="4">
        <v>71</v>
      </c>
      <c r="D37" s="9">
        <v>53.7</v>
      </c>
      <c r="E37" s="53" t="s">
        <v>22</v>
      </c>
      <c r="F37" s="54">
        <f>(236+274)/2</f>
        <v>255</v>
      </c>
      <c r="G37" s="53">
        <v>90.2</v>
      </c>
      <c r="H37" s="53" t="s">
        <v>28</v>
      </c>
      <c r="I37" s="53">
        <f>(40+42)/2</f>
        <v>41</v>
      </c>
      <c r="J37" s="53">
        <v>85.4</v>
      </c>
      <c r="K37" s="53">
        <f t="shared" ref="K37:K55" si="5">(G37-J37)/G37*100</f>
        <v>5.321507760532147</v>
      </c>
      <c r="L37" s="53" t="s">
        <v>24</v>
      </c>
      <c r="M37" s="54">
        <f>(214+236)/2</f>
        <v>225</v>
      </c>
      <c r="N37" s="53">
        <v>92.6</v>
      </c>
      <c r="O37" s="53">
        <f t="shared" ref="O37:O55" si="6">(N37-D37)/D37*100</f>
        <v>72.439478584729969</v>
      </c>
      <c r="P37" s="53" t="s">
        <v>25</v>
      </c>
      <c r="Q37" s="53"/>
      <c r="R37" s="53">
        <v>96</v>
      </c>
      <c r="S37" s="53" t="s">
        <v>30</v>
      </c>
      <c r="T37" s="53">
        <f>(47+49)/2</f>
        <v>48</v>
      </c>
      <c r="U37" s="53">
        <v>90.9</v>
      </c>
      <c r="V37" s="53">
        <f t="shared" ref="V37:V55" si="7">(R37-U37)/R37*100</f>
        <v>5.3124999999999947</v>
      </c>
      <c r="W37" s="53" t="s">
        <v>41</v>
      </c>
      <c r="X37" s="53">
        <f>(82+84)/2</f>
        <v>83</v>
      </c>
      <c r="Y37" s="53">
        <v>98.1</v>
      </c>
      <c r="Z37" s="53">
        <f t="shared" ref="Z37:Z55" si="8">(Y37-N37)/N37*100</f>
        <v>5.9395248380129591</v>
      </c>
      <c r="AA37" s="53" t="s">
        <v>44</v>
      </c>
      <c r="AB37" s="53"/>
      <c r="AC37" s="53">
        <v>101.3</v>
      </c>
      <c r="AD37" s="53" t="s">
        <v>45</v>
      </c>
      <c r="AE37" s="53">
        <f>(46+59)/2</f>
        <v>52.5</v>
      </c>
      <c r="AF37" s="53">
        <v>94.9</v>
      </c>
      <c r="AG37" s="53">
        <f t="shared" ref="AG37:AG52" si="9">(AC37-AF37)/AC37*100</f>
        <v>6.3178677196446111</v>
      </c>
      <c r="AH37" s="53" t="s">
        <v>46</v>
      </c>
      <c r="AI37" s="54">
        <f>(203+209)/2</f>
        <v>206</v>
      </c>
      <c r="AJ37" s="53">
        <v>100.9</v>
      </c>
      <c r="AK37" s="53">
        <f t="shared" ref="AK37:AK52" si="10">(AJ37-Y37)/Y37*100</f>
        <v>2.8542303771661688</v>
      </c>
      <c r="AL37" s="53" t="s">
        <v>53</v>
      </c>
      <c r="AM37" s="53"/>
      <c r="AN37" s="53">
        <v>104.5</v>
      </c>
      <c r="AO37" s="53" t="s">
        <v>54</v>
      </c>
      <c r="AP37" s="53">
        <f>(52+48)/2</f>
        <v>50</v>
      </c>
      <c r="AQ37" s="53">
        <v>99.5</v>
      </c>
      <c r="AR37" s="53">
        <f t="shared" ref="AR37:AR52" si="11">(AJ37-AQ37)/AJ37*100</f>
        <v>1.3875123885034744</v>
      </c>
      <c r="AS37" s="53" t="s">
        <v>57</v>
      </c>
      <c r="AT37" s="54">
        <f>(210+232)/2</f>
        <v>221</v>
      </c>
      <c r="AU37" s="53">
        <v>104.4</v>
      </c>
      <c r="AV37" s="53">
        <f t="shared" ref="AV37:AV52" si="12">(AU37-AJ37)/AJ37*100</f>
        <v>3.4687809712586719</v>
      </c>
      <c r="AW37" s="53" t="s">
        <v>59</v>
      </c>
      <c r="AX37" s="53"/>
      <c r="AY37" s="53">
        <v>105.1</v>
      </c>
      <c r="AZ37" s="53" t="s">
        <v>60</v>
      </c>
      <c r="BA37" s="53">
        <f>(60+57)/2</f>
        <v>58.5</v>
      </c>
      <c r="BB37" s="53">
        <v>100.9</v>
      </c>
      <c r="BC37" s="53">
        <f t="shared" ref="BC37:BC52" si="13">(AY37-BB37)/AY37*100</f>
        <v>3.9961941008563167</v>
      </c>
      <c r="BD37" t="s">
        <v>63</v>
      </c>
      <c r="BE37" s="32">
        <f>(206+180)/2</f>
        <v>193</v>
      </c>
      <c r="BF37">
        <v>104.6</v>
      </c>
      <c r="BL37" s="12"/>
      <c r="BM37" s="12"/>
      <c r="BN37" s="12"/>
      <c r="BQ37" s="12"/>
    </row>
    <row r="38" spans="1:75">
      <c r="A38" s="6" t="s">
        <v>4</v>
      </c>
      <c r="B38" s="8" t="s">
        <v>65</v>
      </c>
      <c r="C38" s="4">
        <v>73</v>
      </c>
      <c r="D38" s="9">
        <v>52.1</v>
      </c>
      <c r="E38" s="53" t="s">
        <v>22</v>
      </c>
      <c r="F38" s="54">
        <f>(207+227)/2</f>
        <v>217</v>
      </c>
      <c r="G38" s="53">
        <v>85.9</v>
      </c>
      <c r="H38" s="53" t="s">
        <v>28</v>
      </c>
      <c r="I38" s="53">
        <f>(43+43)/2</f>
        <v>43</v>
      </c>
      <c r="J38" s="53">
        <v>82.5</v>
      </c>
      <c r="K38" s="53">
        <f t="shared" si="5"/>
        <v>3.9580908032596103</v>
      </c>
      <c r="L38" s="53" t="s">
        <v>24</v>
      </c>
      <c r="M38" s="54">
        <f>(279+251)/2</f>
        <v>265</v>
      </c>
      <c r="N38" s="53">
        <v>88.9</v>
      </c>
      <c r="O38" s="53">
        <f t="shared" si="6"/>
        <v>70.633397312859898</v>
      </c>
      <c r="P38" s="53" t="s">
        <v>25</v>
      </c>
      <c r="Q38" s="53"/>
      <c r="R38" s="53">
        <v>90.7</v>
      </c>
      <c r="S38" s="53" t="s">
        <v>30</v>
      </c>
      <c r="T38" s="53">
        <f>(44+44)/2</f>
        <v>44</v>
      </c>
      <c r="U38" s="53">
        <v>86.7</v>
      </c>
      <c r="V38" s="53">
        <f t="shared" si="7"/>
        <v>4.4101433296582133</v>
      </c>
      <c r="W38" s="53" t="s">
        <v>41</v>
      </c>
      <c r="X38" s="54">
        <f>(269+310)/2</f>
        <v>289.5</v>
      </c>
      <c r="Y38" s="53">
        <v>93.4</v>
      </c>
      <c r="Z38" s="53">
        <f t="shared" si="8"/>
        <v>5.0618672665916753</v>
      </c>
      <c r="AA38" s="53" t="s">
        <v>44</v>
      </c>
      <c r="AB38" s="53"/>
      <c r="AC38" s="53">
        <v>97</v>
      </c>
      <c r="AD38" s="53" t="s">
        <v>45</v>
      </c>
      <c r="AE38" s="53">
        <f>(36+44)/2</f>
        <v>40</v>
      </c>
      <c r="AF38" s="53">
        <v>92.5</v>
      </c>
      <c r="AG38" s="53">
        <f t="shared" si="9"/>
        <v>4.6391752577319592</v>
      </c>
      <c r="AH38" s="53" t="s">
        <v>46</v>
      </c>
      <c r="AI38" s="54">
        <f>(314+338)/2</f>
        <v>326</v>
      </c>
      <c r="AJ38" s="53">
        <v>98.2</v>
      </c>
      <c r="AK38" s="53">
        <f t="shared" si="10"/>
        <v>5.1391862955032082</v>
      </c>
      <c r="AL38" s="53" t="s">
        <v>53</v>
      </c>
      <c r="AM38" s="53"/>
      <c r="AN38" s="53">
        <v>98.1</v>
      </c>
      <c r="AO38" s="53" t="s">
        <v>54</v>
      </c>
      <c r="AP38" s="53">
        <f>(36+32)/2</f>
        <v>34</v>
      </c>
      <c r="AQ38" s="53">
        <v>94.3</v>
      </c>
      <c r="AR38" s="53">
        <f t="shared" si="11"/>
        <v>3.9714867617107998</v>
      </c>
      <c r="AS38" s="53" t="s">
        <v>57</v>
      </c>
      <c r="AT38" s="54">
        <f>(295+323)/2</f>
        <v>309</v>
      </c>
      <c r="AU38" s="53">
        <v>98.8</v>
      </c>
      <c r="AV38" s="53">
        <f t="shared" si="12"/>
        <v>0.61099796334011636</v>
      </c>
      <c r="AW38" s="53" t="s">
        <v>59</v>
      </c>
      <c r="AX38" s="53"/>
      <c r="AY38" s="53">
        <v>101.7</v>
      </c>
      <c r="AZ38" s="53" t="s">
        <v>60</v>
      </c>
      <c r="BA38" s="53">
        <f>(42+54)/2</f>
        <v>48</v>
      </c>
      <c r="BB38" s="53">
        <v>97</v>
      </c>
      <c r="BC38" s="53">
        <f t="shared" si="13"/>
        <v>4.6214355948869255</v>
      </c>
      <c r="BD38" t="s">
        <v>63</v>
      </c>
      <c r="BE38" s="1">
        <f>(335+406)/2</f>
        <v>370.5</v>
      </c>
      <c r="BF38">
        <v>100.4</v>
      </c>
      <c r="BL38" s="1"/>
    </row>
    <row r="39" spans="1:75">
      <c r="A39" s="6" t="s">
        <v>5</v>
      </c>
      <c r="B39" s="8" t="s">
        <v>65</v>
      </c>
      <c r="C39" s="4">
        <v>78</v>
      </c>
      <c r="D39" s="9">
        <v>51.3</v>
      </c>
      <c r="E39" s="53" t="s">
        <v>22</v>
      </c>
      <c r="F39" s="54">
        <f>(322+320)/2</f>
        <v>321</v>
      </c>
      <c r="G39" s="53">
        <v>91.2</v>
      </c>
      <c r="H39" s="53" t="s">
        <v>28</v>
      </c>
      <c r="I39" s="53">
        <f>(60+52+45)/3</f>
        <v>52.333333333333336</v>
      </c>
      <c r="J39" s="53">
        <v>86.7</v>
      </c>
      <c r="K39" s="53">
        <f t="shared" si="5"/>
        <v>4.9342105263157894</v>
      </c>
      <c r="L39" s="53" t="s">
        <v>24</v>
      </c>
      <c r="M39" s="54">
        <f>(249+264)/2</f>
        <v>256.5</v>
      </c>
      <c r="N39" s="53">
        <v>93.5</v>
      </c>
      <c r="O39" s="53">
        <f t="shared" si="6"/>
        <v>82.261208576998058</v>
      </c>
      <c r="P39" s="53" t="s">
        <v>25</v>
      </c>
      <c r="Q39" s="53"/>
      <c r="R39" s="53">
        <v>96.1</v>
      </c>
      <c r="S39" s="53" t="s">
        <v>30</v>
      </c>
      <c r="T39" s="53">
        <f>(47+49)/2</f>
        <v>48</v>
      </c>
      <c r="U39" s="53">
        <v>91.9</v>
      </c>
      <c r="V39" s="53">
        <f t="shared" si="7"/>
        <v>4.3704474505723088</v>
      </c>
      <c r="W39" s="53" t="s">
        <v>41</v>
      </c>
      <c r="X39" s="54">
        <f>(266+235)/2</f>
        <v>250.5</v>
      </c>
      <c r="Y39" s="53">
        <v>99.3</v>
      </c>
      <c r="Z39" s="53">
        <f t="shared" si="8"/>
        <v>6.203208556149729</v>
      </c>
      <c r="AA39" s="53" t="s">
        <v>44</v>
      </c>
      <c r="AB39" s="53"/>
      <c r="AC39" s="53">
        <v>101.3</v>
      </c>
      <c r="AD39" s="53" t="s">
        <v>45</v>
      </c>
      <c r="AE39" s="53">
        <f>(40+40)/2</f>
        <v>40</v>
      </c>
      <c r="AF39" s="53">
        <v>96.8</v>
      </c>
      <c r="AG39" s="53">
        <f t="shared" si="9"/>
        <v>4.4422507403751235</v>
      </c>
      <c r="AH39" s="53" t="s">
        <v>46</v>
      </c>
      <c r="AI39" s="55">
        <f>(137+142)/2</f>
        <v>139.5</v>
      </c>
      <c r="AJ39" s="53">
        <v>103</v>
      </c>
      <c r="AK39" s="53">
        <f t="shared" si="10"/>
        <v>3.7260825780463276</v>
      </c>
      <c r="AL39" s="53" t="s">
        <v>53</v>
      </c>
      <c r="AM39" s="53"/>
      <c r="AN39" s="53">
        <v>106.7</v>
      </c>
      <c r="AO39" s="53" t="s">
        <v>54</v>
      </c>
      <c r="AP39" s="53">
        <f>(41+36)/2</f>
        <v>38.5</v>
      </c>
      <c r="AQ39" s="53">
        <v>102.1</v>
      </c>
      <c r="AR39" s="53">
        <f t="shared" si="11"/>
        <v>0.8737864077669959</v>
      </c>
      <c r="AS39" s="53" t="s">
        <v>57</v>
      </c>
      <c r="AT39" s="54">
        <f>(248+249)/2</f>
        <v>248.5</v>
      </c>
      <c r="AU39" s="53">
        <v>107</v>
      </c>
      <c r="AV39" s="53">
        <f t="shared" si="12"/>
        <v>3.8834951456310676</v>
      </c>
      <c r="AW39" s="53" t="s">
        <v>59</v>
      </c>
      <c r="AX39" s="53"/>
      <c r="AY39" s="53">
        <v>109.1</v>
      </c>
      <c r="AZ39" s="53" t="s">
        <v>60</v>
      </c>
      <c r="BA39" s="53">
        <f>(55+58)/2</f>
        <v>56.5</v>
      </c>
      <c r="BB39" s="53">
        <v>105.4</v>
      </c>
      <c r="BC39" s="53">
        <f t="shared" si="13"/>
        <v>3.3913840513290459</v>
      </c>
      <c r="BD39" t="s">
        <v>63</v>
      </c>
      <c r="BE39">
        <f>(91+107+76+81+86+101)/6</f>
        <v>90.333333333333329</v>
      </c>
      <c r="BF39">
        <v>106.9</v>
      </c>
      <c r="BL39" s="1"/>
    </row>
    <row r="40" spans="1:75">
      <c r="A40" s="36" t="s">
        <v>6</v>
      </c>
      <c r="B40" s="40" t="s">
        <v>65</v>
      </c>
      <c r="C40" s="41">
        <v>73</v>
      </c>
      <c r="D40" s="42">
        <v>49.6</v>
      </c>
      <c r="E40" s="53" t="s">
        <v>22</v>
      </c>
      <c r="F40" s="53">
        <f>(110+73)/2</f>
        <v>91.5</v>
      </c>
      <c r="G40" s="53">
        <v>89</v>
      </c>
      <c r="H40" s="53" t="s">
        <v>28</v>
      </c>
      <c r="I40" s="53">
        <f>(40+42)/2</f>
        <v>41</v>
      </c>
      <c r="J40" s="53">
        <v>85.2</v>
      </c>
      <c r="K40" s="53">
        <f t="shared" si="5"/>
        <v>4.2696629213483117</v>
      </c>
      <c r="L40" s="53" t="s">
        <v>24</v>
      </c>
      <c r="M40" s="53">
        <f>(58+68)/2</f>
        <v>63</v>
      </c>
      <c r="N40" s="53">
        <v>91.9</v>
      </c>
      <c r="O40" s="53">
        <f t="shared" si="6"/>
        <v>85.282258064516142</v>
      </c>
      <c r="P40" s="53" t="s">
        <v>25</v>
      </c>
      <c r="Q40" s="53"/>
      <c r="R40" s="53">
        <v>96.7</v>
      </c>
      <c r="S40" s="53" t="s">
        <v>30</v>
      </c>
      <c r="T40" s="53">
        <f>(52+48)/2</f>
        <v>50</v>
      </c>
      <c r="U40" s="53">
        <v>92.5</v>
      </c>
      <c r="V40" s="53">
        <f t="shared" si="7"/>
        <v>4.3433298862461251</v>
      </c>
      <c r="W40" s="53" t="s">
        <v>41</v>
      </c>
      <c r="X40" s="53">
        <f>(45+48)/2</f>
        <v>46.5</v>
      </c>
      <c r="Y40" s="53">
        <v>98.3</v>
      </c>
      <c r="Z40" s="53">
        <f t="shared" si="8"/>
        <v>6.9640914036996637</v>
      </c>
      <c r="AA40" s="53" t="s">
        <v>44</v>
      </c>
      <c r="AB40" s="53"/>
      <c r="AC40" s="53">
        <v>102.3</v>
      </c>
      <c r="AD40" s="53" t="s">
        <v>45</v>
      </c>
      <c r="AE40" s="53">
        <f>(63+66)/2</f>
        <v>64.5</v>
      </c>
      <c r="AF40" s="53">
        <v>97.1</v>
      </c>
      <c r="AG40" s="53">
        <f t="shared" si="9"/>
        <v>5.0830889540566995</v>
      </c>
      <c r="AH40" s="53" t="s">
        <v>46</v>
      </c>
      <c r="AI40" s="53">
        <f>(75+81)/2</f>
        <v>78</v>
      </c>
      <c r="AJ40" s="53">
        <v>102.8</v>
      </c>
      <c r="AK40" s="53">
        <f t="shared" si="10"/>
        <v>4.5778229908443535</v>
      </c>
      <c r="AL40" s="53" t="s">
        <v>53</v>
      </c>
      <c r="AM40" s="53"/>
      <c r="AN40" s="53">
        <v>105.7</v>
      </c>
      <c r="AO40" s="53" t="s">
        <v>54</v>
      </c>
      <c r="AP40" s="53">
        <f>(68+59)/2</f>
        <v>63.5</v>
      </c>
      <c r="AQ40" s="53">
        <v>101</v>
      </c>
      <c r="AR40" s="53">
        <f t="shared" si="11"/>
        <v>1.7509727626459117</v>
      </c>
      <c r="AS40" s="53" t="s">
        <v>57</v>
      </c>
      <c r="AT40" s="53">
        <f>(59+67)/2</f>
        <v>63</v>
      </c>
      <c r="AU40" s="53">
        <v>105</v>
      </c>
      <c r="AV40" s="53">
        <f t="shared" si="12"/>
        <v>2.1400778210116758</v>
      </c>
      <c r="AW40" s="53" t="s">
        <v>59</v>
      </c>
      <c r="AX40" s="53"/>
      <c r="AY40" s="53">
        <v>109.2</v>
      </c>
      <c r="AZ40" s="53" t="s">
        <v>60</v>
      </c>
      <c r="BA40" s="53">
        <f>(41+43)/2</f>
        <v>42</v>
      </c>
      <c r="BB40" s="53">
        <v>105.1</v>
      </c>
      <c r="BC40" s="53">
        <f t="shared" si="13"/>
        <v>3.7545787545787621</v>
      </c>
      <c r="BD40" s="43" t="s">
        <v>63</v>
      </c>
      <c r="BE40" s="43"/>
      <c r="BF40" s="43"/>
      <c r="BG40" s="43"/>
      <c r="BH40" s="43"/>
      <c r="BL40" s="1"/>
    </row>
    <row r="41" spans="1:75">
      <c r="A41" s="5" t="s">
        <v>7</v>
      </c>
      <c r="B41" s="8" t="s">
        <v>65</v>
      </c>
      <c r="C41" s="4">
        <v>70</v>
      </c>
      <c r="D41" s="9">
        <v>55.8</v>
      </c>
      <c r="E41" s="53" t="s">
        <v>22</v>
      </c>
      <c r="F41" s="54">
        <f>(339+384)/2</f>
        <v>361.5</v>
      </c>
      <c r="G41" s="53">
        <v>96.7</v>
      </c>
      <c r="H41" s="53" t="s">
        <v>28</v>
      </c>
      <c r="I41" s="54">
        <f>(160+195+159)/3</f>
        <v>171.33333333333334</v>
      </c>
      <c r="J41" s="53">
        <v>93.2</v>
      </c>
      <c r="K41" s="53">
        <f t="shared" si="5"/>
        <v>3.6194415718717683</v>
      </c>
      <c r="L41" s="53" t="s">
        <v>24</v>
      </c>
      <c r="M41" s="54">
        <f>(249+216)/2</f>
        <v>232.5</v>
      </c>
      <c r="N41" s="53">
        <v>95.7</v>
      </c>
      <c r="O41" s="53">
        <f t="shared" si="6"/>
        <v>71.505376344086031</v>
      </c>
      <c r="P41" s="53" t="s">
        <v>25</v>
      </c>
      <c r="Q41" s="53"/>
      <c r="R41" s="53">
        <v>98.7</v>
      </c>
      <c r="S41" s="53" t="s">
        <v>30</v>
      </c>
      <c r="T41" s="53">
        <f>(48+55)/2</f>
        <v>51.5</v>
      </c>
      <c r="U41" s="53">
        <v>95.6</v>
      </c>
      <c r="V41" s="53">
        <f t="shared" si="7"/>
        <v>3.140830800405277</v>
      </c>
      <c r="W41" s="53" t="s">
        <v>41</v>
      </c>
      <c r="X41" s="54">
        <f>(203+204)/2</f>
        <v>203.5</v>
      </c>
      <c r="Y41" s="53">
        <v>102.3</v>
      </c>
      <c r="Z41" s="53">
        <f t="shared" si="8"/>
        <v>6.8965517241379253</v>
      </c>
      <c r="AA41" s="53" t="s">
        <v>44</v>
      </c>
      <c r="AB41" s="53"/>
      <c r="AC41" s="53">
        <v>106.2</v>
      </c>
      <c r="AD41" s="53" t="s">
        <v>45</v>
      </c>
      <c r="AE41" s="53">
        <f>(53+57)/2</f>
        <v>55</v>
      </c>
      <c r="AF41" s="53">
        <v>100.5</v>
      </c>
      <c r="AG41" s="53">
        <f t="shared" si="9"/>
        <v>5.3672316384180814</v>
      </c>
      <c r="AH41" s="53" t="s">
        <v>46</v>
      </c>
      <c r="AI41" s="54">
        <f>(209+202)/2</f>
        <v>205.5</v>
      </c>
      <c r="AJ41" s="53">
        <v>106.3</v>
      </c>
      <c r="AK41" s="53">
        <f t="shared" si="10"/>
        <v>3.9100684261974585</v>
      </c>
      <c r="AL41" s="53" t="s">
        <v>53</v>
      </c>
      <c r="AM41" s="53"/>
      <c r="AN41" s="53">
        <v>110.1</v>
      </c>
      <c r="AO41" s="53" t="s">
        <v>54</v>
      </c>
      <c r="AP41" s="53">
        <f>(45+47)/2</f>
        <v>46</v>
      </c>
      <c r="AQ41" s="53">
        <v>103.4</v>
      </c>
      <c r="AR41" s="53">
        <f t="shared" si="11"/>
        <v>2.7281279397930307</v>
      </c>
      <c r="AS41" s="53" t="s">
        <v>57</v>
      </c>
      <c r="AT41" s="54">
        <f>(219+232)/2</f>
        <v>225.5</v>
      </c>
      <c r="AU41" s="53">
        <v>108.3</v>
      </c>
      <c r="AV41" s="53">
        <f t="shared" si="12"/>
        <v>1.8814675446848543</v>
      </c>
      <c r="AW41" s="53" t="s">
        <v>59</v>
      </c>
      <c r="AX41" s="53"/>
      <c r="AY41" s="53">
        <v>110.4</v>
      </c>
      <c r="AZ41" s="53" t="s">
        <v>60</v>
      </c>
      <c r="BA41" s="53">
        <f>(37+40)/2</f>
        <v>38.5</v>
      </c>
      <c r="BB41" s="53">
        <v>106.6</v>
      </c>
      <c r="BC41" s="53">
        <f t="shared" si="13"/>
        <v>3.4420289855072568</v>
      </c>
      <c r="BD41" t="s">
        <v>63</v>
      </c>
      <c r="BE41" s="32">
        <f>(180+99)/2</f>
        <v>139.5</v>
      </c>
      <c r="BF41">
        <v>108.6</v>
      </c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</row>
    <row r="42" spans="1:75">
      <c r="A42" s="6" t="s">
        <v>8</v>
      </c>
      <c r="B42" s="8" t="s">
        <v>65</v>
      </c>
      <c r="C42" s="4">
        <v>69</v>
      </c>
      <c r="D42" s="9">
        <v>56.3</v>
      </c>
      <c r="E42" s="53" t="s">
        <v>22</v>
      </c>
      <c r="F42" s="54">
        <f>(386+467)/2</f>
        <v>426.5</v>
      </c>
      <c r="G42" s="53">
        <v>90.9</v>
      </c>
      <c r="H42" s="53" t="s">
        <v>28</v>
      </c>
      <c r="I42" s="55">
        <f>(75+83+55+96)/4</f>
        <v>77.25</v>
      </c>
      <c r="J42" s="53">
        <v>86.7</v>
      </c>
      <c r="K42" s="53">
        <f t="shared" si="5"/>
        <v>4.620462046204624</v>
      </c>
      <c r="L42" s="53" t="s">
        <v>24</v>
      </c>
      <c r="M42" s="54">
        <f>(417+349)/2</f>
        <v>383</v>
      </c>
      <c r="N42" s="53">
        <v>91.7</v>
      </c>
      <c r="O42" s="53">
        <f t="shared" si="6"/>
        <v>62.877442273534648</v>
      </c>
      <c r="P42" s="53" t="s">
        <v>25</v>
      </c>
      <c r="Q42" s="53"/>
      <c r="R42" s="53">
        <v>93.2</v>
      </c>
      <c r="S42" s="53" t="s">
        <v>30</v>
      </c>
      <c r="T42" s="55">
        <f>(95+115)/2</f>
        <v>105</v>
      </c>
      <c r="U42" s="53">
        <v>89.4</v>
      </c>
      <c r="V42" s="53">
        <f t="shared" si="7"/>
        <v>4.0772532188841168</v>
      </c>
      <c r="W42" s="53" t="s">
        <v>41</v>
      </c>
      <c r="X42" s="54">
        <f>(406+372)/2</f>
        <v>389</v>
      </c>
      <c r="Y42" s="53">
        <v>95.3</v>
      </c>
      <c r="Z42" s="53">
        <f t="shared" si="8"/>
        <v>3.9258451472191869</v>
      </c>
      <c r="AA42" s="53" t="s">
        <v>44</v>
      </c>
      <c r="AB42" s="53"/>
      <c r="AC42" s="53">
        <v>96.8</v>
      </c>
      <c r="AD42" s="53" t="s">
        <v>45</v>
      </c>
      <c r="AE42" s="53">
        <f>(63+72)/2</f>
        <v>67.5</v>
      </c>
      <c r="AF42" s="53">
        <v>93</v>
      </c>
      <c r="AG42" s="53">
        <f t="shared" si="9"/>
        <v>3.9256198347107412</v>
      </c>
      <c r="AH42" s="53" t="s">
        <v>46</v>
      </c>
      <c r="AI42" s="54">
        <f>(351+383)/2</f>
        <v>367</v>
      </c>
      <c r="AJ42" s="53">
        <v>98.5</v>
      </c>
      <c r="AK42" s="53">
        <f t="shared" si="10"/>
        <v>3.3578174186778624</v>
      </c>
      <c r="AL42" s="53" t="s">
        <v>53</v>
      </c>
      <c r="AM42" s="53"/>
      <c r="AN42" s="53">
        <v>102.3</v>
      </c>
      <c r="AO42" s="53" t="s">
        <v>54</v>
      </c>
      <c r="AP42" s="53">
        <f>(60+63)/2</f>
        <v>61.5</v>
      </c>
      <c r="AQ42" s="53">
        <v>96.7</v>
      </c>
      <c r="AR42" s="53">
        <f t="shared" si="11"/>
        <v>1.8274111675126874</v>
      </c>
      <c r="AS42" s="53" t="s">
        <v>57</v>
      </c>
      <c r="AT42" s="56">
        <f>(487+541)/2</f>
        <v>514</v>
      </c>
      <c r="AU42" s="53">
        <v>103.2</v>
      </c>
      <c r="AV42" s="53">
        <f t="shared" si="12"/>
        <v>4.771573604060916</v>
      </c>
      <c r="AW42" s="53" t="s">
        <v>59</v>
      </c>
      <c r="AX42" s="53"/>
      <c r="AY42" s="53">
        <v>105.5</v>
      </c>
      <c r="AZ42" s="53" t="s">
        <v>60</v>
      </c>
      <c r="BA42" s="54">
        <f>(183+155)/2</f>
        <v>169</v>
      </c>
      <c r="BB42" s="53">
        <v>98.7</v>
      </c>
      <c r="BC42" s="53">
        <f t="shared" si="13"/>
        <v>6.4454976303317508</v>
      </c>
      <c r="BD42" t="s">
        <v>63</v>
      </c>
      <c r="BE42" s="1">
        <f>(451+560+516)/3</f>
        <v>509</v>
      </c>
      <c r="BF42">
        <v>101.8</v>
      </c>
      <c r="BL42" s="1"/>
    </row>
    <row r="43" spans="1:75">
      <c r="A43" s="7" t="s">
        <v>9</v>
      </c>
      <c r="B43" s="8" t="s">
        <v>65</v>
      </c>
      <c r="C43" s="4">
        <v>96</v>
      </c>
      <c r="D43" s="9">
        <v>60.7</v>
      </c>
      <c r="E43" s="53" t="s">
        <v>22</v>
      </c>
      <c r="F43" s="54">
        <f>(412+287+309+293)/4</f>
        <v>325.25</v>
      </c>
      <c r="G43" s="53">
        <v>95.2</v>
      </c>
      <c r="H43" s="53" t="s">
        <v>28</v>
      </c>
      <c r="I43" s="54">
        <f>(145+208+170)/3</f>
        <v>174.33333333333334</v>
      </c>
      <c r="J43" s="53">
        <v>93.1</v>
      </c>
      <c r="K43" s="53">
        <f t="shared" si="5"/>
        <v>2.2058823529411855</v>
      </c>
      <c r="L43" s="53" t="s">
        <v>24</v>
      </c>
      <c r="M43" s="54">
        <f>(510+348+305)/3</f>
        <v>387.66666666666669</v>
      </c>
      <c r="N43" s="53">
        <v>95.4</v>
      </c>
      <c r="O43" s="53">
        <f t="shared" si="6"/>
        <v>57.166392092256999</v>
      </c>
      <c r="P43" s="53" t="s">
        <v>25</v>
      </c>
      <c r="Q43" s="53"/>
      <c r="R43" s="53">
        <v>100.7</v>
      </c>
      <c r="S43" s="53" t="s">
        <v>30</v>
      </c>
      <c r="T43" s="55">
        <f>(72+85)/2</f>
        <v>78.5</v>
      </c>
      <c r="U43" s="53">
        <v>94.9</v>
      </c>
      <c r="V43" s="53">
        <f t="shared" si="7"/>
        <v>5.7596822244289942</v>
      </c>
      <c r="W43" s="53" t="s">
        <v>41</v>
      </c>
      <c r="X43" s="54">
        <f>(288+274)/2</f>
        <v>281</v>
      </c>
      <c r="Y43" s="53">
        <v>99.1</v>
      </c>
      <c r="Z43" s="53">
        <f t="shared" si="8"/>
        <v>3.8784067085953757</v>
      </c>
      <c r="AA43" s="53" t="s">
        <v>44</v>
      </c>
      <c r="AB43" s="53"/>
      <c r="AC43" s="53">
        <v>103.2</v>
      </c>
      <c r="AD43" s="53" t="s">
        <v>45</v>
      </c>
      <c r="AE43" s="53">
        <f>(55+87)/2</f>
        <v>71</v>
      </c>
      <c r="AF43" s="53">
        <v>99.5</v>
      </c>
      <c r="AG43" s="53">
        <f t="shared" si="9"/>
        <v>3.5852713178294602</v>
      </c>
      <c r="AH43" s="53" t="s">
        <v>46</v>
      </c>
      <c r="AI43" s="54">
        <f>(375+323)/2</f>
        <v>349</v>
      </c>
      <c r="AJ43" s="53">
        <v>106.3</v>
      </c>
      <c r="AK43" s="53">
        <f t="shared" si="10"/>
        <v>7.2653884964682174</v>
      </c>
      <c r="AL43" s="53" t="s">
        <v>53</v>
      </c>
      <c r="AM43" s="53"/>
      <c r="AN43" s="53">
        <v>110.3</v>
      </c>
      <c r="AO43" s="53" t="s">
        <v>54</v>
      </c>
      <c r="AP43" s="53">
        <f>(43+58)/2</f>
        <v>50.5</v>
      </c>
      <c r="AQ43" s="53">
        <v>105.5</v>
      </c>
      <c r="AR43" s="53">
        <f t="shared" si="11"/>
        <v>0.752587017873939</v>
      </c>
      <c r="AS43" s="53" t="s">
        <v>57</v>
      </c>
      <c r="AT43" s="54">
        <f>(367+416)/2</f>
        <v>391.5</v>
      </c>
      <c r="AU43" s="53">
        <v>112.6</v>
      </c>
      <c r="AV43" s="53">
        <f t="shared" si="12"/>
        <v>5.9266227657572879</v>
      </c>
      <c r="AW43" s="53" t="s">
        <v>59</v>
      </c>
      <c r="AX43" s="53"/>
      <c r="AY43" s="53">
        <v>112.1</v>
      </c>
      <c r="AZ43" s="53" t="s">
        <v>60</v>
      </c>
      <c r="BA43" s="54">
        <f>(150+126)/2</f>
        <v>138</v>
      </c>
      <c r="BB43" s="53">
        <v>107</v>
      </c>
      <c r="BC43" s="53">
        <f t="shared" si="13"/>
        <v>4.5495093666369266</v>
      </c>
      <c r="BD43" t="s">
        <v>63</v>
      </c>
      <c r="BE43" s="1">
        <f>(441+430)/2</f>
        <v>435.5</v>
      </c>
      <c r="BF43">
        <v>110.7</v>
      </c>
      <c r="BJ43" s="1"/>
      <c r="BK43" s="1"/>
      <c r="BN43" s="35"/>
      <c r="BU43" s="1"/>
      <c r="BV43" s="1"/>
    </row>
    <row r="44" spans="1:75">
      <c r="A44" s="37" t="s">
        <v>10</v>
      </c>
      <c r="B44" s="40" t="s">
        <v>65</v>
      </c>
      <c r="C44" s="41">
        <v>57</v>
      </c>
      <c r="D44" s="42">
        <v>48.7</v>
      </c>
      <c r="E44" s="53" t="s">
        <v>22</v>
      </c>
      <c r="F44" s="54">
        <f>(261+212)/2</f>
        <v>236.5</v>
      </c>
      <c r="G44" s="53">
        <v>91.4</v>
      </c>
      <c r="H44" s="53" t="s">
        <v>28</v>
      </c>
      <c r="I44" s="53">
        <f>(61+41+50+49)/4</f>
        <v>50.25</v>
      </c>
      <c r="J44" s="53">
        <v>87.3</v>
      </c>
      <c r="K44" s="53">
        <f t="shared" si="5"/>
        <v>4.4857768052516507</v>
      </c>
      <c r="L44" s="53" t="s">
        <v>24</v>
      </c>
      <c r="M44" s="55">
        <f>(115+114+123)/3</f>
        <v>117.33333333333333</v>
      </c>
      <c r="N44" s="53">
        <v>94.9</v>
      </c>
      <c r="O44" s="53">
        <f t="shared" si="6"/>
        <v>94.866529774127301</v>
      </c>
      <c r="P44" s="53" t="s">
        <v>25</v>
      </c>
      <c r="Q44" s="53"/>
      <c r="R44" s="53">
        <v>101</v>
      </c>
      <c r="S44" s="53" t="s">
        <v>30</v>
      </c>
      <c r="T44" s="53">
        <f>(57+56)/2</f>
        <v>56.5</v>
      </c>
      <c r="U44" s="53">
        <v>93.7</v>
      </c>
      <c r="V44" s="53">
        <f t="shared" si="7"/>
        <v>7.2277227722772244</v>
      </c>
      <c r="W44" s="53" t="s">
        <v>41</v>
      </c>
      <c r="X44" s="53">
        <f>(68+79)/2</f>
        <v>73.5</v>
      </c>
      <c r="Y44" s="53">
        <v>102</v>
      </c>
      <c r="Z44" s="53">
        <f t="shared" si="8"/>
        <v>7.4815595363540499</v>
      </c>
      <c r="AA44" s="53" t="s">
        <v>44</v>
      </c>
      <c r="AB44" s="53"/>
      <c r="AC44" s="53">
        <v>107.4</v>
      </c>
      <c r="AD44" s="53" t="s">
        <v>45</v>
      </c>
      <c r="AE44" s="53">
        <f>(38+45)/2</f>
        <v>41.5</v>
      </c>
      <c r="AF44" s="53">
        <v>100.9</v>
      </c>
      <c r="AG44" s="53">
        <f t="shared" si="9"/>
        <v>6.0521415270018624</v>
      </c>
      <c r="AH44" s="53" t="s">
        <v>46</v>
      </c>
      <c r="AI44" s="53">
        <f>(47+43)/2</f>
        <v>45</v>
      </c>
      <c r="AJ44" s="53">
        <v>106</v>
      </c>
      <c r="AK44" s="53">
        <f t="shared" si="10"/>
        <v>3.9215686274509802</v>
      </c>
      <c r="AL44" s="53" t="s">
        <v>53</v>
      </c>
      <c r="AM44" s="53"/>
      <c r="AN44" s="53">
        <v>109.9</v>
      </c>
      <c r="AO44" s="53" t="s">
        <v>54</v>
      </c>
      <c r="AP44" s="53">
        <f>(58+46)/2</f>
        <v>52</v>
      </c>
      <c r="AQ44" s="53">
        <v>104.7</v>
      </c>
      <c r="AR44" s="53">
        <f t="shared" si="11"/>
        <v>1.2264150943396199</v>
      </c>
      <c r="AS44" s="53" t="s">
        <v>57</v>
      </c>
      <c r="AT44" s="53">
        <f>(59+63)/2</f>
        <v>61</v>
      </c>
      <c r="AU44" s="53">
        <v>109.8</v>
      </c>
      <c r="AV44" s="53">
        <f t="shared" si="12"/>
        <v>3.5849056603773555</v>
      </c>
      <c r="AW44" s="53" t="s">
        <v>59</v>
      </c>
      <c r="AX44" s="53"/>
      <c r="AY44" s="53">
        <v>112.1</v>
      </c>
      <c r="AZ44" s="53" t="s">
        <v>60</v>
      </c>
      <c r="BA44" s="53">
        <f>(46+58)/2</f>
        <v>52</v>
      </c>
      <c r="BB44" s="53">
        <v>107.2</v>
      </c>
      <c r="BC44" s="53">
        <f t="shared" si="13"/>
        <v>4.3710972346119457</v>
      </c>
      <c r="BD44" s="43" t="s">
        <v>63</v>
      </c>
      <c r="BE44" s="43"/>
      <c r="BF44" s="43"/>
      <c r="BG44" s="43"/>
      <c r="BH44" s="43"/>
      <c r="BL44" s="1"/>
      <c r="BU44" s="1"/>
    </row>
    <row r="45" spans="1:75">
      <c r="A45" s="6" t="s">
        <v>11</v>
      </c>
      <c r="B45" s="8" t="s">
        <v>65</v>
      </c>
      <c r="C45" s="4">
        <v>79</v>
      </c>
      <c r="D45" s="9">
        <v>56.2</v>
      </c>
      <c r="E45" s="53" t="s">
        <v>22</v>
      </c>
      <c r="F45" s="54">
        <f>(431+503)/2</f>
        <v>467</v>
      </c>
      <c r="G45" s="53">
        <v>95.8</v>
      </c>
      <c r="H45" s="53" t="s">
        <v>28</v>
      </c>
      <c r="I45" s="53">
        <f>(43+61+67)/3</f>
        <v>57</v>
      </c>
      <c r="J45" s="53">
        <v>90.6</v>
      </c>
      <c r="K45" s="53">
        <f t="shared" si="5"/>
        <v>5.427974947807936</v>
      </c>
      <c r="L45" s="53" t="s">
        <v>24</v>
      </c>
      <c r="M45" s="54">
        <f>(273+341+278)/3</f>
        <v>297.33333333333331</v>
      </c>
      <c r="N45" s="53">
        <v>97.7</v>
      </c>
      <c r="O45" s="53">
        <f t="shared" si="6"/>
        <v>73.843416370106766</v>
      </c>
      <c r="P45" s="53" t="s">
        <v>25</v>
      </c>
      <c r="Q45" s="53"/>
      <c r="R45" s="53">
        <v>100.1</v>
      </c>
      <c r="S45" s="53" t="s">
        <v>30</v>
      </c>
      <c r="T45" s="53">
        <f>(58+74+67+68)/4</f>
        <v>66.75</v>
      </c>
      <c r="U45" s="53">
        <v>95.1</v>
      </c>
      <c r="V45" s="53">
        <f t="shared" si="7"/>
        <v>4.9950049950049955</v>
      </c>
      <c r="W45" s="53" t="s">
        <v>41</v>
      </c>
      <c r="X45" s="54">
        <f>(318+335)/2</f>
        <v>326.5</v>
      </c>
      <c r="Y45" s="53">
        <v>104</v>
      </c>
      <c r="Z45" s="53">
        <f t="shared" si="8"/>
        <v>6.4483111566018394</v>
      </c>
      <c r="AA45" s="53" t="s">
        <v>44</v>
      </c>
      <c r="AB45" s="53"/>
      <c r="AC45" s="53">
        <v>106.1</v>
      </c>
      <c r="AD45" s="53" t="s">
        <v>45</v>
      </c>
      <c r="AE45" s="53">
        <f>(78+69)/2</f>
        <v>73.5</v>
      </c>
      <c r="AF45" s="53">
        <v>99.6</v>
      </c>
      <c r="AG45" s="53">
        <f t="shared" si="9"/>
        <v>6.1262959472196048</v>
      </c>
      <c r="AH45" s="53" t="s">
        <v>46</v>
      </c>
      <c r="AI45" s="54">
        <f>(307+336)/2</f>
        <v>321.5</v>
      </c>
      <c r="AJ45" s="53">
        <v>106.5</v>
      </c>
      <c r="AK45" s="53">
        <f t="shared" si="10"/>
        <v>2.4038461538461542</v>
      </c>
      <c r="AL45" s="53" t="s">
        <v>53</v>
      </c>
      <c r="AM45" s="53"/>
      <c r="AN45" s="53">
        <v>108.3</v>
      </c>
      <c r="AO45" s="53" t="s">
        <v>54</v>
      </c>
      <c r="AP45" s="53">
        <f>(65+62)/2</f>
        <v>63.5</v>
      </c>
      <c r="AQ45" s="53">
        <v>102.9</v>
      </c>
      <c r="AR45" s="53">
        <f t="shared" si="11"/>
        <v>3.3802816901408397</v>
      </c>
      <c r="AS45" s="53" t="s">
        <v>57</v>
      </c>
      <c r="AT45" s="54">
        <f>(378+391)/2</f>
        <v>384.5</v>
      </c>
      <c r="AU45" s="53">
        <v>109.3</v>
      </c>
      <c r="AV45" s="53">
        <f t="shared" si="12"/>
        <v>2.6291079812206548</v>
      </c>
      <c r="AW45" s="53" t="s">
        <v>59</v>
      </c>
      <c r="AX45" s="53"/>
      <c r="AY45" s="53">
        <v>113.2</v>
      </c>
      <c r="AZ45" s="53" t="s">
        <v>60</v>
      </c>
      <c r="BA45" s="54">
        <f>(163+179)/2</f>
        <v>171</v>
      </c>
      <c r="BB45" s="53">
        <v>105.1</v>
      </c>
      <c r="BC45" s="53">
        <f t="shared" si="13"/>
        <v>7.1554770318021284</v>
      </c>
      <c r="BD45" t="s">
        <v>63</v>
      </c>
      <c r="BE45" s="1">
        <f>(600+600)/2</f>
        <v>600</v>
      </c>
      <c r="BF45">
        <v>109.2</v>
      </c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</row>
    <row r="46" spans="1:75">
      <c r="A46" s="7" t="s">
        <v>12</v>
      </c>
      <c r="B46" s="8" t="s">
        <v>65</v>
      </c>
      <c r="C46" s="4">
        <v>90</v>
      </c>
      <c r="D46" s="9">
        <v>54.1</v>
      </c>
      <c r="E46" s="53" t="s">
        <v>22</v>
      </c>
      <c r="F46" s="54">
        <f>(310+404)/2</f>
        <v>357</v>
      </c>
      <c r="G46" s="53">
        <v>94.5</v>
      </c>
      <c r="H46" s="53" t="s">
        <v>28</v>
      </c>
      <c r="I46" s="53">
        <f>(51+67)/2</f>
        <v>59</v>
      </c>
      <c r="J46" s="53">
        <v>89.6</v>
      </c>
      <c r="K46" s="53">
        <f t="shared" si="5"/>
        <v>5.1851851851851913</v>
      </c>
      <c r="L46" s="53" t="s">
        <v>24</v>
      </c>
      <c r="M46" s="54">
        <f>(287+257)/2</f>
        <v>272</v>
      </c>
      <c r="N46" s="53">
        <v>95.9</v>
      </c>
      <c r="O46" s="53">
        <f t="shared" si="6"/>
        <v>77.264325323475049</v>
      </c>
      <c r="P46" s="53" t="s">
        <v>25</v>
      </c>
      <c r="Q46" s="53"/>
      <c r="R46" s="53">
        <v>99.7</v>
      </c>
      <c r="S46" s="53" t="s">
        <v>30</v>
      </c>
      <c r="T46" s="53">
        <f>(60+47+53)/3</f>
        <v>53.333333333333336</v>
      </c>
      <c r="U46" s="53">
        <v>93.8</v>
      </c>
      <c r="V46" s="53">
        <f t="shared" si="7"/>
        <v>5.9177532597793441</v>
      </c>
      <c r="W46" s="53" t="s">
        <v>41</v>
      </c>
      <c r="X46" s="54">
        <f>(329+350)/2</f>
        <v>339.5</v>
      </c>
      <c r="Y46" s="53">
        <v>102</v>
      </c>
      <c r="Z46" s="53">
        <f t="shared" si="8"/>
        <v>6.3607924921793471</v>
      </c>
      <c r="AA46" s="53" t="s">
        <v>44</v>
      </c>
      <c r="AB46" s="53"/>
      <c r="AC46" s="53">
        <v>103.9</v>
      </c>
      <c r="AD46" s="53" t="s">
        <v>45</v>
      </c>
      <c r="AE46" s="53">
        <f>(42+58)/2</f>
        <v>50</v>
      </c>
      <c r="AF46" s="53">
        <v>98.4</v>
      </c>
      <c r="AG46" s="53">
        <f t="shared" si="9"/>
        <v>5.2935514918190565</v>
      </c>
      <c r="AH46" s="53" t="s">
        <v>46</v>
      </c>
      <c r="AI46" s="54">
        <f>(320+341)/2</f>
        <v>330.5</v>
      </c>
      <c r="AJ46" s="53">
        <v>105.8</v>
      </c>
      <c r="AK46" s="53">
        <f t="shared" si="10"/>
        <v>3.7254901960784284</v>
      </c>
      <c r="AL46" s="53" t="s">
        <v>53</v>
      </c>
      <c r="AM46" s="53"/>
      <c r="AN46" s="53">
        <v>107.4</v>
      </c>
      <c r="AO46" s="53" t="s">
        <v>54</v>
      </c>
      <c r="AP46" s="53">
        <f>(55+90+71+78)/4</f>
        <v>73.5</v>
      </c>
      <c r="AQ46" s="53">
        <v>99.9</v>
      </c>
      <c r="AR46" s="53">
        <f t="shared" si="11"/>
        <v>5.576559546313792</v>
      </c>
      <c r="AS46" s="53" t="s">
        <v>57</v>
      </c>
      <c r="AT46" s="56">
        <f>(414+412)/2</f>
        <v>413</v>
      </c>
      <c r="AU46" s="53">
        <v>106.5</v>
      </c>
      <c r="AV46" s="53">
        <f t="shared" si="12"/>
        <v>0.66162570888469074</v>
      </c>
      <c r="AW46" s="53" t="s">
        <v>59</v>
      </c>
      <c r="AX46" s="53"/>
      <c r="AY46" s="53">
        <v>108.8</v>
      </c>
      <c r="AZ46" s="53" t="s">
        <v>60</v>
      </c>
      <c r="BA46" s="53">
        <f>(57+67)/2</f>
        <v>62</v>
      </c>
      <c r="BB46" s="53">
        <v>100</v>
      </c>
      <c r="BC46" s="53">
        <f t="shared" si="13"/>
        <v>8.088235294117645</v>
      </c>
      <c r="BD46" t="s">
        <v>63</v>
      </c>
      <c r="BE46" s="1">
        <f>(529+546)/2</f>
        <v>537.5</v>
      </c>
      <c r="BF46">
        <v>105.5</v>
      </c>
      <c r="BK46" s="1"/>
      <c r="BU46" s="1"/>
    </row>
    <row r="47" spans="1:75">
      <c r="A47" s="5" t="s">
        <v>13</v>
      </c>
      <c r="B47" s="8" t="s">
        <v>66</v>
      </c>
      <c r="C47" s="4">
        <v>84</v>
      </c>
      <c r="D47" s="9">
        <v>41.1</v>
      </c>
      <c r="E47" s="53" t="s">
        <v>27</v>
      </c>
      <c r="F47" s="53">
        <f>(85+87)/2</f>
        <v>86</v>
      </c>
      <c r="G47" s="53">
        <v>76.099999999999994</v>
      </c>
      <c r="H47" s="53" t="s">
        <v>29</v>
      </c>
      <c r="I47" s="53">
        <f>(52+55+53)/3</f>
        <v>53.333333333333336</v>
      </c>
      <c r="J47" s="53">
        <v>70.900000000000006</v>
      </c>
      <c r="K47" s="53">
        <f t="shared" si="5"/>
        <v>6.8331143232588554</v>
      </c>
      <c r="L47" s="53" t="s">
        <v>36</v>
      </c>
      <c r="M47" s="55">
        <f>(111+106)/2</f>
        <v>108.5</v>
      </c>
      <c r="N47" s="53">
        <v>78.5</v>
      </c>
      <c r="O47" s="53">
        <f t="shared" si="6"/>
        <v>90.99756690997566</v>
      </c>
      <c r="P47" s="53" t="s">
        <v>39</v>
      </c>
      <c r="Q47" s="53"/>
      <c r="R47" s="53">
        <v>81.2</v>
      </c>
      <c r="S47" s="53" t="s">
        <v>40</v>
      </c>
      <c r="T47" s="53">
        <f>(63+63)/2</f>
        <v>63</v>
      </c>
      <c r="U47" s="53">
        <v>75.8</v>
      </c>
      <c r="V47" s="53">
        <f t="shared" si="7"/>
        <v>6.650246305418726</v>
      </c>
      <c r="W47" s="53" t="s">
        <v>47</v>
      </c>
      <c r="X47" s="53">
        <f>(93+78+87)/3</f>
        <v>86</v>
      </c>
      <c r="Y47" s="53">
        <v>83.1</v>
      </c>
      <c r="Z47" s="53">
        <f t="shared" si="8"/>
        <v>5.8598726114649606</v>
      </c>
      <c r="AA47" s="53" t="s">
        <v>48</v>
      </c>
      <c r="AB47" s="53"/>
      <c r="AC47" s="53">
        <v>86.2</v>
      </c>
      <c r="AD47" s="53" t="s">
        <v>49</v>
      </c>
      <c r="AE47" s="53">
        <f>(48+49)/2</f>
        <v>48.5</v>
      </c>
      <c r="AF47" s="53">
        <v>81.8</v>
      </c>
      <c r="AG47" s="53">
        <f t="shared" si="9"/>
        <v>5.1044083526682202</v>
      </c>
      <c r="AH47" s="53" t="s">
        <v>50</v>
      </c>
      <c r="AI47" s="53">
        <f>(71+72)/2</f>
        <v>71.5</v>
      </c>
      <c r="AJ47" s="53">
        <v>87.3</v>
      </c>
      <c r="AK47" s="53">
        <f t="shared" si="10"/>
        <v>5.0541516245487399</v>
      </c>
      <c r="AL47" s="53" t="s">
        <v>55</v>
      </c>
      <c r="AM47" s="53"/>
      <c r="AN47" s="53">
        <v>89</v>
      </c>
      <c r="AO47" s="53" t="s">
        <v>56</v>
      </c>
      <c r="AP47" s="53">
        <f>(57+69)/2</f>
        <v>63</v>
      </c>
      <c r="AQ47" s="53">
        <v>83.8</v>
      </c>
      <c r="AR47" s="53">
        <f t="shared" si="11"/>
        <v>4.0091638029782359</v>
      </c>
      <c r="AS47" s="53" t="s">
        <v>58</v>
      </c>
      <c r="AT47" s="53">
        <f>(74+82)/2</f>
        <v>78</v>
      </c>
      <c r="AU47" s="53">
        <v>89.5</v>
      </c>
      <c r="AV47" s="53">
        <f t="shared" si="12"/>
        <v>2.5200458190148942</v>
      </c>
      <c r="AW47" s="53" t="s">
        <v>61</v>
      </c>
      <c r="AX47" s="53"/>
      <c r="AY47" s="53">
        <v>92.4</v>
      </c>
      <c r="AZ47" s="53" t="s">
        <v>62</v>
      </c>
      <c r="BA47" s="53">
        <f>(75+69)/2</f>
        <v>72</v>
      </c>
      <c r="BB47" s="53">
        <v>88</v>
      </c>
      <c r="BC47" s="53">
        <f t="shared" si="13"/>
        <v>4.7619047619047681</v>
      </c>
      <c r="BD47" t="s">
        <v>64</v>
      </c>
      <c r="BE47">
        <f>(66+70)/2</f>
        <v>68</v>
      </c>
      <c r="BF47">
        <v>89.6</v>
      </c>
      <c r="BJ47" s="1"/>
      <c r="BK47" s="1"/>
      <c r="BU47" s="1"/>
      <c r="BV47" s="1"/>
    </row>
    <row r="48" spans="1:75">
      <c r="A48" s="6" t="s">
        <v>14</v>
      </c>
      <c r="B48" s="8" t="s">
        <v>66</v>
      </c>
      <c r="C48" s="4">
        <v>75</v>
      </c>
      <c r="D48" s="9">
        <v>39.4</v>
      </c>
      <c r="E48" s="53" t="s">
        <v>27</v>
      </c>
      <c r="F48" s="53">
        <f>(86+79)/2</f>
        <v>82.5</v>
      </c>
      <c r="G48" s="53">
        <v>73.2</v>
      </c>
      <c r="H48" s="53" t="s">
        <v>29</v>
      </c>
      <c r="I48" s="53">
        <f>(46+46)/2</f>
        <v>46</v>
      </c>
      <c r="J48" s="53">
        <v>69.7</v>
      </c>
      <c r="K48" s="53">
        <f t="shared" si="5"/>
        <v>4.7814207650273222</v>
      </c>
      <c r="L48" s="53" t="s">
        <v>36</v>
      </c>
      <c r="M48" s="53">
        <f>(84+68)/2</f>
        <v>76</v>
      </c>
      <c r="N48" s="53">
        <v>77.7</v>
      </c>
      <c r="O48" s="53">
        <f t="shared" si="6"/>
        <v>97.20812182741119</v>
      </c>
      <c r="P48" s="53" t="s">
        <v>39</v>
      </c>
      <c r="Q48" s="53"/>
      <c r="R48" s="53">
        <v>80.2</v>
      </c>
      <c r="S48" s="53" t="s">
        <v>40</v>
      </c>
      <c r="T48" s="53">
        <f>(65+62)/2</f>
        <v>63.5</v>
      </c>
      <c r="U48" s="53">
        <v>75.099999999999994</v>
      </c>
      <c r="V48" s="53">
        <f t="shared" si="7"/>
        <v>6.3591022443890379</v>
      </c>
      <c r="W48" s="53" t="s">
        <v>47</v>
      </c>
      <c r="X48" s="53">
        <f>(70+71)/2</f>
        <v>70.5</v>
      </c>
      <c r="Y48" s="53">
        <v>84.2</v>
      </c>
      <c r="Z48" s="53">
        <f t="shared" si="8"/>
        <v>8.3655083655083651</v>
      </c>
      <c r="AA48" s="53" t="s">
        <v>48</v>
      </c>
      <c r="AB48" s="53"/>
      <c r="AC48" s="53">
        <v>88.5</v>
      </c>
      <c r="AD48" s="53" t="s">
        <v>49</v>
      </c>
      <c r="AE48" s="53">
        <f>(49+54)/2</f>
        <v>51.5</v>
      </c>
      <c r="AF48" s="53">
        <v>84.2</v>
      </c>
      <c r="AG48" s="53">
        <f t="shared" si="9"/>
        <v>4.8587570621468892</v>
      </c>
      <c r="AH48" s="53" t="s">
        <v>50</v>
      </c>
      <c r="AI48" s="53">
        <f>(55+63)/2</f>
        <v>59</v>
      </c>
      <c r="AJ48" s="53">
        <v>87.6</v>
      </c>
      <c r="AK48" s="53">
        <f t="shared" si="10"/>
        <v>4.0380047505938137</v>
      </c>
      <c r="AL48" s="53" t="s">
        <v>55</v>
      </c>
      <c r="AM48" s="53"/>
      <c r="AN48" s="53">
        <v>89.5</v>
      </c>
      <c r="AO48" s="53" t="s">
        <v>56</v>
      </c>
      <c r="AP48" s="53">
        <f>(76+52+52)/3</f>
        <v>60</v>
      </c>
      <c r="AQ48" s="53">
        <v>84.5</v>
      </c>
      <c r="AR48" s="53">
        <f t="shared" si="11"/>
        <v>3.5388127853881213</v>
      </c>
      <c r="AS48" s="53" t="s">
        <v>58</v>
      </c>
      <c r="AT48" s="53">
        <f>(52+64)/2</f>
        <v>58</v>
      </c>
      <c r="AU48" s="53">
        <v>91</v>
      </c>
      <c r="AV48" s="53">
        <f t="shared" si="12"/>
        <v>3.8812785388127922</v>
      </c>
      <c r="AW48" s="53" t="s">
        <v>61</v>
      </c>
      <c r="AX48" s="53"/>
      <c r="AY48" s="53">
        <v>98.3</v>
      </c>
      <c r="AZ48" s="53" t="s">
        <v>62</v>
      </c>
      <c r="BA48" s="53">
        <f>(59+60)/2</f>
        <v>59.5</v>
      </c>
      <c r="BB48" s="53">
        <v>94.4</v>
      </c>
      <c r="BC48" s="53">
        <f t="shared" si="13"/>
        <v>3.9674465920650985</v>
      </c>
      <c r="BD48" t="s">
        <v>64</v>
      </c>
      <c r="BE48">
        <f>(38+50)/2</f>
        <v>44</v>
      </c>
      <c r="BF48">
        <v>97.5</v>
      </c>
      <c r="BU48" s="1"/>
    </row>
    <row r="49" spans="1:75">
      <c r="A49" s="6" t="s">
        <v>15</v>
      </c>
      <c r="B49" s="8" t="s">
        <v>66</v>
      </c>
      <c r="C49" s="4">
        <v>72</v>
      </c>
      <c r="D49" s="9">
        <v>41.3</v>
      </c>
      <c r="E49" s="53" t="s">
        <v>27</v>
      </c>
      <c r="F49" s="53">
        <f>(66+88)/2</f>
        <v>77</v>
      </c>
      <c r="G49" s="53">
        <v>75.599999999999994</v>
      </c>
      <c r="H49" s="53" t="s">
        <v>29</v>
      </c>
      <c r="I49" s="53">
        <f>(43+51)/2</f>
        <v>47</v>
      </c>
      <c r="J49" s="53">
        <v>71.400000000000006</v>
      </c>
      <c r="K49" s="53">
        <f t="shared" si="5"/>
        <v>5.5555555555555403</v>
      </c>
      <c r="L49" s="53" t="s">
        <v>36</v>
      </c>
      <c r="M49" s="53">
        <f>(76+88)/2</f>
        <v>82</v>
      </c>
      <c r="N49" s="53">
        <v>78.5</v>
      </c>
      <c r="O49" s="53">
        <f t="shared" si="6"/>
        <v>90.072639225181618</v>
      </c>
      <c r="P49" s="53" t="s">
        <v>39</v>
      </c>
      <c r="Q49" s="53"/>
      <c r="R49" s="53">
        <v>81</v>
      </c>
      <c r="S49" s="53" t="s">
        <v>40</v>
      </c>
      <c r="T49" s="53">
        <f>(65+63)/2</f>
        <v>64</v>
      </c>
      <c r="U49" s="53">
        <v>75.599999999999994</v>
      </c>
      <c r="V49" s="53">
        <f t="shared" si="7"/>
        <v>6.6666666666666732</v>
      </c>
      <c r="W49" s="53" t="s">
        <v>47</v>
      </c>
      <c r="X49" s="53">
        <f>(80+86)/2</f>
        <v>83</v>
      </c>
      <c r="Y49" s="53">
        <v>82.9</v>
      </c>
      <c r="Z49" s="53">
        <f t="shared" si="8"/>
        <v>5.6050955414012806</v>
      </c>
      <c r="AA49" s="53" t="s">
        <v>48</v>
      </c>
      <c r="AB49" s="53"/>
      <c r="AC49" s="53">
        <v>85.7</v>
      </c>
      <c r="AD49" s="53" t="s">
        <v>49</v>
      </c>
      <c r="AE49" s="53">
        <f>(56+57)/2</f>
        <v>56.5</v>
      </c>
      <c r="AF49" s="53">
        <v>82.1</v>
      </c>
      <c r="AG49" s="53">
        <f t="shared" si="9"/>
        <v>4.2007001166861242</v>
      </c>
      <c r="AH49" s="53" t="s">
        <v>50</v>
      </c>
      <c r="AI49" s="53">
        <f>(73+66)/2</f>
        <v>69.5</v>
      </c>
      <c r="AJ49" s="53">
        <v>87.2</v>
      </c>
      <c r="AK49" s="53">
        <f t="shared" si="10"/>
        <v>5.186972255729791</v>
      </c>
      <c r="AL49" s="53" t="s">
        <v>55</v>
      </c>
      <c r="AM49" s="53"/>
      <c r="AN49" s="53">
        <v>90.4</v>
      </c>
      <c r="AO49" s="53" t="s">
        <v>56</v>
      </c>
      <c r="AP49" s="53">
        <f>(55+58)/2</f>
        <v>56.5</v>
      </c>
      <c r="AQ49" s="53">
        <v>85.4</v>
      </c>
      <c r="AR49" s="53">
        <f t="shared" si="11"/>
        <v>2.0642201834862353</v>
      </c>
      <c r="AS49" s="53" t="s">
        <v>58</v>
      </c>
      <c r="AT49" s="53">
        <f>(61+70)/2</f>
        <v>65.5</v>
      </c>
      <c r="AU49" s="53">
        <v>91.3</v>
      </c>
      <c r="AV49" s="53">
        <f t="shared" si="12"/>
        <v>4.7018348623853141</v>
      </c>
      <c r="AW49" s="53" t="s">
        <v>61</v>
      </c>
      <c r="AX49" s="53"/>
      <c r="AY49" s="53">
        <v>94.5</v>
      </c>
      <c r="AZ49" s="53" t="s">
        <v>62</v>
      </c>
      <c r="BA49" s="53">
        <f>(48+52)/2</f>
        <v>50</v>
      </c>
      <c r="BB49" s="53">
        <v>89.4</v>
      </c>
      <c r="BC49" s="53">
        <f t="shared" si="13"/>
        <v>5.396825396825391</v>
      </c>
      <c r="BD49" t="s">
        <v>64</v>
      </c>
      <c r="BE49">
        <f>(63+67)/2</f>
        <v>65</v>
      </c>
      <c r="BF49">
        <v>92.3</v>
      </c>
      <c r="BU49" s="1"/>
    </row>
    <row r="50" spans="1:75">
      <c r="A50" s="6" t="s">
        <v>16</v>
      </c>
      <c r="B50" s="8" t="s">
        <v>66</v>
      </c>
      <c r="C50" s="4">
        <v>78</v>
      </c>
      <c r="D50" s="9">
        <v>40.200000000000003</v>
      </c>
      <c r="E50" s="53" t="s">
        <v>27</v>
      </c>
      <c r="F50" s="55">
        <f>(184+231+180)/3</f>
        <v>198.33333333333334</v>
      </c>
      <c r="G50" s="53">
        <v>76.7</v>
      </c>
      <c r="H50" s="53" t="s">
        <v>29</v>
      </c>
      <c r="I50" s="53">
        <f>(44+55)/2</f>
        <v>49.5</v>
      </c>
      <c r="J50" s="53">
        <v>73.5</v>
      </c>
      <c r="K50" s="53">
        <f t="shared" si="5"/>
        <v>4.1720990873533284</v>
      </c>
      <c r="L50" s="53" t="s">
        <v>36</v>
      </c>
      <c r="M50" s="55">
        <f>(193+173)/2</f>
        <v>183</v>
      </c>
      <c r="N50" s="53">
        <v>80</v>
      </c>
      <c r="O50" s="53">
        <f t="shared" si="6"/>
        <v>99.004975124378092</v>
      </c>
      <c r="P50" s="53" t="s">
        <v>39</v>
      </c>
      <c r="Q50" s="53"/>
      <c r="R50" s="53">
        <v>82.9</v>
      </c>
      <c r="S50" s="53" t="s">
        <v>40</v>
      </c>
      <c r="T50" s="53">
        <f>(56+67)/2</f>
        <v>61.5</v>
      </c>
      <c r="U50" s="53">
        <v>78.2</v>
      </c>
      <c r="V50" s="53">
        <f t="shared" si="7"/>
        <v>5.6694813027744306</v>
      </c>
      <c r="W50" s="53" t="s">
        <v>47</v>
      </c>
      <c r="X50" s="53">
        <f>(68+75)/2</f>
        <v>71.5</v>
      </c>
      <c r="Y50" s="53">
        <v>85.1</v>
      </c>
      <c r="Z50" s="53">
        <f t="shared" si="8"/>
        <v>6.3749999999999929</v>
      </c>
      <c r="AA50" s="53" t="s">
        <v>48</v>
      </c>
      <c r="AB50" s="53"/>
      <c r="AC50" s="53">
        <v>88.4</v>
      </c>
      <c r="AD50" s="53" t="s">
        <v>49</v>
      </c>
      <c r="AE50" s="53">
        <f>(63+62)/2</f>
        <v>62.5</v>
      </c>
      <c r="AF50" s="53">
        <v>82.3</v>
      </c>
      <c r="AG50" s="53">
        <f t="shared" si="9"/>
        <v>6.900452488687792</v>
      </c>
      <c r="AH50" s="53" t="s">
        <v>50</v>
      </c>
      <c r="AI50" s="53">
        <f>(69+66)/2</f>
        <v>67.5</v>
      </c>
      <c r="AJ50" s="53">
        <v>89.5</v>
      </c>
      <c r="AK50" s="53">
        <f t="shared" si="10"/>
        <v>5.1703877790834376</v>
      </c>
      <c r="AL50" s="53" t="s">
        <v>55</v>
      </c>
      <c r="AM50" s="53"/>
      <c r="AN50" s="53">
        <v>93.4</v>
      </c>
      <c r="AO50" s="53" t="s">
        <v>56</v>
      </c>
      <c r="AP50" s="53">
        <f>(48+60)/2</f>
        <v>54</v>
      </c>
      <c r="AQ50" s="53">
        <v>87.4</v>
      </c>
      <c r="AR50" s="53">
        <f t="shared" si="11"/>
        <v>2.3463687150837926</v>
      </c>
      <c r="AS50" s="53" t="s">
        <v>58</v>
      </c>
      <c r="AT50" s="53">
        <f>(97+128+70)/3</f>
        <v>98.333333333333329</v>
      </c>
      <c r="AU50" s="53">
        <v>93.9</v>
      </c>
      <c r="AV50" s="53">
        <f t="shared" si="12"/>
        <v>4.9162011173184421</v>
      </c>
      <c r="AW50" s="53" t="s">
        <v>61</v>
      </c>
      <c r="AX50" s="53"/>
      <c r="AY50" s="53">
        <v>98</v>
      </c>
      <c r="AZ50" s="53" t="s">
        <v>62</v>
      </c>
      <c r="BA50" s="53">
        <f>(50+46)/2</f>
        <v>48</v>
      </c>
      <c r="BB50" s="53">
        <v>91.6</v>
      </c>
      <c r="BC50" s="53">
        <f t="shared" si="13"/>
        <v>6.5306122448979655</v>
      </c>
      <c r="BD50" t="s">
        <v>64</v>
      </c>
      <c r="BE50">
        <f>(68+72)/2</f>
        <v>70</v>
      </c>
      <c r="BF50">
        <v>94.4</v>
      </c>
      <c r="BV50" s="1"/>
    </row>
    <row r="51" spans="1:75">
      <c r="A51" s="38" t="s">
        <v>17</v>
      </c>
      <c r="B51" s="40" t="s">
        <v>66</v>
      </c>
      <c r="C51" s="41">
        <v>81</v>
      </c>
      <c r="D51" s="42">
        <v>42.7</v>
      </c>
      <c r="E51" s="53" t="s">
        <v>27</v>
      </c>
      <c r="F51" s="53">
        <f>(91+96)/2</f>
        <v>93.5</v>
      </c>
      <c r="G51" s="53">
        <v>79.400000000000006</v>
      </c>
      <c r="H51" s="53" t="s">
        <v>29</v>
      </c>
      <c r="I51" s="53">
        <f>(45+57)/2</f>
        <v>51</v>
      </c>
      <c r="J51" s="53">
        <v>76.599999999999994</v>
      </c>
      <c r="K51" s="53">
        <f t="shared" si="5"/>
        <v>3.5264483627204171</v>
      </c>
      <c r="L51" s="53" t="s">
        <v>36</v>
      </c>
      <c r="M51" s="53">
        <f>(80+88)/2</f>
        <v>84</v>
      </c>
      <c r="N51" s="53">
        <v>82.5</v>
      </c>
      <c r="O51" s="53">
        <f t="shared" si="6"/>
        <v>93.208430913348934</v>
      </c>
      <c r="P51" s="53" t="s">
        <v>39</v>
      </c>
      <c r="Q51" s="53"/>
      <c r="R51" s="53">
        <v>85.4</v>
      </c>
      <c r="S51" s="53" t="s">
        <v>40</v>
      </c>
      <c r="T51" s="53">
        <f>(59+62)/2</f>
        <v>60.5</v>
      </c>
      <c r="U51" s="53">
        <v>81.599999999999994</v>
      </c>
      <c r="V51" s="53">
        <f t="shared" si="7"/>
        <v>4.4496487119438068</v>
      </c>
      <c r="W51" s="53" t="s">
        <v>47</v>
      </c>
      <c r="X51" s="53">
        <f>(74+70+76)/3</f>
        <v>73.333333333333329</v>
      </c>
      <c r="Y51" s="53">
        <v>87.6</v>
      </c>
      <c r="Z51" s="53">
        <f t="shared" si="8"/>
        <v>6.1818181818181754</v>
      </c>
      <c r="AA51" s="53" t="s">
        <v>48</v>
      </c>
      <c r="AB51" s="53"/>
      <c r="AC51" s="53">
        <v>91.7</v>
      </c>
      <c r="AD51" s="53" t="s">
        <v>49</v>
      </c>
      <c r="AE51" s="53">
        <f>(54+56)/2</f>
        <v>55</v>
      </c>
      <c r="AF51" s="53">
        <v>85.9</v>
      </c>
      <c r="AG51" s="53">
        <f t="shared" si="9"/>
        <v>6.3249727371864743</v>
      </c>
      <c r="AH51" s="53" t="s">
        <v>50</v>
      </c>
      <c r="AI51" s="53">
        <f>(78+76)/2</f>
        <v>77</v>
      </c>
      <c r="AJ51" s="53">
        <v>90.9</v>
      </c>
      <c r="AK51" s="53">
        <f t="shared" si="10"/>
        <v>3.7671232876712457</v>
      </c>
      <c r="AL51" s="53" t="s">
        <v>55</v>
      </c>
      <c r="AM51" s="53"/>
      <c r="AN51" s="53">
        <v>95</v>
      </c>
      <c r="AO51" s="53" t="s">
        <v>56</v>
      </c>
      <c r="AP51" s="53">
        <f>(58+58)/2</f>
        <v>58</v>
      </c>
      <c r="AQ51" s="53">
        <v>89.2</v>
      </c>
      <c r="AR51" s="53">
        <f t="shared" si="11"/>
        <v>1.8701870187018732</v>
      </c>
      <c r="AS51" s="53" t="s">
        <v>58</v>
      </c>
      <c r="AT51" s="53">
        <f>(66+71)/2</f>
        <v>68.5</v>
      </c>
      <c r="AU51" s="53">
        <v>94.8</v>
      </c>
      <c r="AV51" s="53">
        <f t="shared" si="12"/>
        <v>4.2904290429042806</v>
      </c>
      <c r="AW51" s="53" t="s">
        <v>61</v>
      </c>
      <c r="AX51" s="53"/>
      <c r="AY51" s="53">
        <v>98.3</v>
      </c>
      <c r="AZ51" s="53" t="s">
        <v>62</v>
      </c>
      <c r="BA51" s="53">
        <f>(44+42)/2</f>
        <v>43</v>
      </c>
      <c r="BB51" s="53">
        <v>95.6</v>
      </c>
      <c r="BC51" s="53">
        <f t="shared" si="13"/>
        <v>2.7466937945066152</v>
      </c>
      <c r="BD51" s="43" t="s">
        <v>64</v>
      </c>
      <c r="BE51" s="43">
        <f>(49+74)/2</f>
        <v>61.5</v>
      </c>
      <c r="BF51" s="43">
        <v>94.8</v>
      </c>
      <c r="BG51" s="43"/>
      <c r="BH51" s="43"/>
    </row>
    <row r="52" spans="1:75">
      <c r="A52" s="7" t="s">
        <v>18</v>
      </c>
      <c r="B52" s="8" t="s">
        <v>66</v>
      </c>
      <c r="C52" s="4">
        <v>70</v>
      </c>
      <c r="D52" s="9">
        <v>45.1</v>
      </c>
      <c r="E52" s="53" t="s">
        <v>27</v>
      </c>
      <c r="F52" s="55">
        <f>(160+150)/2</f>
        <v>155</v>
      </c>
      <c r="G52" s="53">
        <v>86.5</v>
      </c>
      <c r="H52" s="53" t="s">
        <v>29</v>
      </c>
      <c r="I52" s="53">
        <f>(39+40)/2</f>
        <v>39.5</v>
      </c>
      <c r="J52" s="53">
        <v>83</v>
      </c>
      <c r="K52" s="53">
        <f t="shared" si="5"/>
        <v>4.0462427745664744</v>
      </c>
      <c r="L52" s="53" t="s">
        <v>36</v>
      </c>
      <c r="M52" s="54">
        <f>(207+201)/2</f>
        <v>204</v>
      </c>
      <c r="N52" s="53">
        <v>93.2</v>
      </c>
      <c r="O52" s="53">
        <f t="shared" si="6"/>
        <v>106.65188470066518</v>
      </c>
      <c r="P52" s="53" t="s">
        <v>39</v>
      </c>
      <c r="Q52" s="53"/>
      <c r="R52" s="53">
        <v>94.7</v>
      </c>
      <c r="S52" s="53" t="s">
        <v>40</v>
      </c>
      <c r="T52" s="53">
        <f>(60+50)/2</f>
        <v>55</v>
      </c>
      <c r="U52" s="53">
        <v>88.5</v>
      </c>
      <c r="V52" s="53">
        <f t="shared" si="7"/>
        <v>6.5469904963041214</v>
      </c>
      <c r="W52" s="53" t="s">
        <v>47</v>
      </c>
      <c r="X52" s="54">
        <f>(297+303)/2</f>
        <v>300</v>
      </c>
      <c r="Y52" s="53">
        <v>95.4</v>
      </c>
      <c r="Z52" s="53">
        <f t="shared" si="8"/>
        <v>2.3605150214592303</v>
      </c>
      <c r="AA52" s="53" t="s">
        <v>48</v>
      </c>
      <c r="AB52" s="53"/>
      <c r="AC52" s="53">
        <v>98.5</v>
      </c>
      <c r="AD52" s="53" t="s">
        <v>49</v>
      </c>
      <c r="AE52" s="55">
        <f>(79+69+81)/3</f>
        <v>76.333333333333329</v>
      </c>
      <c r="AF52" s="53">
        <v>93.6</v>
      </c>
      <c r="AG52" s="53">
        <f t="shared" si="9"/>
        <v>4.9746192893401071</v>
      </c>
      <c r="AH52" s="53" t="s">
        <v>50</v>
      </c>
      <c r="AI52" s="53">
        <f>(75+82)/2</f>
        <v>78.5</v>
      </c>
      <c r="AJ52" s="53">
        <v>93.1</v>
      </c>
      <c r="AK52" s="53">
        <f t="shared" si="10"/>
        <v>-2.4109014675052531</v>
      </c>
      <c r="AL52" s="53" t="s">
        <v>55</v>
      </c>
      <c r="AM52" s="53"/>
      <c r="AN52" s="53">
        <v>97.4</v>
      </c>
      <c r="AO52" s="53" t="s">
        <v>56</v>
      </c>
      <c r="AP52" s="53">
        <f>(64+77+49)/3</f>
        <v>63.333333333333336</v>
      </c>
      <c r="AQ52" s="53">
        <v>90.5</v>
      </c>
      <c r="AR52" s="53">
        <f t="shared" si="11"/>
        <v>2.7926960257787266</v>
      </c>
      <c r="AS52" s="53" t="s">
        <v>58</v>
      </c>
      <c r="AT52" s="54">
        <f>(292+298)/2</f>
        <v>295</v>
      </c>
      <c r="AU52" s="53">
        <v>99.3</v>
      </c>
      <c r="AV52" s="53">
        <f t="shared" si="12"/>
        <v>6.6595059076262118</v>
      </c>
      <c r="AW52" s="53" t="s">
        <v>61</v>
      </c>
      <c r="AX52" s="53"/>
      <c r="AY52" s="53">
        <v>104.4</v>
      </c>
      <c r="AZ52" s="53" t="s">
        <v>62</v>
      </c>
      <c r="BA52" s="53">
        <f>(65+52)/2</f>
        <v>58.5</v>
      </c>
      <c r="BB52" s="53">
        <v>98.8</v>
      </c>
      <c r="BC52" s="53">
        <f t="shared" si="13"/>
        <v>5.3639846743295099</v>
      </c>
      <c r="BD52" t="s">
        <v>64</v>
      </c>
      <c r="BE52">
        <f>(89+102)/2</f>
        <v>95.5</v>
      </c>
      <c r="BF52">
        <v>100.6</v>
      </c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</row>
    <row r="53" spans="1:75">
      <c r="A53" s="37" t="s">
        <v>19</v>
      </c>
      <c r="B53" s="40" t="s">
        <v>66</v>
      </c>
      <c r="C53" s="41">
        <v>58</v>
      </c>
      <c r="D53" s="42">
        <v>41.2</v>
      </c>
      <c r="E53" s="53" t="s">
        <v>27</v>
      </c>
      <c r="F53" s="53">
        <f>(67+74)/2</f>
        <v>70.5</v>
      </c>
      <c r="G53" s="53">
        <v>89.7</v>
      </c>
      <c r="H53" s="53" t="s">
        <v>29</v>
      </c>
      <c r="I53" s="53">
        <f>(61+64+59)/3</f>
        <v>61.333333333333336</v>
      </c>
      <c r="J53" s="53">
        <v>85</v>
      </c>
      <c r="K53" s="53">
        <f t="shared" si="5"/>
        <v>5.2396878483835039</v>
      </c>
      <c r="L53" s="53" t="s">
        <v>36</v>
      </c>
      <c r="M53" s="53">
        <f>(74+51)/2</f>
        <v>62.5</v>
      </c>
      <c r="N53" s="53">
        <v>92.4</v>
      </c>
      <c r="O53" s="53">
        <f t="shared" si="6"/>
        <v>124.27184466019416</v>
      </c>
      <c r="P53" s="53" t="s">
        <v>39</v>
      </c>
      <c r="Q53" s="53"/>
      <c r="R53" s="53">
        <v>94.2</v>
      </c>
      <c r="S53" s="53" t="s">
        <v>40</v>
      </c>
      <c r="T53" s="53">
        <f>(58+58)/2</f>
        <v>58</v>
      </c>
      <c r="U53" s="53">
        <v>89.4</v>
      </c>
      <c r="V53" s="53">
        <f t="shared" si="7"/>
        <v>5.0955414012738824</v>
      </c>
      <c r="W53" s="53" t="s">
        <v>47</v>
      </c>
      <c r="X53" s="53">
        <f>(82+75)/2</f>
        <v>78.5</v>
      </c>
      <c r="Y53" s="53">
        <v>95.9</v>
      </c>
      <c r="Z53" s="53">
        <f t="shared" si="8"/>
        <v>3.7878787878787881</v>
      </c>
      <c r="AA53" s="53" t="s">
        <v>48</v>
      </c>
      <c r="AB53" s="53"/>
      <c r="AC53" s="53" t="s">
        <v>137</v>
      </c>
      <c r="AD53" s="53" t="s">
        <v>49</v>
      </c>
      <c r="AE53" s="53"/>
      <c r="AF53" s="53"/>
      <c r="AG53" s="53"/>
      <c r="AH53" s="53" t="s">
        <v>50</v>
      </c>
      <c r="AI53" s="53"/>
      <c r="AJ53" s="53"/>
      <c r="AK53" s="53"/>
      <c r="AL53" s="53" t="s">
        <v>55</v>
      </c>
      <c r="AM53" s="53"/>
      <c r="AN53" s="53"/>
      <c r="AO53" s="53" t="s">
        <v>56</v>
      </c>
      <c r="AP53" s="53"/>
      <c r="AQ53" s="53"/>
      <c r="AR53" s="53"/>
      <c r="AS53" s="53" t="s">
        <v>58</v>
      </c>
      <c r="AT53" s="53"/>
      <c r="AU53" s="53"/>
      <c r="AV53" s="53"/>
      <c r="AW53" s="53" t="s">
        <v>61</v>
      </c>
      <c r="AX53" s="53"/>
      <c r="AY53" s="53"/>
      <c r="AZ53" s="53" t="s">
        <v>62</v>
      </c>
      <c r="BA53" s="53"/>
      <c r="BB53" s="53"/>
      <c r="BC53" s="53"/>
      <c r="BD53" s="43" t="s">
        <v>64</v>
      </c>
      <c r="BE53" s="43"/>
      <c r="BF53" s="43"/>
      <c r="BG53" s="43"/>
      <c r="BH53" s="43"/>
    </row>
    <row r="54" spans="1:75">
      <c r="A54" s="6" t="s">
        <v>20</v>
      </c>
      <c r="B54" s="8" t="s">
        <v>66</v>
      </c>
      <c r="C54" s="4">
        <v>73</v>
      </c>
      <c r="D54" s="9">
        <v>41</v>
      </c>
      <c r="E54" s="53" t="s">
        <v>27</v>
      </c>
      <c r="F54" s="54">
        <f>(412+373)/2</f>
        <v>392.5</v>
      </c>
      <c r="G54" s="53">
        <v>93.1</v>
      </c>
      <c r="H54" s="53" t="s">
        <v>29</v>
      </c>
      <c r="I54" s="53">
        <f>(33+58+40+32)/4</f>
        <v>40.75</v>
      </c>
      <c r="J54" s="53">
        <v>88.2</v>
      </c>
      <c r="K54" s="53">
        <f t="shared" si="5"/>
        <v>5.2631578947368336</v>
      </c>
      <c r="L54" s="53" t="s">
        <v>36</v>
      </c>
      <c r="M54" s="54">
        <f>(416+503)/2</f>
        <v>459.5</v>
      </c>
      <c r="N54" s="53">
        <v>96</v>
      </c>
      <c r="O54" s="53">
        <f t="shared" si="6"/>
        <v>134.14634146341464</v>
      </c>
      <c r="P54" s="53" t="s">
        <v>39</v>
      </c>
      <c r="Q54" s="53"/>
      <c r="R54" s="53">
        <v>98.7</v>
      </c>
      <c r="S54" s="53" t="s">
        <v>40</v>
      </c>
      <c r="T54" s="53">
        <f>(43+43)/2</f>
        <v>43</v>
      </c>
      <c r="U54" s="53">
        <v>92.4</v>
      </c>
      <c r="V54" s="53">
        <f t="shared" si="7"/>
        <v>6.3829787234042517</v>
      </c>
      <c r="W54" s="53" t="s">
        <v>47</v>
      </c>
      <c r="X54" s="54">
        <f>(264+443+321)/3</f>
        <v>342.66666666666669</v>
      </c>
      <c r="Y54" s="53">
        <v>102.2</v>
      </c>
      <c r="Z54" s="53">
        <f t="shared" si="8"/>
        <v>6.4583333333333366</v>
      </c>
      <c r="AA54" s="53" t="s">
        <v>48</v>
      </c>
      <c r="AB54" s="53"/>
      <c r="AC54" s="53">
        <v>108</v>
      </c>
      <c r="AD54" s="53" t="s">
        <v>49</v>
      </c>
      <c r="AE54" s="53">
        <f>(49+40)/2</f>
        <v>44.5</v>
      </c>
      <c r="AF54" s="53">
        <v>100.7</v>
      </c>
      <c r="AG54" s="53">
        <f>(AC54-AF54)/AC54*100</f>
        <v>6.7592592592592569</v>
      </c>
      <c r="AH54" s="53" t="s">
        <v>50</v>
      </c>
      <c r="AI54" s="54">
        <f>(321+383)/2</f>
        <v>352</v>
      </c>
      <c r="AJ54" s="53">
        <v>107.8</v>
      </c>
      <c r="AK54" s="53">
        <f>(AJ54-Y54)/Y54*100</f>
        <v>5.4794520547945149</v>
      </c>
      <c r="AL54" s="53" t="s">
        <v>55</v>
      </c>
      <c r="AM54" s="53"/>
      <c r="AN54" s="53">
        <v>109.5</v>
      </c>
      <c r="AO54" s="53" t="s">
        <v>56</v>
      </c>
      <c r="AP54" s="53">
        <f>(66+73+58+69)/4</f>
        <v>66.5</v>
      </c>
      <c r="AQ54" s="53">
        <v>102</v>
      </c>
      <c r="AR54" s="53">
        <f>(AJ54-AQ54)/AJ54*100</f>
        <v>5.3803339517625206</v>
      </c>
      <c r="AS54" s="53" t="s">
        <v>58</v>
      </c>
      <c r="AT54" s="56">
        <f>(443+568)/2</f>
        <v>505.5</v>
      </c>
      <c r="AU54" s="53">
        <v>109.7</v>
      </c>
      <c r="AV54" s="53">
        <f>(AU54-AJ54)/AJ54*100</f>
        <v>1.7625231910946251</v>
      </c>
      <c r="AW54" s="53" t="s">
        <v>61</v>
      </c>
      <c r="AX54" s="53"/>
      <c r="AY54" s="53">
        <v>110.5</v>
      </c>
      <c r="AZ54" s="53" t="s">
        <v>62</v>
      </c>
      <c r="BA54" s="53">
        <f>(63+66)/2</f>
        <v>64.5</v>
      </c>
      <c r="BB54" s="53">
        <v>104</v>
      </c>
      <c r="BC54" s="53">
        <f>(AY54-BB54)/AY54*100</f>
        <v>5.8823529411764701</v>
      </c>
      <c r="BD54" t="s">
        <v>64</v>
      </c>
      <c r="BE54" t="s">
        <v>149</v>
      </c>
      <c r="BF54" t="s">
        <v>149</v>
      </c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</row>
    <row r="55" spans="1:75">
      <c r="A55" s="7" t="s">
        <v>21</v>
      </c>
      <c r="B55" s="8" t="s">
        <v>66</v>
      </c>
      <c r="C55" s="4">
        <v>77</v>
      </c>
      <c r="D55" s="9">
        <v>48</v>
      </c>
      <c r="E55" s="53" t="s">
        <v>27</v>
      </c>
      <c r="F55" s="54">
        <f>(266+237)/2</f>
        <v>251.5</v>
      </c>
      <c r="G55" s="53">
        <v>98.2</v>
      </c>
      <c r="H55" s="53" t="s">
        <v>29</v>
      </c>
      <c r="I55" s="53">
        <f>(31+54+33)/3</f>
        <v>39.333333333333336</v>
      </c>
      <c r="J55" s="53">
        <v>95</v>
      </c>
      <c r="K55" s="53">
        <f t="shared" si="5"/>
        <v>3.2586558044806542</v>
      </c>
      <c r="L55" s="53" t="s">
        <v>36</v>
      </c>
      <c r="M55" s="54">
        <f>(277+322)/2</f>
        <v>299.5</v>
      </c>
      <c r="N55" s="53">
        <v>104.2</v>
      </c>
      <c r="O55" s="53">
        <f t="shared" si="6"/>
        <v>117.08333333333334</v>
      </c>
      <c r="P55" s="53" t="s">
        <v>39</v>
      </c>
      <c r="Q55" s="53"/>
      <c r="R55" s="53">
        <v>105.5</v>
      </c>
      <c r="S55" s="53" t="s">
        <v>40</v>
      </c>
      <c r="T55" s="53">
        <f>(38+44)/2</f>
        <v>41</v>
      </c>
      <c r="U55" s="53">
        <v>99</v>
      </c>
      <c r="V55" s="53">
        <f t="shared" si="7"/>
        <v>6.1611374407582939</v>
      </c>
      <c r="W55" s="53" t="s">
        <v>47</v>
      </c>
      <c r="X55" s="54">
        <f>(224+231)/2</f>
        <v>227.5</v>
      </c>
      <c r="Y55" s="53">
        <v>109.6</v>
      </c>
      <c r="Z55" s="53">
        <f t="shared" si="8"/>
        <v>5.182341650671777</v>
      </c>
      <c r="AA55" s="53" t="s">
        <v>48</v>
      </c>
      <c r="AB55" s="53"/>
      <c r="AC55" s="53">
        <v>114.3</v>
      </c>
      <c r="AD55" s="53" t="s">
        <v>49</v>
      </c>
      <c r="AE55" s="53">
        <f>(38+49+43)/3</f>
        <v>43.333333333333336</v>
      </c>
      <c r="AF55" s="53">
        <v>107.9</v>
      </c>
      <c r="AG55" s="53">
        <f>(AC55-AF55)/AC55*100</f>
        <v>5.5993000874890564</v>
      </c>
      <c r="AH55" s="53" t="s">
        <v>50</v>
      </c>
      <c r="AI55" s="54">
        <f>(272+344)/2</f>
        <v>308</v>
      </c>
      <c r="AJ55" s="53">
        <v>116.6</v>
      </c>
      <c r="AK55" s="53">
        <f>(AJ55-Y55)/Y55*100</f>
        <v>6.3868613138686134</v>
      </c>
      <c r="AL55" s="53" t="s">
        <v>55</v>
      </c>
      <c r="AM55" s="53"/>
      <c r="AN55" s="53">
        <v>117.6</v>
      </c>
      <c r="AO55" s="53" t="s">
        <v>56</v>
      </c>
      <c r="AP55" s="53">
        <f>(37+57)/2</f>
        <v>47</v>
      </c>
      <c r="AQ55" s="53">
        <v>111.9</v>
      </c>
      <c r="AR55" s="53">
        <f>(AJ55-AQ55)/AJ55*100</f>
        <v>4.0308747855917568</v>
      </c>
      <c r="AS55" s="53" t="s">
        <v>58</v>
      </c>
      <c r="AT55" s="54">
        <f>(309+368)/2</f>
        <v>338.5</v>
      </c>
      <c r="AU55" s="53">
        <v>112.9</v>
      </c>
      <c r="AV55" s="53">
        <f>(AU55-AJ55)/AJ55*100</f>
        <v>-3.1732418524871258</v>
      </c>
      <c r="AW55" s="53" t="s">
        <v>61</v>
      </c>
      <c r="AX55" s="53"/>
      <c r="AY55" s="53">
        <v>121.3</v>
      </c>
      <c r="AZ55" s="53" t="s">
        <v>62</v>
      </c>
      <c r="BA55" s="53">
        <f>(52+45)/2</f>
        <v>48.5</v>
      </c>
      <c r="BB55" s="53">
        <v>113.8</v>
      </c>
      <c r="BC55" s="53">
        <f>(AY55-BB55)/AY55*100</f>
        <v>6.1830173124484755</v>
      </c>
      <c r="BD55" t="s">
        <v>64</v>
      </c>
      <c r="BE55" t="s">
        <v>149</v>
      </c>
      <c r="BF55" t="s">
        <v>149</v>
      </c>
      <c r="BL55" s="1"/>
      <c r="BV55" s="1"/>
    </row>
    <row r="56" spans="1:75">
      <c r="A56" s="16"/>
      <c r="B56" s="8"/>
      <c r="C56" s="4"/>
      <c r="D56" s="9"/>
      <c r="E56" s="53"/>
      <c r="F56" s="54"/>
      <c r="G56" s="53"/>
      <c r="H56" s="53"/>
      <c r="I56" s="53"/>
      <c r="J56" s="53"/>
      <c r="K56" s="53"/>
      <c r="L56" s="53"/>
      <c r="M56" s="54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4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4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4"/>
      <c r="AU56" s="53"/>
      <c r="AV56" s="53"/>
      <c r="AW56" s="53"/>
      <c r="AX56" s="53"/>
      <c r="AY56" s="53"/>
      <c r="AZ56" s="53"/>
      <c r="BA56" s="53"/>
      <c r="BB56" s="53"/>
      <c r="BC56" s="53"/>
      <c r="BL56" s="1"/>
      <c r="BV56" s="1"/>
    </row>
    <row r="57" spans="1:75">
      <c r="A57" s="16"/>
      <c r="B57" s="8"/>
      <c r="C57" s="4"/>
      <c r="D57" s="9"/>
      <c r="E57" s="53"/>
      <c r="F57" s="54"/>
      <c r="G57" s="53"/>
      <c r="H57" s="53"/>
      <c r="I57" s="53"/>
      <c r="J57" s="53"/>
      <c r="K57" s="53"/>
      <c r="L57" s="53"/>
      <c r="M57" s="54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4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4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4"/>
      <c r="AU57" s="53"/>
      <c r="AV57" s="53"/>
      <c r="AW57" s="53"/>
      <c r="AX57" s="53"/>
      <c r="AY57" s="53"/>
      <c r="AZ57" s="53"/>
      <c r="BA57" s="53"/>
      <c r="BB57" s="53"/>
      <c r="BC57" s="53"/>
      <c r="BL57" s="1"/>
      <c r="BV57" s="1"/>
    </row>
  </sheetData>
  <conditionalFormatting sqref="BN38:BN47">
    <cfRule type="colorScale" priority="1">
      <colorScale>
        <cfvo type="min"/>
        <cfvo type="max"/>
        <color rgb="FFFCFCFF"/>
        <color rgb="FFF8696B"/>
      </colorScale>
    </cfRule>
  </conditionalFormatting>
  <conditionalFormatting sqref="D37:D57">
    <cfRule type="colorScale" priority="2">
      <colorScale>
        <cfvo type="min"/>
        <cfvo type="max"/>
        <color rgb="FFFCFCFF"/>
        <color rgb="FFF8696B"/>
      </colorScale>
    </cfRule>
  </conditionalFormatting>
  <conditionalFormatting sqref="BQ38:BQ57">
    <cfRule type="colorScale" priority="3">
      <colorScale>
        <cfvo type="min"/>
        <cfvo type="max"/>
        <color rgb="FFF8696B"/>
        <color rgb="FFFCFCFF"/>
      </colorScale>
    </cfRule>
  </conditionalFormatting>
  <conditionalFormatting sqref="BS38:BS57">
    <cfRule type="colorScale" priority="4">
      <colorScale>
        <cfvo type="min"/>
        <cfvo type="max"/>
        <color rgb="FFF8696B"/>
        <color rgb="FFFCFCFF"/>
      </colorScale>
    </cfRule>
  </conditionalFormatting>
  <conditionalFormatting sqref="BT38:BT57">
    <cfRule type="colorScale" priority="5">
      <colorScale>
        <cfvo type="min"/>
        <cfvo type="max"/>
        <color rgb="FFF8696B"/>
        <color rgb="FFFCFCFF"/>
      </colorScale>
    </cfRule>
  </conditionalFormatting>
  <conditionalFormatting sqref="BN38:BN57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Raw Data</vt:lpstr>
      <vt:lpstr>cleaned</vt:lpstr>
      <vt:lpstr>animal phenotypes</vt:lpstr>
      <vt:lpstr>KAO</vt:lpstr>
      <vt:lpstr>Correlations</vt:lpstr>
      <vt:lpstr>Summary</vt:lpstr>
      <vt:lpstr>Hormones</vt:lpstr>
      <vt:lpstr>Temporary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Anderson</cp:lastModifiedBy>
  <dcterms:created xsi:type="dcterms:W3CDTF">2021-03-29T20:00:13Z</dcterms:created>
  <dcterms:modified xsi:type="dcterms:W3CDTF">2021-08-12T17:31:22Z</dcterms:modified>
</cp:coreProperties>
</file>