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J_20210729_Toh_RatPlasma_Glucose\"/>
    </mc:Choice>
  </mc:AlternateContent>
  <xr:revisionPtr revIDLastSave="0" documentId="8_{B00360FF-2B32-4BA1-AB91-BB00CF1C3D17}" xr6:coauthVersionLast="45" xr6:coauthVersionMax="45" xr10:uidLastSave="{00000000-0000-0000-0000-000000000000}"/>
  <bookViews>
    <workbookView xWindow="-120" yWindow="-120" windowWidth="29040" windowHeight="15840" xr2:uid="{738F6AC3-FEF2-0849-9025-0F50FEEDD7DB}"/>
  </bookViews>
  <sheets>
    <sheet name="Raw Data" sheetId="1" r:id="rId1"/>
    <sheet name="KAO" sheetId="6" r:id="rId2"/>
    <sheet name="Correlations" sheetId="5" r:id="rId3"/>
    <sheet name="Summary" sheetId="3" r:id="rId4"/>
    <sheet name="Hormones" sheetId="2" r:id="rId5"/>
    <sheet name="Temporary" sheetId="4" r:id="rId6"/>
  </sheets>
  <definedNames>
    <definedName name="a0">'Raw Data'!$AM$20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6" l="1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BD13" i="1"/>
  <c r="BD5" i="1"/>
  <c r="BD6" i="1"/>
  <c r="BD7" i="1"/>
  <c r="BD8" i="1"/>
  <c r="BD9" i="1"/>
  <c r="BD10" i="1"/>
  <c r="BD11" i="1"/>
  <c r="BD12" i="1"/>
  <c r="BD14" i="1"/>
  <c r="BD15" i="1"/>
  <c r="BD16" i="1"/>
  <c r="BD17" i="1"/>
  <c r="BD18" i="1"/>
  <c r="BD19" i="1"/>
  <c r="BD21" i="1"/>
  <c r="BD22" i="1"/>
  <c r="BD4" i="1"/>
  <c r="BO19" i="1"/>
  <c r="BO17" i="1"/>
  <c r="BO16" i="1"/>
  <c r="BO15" i="1"/>
  <c r="BO14" i="1"/>
  <c r="BO4" i="1"/>
  <c r="BT16" i="1"/>
  <c r="BT17" i="1"/>
  <c r="BT18" i="1"/>
  <c r="BT19" i="1"/>
  <c r="BR16" i="1"/>
  <c r="BU16" i="1" s="1"/>
  <c r="BR17" i="1"/>
  <c r="BU17" i="1" s="1"/>
  <c r="BR18" i="1"/>
  <c r="BU18" i="1" s="1"/>
  <c r="BR19" i="1"/>
  <c r="BU19" i="1" s="1"/>
  <c r="BT15" i="1"/>
  <c r="BR15" i="1"/>
  <c r="BN19" i="1"/>
  <c r="BM19" i="1"/>
  <c r="BL19" i="1"/>
  <c r="BK19" i="1"/>
  <c r="BJ19" i="1"/>
  <c r="BI19" i="1"/>
  <c r="BF19" i="1"/>
  <c r="BB19" i="1"/>
  <c r="BN18" i="1"/>
  <c r="BM18" i="1"/>
  <c r="BL18" i="1"/>
  <c r="BK18" i="1"/>
  <c r="BJ18" i="1"/>
  <c r="BI18" i="1"/>
  <c r="BF18" i="1"/>
  <c r="BB18" i="1"/>
  <c r="BN17" i="1"/>
  <c r="BM17" i="1"/>
  <c r="BL17" i="1"/>
  <c r="BK17" i="1"/>
  <c r="BJ17" i="1"/>
  <c r="BI17" i="1"/>
  <c r="BF17" i="1"/>
  <c r="BB17" i="1"/>
  <c r="BB4" i="1"/>
  <c r="BN16" i="1"/>
  <c r="BM16" i="1"/>
  <c r="BL16" i="1"/>
  <c r="BK16" i="1"/>
  <c r="BJ16" i="1"/>
  <c r="BI16" i="1"/>
  <c r="BF16" i="1"/>
  <c r="BB16" i="1"/>
  <c r="BN15" i="1"/>
  <c r="BM15" i="1"/>
  <c r="BL15" i="1"/>
  <c r="BK15" i="1"/>
  <c r="BJ15" i="1"/>
  <c r="BI15" i="1"/>
  <c r="BF15" i="1"/>
  <c r="BB15" i="1"/>
  <c r="BN14" i="1"/>
  <c r="BM14" i="1"/>
  <c r="BL14" i="1"/>
  <c r="BK14" i="1"/>
  <c r="BJ14" i="1"/>
  <c r="BI14" i="1"/>
  <c r="BF14" i="1"/>
  <c r="BB14" i="1"/>
  <c r="BR14" i="1"/>
  <c r="BT14" i="1"/>
  <c r="BU15" i="1" l="1"/>
  <c r="BU14" i="1"/>
  <c r="BO21" i="1"/>
  <c r="BO22" i="1"/>
  <c r="BT21" i="1"/>
  <c r="BT22" i="1"/>
  <c r="BR21" i="1"/>
  <c r="BU21" i="1" s="1"/>
  <c r="BR22" i="1"/>
  <c r="BU22" i="1" s="1"/>
  <c r="BN22" i="1"/>
  <c r="BM22" i="1"/>
  <c r="BL22" i="1"/>
  <c r="BK22" i="1"/>
  <c r="BJ22" i="1"/>
  <c r="BI22" i="1"/>
  <c r="BN21" i="1"/>
  <c r="BM21" i="1"/>
  <c r="BL21" i="1"/>
  <c r="BK21" i="1"/>
  <c r="BJ21" i="1"/>
  <c r="BI21" i="1"/>
  <c r="BB22" i="1"/>
  <c r="BB21" i="1"/>
  <c r="F39" i="3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AW21" i="1"/>
  <c r="AW22" i="1"/>
  <c r="AW19" i="1"/>
  <c r="AW18" i="1"/>
  <c r="AW17" i="1"/>
  <c r="AW16" i="1"/>
  <c r="AW15" i="1"/>
  <c r="AW14" i="1"/>
  <c r="AU22" i="1"/>
  <c r="AU21" i="1"/>
  <c r="AU19" i="1"/>
  <c r="AU18" i="1"/>
  <c r="AU17" i="1"/>
  <c r="AU16" i="1"/>
  <c r="AU15" i="1"/>
  <c r="AU14" i="1"/>
  <c r="BR7" i="1"/>
  <c r="BB11" i="1"/>
  <c r="BB7" i="1"/>
  <c r="BU4" i="1"/>
  <c r="BT5" i="1"/>
  <c r="BT6" i="1"/>
  <c r="BT7" i="1"/>
  <c r="BT8" i="1"/>
  <c r="BT9" i="1"/>
  <c r="BU9" i="1" s="1"/>
  <c r="BT10" i="1"/>
  <c r="BT11" i="1"/>
  <c r="BT12" i="1"/>
  <c r="BT13" i="1"/>
  <c r="BT4" i="1"/>
  <c r="BR5" i="1"/>
  <c r="BU5" i="1" s="1"/>
  <c r="BR6" i="1"/>
  <c r="BU6" i="1" s="1"/>
  <c r="BR8" i="1"/>
  <c r="BU8" i="1" s="1"/>
  <c r="BR9" i="1"/>
  <c r="BR10" i="1"/>
  <c r="BU10" i="1" s="1"/>
  <c r="BR11" i="1"/>
  <c r="BR12" i="1"/>
  <c r="BU12" i="1" s="1"/>
  <c r="BR13" i="1"/>
  <c r="BR4" i="1"/>
  <c r="BF8" i="1"/>
  <c r="BF4" i="1"/>
  <c r="BO8" i="1"/>
  <c r="BN8" i="1"/>
  <c r="BM8" i="1"/>
  <c r="BN4" i="1"/>
  <c r="BM4" i="1"/>
  <c r="BU13" i="1" l="1"/>
  <c r="F40" i="3"/>
  <c r="BU11" i="1"/>
  <c r="BU7" i="1"/>
  <c r="BL8" i="1" l="1"/>
  <c r="BK8" i="1"/>
  <c r="BJ8" i="1"/>
  <c r="BI8" i="1"/>
  <c r="BL4" i="1"/>
  <c r="BK4" i="1"/>
  <c r="BJ4" i="1"/>
  <c r="BI4" i="1"/>
  <c r="BB8" i="1"/>
  <c r="BF6" i="1"/>
  <c r="BF5" i="1"/>
  <c r="BO13" i="1"/>
  <c r="BO12" i="1"/>
  <c r="BO10" i="1"/>
  <c r="BO9" i="1"/>
  <c r="BO6" i="1"/>
  <c r="BO5" i="1"/>
  <c r="BN6" i="1"/>
  <c r="BN5" i="1"/>
  <c r="BM6" i="1"/>
  <c r="BL6" i="1"/>
  <c r="BK6" i="1"/>
  <c r="BJ6" i="1"/>
  <c r="BI6" i="1"/>
  <c r="BM5" i="1"/>
  <c r="BL5" i="1"/>
  <c r="BK5" i="1"/>
  <c r="BJ5" i="1"/>
  <c r="BI5" i="1"/>
  <c r="BN12" i="1"/>
  <c r="BM12" i="1"/>
  <c r="BL12" i="1"/>
  <c r="BK12" i="1"/>
  <c r="BJ12" i="1"/>
  <c r="BI12" i="1"/>
  <c r="BN10" i="1"/>
  <c r="BM10" i="1"/>
  <c r="BL10" i="1"/>
  <c r="BK10" i="1"/>
  <c r="BJ10" i="1"/>
  <c r="BI10" i="1"/>
  <c r="BI13" i="1"/>
  <c r="BI9" i="1"/>
  <c r="BF12" i="1"/>
  <c r="BF10" i="1"/>
  <c r="BB12" i="1"/>
  <c r="BB10" i="1"/>
  <c r="BB6" i="1"/>
  <c r="BB5" i="1"/>
  <c r="BF13" i="1"/>
  <c r="BF9" i="1"/>
  <c r="BN13" i="1" l="1"/>
  <c r="BM13" i="1"/>
  <c r="BL13" i="1"/>
  <c r="BK13" i="1"/>
  <c r="BJ13" i="1"/>
  <c r="BN9" i="1"/>
  <c r="BM9" i="1"/>
  <c r="BL9" i="1"/>
  <c r="BK9" i="1"/>
  <c r="BJ9" i="1"/>
  <c r="BB13" i="1"/>
  <c r="BB9" i="1"/>
  <c r="AS14" i="1"/>
  <c r="AS15" i="1"/>
  <c r="AS16" i="1"/>
  <c r="AS17" i="1"/>
  <c r="AS18" i="1"/>
  <c r="AS19" i="1"/>
  <c r="AS21" i="1"/>
  <c r="AS22" i="1"/>
  <c r="AQ22" i="1"/>
  <c r="AQ21" i="1"/>
  <c r="AQ19" i="1"/>
  <c r="AQ18" i="1"/>
  <c r="AQ17" i="1"/>
  <c r="AQ16" i="1"/>
  <c r="AQ15" i="1"/>
  <c r="AQ14" i="1"/>
  <c r="AW5" i="1" l="1"/>
  <c r="AW6" i="1"/>
  <c r="AW7" i="1"/>
  <c r="AW8" i="1"/>
  <c r="AW9" i="1"/>
  <c r="AW10" i="1"/>
  <c r="AW11" i="1"/>
  <c r="AW12" i="1"/>
  <c r="AW13" i="1"/>
  <c r="AW4" i="1"/>
  <c r="AU13" i="1"/>
  <c r="AU12" i="1"/>
  <c r="AU11" i="1"/>
  <c r="AU10" i="1"/>
  <c r="AU9" i="1"/>
  <c r="AU8" i="1"/>
  <c r="AU7" i="1"/>
  <c r="AU6" i="1"/>
  <c r="AU5" i="1"/>
  <c r="AU4" i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J20" i="4" s="1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AL21" i="1"/>
  <c r="AL22" i="1"/>
  <c r="AL19" i="1"/>
  <c r="AL18" i="1"/>
  <c r="AL17" i="1"/>
  <c r="AL16" i="1"/>
  <c r="AL15" i="1"/>
  <c r="AL14" i="1"/>
  <c r="AJ22" i="1"/>
  <c r="AJ21" i="1"/>
  <c r="AJ19" i="1"/>
  <c r="AJ18" i="1"/>
  <c r="AJ17" i="1"/>
  <c r="AJ16" i="1"/>
  <c r="AJ15" i="1"/>
  <c r="AJ14" i="1"/>
  <c r="E31" i="3"/>
  <c r="E30" i="3"/>
  <c r="E29" i="3"/>
  <c r="E28" i="3"/>
  <c r="E27" i="3"/>
  <c r="E26" i="3"/>
  <c r="E25" i="3"/>
  <c r="E24" i="3"/>
  <c r="E23" i="3"/>
  <c r="E22" i="3"/>
  <c r="AS5" i="1"/>
  <c r="AS6" i="1"/>
  <c r="AS7" i="1"/>
  <c r="AS8" i="1"/>
  <c r="AS9" i="1"/>
  <c r="AS10" i="1"/>
  <c r="AS11" i="1"/>
  <c r="AS12" i="1"/>
  <c r="AS13" i="1"/>
  <c r="AS4" i="1"/>
  <c r="AQ13" i="1"/>
  <c r="AQ12" i="1"/>
  <c r="AQ11" i="1"/>
  <c r="AQ10" i="1"/>
  <c r="AQ9" i="1"/>
  <c r="AQ8" i="1"/>
  <c r="AQ7" i="1"/>
  <c r="AQ6" i="1"/>
  <c r="AQ5" i="1"/>
  <c r="AQ4" i="1"/>
  <c r="E10" i="4" l="1"/>
  <c r="I14" i="4"/>
  <c r="J12" i="4"/>
  <c r="G25" i="4"/>
  <c r="J19" i="4"/>
  <c r="J23" i="4"/>
  <c r="J11" i="4"/>
  <c r="H25" i="4"/>
  <c r="J22" i="4"/>
  <c r="E40" i="3"/>
  <c r="AQ24" i="1"/>
  <c r="J10" i="4"/>
  <c r="G14" i="4"/>
  <c r="H14" i="4"/>
  <c r="C14" i="4"/>
  <c r="E11" i="4"/>
  <c r="I25" i="4"/>
  <c r="E12" i="4"/>
  <c r="B14" i="4"/>
  <c r="AH14" i="1"/>
  <c r="AH15" i="1"/>
  <c r="AH16" i="1"/>
  <c r="AH17" i="1"/>
  <c r="AH18" i="1"/>
  <c r="AH19" i="1"/>
  <c r="AH21" i="1"/>
  <c r="AH22" i="1"/>
  <c r="AF22" i="1"/>
  <c r="AF21" i="1"/>
  <c r="AF19" i="1"/>
  <c r="AF18" i="1"/>
  <c r="AF17" i="1"/>
  <c r="AF16" i="1"/>
  <c r="AF15" i="1"/>
  <c r="AF14" i="1"/>
  <c r="AL5" i="1" l="1"/>
  <c r="AL6" i="1"/>
  <c r="AL7" i="1"/>
  <c r="AL8" i="1"/>
  <c r="AL9" i="1"/>
  <c r="AL10" i="1"/>
  <c r="AL11" i="1"/>
  <c r="AL12" i="1"/>
  <c r="AL13" i="1"/>
  <c r="AL4" i="1"/>
  <c r="AA22" i="1"/>
  <c r="AA21" i="1"/>
  <c r="AA20" i="1"/>
  <c r="Y22" i="1"/>
  <c r="Y21" i="1"/>
  <c r="Y20" i="1"/>
  <c r="Y19" i="1"/>
  <c r="AA19" i="1"/>
  <c r="AA18" i="1"/>
  <c r="AA17" i="1"/>
  <c r="AA16" i="1"/>
  <c r="AA15" i="1"/>
  <c r="AA14" i="1"/>
  <c r="Y18" i="1"/>
  <c r="Y17" i="1"/>
  <c r="Y16" i="1"/>
  <c r="Y15" i="1"/>
  <c r="Y14" i="1"/>
  <c r="AJ13" i="1"/>
  <c r="AJ12" i="1"/>
  <c r="AJ11" i="1"/>
  <c r="AJ10" i="1"/>
  <c r="AJ9" i="1"/>
  <c r="AJ8" i="1"/>
  <c r="AJ7" i="1"/>
  <c r="AJ6" i="1"/>
  <c r="AJ5" i="1"/>
  <c r="AJ4" i="1"/>
  <c r="AA5" i="1"/>
  <c r="AA6" i="1"/>
  <c r="AA7" i="1"/>
  <c r="AA8" i="1"/>
  <c r="AA9" i="1"/>
  <c r="AA10" i="1"/>
  <c r="AA11" i="1"/>
  <c r="AA12" i="1"/>
  <c r="AA13" i="1"/>
  <c r="AA4" i="1"/>
  <c r="AH5" i="1"/>
  <c r="AH6" i="1"/>
  <c r="AH7" i="1"/>
  <c r="AH8" i="1"/>
  <c r="AH9" i="1"/>
  <c r="AH10" i="1"/>
  <c r="AH11" i="1"/>
  <c r="AH12" i="1"/>
  <c r="AH13" i="1"/>
  <c r="AH4" i="1"/>
  <c r="AF13" i="1"/>
  <c r="AF12" i="1"/>
  <c r="AF11" i="1"/>
  <c r="AF10" i="1"/>
  <c r="AF9" i="1"/>
  <c r="AF8" i="1"/>
  <c r="AF7" i="1"/>
  <c r="AF6" i="1"/>
  <c r="AF5" i="1"/>
  <c r="AF4" i="1"/>
  <c r="AJ24" i="1" l="1"/>
  <c r="AF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4" i="1"/>
  <c r="U22" i="1"/>
  <c r="U21" i="1"/>
  <c r="U20" i="1"/>
  <c r="U19" i="1"/>
  <c r="U18" i="1"/>
  <c r="U17" i="1"/>
  <c r="U16" i="1"/>
  <c r="U15" i="1"/>
  <c r="U14" i="1"/>
  <c r="Y13" i="1"/>
  <c r="Y12" i="1"/>
  <c r="Y11" i="1"/>
  <c r="Y10" i="1"/>
  <c r="Y9" i="1"/>
  <c r="Y8" i="1"/>
  <c r="Y7" i="1"/>
  <c r="Y6" i="1"/>
  <c r="Y5" i="1"/>
  <c r="Y4" i="1"/>
  <c r="Y24" i="1" l="1"/>
  <c r="U5" i="1"/>
  <c r="U6" i="1"/>
  <c r="U7" i="1"/>
  <c r="U8" i="1"/>
  <c r="U9" i="1"/>
  <c r="U10" i="1"/>
  <c r="U11" i="1"/>
  <c r="U12" i="1"/>
  <c r="U1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N22" i="1"/>
  <c r="N21" i="1"/>
  <c r="N20" i="1"/>
  <c r="N19" i="1"/>
  <c r="N18" i="1"/>
  <c r="N17" i="1"/>
  <c r="N16" i="1"/>
  <c r="N15" i="1"/>
  <c r="N14" i="1"/>
  <c r="J22" i="1"/>
  <c r="J21" i="1"/>
  <c r="J20" i="1"/>
  <c r="G22" i="1"/>
  <c r="G21" i="1"/>
  <c r="G20" i="1"/>
  <c r="J19" i="1"/>
  <c r="J18" i="1"/>
  <c r="J17" i="1"/>
  <c r="J16" i="1"/>
  <c r="J15" i="1"/>
  <c r="J14" i="1"/>
  <c r="G19" i="1"/>
  <c r="G18" i="1"/>
  <c r="G17" i="1"/>
  <c r="G16" i="1"/>
  <c r="G15" i="1"/>
  <c r="G14" i="1"/>
  <c r="U4" i="1"/>
  <c r="J13" i="1"/>
  <c r="J12" i="1"/>
  <c r="J11" i="1"/>
  <c r="J10" i="1"/>
  <c r="J9" i="1"/>
  <c r="J8" i="1"/>
  <c r="J7" i="1"/>
  <c r="J6" i="1"/>
  <c r="J5" i="1"/>
  <c r="J4" i="1"/>
  <c r="N13" i="1"/>
  <c r="N12" i="1"/>
  <c r="N11" i="1"/>
  <c r="N10" i="1"/>
  <c r="N9" i="1"/>
  <c r="N8" i="1"/>
  <c r="N7" i="1"/>
  <c r="N6" i="1"/>
  <c r="N5" i="1"/>
  <c r="N4" i="1"/>
  <c r="G13" i="1"/>
  <c r="G12" i="1"/>
  <c r="G11" i="1"/>
  <c r="G10" i="1"/>
  <c r="G9" i="1"/>
  <c r="G8" i="1"/>
  <c r="G7" i="1"/>
  <c r="G6" i="1"/>
  <c r="G5" i="1"/>
  <c r="G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N24" i="1" l="1"/>
  <c r="J24" i="1"/>
  <c r="U24" i="1"/>
</calcChain>
</file>

<file path=xl/sharedStrings.xml><?xml version="1.0" encoding="utf-8"?>
<sst xmlns="http://schemas.openxmlformats.org/spreadsheetml/2006/main" count="720" uniqueCount="157">
  <si>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</si>
  <si>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</si>
  <si>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</si>
  <si>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</si>
  <si>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</si>
  <si>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</si>
  <si>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</si>
  <si>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</si>
  <si>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</si>
  <si>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</si>
  <si>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</si>
  <si>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</si>
  <si>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</si>
  <si>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</si>
  <si>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</si>
  <si>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</si>
  <si>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</si>
  <si>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</si>
  <si>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</si>
  <si>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</si>
  <si>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</si>
  <si>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</si>
  <si>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</si>
  <si>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</si>
  <si>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</si>
  <si>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</si>
  <si>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</si>
  <si>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</si>
  <si>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</si>
  <si>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</si>
  <si>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</si>
  <si>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</si>
  <si>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</si>
  <si>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</si>
  <si>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</si>
  <si>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</si>
  <si>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</si>
  <si>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</si>
  <si>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</si>
  <si>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</si>
  <si>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</si>
  <si>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</si>
  <si>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</si>
  <si>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</si>
  <si>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</si>
  <si>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</si>
  <si>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</si>
  <si>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</si>
  <si>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</si>
  <si>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</si>
  <si>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</si>
  <si>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</si>
  <si>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</si>
  <si>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</si>
  <si>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</si>
  <si>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</si>
  <si>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</si>
  <si>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</si>
  <si>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</si>
  <si>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</si>
  <si>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</si>
  <si>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</si>
  <si>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</si>
  <si>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</si>
  <si>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</si>
  <si>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</si>
  <si>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</si>
  <si>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</si>
  <si>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</si>
  <si>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</si>
  <si>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</si>
  <si>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</si>
  <si>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</si>
  <si>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</si>
  <si>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</si>
  <si>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</si>
  <si>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</si>
  <si>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</si>
  <si>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</si>
  <si>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</si>
  <si>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</si>
  <si>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</si>
  <si>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</si>
  <si>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</si>
  <si>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</si>
  <si>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</si>
  <si>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</si>
  <si>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</si>
  <si>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</si>
  <si>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</si>
  <si>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</si>
  <si>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</si>
  <si>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</si>
  <si>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</si>
  <si>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</si>
  <si>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</si>
  <si>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</si>
  <si>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</si>
  <si>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</si>
  <si>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</si>
  <si>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</si>
  <si>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</si>
  <si>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</si>
  <si>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</si>
  <si>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</si>
  <si>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</si>
  <si>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</si>
  <si>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</si>
  <si>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</si>
  <si>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</si>
  <si>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</si>
  <si>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</si>
  <si>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</si>
  <si>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</si>
  <si>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</si>
  <si>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</si>
  <si>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</si>
  <si>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</si>
  <si>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</si>
  <si>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</si>
  <si>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</si>
  <si>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</si>
  <si>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</si>
  <si>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</si>
  <si>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</si>
  <si>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</si>
  <si>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</si>
  <si>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</si>
  <si>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</si>
  <si>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</si>
  <si>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</si>
  <si>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</si>
  <si>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</si>
  <si>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</si>
  <si>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</si>
  <si>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</si>
  <si>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</si>
  <si>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</si>
  <si>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</si>
  <si>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</si>
  <si>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</si>
  <si>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</si>
  <si>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</si>
  <si>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</si>
  <si>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</si>
  <si>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</si>
  <si>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</si>
  <si>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</si>
  <si>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Animal stressed?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</si>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</sst>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2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1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3" fillId="0" borderId="0" xfId="0" applyFont="1" applyFill="1"/>
    <xf numFmtId="0" fontId="3" fillId="0" borderId="0" xfId="0" applyFont="1"/>
    <xf numFmtId="0" fontId="4" fillId="0" borderId="0" xfId="1"/>
    <xf numFmtId="0" fontId="1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Data'!$AD$4:$AD$22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</xdr:colOff>
      <xdr:row>4</xdr:row>
      <xdr:rowOff>95250</xdr:rowOff>
    </xdr:from>
    <xdr:to>
      <xdr:col>29</xdr:col>
      <xdr:colOff>452437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BX29"/>
  <sheetViews>
    <sheetView tabSelected="1" zoomScaleNormal="100" workbookViewId="0">
      <pane xSplit="1" topLeftCell="B1" activePane="topRight" state="frozen"/>
      <selection pane="topRight" activeCell="F6" sqref="F6"/>
    </sheetView>
  </sheetViews>
  <sheetFormatPr defaultColWidth="11" defaultRowHeight="15.75"/>
  <cols>
    <col min="2" max="2" width="11.5" bestFit="1" customWidth="1"/>
    <col min="3" max="4" width="11.5" customWidth="1"/>
    <col min="5" max="5" width="11.5" style="3" customWidth="1"/>
    <col min="6" max="7" width="10.875" customWidth="1"/>
    <col min="8" max="8" width="18.125" customWidth="1"/>
    <col min="9" max="11" width="10.875" customWidth="1"/>
    <col min="12" max="12" width="12.875" customWidth="1"/>
    <col min="13" max="13" width="10.875" customWidth="1"/>
    <col min="15" max="15" width="10.875" customWidth="1"/>
    <col min="16" max="16" width="12.5" customWidth="1"/>
    <col min="17" max="20" width="10.875" customWidth="1"/>
    <col min="22" max="22" width="10.875" customWidth="1"/>
    <col min="23" max="23" width="12.875" customWidth="1"/>
    <col min="24" max="24" width="10.875" customWidth="1"/>
    <col min="26" max="31" width="10.875" customWidth="1"/>
    <col min="33" max="35" width="10.875" customWidth="1"/>
    <col min="37" max="57" width="10.875" customWidth="1"/>
    <col min="58" max="58" width="15" bestFit="1" customWidth="1"/>
    <col min="59" max="60" width="10.875" customWidth="1"/>
  </cols>
  <sheetData>
    <row r="1" spans="1:76">
      <c r="A1" t="s">
        <v>31</v>
      </c>
    </row>
    <row r="2" spans="1:76">
      <c r="D2" t="s">
        <v>35</v>
      </c>
      <c r="E2" t="s">
        <v>35</v>
      </c>
      <c r="J2" t="s">
        <v>37</v>
      </c>
      <c r="K2" t="s">
        <v>37</v>
      </c>
      <c r="N2" t="s">
        <v>37</v>
      </c>
      <c r="O2" t="s">
        <v>37</v>
      </c>
      <c r="P2" t="s">
        <v>69</v>
      </c>
      <c r="U2" t="s">
        <v>38</v>
      </c>
      <c r="V2" t="s">
        <v>38</v>
      </c>
      <c r="Y2" t="s">
        <v>38</v>
      </c>
      <c r="Z2" t="s">
        <v>38</v>
      </c>
      <c r="AA2" t="s">
        <v>68</v>
      </c>
      <c r="AF2" t="s">
        <v>43</v>
      </c>
      <c r="AG2" t="s">
        <v>43</v>
      </c>
      <c r="AJ2" t="s">
        <v>43</v>
      </c>
      <c r="AK2" t="s">
        <v>43</v>
      </c>
      <c r="AL2" t="s">
        <v>81</v>
      </c>
      <c r="AQ2" t="s">
        <v>51</v>
      </c>
      <c r="AR2" t="s">
        <v>51</v>
      </c>
      <c r="AU2" t="s">
        <v>51</v>
      </c>
      <c r="AV2" t="s">
        <v>51</v>
      </c>
      <c r="BB2" t="s">
        <v>52</v>
      </c>
      <c r="BC2" t="s">
        <v>52</v>
      </c>
      <c r="BF2" t="s">
        <v>52</v>
      </c>
      <c r="BG2" t="s">
        <v>52</v>
      </c>
      <c r="BI2" t="s">
        <v>124</v>
      </c>
    </row>
    <row r="3" spans="1:76">
      <c r="B3" t="s">
        <v>32</v>
      </c>
      <c r="C3" t="s">
        <v>0</v>
      </c>
      <c r="D3" t="s">
        <v>1</v>
      </c>
      <c r="E3" s="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t="s">
        <v>2</v>
      </c>
      <c r="L3" t="s">
        <v>23</v>
      </c>
      <c r="M3" t="s">
        <v>0</v>
      </c>
      <c r="N3" t="s">
        <v>1</v>
      </c>
      <c r="O3" t="s">
        <v>2</v>
      </c>
      <c r="P3" t="s">
        <v>67</v>
      </c>
      <c r="Q3" t="s">
        <v>0</v>
      </c>
      <c r="R3" t="s">
        <v>33</v>
      </c>
      <c r="S3" t="s">
        <v>34</v>
      </c>
      <c r="T3" t="s">
        <v>0</v>
      </c>
      <c r="U3" t="s">
        <v>26</v>
      </c>
      <c r="V3" t="s">
        <v>2</v>
      </c>
      <c r="W3" t="s">
        <v>23</v>
      </c>
      <c r="X3" t="s">
        <v>0</v>
      </c>
      <c r="Y3" t="s">
        <v>1</v>
      </c>
      <c r="Z3" t="s">
        <v>2</v>
      </c>
      <c r="AA3" t="s">
        <v>42</v>
      </c>
      <c r="AB3" t="s">
        <v>0</v>
      </c>
      <c r="AC3" t="s">
        <v>33</v>
      </c>
      <c r="AD3" t="s">
        <v>34</v>
      </c>
      <c r="AE3" t="s">
        <v>0</v>
      </c>
      <c r="AF3" t="s">
        <v>26</v>
      </c>
      <c r="AG3" t="s">
        <v>2</v>
      </c>
      <c r="AH3" t="s">
        <v>23</v>
      </c>
      <c r="AI3" t="s">
        <v>0</v>
      </c>
      <c r="AJ3" t="s">
        <v>1</v>
      </c>
      <c r="AK3" t="s">
        <v>2</v>
      </c>
      <c r="AL3" t="s">
        <v>42</v>
      </c>
      <c r="AM3" t="s">
        <v>0</v>
      </c>
      <c r="AN3" t="s">
        <v>33</v>
      </c>
      <c r="AO3" t="s">
        <v>34</v>
      </c>
      <c r="AP3" t="s">
        <v>0</v>
      </c>
      <c r="AQ3" t="s">
        <v>26</v>
      </c>
      <c r="AR3" t="s">
        <v>2</v>
      </c>
      <c r="AS3" t="s">
        <v>23</v>
      </c>
      <c r="AT3" t="s">
        <v>0</v>
      </c>
      <c r="AU3" t="s">
        <v>1</v>
      </c>
      <c r="AV3" t="s">
        <v>2</v>
      </c>
      <c r="AW3" t="s">
        <v>42</v>
      </c>
      <c r="AX3" t="s">
        <v>0</v>
      </c>
      <c r="AY3" t="s">
        <v>33</v>
      </c>
      <c r="AZ3" t="s">
        <v>34</v>
      </c>
      <c r="BA3" t="s">
        <v>0</v>
      </c>
      <c r="BB3" t="s">
        <v>26</v>
      </c>
      <c r="BC3" t="s">
        <v>2</v>
      </c>
      <c r="BD3" t="s">
        <v>23</v>
      </c>
      <c r="BE3" t="s">
        <v>0</v>
      </c>
      <c r="BF3" t="s">
        <v>135</v>
      </c>
      <c r="BG3" t="s">
        <v>2</v>
      </c>
      <c r="BH3" t="s">
        <v>42</v>
      </c>
      <c r="BI3" t="s">
        <v>110</v>
      </c>
      <c r="BJ3" t="s">
        <v>109</v>
      </c>
      <c r="BK3" t="s">
        <v>111</v>
      </c>
      <c r="BL3" t="s">
        <v>112</v>
      </c>
      <c r="BM3" s="12" t="s">
        <v>113</v>
      </c>
      <c r="BN3" s="12" t="s">
        <v>114</v>
      </c>
      <c r="BO3" s="12" t="s">
        <v>119</v>
      </c>
      <c r="BP3" t="s">
        <v>115</v>
      </c>
      <c r="BQ3" t="s">
        <v>116</v>
      </c>
      <c r="BR3" s="12" t="s">
        <v>120</v>
      </c>
      <c r="BS3" t="s">
        <v>117</v>
      </c>
      <c r="BT3" t="s">
        <v>121</v>
      </c>
      <c r="BU3" t="s">
        <v>122</v>
      </c>
      <c r="BV3" t="s">
        <v>125</v>
      </c>
      <c r="BW3" t="s">
        <v>130</v>
      </c>
    </row>
    <row r="4" spans="1:76">
      <c r="A4" s="5" t="s">
        <v>3</v>
      </c>
      <c r="B4" s="2">
        <v>44219</v>
      </c>
      <c r="C4" s="8" t="s">
        <v>65</v>
      </c>
      <c r="D4" s="4">
        <v>71</v>
      </c>
      <c r="E4" s="9">
        <v>53.7</v>
      </c>
      <c r="F4" s="10" t="s">
        <v>22</v>
      </c>
      <c r="G4" s="11">
        <f>(236+274)/2</f>
        <v>255</v>
      </c>
      <c r="H4" s="10">
        <v>90.2</v>
      </c>
      <c r="I4" s="10" t="s">
        <v>28</v>
      </c>
      <c r="J4" s="10">
        <f>(40+42)/2</f>
        <v>41</v>
      </c>
      <c r="K4" s="10">
        <v>85.4</v>
      </c>
      <c r="L4" s="10">
        <f>(H4-K4)/H4*100</f>
        <v>5.321507760532147</v>
      </c>
      <c r="M4" s="10" t="s">
        <v>24</v>
      </c>
      <c r="N4" s="11">
        <f>(214+236)/2</f>
        <v>225</v>
      </c>
      <c r="O4" s="10">
        <v>92.6</v>
      </c>
      <c r="P4" s="10">
        <f>(O4-E4)/E4*100</f>
        <v>72.439478584729969</v>
      </c>
      <c r="Q4" s="10" t="s">
        <v>25</v>
      </c>
      <c r="R4" s="10"/>
      <c r="S4" s="10">
        <v>96</v>
      </c>
      <c r="T4" s="10" t="s">
        <v>30</v>
      </c>
      <c r="U4" s="10">
        <f>(47+49)/2</f>
        <v>48</v>
      </c>
      <c r="V4" s="10">
        <v>90.9</v>
      </c>
      <c r="W4" s="10">
        <f>(S4-V4)/S4*100</f>
        <v>5.3124999999999947</v>
      </c>
      <c r="X4" s="10" t="s">
        <v>41</v>
      </c>
      <c r="Y4" s="10">
        <f>(82+84)/2</f>
        <v>83</v>
      </c>
      <c r="Z4" s="10">
        <v>98.1</v>
      </c>
      <c r="AA4">
        <f>(Z4-O4)/O4*100</f>
        <v>5.9395248380129591</v>
      </c>
      <c r="AB4" t="s">
        <v>44</v>
      </c>
      <c r="AD4">
        <v>101.3</v>
      </c>
      <c r="AE4" t="s">
        <v>45</v>
      </c>
      <c r="AF4">
        <f>(46+59)/2</f>
        <v>52.5</v>
      </c>
      <c r="AG4">
        <v>94.9</v>
      </c>
      <c r="AH4">
        <f>(AD4-AG4)/AD4*100</f>
        <v>6.3178677196446111</v>
      </c>
      <c r="AI4" t="s">
        <v>46</v>
      </c>
      <c r="AJ4" s="1">
        <f>(203+209)/2</f>
        <v>206</v>
      </c>
      <c r="AK4">
        <v>100.9</v>
      </c>
      <c r="AL4">
        <f>(AK4-Z4)/Z4*100</f>
        <v>2.8542303771661688</v>
      </c>
      <c r="AM4" t="s">
        <v>53</v>
      </c>
      <c r="AO4">
        <v>104.5</v>
      </c>
      <c r="AP4" t="s">
        <v>54</v>
      </c>
      <c r="AQ4">
        <f>(52+48)/2</f>
        <v>50</v>
      </c>
      <c r="AR4">
        <v>99.5</v>
      </c>
      <c r="AS4">
        <f>(AK4-AR4)/AK4*100</f>
        <v>1.3875123885034744</v>
      </c>
      <c r="AT4" t="s">
        <v>57</v>
      </c>
      <c r="AU4" s="1">
        <f>(210+232)/2</f>
        <v>221</v>
      </c>
      <c r="AV4">
        <v>104.4</v>
      </c>
      <c r="AW4">
        <f>(AV4-AK4)/AK4*100</f>
        <v>3.4687809712586719</v>
      </c>
      <c r="AX4" t="s">
        <v>59</v>
      </c>
      <c r="AZ4">
        <v>105.1</v>
      </c>
      <c r="BA4" t="s">
        <v>60</v>
      </c>
      <c r="BB4">
        <f>(60+57)/2</f>
        <v>58.5</v>
      </c>
      <c r="BC4">
        <v>100.9</v>
      </c>
      <c r="BD4">
        <f>(AZ4-BC4)/AZ4*100</f>
        <v>3.9961941008563167</v>
      </c>
      <c r="BE4" t="s">
        <v>63</v>
      </c>
      <c r="BF4" s="32">
        <f>(206+180)/2</f>
        <v>193</v>
      </c>
      <c r="BG4">
        <v>104.6</v>
      </c>
      <c r="BI4">
        <f>(60+57)/2</f>
        <v>58.5</v>
      </c>
      <c r="BJ4">
        <f>(169+187)/2</f>
        <v>178</v>
      </c>
      <c r="BK4">
        <f>(340+289)/2</f>
        <v>314.5</v>
      </c>
      <c r="BL4">
        <f>(518+584)/2</f>
        <v>551</v>
      </c>
      <c r="BM4" s="1">
        <f>(600+578)/2</f>
        <v>589</v>
      </c>
      <c r="BN4">
        <f>(210+190)/2</f>
        <v>200</v>
      </c>
      <c r="BO4">
        <f>58.5+((178-58.5)*0.5)+178+((314.5-178)*0.5)+314.5+((551-314.5)*0.5)+551+((589-551)*0.5)+200+((589-200)*0.5)</f>
        <v>1761.75</v>
      </c>
      <c r="BQ4">
        <v>2.0448</v>
      </c>
      <c r="BR4">
        <f>(BQ4/AZ4)*100</f>
        <v>1.9455756422454804</v>
      </c>
      <c r="BS4">
        <v>0.71850000000000003</v>
      </c>
      <c r="BT4">
        <f>(BS4/AZ4)*100</f>
        <v>0.68363463368220745</v>
      </c>
      <c r="BU4">
        <f>BR4/BT4</f>
        <v>2.8459290187891439</v>
      </c>
      <c r="BV4" t="s">
        <v>131</v>
      </c>
      <c r="BW4" t="s">
        <v>128</v>
      </c>
    </row>
    <row r="5" spans="1:76">
      <c r="A5" s="6" t="s">
        <v>4</v>
      </c>
      <c r="B5" s="2">
        <v>44219</v>
      </c>
      <c r="C5" s="8" t="s">
        <v>65</v>
      </c>
      <c r="D5" s="4">
        <v>73</v>
      </c>
      <c r="E5" s="9">
        <v>52.1</v>
      </c>
      <c r="F5" s="10" t="s">
        <v>22</v>
      </c>
      <c r="G5" s="11">
        <f>(207+227)/2</f>
        <v>217</v>
      </c>
      <c r="H5" s="10">
        <v>85.9</v>
      </c>
      <c r="I5" s="10" t="s">
        <v>28</v>
      </c>
      <c r="J5" s="10">
        <f>(43+43)/2</f>
        <v>43</v>
      </c>
      <c r="K5" s="10">
        <v>82.5</v>
      </c>
      <c r="L5" s="10">
        <f t="shared" ref="L5:L22" si="0">(H5-K5)/H5*100</f>
        <v>3.9580908032596103</v>
      </c>
      <c r="M5" s="10" t="s">
        <v>24</v>
      </c>
      <c r="N5" s="11">
        <f>(279+251)/2</f>
        <v>265</v>
      </c>
      <c r="O5" s="10">
        <v>88.9</v>
      </c>
      <c r="P5" s="10">
        <f t="shared" ref="P5:P22" si="1">(O5-E5)/E5*100</f>
        <v>70.633397312859898</v>
      </c>
      <c r="Q5" s="10" t="s">
        <v>25</v>
      </c>
      <c r="R5" s="10"/>
      <c r="S5" s="10">
        <v>90.7</v>
      </c>
      <c r="T5" s="10" t="s">
        <v>30</v>
      </c>
      <c r="U5" s="10">
        <f>(44+44)/2</f>
        <v>44</v>
      </c>
      <c r="V5" s="10">
        <v>86.7</v>
      </c>
      <c r="W5" s="10">
        <f t="shared" ref="W5:W22" si="2">(S5-V5)/S5*100</f>
        <v>4.4101433296582133</v>
      </c>
      <c r="X5" s="10" t="s">
        <v>41</v>
      </c>
      <c r="Y5" s="11">
        <f>(269+310)/2</f>
        <v>289.5</v>
      </c>
      <c r="Z5" s="10">
        <v>93.4</v>
      </c>
      <c r="AA5">
        <f t="shared" ref="AA5:AA22" si="3">(Z5-O5)/O5*100</f>
        <v>5.0618672665916753</v>
      </c>
      <c r="AB5" t="s">
        <v>44</v>
      </c>
      <c r="AD5">
        <v>97</v>
      </c>
      <c r="AE5" t="s">
        <v>45</v>
      </c>
      <c r="AF5">
        <f>(36+44)/2</f>
        <v>40</v>
      </c>
      <c r="AG5">
        <v>92.5</v>
      </c>
      <c r="AH5">
        <f t="shared" ref="AH5:AH22" si="4">(AD5-AG5)/AD5*100</f>
        <v>4.6391752577319592</v>
      </c>
      <c r="AI5" t="s">
        <v>46</v>
      </c>
      <c r="AJ5" s="1">
        <f>(314+338)/2</f>
        <v>326</v>
      </c>
      <c r="AK5">
        <v>98.2</v>
      </c>
      <c r="AL5">
        <f t="shared" ref="AL5:AL22" si="5">(AK5-Z5)/Z5*100</f>
        <v>5.1391862955032082</v>
      </c>
      <c r="AM5" t="s">
        <v>53</v>
      </c>
      <c r="AO5">
        <v>98.1</v>
      </c>
      <c r="AP5" t="s">
        <v>54</v>
      </c>
      <c r="AQ5">
        <f>(36+32)/2</f>
        <v>34</v>
      </c>
      <c r="AR5">
        <v>94.3</v>
      </c>
      <c r="AS5">
        <f t="shared" ref="AS5:AS22" si="6">(AK5-AR5)/AK5*100</f>
        <v>3.9714867617107998</v>
      </c>
      <c r="AT5" t="s">
        <v>57</v>
      </c>
      <c r="AU5" s="1">
        <f>(295+323)/2</f>
        <v>309</v>
      </c>
      <c r="AV5">
        <v>98.8</v>
      </c>
      <c r="AW5">
        <f t="shared" ref="AW5:AW22" si="7">(AV5-AK5)/AK5*100</f>
        <v>0.61099796334011636</v>
      </c>
      <c r="AX5" t="s">
        <v>59</v>
      </c>
      <c r="AZ5">
        <v>101.7</v>
      </c>
      <c r="BA5" t="s">
        <v>60</v>
      </c>
      <c r="BB5">
        <f>(42+54)/2</f>
        <v>48</v>
      </c>
      <c r="BC5">
        <v>97</v>
      </c>
      <c r="BD5">
        <f t="shared" ref="BD5:BD22" si="8">(AZ5-BC5)/AZ5*100</f>
        <v>4.6214355948869255</v>
      </c>
      <c r="BE5" t="s">
        <v>63</v>
      </c>
      <c r="BF5" s="1">
        <f>(335+406)/2</f>
        <v>370.5</v>
      </c>
      <c r="BG5">
        <v>100.4</v>
      </c>
      <c r="BI5">
        <f>(42+54)/2</f>
        <v>48</v>
      </c>
      <c r="BJ5">
        <f>(176+217)/2</f>
        <v>196.5</v>
      </c>
      <c r="BK5">
        <f>(313+376)/2</f>
        <v>344.5</v>
      </c>
      <c r="BL5">
        <f>(430+469)/2</f>
        <v>449.5</v>
      </c>
      <c r="BM5" s="1">
        <f>(514+522)/2</f>
        <v>518</v>
      </c>
      <c r="BN5">
        <f>(265+304)/2</f>
        <v>284.5</v>
      </c>
      <c r="BO5">
        <f>48+((196.5-48)*0.5)+196.5+((344.6-196.5)*0.5)+344.5+((449.5-344.5)*0.5)+449.5+((518-449.5)*0.5)+284.5+((518-284.5)*0.5)</f>
        <v>1674.8</v>
      </c>
      <c r="BQ5">
        <v>1.7807999999999999</v>
      </c>
      <c r="BR5">
        <f t="shared" ref="BR5:BR22" si="9">(BQ5/AZ5)*100</f>
        <v>1.7510324483775812</v>
      </c>
      <c r="BS5">
        <v>0.60589999999999999</v>
      </c>
      <c r="BT5">
        <f t="shared" ref="BT5:BT22" si="10">(BS5/AZ5)*100</f>
        <v>0.59577187807276299</v>
      </c>
      <c r="BU5">
        <f t="shared" ref="BU5:BU22" si="11">BR5/BT5</f>
        <v>2.9390988611982181</v>
      </c>
      <c r="BV5" t="s">
        <v>131</v>
      </c>
      <c r="BW5" t="s">
        <v>129</v>
      </c>
    </row>
    <row r="6" spans="1:76">
      <c r="A6" s="6" t="s">
        <v>5</v>
      </c>
      <c r="B6" s="2">
        <v>44219</v>
      </c>
      <c r="C6" s="8" t="s">
        <v>65</v>
      </c>
      <c r="D6" s="4">
        <v>78</v>
      </c>
      <c r="E6" s="9">
        <v>51.3</v>
      </c>
      <c r="F6" s="10" t="s">
        <v>22</v>
      </c>
      <c r="G6" s="11">
        <f>(322+320)/2</f>
        <v>321</v>
      </c>
      <c r="H6" s="10">
        <v>91.2</v>
      </c>
      <c r="I6" s="10" t="s">
        <v>28</v>
      </c>
      <c r="J6" s="10">
        <f>(60+52+45)/3</f>
        <v>52.333333333333336</v>
      </c>
      <c r="K6" s="10">
        <v>86.7</v>
      </c>
      <c r="L6" s="10">
        <f t="shared" si="0"/>
        <v>4.9342105263157894</v>
      </c>
      <c r="M6" s="10" t="s">
        <v>24</v>
      </c>
      <c r="N6" s="11">
        <f>(249+264)/2</f>
        <v>256.5</v>
      </c>
      <c r="O6" s="10">
        <v>93.5</v>
      </c>
      <c r="P6" s="10">
        <f t="shared" si="1"/>
        <v>82.261208576998058</v>
      </c>
      <c r="Q6" s="10" t="s">
        <v>25</v>
      </c>
      <c r="R6" s="10"/>
      <c r="S6" s="10">
        <v>96.1</v>
      </c>
      <c r="T6" s="10" t="s">
        <v>30</v>
      </c>
      <c r="U6" s="10">
        <f>(47+49)/2</f>
        <v>48</v>
      </c>
      <c r="V6" s="10">
        <v>91.9</v>
      </c>
      <c r="W6" s="10">
        <f t="shared" si="2"/>
        <v>4.3704474505723088</v>
      </c>
      <c r="X6" s="10" t="s">
        <v>41</v>
      </c>
      <c r="Y6" s="11">
        <f>(266+235)/2</f>
        <v>250.5</v>
      </c>
      <c r="Z6" s="10">
        <v>99.3</v>
      </c>
      <c r="AA6">
        <f t="shared" si="3"/>
        <v>6.203208556149729</v>
      </c>
      <c r="AB6" t="s">
        <v>44</v>
      </c>
      <c r="AD6">
        <v>101.3</v>
      </c>
      <c r="AE6" t="s">
        <v>45</v>
      </c>
      <c r="AF6">
        <f>(40+40)/2</f>
        <v>40</v>
      </c>
      <c r="AG6">
        <v>96.8</v>
      </c>
      <c r="AH6">
        <f t="shared" si="4"/>
        <v>4.4422507403751235</v>
      </c>
      <c r="AI6" t="s">
        <v>46</v>
      </c>
      <c r="AJ6" s="32">
        <f>(137+142)/2</f>
        <v>139.5</v>
      </c>
      <c r="AK6">
        <v>103</v>
      </c>
      <c r="AL6">
        <f t="shared" si="5"/>
        <v>3.7260825780463276</v>
      </c>
      <c r="AM6" t="s">
        <v>53</v>
      </c>
      <c r="AO6">
        <v>106.7</v>
      </c>
      <c r="AP6" t="s">
        <v>54</v>
      </c>
      <c r="AQ6">
        <f>(41+36)/2</f>
        <v>38.5</v>
      </c>
      <c r="AR6">
        <v>102.1</v>
      </c>
      <c r="AS6">
        <f t="shared" si="6"/>
        <v>0.8737864077669959</v>
      </c>
      <c r="AT6" t="s">
        <v>57</v>
      </c>
      <c r="AU6" s="1">
        <f>(248+249)/2</f>
        <v>248.5</v>
      </c>
      <c r="AV6">
        <v>107</v>
      </c>
      <c r="AW6">
        <f t="shared" si="7"/>
        <v>3.8834951456310676</v>
      </c>
      <c r="AX6" t="s">
        <v>59</v>
      </c>
      <c r="AZ6">
        <v>109.1</v>
      </c>
      <c r="BA6" t="s">
        <v>60</v>
      </c>
      <c r="BB6">
        <f>(55+58)/2</f>
        <v>56.5</v>
      </c>
      <c r="BC6">
        <v>105.4</v>
      </c>
      <c r="BD6">
        <f t="shared" si="8"/>
        <v>3.3913840513290459</v>
      </c>
      <c r="BE6" t="s">
        <v>63</v>
      </c>
      <c r="BF6">
        <f>(91+107+76+81+86+101)/6</f>
        <v>90.333333333333329</v>
      </c>
      <c r="BG6">
        <v>106.9</v>
      </c>
      <c r="BI6">
        <f>(55+58)/2</f>
        <v>56.5</v>
      </c>
      <c r="BJ6">
        <f>(215+223)/2</f>
        <v>219</v>
      </c>
      <c r="BK6">
        <f>(379+289)/2</f>
        <v>334</v>
      </c>
      <c r="BL6">
        <f>(457+467)/2</f>
        <v>462</v>
      </c>
      <c r="BM6" s="1">
        <f>(528+494)/2</f>
        <v>511</v>
      </c>
      <c r="BN6">
        <f>(185+236+167+168)/4</f>
        <v>189</v>
      </c>
      <c r="BO6">
        <f>56.5+((219-56.5)*0.5)+219+((334-219)*0.5)+334+((462-334)*0.5)+462+((511-462)*0.5)+189+((511-189)*0.5)</f>
        <v>1648.75</v>
      </c>
      <c r="BQ6">
        <v>2.5185</v>
      </c>
      <c r="BR6">
        <f t="shared" si="9"/>
        <v>2.3084326306141154</v>
      </c>
      <c r="BS6">
        <v>0.74390000000000001</v>
      </c>
      <c r="BT6">
        <f t="shared" si="10"/>
        <v>0.68185151237396879</v>
      </c>
      <c r="BU6">
        <f t="shared" si="11"/>
        <v>3.3855356902809519</v>
      </c>
      <c r="BV6" t="s">
        <v>131</v>
      </c>
      <c r="BW6" t="s">
        <v>128</v>
      </c>
    </row>
    <row r="7" spans="1:76" s="43" customFormat="1">
      <c r="A7" s="36" t="s">
        <v>6</v>
      </c>
      <c r="B7" s="40">
        <v>44219</v>
      </c>
      <c r="C7" s="40" t="s">
        <v>65</v>
      </c>
      <c r="D7" s="41">
        <v>73</v>
      </c>
      <c r="E7" s="42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43">
        <v>85.2</v>
      </c>
      <c r="L7" s="43">
        <f t="shared" si="0"/>
        <v>4.2696629213483117</v>
      </c>
      <c r="M7" s="43" t="s">
        <v>24</v>
      </c>
      <c r="N7" s="43">
        <f>(58+68)/2</f>
        <v>63</v>
      </c>
      <c r="O7" s="43">
        <v>91.9</v>
      </c>
      <c r="P7" s="43">
        <f t="shared" si="1"/>
        <v>85.282258064516142</v>
      </c>
      <c r="Q7" s="43" t="s">
        <v>25</v>
      </c>
      <c r="S7" s="43">
        <v>96.7</v>
      </c>
      <c r="T7" s="43" t="s">
        <v>30</v>
      </c>
      <c r="U7" s="43">
        <f>(52+48)/2</f>
        <v>50</v>
      </c>
      <c r="V7" s="43">
        <v>92.5</v>
      </c>
      <c r="W7" s="43">
        <f t="shared" si="2"/>
        <v>4.3433298862461251</v>
      </c>
      <c r="X7" s="43" t="s">
        <v>41</v>
      </c>
      <c r="Y7" s="43">
        <f>(45+48)/2</f>
        <v>46.5</v>
      </c>
      <c r="Z7" s="43">
        <v>98.3</v>
      </c>
      <c r="AA7" s="43">
        <f t="shared" si="3"/>
        <v>6.9640914036996637</v>
      </c>
      <c r="AB7" s="43" t="s">
        <v>44</v>
      </c>
      <c r="AD7" s="43">
        <v>102.3</v>
      </c>
      <c r="AE7" s="43" t="s">
        <v>45</v>
      </c>
      <c r="AF7" s="43">
        <f>(63+66)/2</f>
        <v>64.5</v>
      </c>
      <c r="AG7" s="43">
        <v>97.1</v>
      </c>
      <c r="AH7" s="43">
        <f t="shared" si="4"/>
        <v>5.0830889540566995</v>
      </c>
      <c r="AI7" s="43" t="s">
        <v>46</v>
      </c>
      <c r="AJ7" s="43">
        <f>(75+81)/2</f>
        <v>78</v>
      </c>
      <c r="AK7" s="43">
        <v>102.8</v>
      </c>
      <c r="AL7" s="43">
        <f t="shared" si="5"/>
        <v>4.5778229908443535</v>
      </c>
      <c r="AM7" s="43" t="s">
        <v>53</v>
      </c>
      <c r="AO7" s="43">
        <v>105.7</v>
      </c>
      <c r="AP7" s="43" t="s">
        <v>54</v>
      </c>
      <c r="AQ7" s="43">
        <f>(68+59)/2</f>
        <v>63.5</v>
      </c>
      <c r="AR7" s="43">
        <v>101</v>
      </c>
      <c r="AS7" s="43">
        <f t="shared" si="6"/>
        <v>1.7509727626459117</v>
      </c>
      <c r="AT7" s="43" t="s">
        <v>57</v>
      </c>
      <c r="AU7" s="43">
        <f>(59+67)/2</f>
        <v>63</v>
      </c>
      <c r="AV7" s="43">
        <v>105</v>
      </c>
      <c r="AW7" s="43">
        <f t="shared" si="7"/>
        <v>2.1400778210116758</v>
      </c>
      <c r="AX7" s="43" t="s">
        <v>59</v>
      </c>
      <c r="AZ7" s="43">
        <v>109.2</v>
      </c>
      <c r="BA7" s="43" t="s">
        <v>60</v>
      </c>
      <c r="BB7" s="43">
        <f>(41+43)/2</f>
        <v>42</v>
      </c>
      <c r="BC7" s="43">
        <v>105.1</v>
      </c>
      <c r="BD7" s="43">
        <f t="shared" si="8"/>
        <v>3.7545787545787621</v>
      </c>
      <c r="BE7" s="43" t="s">
        <v>63</v>
      </c>
      <c r="BI7" s="43" t="s">
        <v>132</v>
      </c>
      <c r="BQ7" s="43">
        <v>2.5485000000000002</v>
      </c>
      <c r="BR7" s="43">
        <f t="shared" si="9"/>
        <v>2.3337912087912089</v>
      </c>
      <c r="BS7" s="43">
        <v>0.86140000000000005</v>
      </c>
      <c r="BT7" s="43">
        <f t="shared" si="10"/>
        <v>0.78882783882783891</v>
      </c>
      <c r="BU7" s="43">
        <f t="shared" si="11"/>
        <v>2.9585558393313209</v>
      </c>
      <c r="BW7" s="43" t="s">
        <v>128</v>
      </c>
      <c r="BX7" s="43" t="s">
        <v>136</v>
      </c>
    </row>
    <row r="8" spans="1:76">
      <c r="A8" s="5" t="s">
        <v>7</v>
      </c>
      <c r="B8" s="2">
        <v>44219</v>
      </c>
      <c r="C8" s="8" t="s">
        <v>65</v>
      </c>
      <c r="D8" s="4">
        <v>70</v>
      </c>
      <c r="E8" s="9">
        <v>55.8</v>
      </c>
      <c r="F8" s="10" t="s">
        <v>22</v>
      </c>
      <c r="G8" s="11">
        <f>(339+384)/2</f>
        <v>361.5</v>
      </c>
      <c r="H8" s="10">
        <v>96.7</v>
      </c>
      <c r="I8" s="10" t="s">
        <v>28</v>
      </c>
      <c r="J8" s="11">
        <f>(160+195+159)/3</f>
        <v>171.33333333333334</v>
      </c>
      <c r="K8" s="10">
        <v>93.2</v>
      </c>
      <c r="L8" s="10">
        <f t="shared" si="0"/>
        <v>3.6194415718717683</v>
      </c>
      <c r="M8" s="10" t="s">
        <v>24</v>
      </c>
      <c r="N8" s="11">
        <f>(249+216)/2</f>
        <v>232.5</v>
      </c>
      <c r="O8" s="10">
        <v>95.7</v>
      </c>
      <c r="P8" s="10">
        <f t="shared" si="1"/>
        <v>71.505376344086031</v>
      </c>
      <c r="Q8" s="10" t="s">
        <v>25</v>
      </c>
      <c r="R8" s="10"/>
      <c r="S8" s="10">
        <v>98.7</v>
      </c>
      <c r="T8" s="10" t="s">
        <v>30</v>
      </c>
      <c r="U8" s="10">
        <f>(48+55)/2</f>
        <v>51.5</v>
      </c>
      <c r="V8" s="10">
        <v>95.6</v>
      </c>
      <c r="W8" s="10">
        <f t="shared" si="2"/>
        <v>3.140830800405277</v>
      </c>
      <c r="X8" s="10" t="s">
        <v>41</v>
      </c>
      <c r="Y8" s="11">
        <f>(203+204)/2</f>
        <v>203.5</v>
      </c>
      <c r="Z8" s="10">
        <v>102.3</v>
      </c>
      <c r="AA8">
        <f t="shared" si="3"/>
        <v>6.8965517241379253</v>
      </c>
      <c r="AB8" t="s">
        <v>44</v>
      </c>
      <c r="AD8">
        <v>106.2</v>
      </c>
      <c r="AE8" t="s">
        <v>45</v>
      </c>
      <c r="AF8">
        <f>(53+57)/2</f>
        <v>55</v>
      </c>
      <c r="AG8">
        <v>100.5</v>
      </c>
      <c r="AH8">
        <f t="shared" si="4"/>
        <v>5.3672316384180814</v>
      </c>
      <c r="AI8" t="s">
        <v>46</v>
      </c>
      <c r="AJ8" s="1">
        <f>(209+202)/2</f>
        <v>205.5</v>
      </c>
      <c r="AK8">
        <v>106.3</v>
      </c>
      <c r="AL8">
        <f t="shared" si="5"/>
        <v>3.9100684261974585</v>
      </c>
      <c r="AM8" t="s">
        <v>53</v>
      </c>
      <c r="AO8">
        <v>110.1</v>
      </c>
      <c r="AP8" t="s">
        <v>54</v>
      </c>
      <c r="AQ8">
        <f>(45+47)/2</f>
        <v>46</v>
      </c>
      <c r="AR8">
        <v>103.4</v>
      </c>
      <c r="AS8">
        <f t="shared" si="6"/>
        <v>2.7281279397930307</v>
      </c>
      <c r="AT8" t="s">
        <v>57</v>
      </c>
      <c r="AU8" s="1">
        <f>(219+232)/2</f>
        <v>225.5</v>
      </c>
      <c r="AV8">
        <v>108.3</v>
      </c>
      <c r="AW8">
        <f t="shared" si="7"/>
        <v>1.8814675446848543</v>
      </c>
      <c r="AX8" t="s">
        <v>59</v>
      </c>
      <c r="AZ8">
        <v>110.4</v>
      </c>
      <c r="BA8" t="s">
        <v>60</v>
      </c>
      <c r="BB8">
        <f>(37+40)/2</f>
        <v>38.5</v>
      </c>
      <c r="BC8">
        <v>106.6</v>
      </c>
      <c r="BD8">
        <f t="shared" si="8"/>
        <v>3.4420289855072568</v>
      </c>
      <c r="BE8" t="s">
        <v>63</v>
      </c>
      <c r="BF8" s="32">
        <f>(180+99)/2</f>
        <v>139.5</v>
      </c>
      <c r="BG8">
        <v>108.6</v>
      </c>
      <c r="BI8">
        <f>(37+40)/2</f>
        <v>38.5</v>
      </c>
      <c r="BJ8">
        <f>(160+160)/2</f>
        <v>160</v>
      </c>
      <c r="BK8">
        <f>(318+298)/2</f>
        <v>308</v>
      </c>
      <c r="BL8">
        <f>(375+361)/2</f>
        <v>368</v>
      </c>
      <c r="BM8" s="1">
        <f>(442+449)/2</f>
        <v>445.5</v>
      </c>
      <c r="BN8">
        <f>(100+98)/2</f>
        <v>99</v>
      </c>
      <c r="BO8">
        <f>38.5+((160-38.5)*0.5)+160+((308-160)*0.5)+308+((368-308)*0.5)+368+((445.5-368)*0.5)+99+((445.5-99)*0.5)</f>
        <v>1350.25</v>
      </c>
      <c r="BQ8">
        <v>2.5059999999999998</v>
      </c>
      <c r="BR8">
        <f t="shared" si="9"/>
        <v>2.2699275362318838</v>
      </c>
      <c r="BS8">
        <v>0.71640000000000004</v>
      </c>
      <c r="BT8">
        <f t="shared" si="10"/>
        <v>0.64891304347826084</v>
      </c>
      <c r="BU8">
        <f t="shared" si="11"/>
        <v>3.4980457844779451</v>
      </c>
      <c r="BV8" t="s">
        <v>131</v>
      </c>
      <c r="BW8" t="s">
        <v>129</v>
      </c>
    </row>
    <row r="9" spans="1:76">
      <c r="A9" s="6" t="s">
        <v>8</v>
      </c>
      <c r="B9" s="2">
        <v>44219</v>
      </c>
      <c r="C9" s="8" t="s">
        <v>65</v>
      </c>
      <c r="D9" s="4">
        <v>69</v>
      </c>
      <c r="E9" s="9">
        <v>56.3</v>
      </c>
      <c r="F9" s="10" t="s">
        <v>22</v>
      </c>
      <c r="G9" s="11">
        <f>(386+467)/2</f>
        <v>426.5</v>
      </c>
      <c r="H9" s="10">
        <v>90.9</v>
      </c>
      <c r="I9" s="10" t="s">
        <v>28</v>
      </c>
      <c r="J9" s="31">
        <f>(75+83+55+96)/4</f>
        <v>77.25</v>
      </c>
      <c r="K9" s="10">
        <v>86.7</v>
      </c>
      <c r="L9" s="10">
        <f t="shared" si="0"/>
        <v>4.620462046204624</v>
      </c>
      <c r="M9" s="10" t="s">
        <v>24</v>
      </c>
      <c r="N9" s="11">
        <f>(417+349)/2</f>
        <v>383</v>
      </c>
      <c r="O9" s="10">
        <v>91.7</v>
      </c>
      <c r="P9" s="10">
        <f t="shared" si="1"/>
        <v>62.877442273534648</v>
      </c>
      <c r="Q9" s="10" t="s">
        <v>25</v>
      </c>
      <c r="R9" s="10"/>
      <c r="S9" s="10">
        <v>93.2</v>
      </c>
      <c r="T9" s="10" t="s">
        <v>30</v>
      </c>
      <c r="U9" s="31">
        <f>(95+115)/2</f>
        <v>105</v>
      </c>
      <c r="V9" s="10">
        <v>89.4</v>
      </c>
      <c r="W9" s="10">
        <f t="shared" si="2"/>
        <v>4.0772532188841168</v>
      </c>
      <c r="X9" s="10" t="s">
        <v>41</v>
      </c>
      <c r="Y9" s="11">
        <f>(406+372)/2</f>
        <v>389</v>
      </c>
      <c r="Z9" s="10">
        <v>95.3</v>
      </c>
      <c r="AA9">
        <f t="shared" si="3"/>
        <v>3.9258451472191869</v>
      </c>
      <c r="AB9" t="s">
        <v>44</v>
      </c>
      <c r="AD9">
        <v>96.8</v>
      </c>
      <c r="AE9" t="s">
        <v>45</v>
      </c>
      <c r="AF9">
        <f>(63+72)/2</f>
        <v>67.5</v>
      </c>
      <c r="AG9">
        <v>93</v>
      </c>
      <c r="AH9">
        <f t="shared" si="4"/>
        <v>3.9256198347107412</v>
      </c>
      <c r="AI9" t="s">
        <v>46</v>
      </c>
      <c r="AJ9" s="1">
        <f>(351+383)/2</f>
        <v>367</v>
      </c>
      <c r="AK9">
        <v>98.5</v>
      </c>
      <c r="AL9">
        <f t="shared" si="5"/>
        <v>3.3578174186778624</v>
      </c>
      <c r="AM9" t="s">
        <v>53</v>
      </c>
      <c r="AO9">
        <v>102.3</v>
      </c>
      <c r="AP9" t="s">
        <v>54</v>
      </c>
      <c r="AQ9">
        <f>(60+63)/2</f>
        <v>61.5</v>
      </c>
      <c r="AR9">
        <v>96.7</v>
      </c>
      <c r="AS9">
        <f t="shared" si="6"/>
        <v>1.8274111675126874</v>
      </c>
      <c r="AT9" t="s">
        <v>57</v>
      </c>
      <c r="AU9" s="34">
        <f>(487+541)/2</f>
        <v>514</v>
      </c>
      <c r="AV9">
        <v>103.2</v>
      </c>
      <c r="AW9">
        <f t="shared" si="7"/>
        <v>4.771573604060916</v>
      </c>
      <c r="AX9" t="s">
        <v>59</v>
      </c>
      <c r="AZ9">
        <v>105.5</v>
      </c>
      <c r="BA9" t="s">
        <v>60</v>
      </c>
      <c r="BB9" s="1">
        <f>(183+155)/2</f>
        <v>169</v>
      </c>
      <c r="BC9">
        <v>98.7</v>
      </c>
      <c r="BD9">
        <f t="shared" si="8"/>
        <v>6.4454976303317508</v>
      </c>
      <c r="BE9" t="s">
        <v>63</v>
      </c>
      <c r="BF9" s="1">
        <f>(451+560+516)/3</f>
        <v>509</v>
      </c>
      <c r="BG9">
        <v>101.8</v>
      </c>
      <c r="BI9">
        <f>(183+155)/2</f>
        <v>169</v>
      </c>
      <c r="BJ9">
        <f>(361+349)/2</f>
        <v>355</v>
      </c>
      <c r="BK9" s="1">
        <f>(600+600)/2</f>
        <v>600</v>
      </c>
      <c r="BL9" s="1">
        <f>(600+600)/2</f>
        <v>600</v>
      </c>
      <c r="BM9">
        <f>(600+539)/2</f>
        <v>569.5</v>
      </c>
      <c r="BN9">
        <f>(392+392)/2</f>
        <v>392</v>
      </c>
      <c r="BO9" s="35">
        <f>169+((355-169)*5)+355+((600-355)+0.5)+600+569.5+((600-569.5)*0.5)+392+((569.5-392)*0.5)</f>
        <v>3365</v>
      </c>
      <c r="BQ9">
        <v>1.3107</v>
      </c>
      <c r="BR9">
        <f t="shared" si="9"/>
        <v>1.2423696682464453</v>
      </c>
      <c r="BS9">
        <v>0.59099999999999997</v>
      </c>
      <c r="BT9">
        <f t="shared" si="10"/>
        <v>0.56018957345971565</v>
      </c>
      <c r="BU9">
        <f t="shared" si="11"/>
        <v>2.2177664974619287</v>
      </c>
      <c r="BV9" s="1" t="s">
        <v>126</v>
      </c>
      <c r="BW9" s="1" t="s">
        <v>127</v>
      </c>
    </row>
    <row r="10" spans="1:76">
      <c r="A10" s="7" t="s">
        <v>9</v>
      </c>
      <c r="B10" s="2">
        <v>44219</v>
      </c>
      <c r="C10" s="8" t="s">
        <v>65</v>
      </c>
      <c r="D10" s="4">
        <v>96</v>
      </c>
      <c r="E10" s="9">
        <v>60.7</v>
      </c>
      <c r="F10" s="10" t="s">
        <v>22</v>
      </c>
      <c r="G10" s="11">
        <f>(412+287+309+293)/4</f>
        <v>325.25</v>
      </c>
      <c r="H10" s="10">
        <v>95.2</v>
      </c>
      <c r="I10" s="10" t="s">
        <v>28</v>
      </c>
      <c r="J10" s="11">
        <f>(145+208+170)/3</f>
        <v>174.33333333333334</v>
      </c>
      <c r="K10" s="10">
        <v>93.1</v>
      </c>
      <c r="L10" s="10">
        <f t="shared" si="0"/>
        <v>2.2058823529411855</v>
      </c>
      <c r="M10" s="10" t="s">
        <v>24</v>
      </c>
      <c r="N10" s="11">
        <f>(510+348+305)/3</f>
        <v>387.66666666666669</v>
      </c>
      <c r="O10" s="10">
        <v>95.4</v>
      </c>
      <c r="P10" s="10">
        <f t="shared" si="1"/>
        <v>57.166392092256999</v>
      </c>
      <c r="Q10" s="10" t="s">
        <v>25</v>
      </c>
      <c r="R10" s="10"/>
      <c r="S10" s="10">
        <v>100.7</v>
      </c>
      <c r="T10" s="10" t="s">
        <v>30</v>
      </c>
      <c r="U10" s="31">
        <f>(72+85)/2</f>
        <v>78.5</v>
      </c>
      <c r="V10" s="10">
        <v>94.9</v>
      </c>
      <c r="W10" s="10">
        <f t="shared" si="2"/>
        <v>5.7596822244289942</v>
      </c>
      <c r="X10" s="10" t="s">
        <v>41</v>
      </c>
      <c r="Y10" s="11">
        <f>(288+274)/2</f>
        <v>281</v>
      </c>
      <c r="Z10" s="10">
        <v>99.1</v>
      </c>
      <c r="AA10">
        <f t="shared" si="3"/>
        <v>3.8784067085953757</v>
      </c>
      <c r="AB10" t="s">
        <v>44</v>
      </c>
      <c r="AD10">
        <v>103.2</v>
      </c>
      <c r="AE10" t="s">
        <v>45</v>
      </c>
      <c r="AF10">
        <f>(55+87)/2</f>
        <v>71</v>
      </c>
      <c r="AG10">
        <v>99.5</v>
      </c>
      <c r="AH10">
        <f t="shared" si="4"/>
        <v>3.5852713178294602</v>
      </c>
      <c r="AI10" t="s">
        <v>46</v>
      </c>
      <c r="AJ10" s="1">
        <f>(375+323)/2</f>
        <v>349</v>
      </c>
      <c r="AK10">
        <v>106.3</v>
      </c>
      <c r="AL10">
        <f t="shared" si="5"/>
        <v>7.2653884964682174</v>
      </c>
      <c r="AM10" t="s">
        <v>53</v>
      </c>
      <c r="AO10">
        <v>110.3</v>
      </c>
      <c r="AP10" t="s">
        <v>54</v>
      </c>
      <c r="AQ10">
        <f>(43+58)/2</f>
        <v>50.5</v>
      </c>
      <c r="AR10">
        <v>105.5</v>
      </c>
      <c r="AS10">
        <f t="shared" si="6"/>
        <v>0.752587017873939</v>
      </c>
      <c r="AT10" t="s">
        <v>57</v>
      </c>
      <c r="AU10" s="1">
        <f>(367+416)/2</f>
        <v>391.5</v>
      </c>
      <c r="AV10">
        <v>112.6</v>
      </c>
      <c r="AW10">
        <f t="shared" si="7"/>
        <v>5.9266227657572879</v>
      </c>
      <c r="AX10" t="s">
        <v>59</v>
      </c>
      <c r="AZ10">
        <v>112.1</v>
      </c>
      <c r="BA10" t="s">
        <v>60</v>
      </c>
      <c r="BB10" s="1">
        <f>(150+126)/2</f>
        <v>138</v>
      </c>
      <c r="BC10">
        <v>107</v>
      </c>
      <c r="BD10">
        <f t="shared" si="8"/>
        <v>4.5495093666369266</v>
      </c>
      <c r="BE10" t="s">
        <v>63</v>
      </c>
      <c r="BF10" s="1">
        <f>(441+430)/2</f>
        <v>435.5</v>
      </c>
      <c r="BG10">
        <v>110.7</v>
      </c>
      <c r="BI10">
        <f>(150+126)/2</f>
        <v>138</v>
      </c>
      <c r="BJ10">
        <f>(362+343)/2</f>
        <v>352.5</v>
      </c>
      <c r="BK10">
        <f>(474+553)/2</f>
        <v>513.5</v>
      </c>
      <c r="BL10">
        <f>(570+600)/2</f>
        <v>585</v>
      </c>
      <c r="BM10" s="1">
        <f>(600+600)/2</f>
        <v>600</v>
      </c>
      <c r="BN10">
        <f>(360+453)/2</f>
        <v>406.5</v>
      </c>
      <c r="BO10">
        <f>138+((352.5-138)*0.5)+352.5+((513.5-352.5)*0.5)+513.5+((585-513.5)*0.5)+585+((600-585)*0.5)+404.5+((600-406.5)*0.5)</f>
        <v>2321.25</v>
      </c>
      <c r="BQ10">
        <v>1.4332</v>
      </c>
      <c r="BR10">
        <f t="shared" si="9"/>
        <v>1.2785013380909902</v>
      </c>
      <c r="BS10">
        <v>0.69599999999999995</v>
      </c>
      <c r="BT10">
        <f t="shared" si="10"/>
        <v>0.62087421944692234</v>
      </c>
      <c r="BU10">
        <f t="shared" si="11"/>
        <v>2.0591954022988506</v>
      </c>
      <c r="BV10" s="1" t="s">
        <v>126</v>
      </c>
      <c r="BW10" t="s">
        <v>129</v>
      </c>
    </row>
    <row r="11" spans="1:76" s="43" customFormat="1">
      <c r="A11" s="37" t="s">
        <v>10</v>
      </c>
      <c r="B11" s="40">
        <v>44220</v>
      </c>
      <c r="C11" s="40" t="s">
        <v>65</v>
      </c>
      <c r="D11" s="41">
        <v>57</v>
      </c>
      <c r="E11" s="42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43">
        <v>87.3</v>
      </c>
      <c r="L11" s="43">
        <f t="shared" si="0"/>
        <v>4.4857768052516507</v>
      </c>
      <c r="M11" s="43" t="s">
        <v>24</v>
      </c>
      <c r="N11" s="45">
        <f>(115+114+123)/3</f>
        <v>117.33333333333333</v>
      </c>
      <c r="O11" s="43">
        <v>94.9</v>
      </c>
      <c r="P11" s="43">
        <f t="shared" si="1"/>
        <v>94.866529774127301</v>
      </c>
      <c r="Q11" s="43" t="s">
        <v>25</v>
      </c>
      <c r="S11" s="43">
        <v>101</v>
      </c>
      <c r="T11" s="43" t="s">
        <v>30</v>
      </c>
      <c r="U11" s="43">
        <f>(57+56)/2</f>
        <v>56.5</v>
      </c>
      <c r="V11" s="43">
        <v>93.7</v>
      </c>
      <c r="W11" s="43">
        <f t="shared" si="2"/>
        <v>7.2277227722772244</v>
      </c>
      <c r="X11" s="43" t="s">
        <v>41</v>
      </c>
      <c r="Y11" s="43">
        <f>(68+79)/2</f>
        <v>73.5</v>
      </c>
      <c r="Z11" s="43">
        <v>102</v>
      </c>
      <c r="AA11" s="43">
        <f t="shared" si="3"/>
        <v>7.4815595363540499</v>
      </c>
      <c r="AB11" s="43" t="s">
        <v>44</v>
      </c>
      <c r="AD11" s="43">
        <v>107.4</v>
      </c>
      <c r="AE11" s="43" t="s">
        <v>45</v>
      </c>
      <c r="AF11" s="43">
        <f>(38+45)/2</f>
        <v>41.5</v>
      </c>
      <c r="AG11" s="43">
        <v>100.9</v>
      </c>
      <c r="AH11" s="43">
        <f t="shared" si="4"/>
        <v>6.0521415270018624</v>
      </c>
      <c r="AI11" s="43" t="s">
        <v>46</v>
      </c>
      <c r="AJ11" s="43">
        <f>(47+43)/2</f>
        <v>45</v>
      </c>
      <c r="AK11" s="43">
        <v>106</v>
      </c>
      <c r="AL11" s="43">
        <f t="shared" si="5"/>
        <v>3.9215686274509802</v>
      </c>
      <c r="AM11" s="43" t="s">
        <v>53</v>
      </c>
      <c r="AO11" s="43">
        <v>109.9</v>
      </c>
      <c r="AP11" s="43" t="s">
        <v>54</v>
      </c>
      <c r="AQ11" s="43">
        <f>(58+46)/2</f>
        <v>52</v>
      </c>
      <c r="AR11" s="43">
        <v>104.7</v>
      </c>
      <c r="AS11" s="43">
        <f t="shared" si="6"/>
        <v>1.2264150943396199</v>
      </c>
      <c r="AT11" s="43" t="s">
        <v>57</v>
      </c>
      <c r="AU11" s="43">
        <f>(59+63)/2</f>
        <v>61</v>
      </c>
      <c r="AV11" s="43">
        <v>109.8</v>
      </c>
      <c r="AW11" s="43">
        <f t="shared" si="7"/>
        <v>3.5849056603773555</v>
      </c>
      <c r="AX11" s="43" t="s">
        <v>59</v>
      </c>
      <c r="AZ11" s="43">
        <v>112.1</v>
      </c>
      <c r="BA11" s="43" t="s">
        <v>60</v>
      </c>
      <c r="BB11" s="43">
        <f>(46+58)/2</f>
        <v>52</v>
      </c>
      <c r="BC11" s="43">
        <v>107.2</v>
      </c>
      <c r="BD11" s="43">
        <f t="shared" si="8"/>
        <v>4.3710972346119457</v>
      </c>
      <c r="BE11" s="43" t="s">
        <v>63</v>
      </c>
      <c r="BI11" s="43" t="s">
        <v>132</v>
      </c>
      <c r="BQ11" s="43">
        <v>1.9369000000000001</v>
      </c>
      <c r="BR11" s="43">
        <f t="shared" si="9"/>
        <v>1.7278322925958969</v>
      </c>
      <c r="BS11" s="43">
        <v>0.77539999999999998</v>
      </c>
      <c r="BT11" s="43">
        <f t="shared" si="10"/>
        <v>0.6917038358608385</v>
      </c>
      <c r="BU11" s="43">
        <f t="shared" si="11"/>
        <v>2.4979365488779992</v>
      </c>
      <c r="BW11" s="43" t="s">
        <v>128</v>
      </c>
      <c r="BX11" s="43" t="s">
        <v>136</v>
      </c>
    </row>
    <row r="12" spans="1:76">
      <c r="A12" s="6" t="s">
        <v>11</v>
      </c>
      <c r="B12" s="2">
        <v>44220</v>
      </c>
      <c r="C12" s="8" t="s">
        <v>65</v>
      </c>
      <c r="D12" s="4">
        <v>79</v>
      </c>
      <c r="E12" s="9">
        <v>56.2</v>
      </c>
      <c r="F12" s="10" t="s">
        <v>22</v>
      </c>
      <c r="G12" s="11">
        <f>(431+503)/2</f>
        <v>467</v>
      </c>
      <c r="H12" s="10">
        <v>95.8</v>
      </c>
      <c r="I12" s="10" t="s">
        <v>28</v>
      </c>
      <c r="J12" s="10">
        <f>(43+61+67)/3</f>
        <v>57</v>
      </c>
      <c r="K12" s="10">
        <v>90.6</v>
      </c>
      <c r="L12" s="10">
        <f t="shared" si="0"/>
        <v>5.427974947807936</v>
      </c>
      <c r="M12" s="10" t="s">
        <v>24</v>
      </c>
      <c r="N12" s="11">
        <f>(273+341+278)/3</f>
        <v>297.33333333333331</v>
      </c>
      <c r="O12" s="10">
        <v>97.7</v>
      </c>
      <c r="P12" s="10">
        <f t="shared" si="1"/>
        <v>73.843416370106766</v>
      </c>
      <c r="Q12" s="10" t="s">
        <v>25</v>
      </c>
      <c r="R12" s="10"/>
      <c r="S12" s="10">
        <v>100.1</v>
      </c>
      <c r="T12" s="10" t="s">
        <v>30</v>
      </c>
      <c r="U12" s="10">
        <f>(58+74+67+68)/4</f>
        <v>66.75</v>
      </c>
      <c r="V12" s="10">
        <v>95.1</v>
      </c>
      <c r="W12" s="10">
        <f t="shared" si="2"/>
        <v>4.9950049950049955</v>
      </c>
      <c r="X12" s="10" t="s">
        <v>41</v>
      </c>
      <c r="Y12" s="11">
        <f>(318+335)/2</f>
        <v>326.5</v>
      </c>
      <c r="Z12" s="10">
        <v>104</v>
      </c>
      <c r="AA12">
        <f t="shared" si="3"/>
        <v>6.4483111566018394</v>
      </c>
      <c r="AB12" t="s">
        <v>44</v>
      </c>
      <c r="AD12">
        <v>106.1</v>
      </c>
      <c r="AE12" t="s">
        <v>45</v>
      </c>
      <c r="AF12">
        <f>(78+69)/2</f>
        <v>73.5</v>
      </c>
      <c r="AG12">
        <v>99.6</v>
      </c>
      <c r="AH12">
        <f t="shared" si="4"/>
        <v>6.1262959472196048</v>
      </c>
      <c r="AI12" t="s">
        <v>46</v>
      </c>
      <c r="AJ12" s="1">
        <f>(307+336)/2</f>
        <v>321.5</v>
      </c>
      <c r="AK12">
        <v>106.5</v>
      </c>
      <c r="AL12">
        <f t="shared" si="5"/>
        <v>2.4038461538461542</v>
      </c>
      <c r="AM12" t="s">
        <v>53</v>
      </c>
      <c r="AO12">
        <v>108.3</v>
      </c>
      <c r="AP12" t="s">
        <v>54</v>
      </c>
      <c r="AQ12">
        <f>(65+62)/2</f>
        <v>63.5</v>
      </c>
      <c r="AR12">
        <v>102.9</v>
      </c>
      <c r="AS12">
        <f t="shared" si="6"/>
        <v>3.3802816901408397</v>
      </c>
      <c r="AT12" t="s">
        <v>57</v>
      </c>
      <c r="AU12" s="1">
        <f>(378+391)/2</f>
        <v>384.5</v>
      </c>
      <c r="AV12">
        <v>109.3</v>
      </c>
      <c r="AW12">
        <f t="shared" si="7"/>
        <v>2.6291079812206548</v>
      </c>
      <c r="AX12" t="s">
        <v>59</v>
      </c>
      <c r="AZ12">
        <v>113.2</v>
      </c>
      <c r="BA12" t="s">
        <v>60</v>
      </c>
      <c r="BB12" s="1">
        <f>(163+179)/2</f>
        <v>171</v>
      </c>
      <c r="BC12">
        <v>105.1</v>
      </c>
      <c r="BD12">
        <f t="shared" si="8"/>
        <v>7.1554770318021284</v>
      </c>
      <c r="BE12" t="s">
        <v>63</v>
      </c>
      <c r="BF12" s="1">
        <f>(600+600)/2</f>
        <v>600</v>
      </c>
      <c r="BG12">
        <v>109.2</v>
      </c>
      <c r="BI12">
        <f>(163+179)/2</f>
        <v>171</v>
      </c>
      <c r="BJ12">
        <f>(325+365)/2</f>
        <v>345</v>
      </c>
      <c r="BK12">
        <f>(551+543)/2</f>
        <v>547</v>
      </c>
      <c r="BL12" s="1">
        <f>(600+600)/2</f>
        <v>600</v>
      </c>
      <c r="BM12">
        <f>(600+526)/2</f>
        <v>563</v>
      </c>
      <c r="BN12">
        <f>(381+476)/2</f>
        <v>428.5</v>
      </c>
      <c r="BO12">
        <f>171+((345-171)*0.5)+345+((547-345)*0.5)+547+((600-547)*0.5)+563+((600-563)*0.5)+428.5+((563-428.5)*0.5)</f>
        <v>2354.75</v>
      </c>
      <c r="BQ12">
        <v>1.3511</v>
      </c>
      <c r="BR12">
        <f t="shared" si="9"/>
        <v>1.1935512367491166</v>
      </c>
      <c r="BS12">
        <v>0.62829999999999997</v>
      </c>
      <c r="BT12">
        <f t="shared" si="10"/>
        <v>0.55503533568904595</v>
      </c>
      <c r="BU12">
        <f t="shared" si="11"/>
        <v>2.1504058570746456</v>
      </c>
      <c r="BV12" s="1" t="s">
        <v>126</v>
      </c>
      <c r="BW12" t="s">
        <v>128</v>
      </c>
    </row>
    <row r="13" spans="1:76">
      <c r="A13" s="7" t="s">
        <v>12</v>
      </c>
      <c r="B13" s="2">
        <v>44220</v>
      </c>
      <c r="C13" s="8" t="s">
        <v>65</v>
      </c>
      <c r="D13" s="4">
        <v>90</v>
      </c>
      <c r="E13" s="9">
        <v>54.1</v>
      </c>
      <c r="F13" s="10" t="s">
        <v>22</v>
      </c>
      <c r="G13" s="11">
        <f>(310+404)/2</f>
        <v>357</v>
      </c>
      <c r="H13" s="10">
        <v>94.5</v>
      </c>
      <c r="I13" s="10" t="s">
        <v>28</v>
      </c>
      <c r="J13" s="10">
        <f>(51+67)/2</f>
        <v>59</v>
      </c>
      <c r="K13" s="10">
        <v>89.6</v>
      </c>
      <c r="L13" s="10">
        <f t="shared" si="0"/>
        <v>5.1851851851851913</v>
      </c>
      <c r="M13" s="10" t="s">
        <v>24</v>
      </c>
      <c r="N13" s="11">
        <f>(287+257)/2</f>
        <v>272</v>
      </c>
      <c r="O13" s="10">
        <v>95.9</v>
      </c>
      <c r="P13" s="10">
        <f t="shared" si="1"/>
        <v>77.264325323475049</v>
      </c>
      <c r="Q13" s="10" t="s">
        <v>25</v>
      </c>
      <c r="R13" s="10"/>
      <c r="S13" s="10">
        <v>99.7</v>
      </c>
      <c r="T13" s="10" t="s">
        <v>30</v>
      </c>
      <c r="U13" s="10">
        <f>(60+47+53)/3</f>
        <v>53.333333333333336</v>
      </c>
      <c r="V13" s="10">
        <v>93.8</v>
      </c>
      <c r="W13" s="10">
        <f t="shared" si="2"/>
        <v>5.9177532597793441</v>
      </c>
      <c r="X13" s="10" t="s">
        <v>41</v>
      </c>
      <c r="Y13" s="11">
        <f>(329+350)/2</f>
        <v>339.5</v>
      </c>
      <c r="Z13" s="10">
        <v>102</v>
      </c>
      <c r="AA13">
        <f t="shared" si="3"/>
        <v>6.3607924921793471</v>
      </c>
      <c r="AB13" t="s">
        <v>44</v>
      </c>
      <c r="AD13">
        <v>103.9</v>
      </c>
      <c r="AE13" t="s">
        <v>45</v>
      </c>
      <c r="AF13">
        <f>(42+58)/2</f>
        <v>50</v>
      </c>
      <c r="AG13">
        <v>98.4</v>
      </c>
      <c r="AH13">
        <f t="shared" si="4"/>
        <v>5.2935514918190565</v>
      </c>
      <c r="AI13" t="s">
        <v>46</v>
      </c>
      <c r="AJ13" s="1">
        <f>(320+341)/2</f>
        <v>330.5</v>
      </c>
      <c r="AK13">
        <v>105.8</v>
      </c>
      <c r="AL13">
        <f t="shared" si="5"/>
        <v>3.7254901960784284</v>
      </c>
      <c r="AM13" t="s">
        <v>53</v>
      </c>
      <c r="AO13">
        <v>107.4</v>
      </c>
      <c r="AP13" t="s">
        <v>54</v>
      </c>
      <c r="AQ13">
        <f>(55+90+71+78)/4</f>
        <v>73.5</v>
      </c>
      <c r="AR13">
        <v>99.9</v>
      </c>
      <c r="AS13">
        <f t="shared" si="6"/>
        <v>5.576559546313792</v>
      </c>
      <c r="AT13" t="s">
        <v>57</v>
      </c>
      <c r="AU13" s="34">
        <f>(414+412)/2</f>
        <v>413</v>
      </c>
      <c r="AV13">
        <v>106.5</v>
      </c>
      <c r="AW13">
        <f t="shared" si="7"/>
        <v>0.66162570888469074</v>
      </c>
      <c r="AX13" t="s">
        <v>59</v>
      </c>
      <c r="AZ13">
        <v>108.8</v>
      </c>
      <c r="BA13" t="s">
        <v>60</v>
      </c>
      <c r="BB13">
        <f>(57+67)/2</f>
        <v>62</v>
      </c>
      <c r="BC13">
        <v>100</v>
      </c>
      <c r="BD13">
        <f t="shared" si="8"/>
        <v>8.088235294117645</v>
      </c>
      <c r="BE13" t="s">
        <v>63</v>
      </c>
      <c r="BF13" s="1">
        <f>(529+546)/2</f>
        <v>537.5</v>
      </c>
      <c r="BG13">
        <v>105.5</v>
      </c>
      <c r="BI13">
        <f>(57+67)/2</f>
        <v>62</v>
      </c>
      <c r="BJ13">
        <f>(268+248)/2</f>
        <v>258</v>
      </c>
      <c r="BK13" s="1">
        <f>(600+600)/2</f>
        <v>600</v>
      </c>
      <c r="BL13" s="1">
        <f>(600+600)/2</f>
        <v>600</v>
      </c>
      <c r="BM13">
        <f>(600+543)/2</f>
        <v>571.5</v>
      </c>
      <c r="BN13">
        <f>(315+342)/2</f>
        <v>328.5</v>
      </c>
      <c r="BO13">
        <f>62+((258-62)*0.5)+258+((600-258)*0.5)+600+571.5+((600-571.5)*0.5)+328.5+((571.5-328.5)*0.5)</f>
        <v>2224.75</v>
      </c>
      <c r="BQ13">
        <v>0.89039999999999997</v>
      </c>
      <c r="BR13">
        <f t="shared" si="9"/>
        <v>0.81838235294117645</v>
      </c>
      <c r="BS13">
        <v>0.65149999999999997</v>
      </c>
      <c r="BT13">
        <f t="shared" si="10"/>
        <v>0.59880514705882348</v>
      </c>
      <c r="BU13">
        <f t="shared" si="11"/>
        <v>1.3666922486569455</v>
      </c>
      <c r="BV13" s="1" t="s">
        <v>126</v>
      </c>
      <c r="BW13" s="1" t="s">
        <v>127</v>
      </c>
    </row>
    <row r="14" spans="1:76">
      <c r="A14" s="5" t="s">
        <v>13</v>
      </c>
      <c r="B14" s="2">
        <v>44227</v>
      </c>
      <c r="C14" s="8" t="s">
        <v>66</v>
      </c>
      <c r="D14" s="4">
        <v>84</v>
      </c>
      <c r="E14" s="9">
        <v>41.1</v>
      </c>
      <c r="F14" s="10" t="s">
        <v>27</v>
      </c>
      <c r="G14" s="10">
        <f>(85+87)/2</f>
        <v>86</v>
      </c>
      <c r="H14" s="10">
        <v>76.099999999999994</v>
      </c>
      <c r="I14" s="10" t="s">
        <v>29</v>
      </c>
      <c r="J14" s="10">
        <f>(52+55+53)/3</f>
        <v>53.333333333333336</v>
      </c>
      <c r="K14" s="10">
        <v>70.900000000000006</v>
      </c>
      <c r="L14" s="10">
        <f t="shared" si="0"/>
        <v>6.8331143232588554</v>
      </c>
      <c r="M14" s="10" t="s">
        <v>36</v>
      </c>
      <c r="N14" s="31">
        <f>(111+106)/2</f>
        <v>108.5</v>
      </c>
      <c r="O14" s="10">
        <v>78.5</v>
      </c>
      <c r="P14" s="10">
        <f t="shared" si="1"/>
        <v>90.99756690997566</v>
      </c>
      <c r="Q14" s="10" t="s">
        <v>39</v>
      </c>
      <c r="R14" s="10"/>
      <c r="S14" s="10">
        <v>81.2</v>
      </c>
      <c r="T14" s="10" t="s">
        <v>40</v>
      </c>
      <c r="U14" s="10">
        <f>(63+63)/2</f>
        <v>63</v>
      </c>
      <c r="V14" s="10">
        <v>75.8</v>
      </c>
      <c r="W14" s="10">
        <f t="shared" si="2"/>
        <v>6.650246305418726</v>
      </c>
      <c r="X14" s="10" t="s">
        <v>47</v>
      </c>
      <c r="Y14" s="10">
        <f>(93+78+87)/3</f>
        <v>86</v>
      </c>
      <c r="Z14" s="10">
        <v>83.1</v>
      </c>
      <c r="AA14">
        <f t="shared" si="3"/>
        <v>5.8598726114649606</v>
      </c>
      <c r="AB14" t="s">
        <v>48</v>
      </c>
      <c r="AD14">
        <v>86.2</v>
      </c>
      <c r="AE14" t="s">
        <v>49</v>
      </c>
      <c r="AF14">
        <f>(48+49)/2</f>
        <v>48.5</v>
      </c>
      <c r="AG14">
        <v>81.8</v>
      </c>
      <c r="AH14">
        <f t="shared" si="4"/>
        <v>5.1044083526682202</v>
      </c>
      <c r="AI14" t="s">
        <v>50</v>
      </c>
      <c r="AJ14">
        <f>(71+72)/2</f>
        <v>71.5</v>
      </c>
      <c r="AK14">
        <v>87.3</v>
      </c>
      <c r="AL14">
        <f t="shared" si="5"/>
        <v>5.0541516245487399</v>
      </c>
      <c r="AM14" t="s">
        <v>55</v>
      </c>
      <c r="AO14">
        <v>89</v>
      </c>
      <c r="AP14" t="s">
        <v>56</v>
      </c>
      <c r="AQ14">
        <f>(57+69)/2</f>
        <v>63</v>
      </c>
      <c r="AR14">
        <v>83.8</v>
      </c>
      <c r="AS14">
        <f t="shared" si="6"/>
        <v>4.0091638029782359</v>
      </c>
      <c r="AT14" t="s">
        <v>58</v>
      </c>
      <c r="AU14">
        <f>(74+82)/2</f>
        <v>78</v>
      </c>
      <c r="AV14">
        <v>89.5</v>
      </c>
      <c r="AW14">
        <f t="shared" si="7"/>
        <v>2.5200458190148942</v>
      </c>
      <c r="AX14" t="s">
        <v>61</v>
      </c>
      <c r="AZ14">
        <v>92.4</v>
      </c>
      <c r="BA14" t="s">
        <v>62</v>
      </c>
      <c r="BB14">
        <f>(75+69)/2</f>
        <v>72</v>
      </c>
      <c r="BC14">
        <v>88</v>
      </c>
      <c r="BD14">
        <f t="shared" si="8"/>
        <v>4.7619047619047681</v>
      </c>
      <c r="BE14" t="s">
        <v>64</v>
      </c>
      <c r="BF14">
        <f>(66+70)/2</f>
        <v>68</v>
      </c>
      <c r="BG14">
        <v>89.6</v>
      </c>
      <c r="BI14">
        <f>(75+69)/2</f>
        <v>72</v>
      </c>
      <c r="BJ14">
        <f>(184+161)/2</f>
        <v>172.5</v>
      </c>
      <c r="BK14">
        <f>(187+216)/2</f>
        <v>201.5</v>
      </c>
      <c r="BL14">
        <f>(222+194)/2</f>
        <v>208</v>
      </c>
      <c r="BM14">
        <f>(201+189)/2</f>
        <v>195</v>
      </c>
      <c r="BN14">
        <f>(77+58)/2</f>
        <v>67.5</v>
      </c>
      <c r="BO14">
        <f>72+((172.5-72)*0.5)+172.5+((201.5-172.5)*0.5)+201.5+((208-201.5)*0.5)+195+((208-195)*0.5)+67.5+((195-67.5)*0.5)</f>
        <v>846.75</v>
      </c>
      <c r="BQ14">
        <v>1.4930000000000001</v>
      </c>
      <c r="BR14">
        <f t="shared" si="9"/>
        <v>1.615800865800866</v>
      </c>
      <c r="BS14">
        <v>0.53539999999999999</v>
      </c>
      <c r="BT14">
        <f t="shared" si="10"/>
        <v>0.57943722943722942</v>
      </c>
      <c r="BU14">
        <f t="shared" si="11"/>
        <v>2.7885692939858053</v>
      </c>
      <c r="BV14" s="1" t="s">
        <v>138</v>
      </c>
      <c r="BW14" t="s">
        <v>129</v>
      </c>
    </row>
    <row r="15" spans="1:76">
      <c r="A15" s="6" t="s">
        <v>14</v>
      </c>
      <c r="B15" s="2">
        <v>44227</v>
      </c>
      <c r="C15" s="8" t="s">
        <v>66</v>
      </c>
      <c r="D15" s="4">
        <v>75</v>
      </c>
      <c r="E15" s="9">
        <v>39.4</v>
      </c>
      <c r="F15" s="10" t="s">
        <v>27</v>
      </c>
      <c r="G15" s="10">
        <f>(86+79)/2</f>
        <v>82.5</v>
      </c>
      <c r="H15" s="10">
        <v>73.2</v>
      </c>
      <c r="I15" s="10" t="s">
        <v>29</v>
      </c>
      <c r="J15" s="10">
        <f>(46+46)/2</f>
        <v>46</v>
      </c>
      <c r="K15" s="10">
        <v>69.7</v>
      </c>
      <c r="L15" s="10">
        <f t="shared" si="0"/>
        <v>4.7814207650273222</v>
      </c>
      <c r="M15" s="10" t="s">
        <v>36</v>
      </c>
      <c r="N15" s="10">
        <f>(84+68)/2</f>
        <v>76</v>
      </c>
      <c r="O15" s="10">
        <v>77.7</v>
      </c>
      <c r="P15" s="10">
        <f t="shared" si="1"/>
        <v>97.20812182741119</v>
      </c>
      <c r="Q15" s="10" t="s">
        <v>39</v>
      </c>
      <c r="R15" s="10"/>
      <c r="S15" s="10">
        <v>80.2</v>
      </c>
      <c r="T15" s="10" t="s">
        <v>40</v>
      </c>
      <c r="U15" s="10">
        <f>(65+62)/2</f>
        <v>63.5</v>
      </c>
      <c r="V15" s="10">
        <v>75.099999999999994</v>
      </c>
      <c r="W15" s="10">
        <f t="shared" si="2"/>
        <v>6.3591022443890379</v>
      </c>
      <c r="X15" s="10" t="s">
        <v>47</v>
      </c>
      <c r="Y15" s="10">
        <f>(70+71)/2</f>
        <v>70.5</v>
      </c>
      <c r="Z15" s="10">
        <v>84.2</v>
      </c>
      <c r="AA15">
        <f t="shared" si="3"/>
        <v>8.3655083655083651</v>
      </c>
      <c r="AB15" t="s">
        <v>48</v>
      </c>
      <c r="AD15">
        <v>88.5</v>
      </c>
      <c r="AE15" t="s">
        <v>49</v>
      </c>
      <c r="AF15">
        <f>(49+54)/2</f>
        <v>51.5</v>
      </c>
      <c r="AG15">
        <v>84.2</v>
      </c>
      <c r="AH15">
        <f t="shared" si="4"/>
        <v>4.8587570621468892</v>
      </c>
      <c r="AI15" t="s">
        <v>50</v>
      </c>
      <c r="AJ15">
        <f>(55+63)/2</f>
        <v>59</v>
      </c>
      <c r="AK15">
        <v>87.6</v>
      </c>
      <c r="AL15">
        <f t="shared" si="5"/>
        <v>4.0380047505938137</v>
      </c>
      <c r="AM15" t="s">
        <v>55</v>
      </c>
      <c r="AO15">
        <v>89.5</v>
      </c>
      <c r="AP15" t="s">
        <v>56</v>
      </c>
      <c r="AQ15">
        <f>(76+52+52)/3</f>
        <v>60</v>
      </c>
      <c r="AR15">
        <v>84.5</v>
      </c>
      <c r="AS15">
        <f t="shared" si="6"/>
        <v>3.5388127853881213</v>
      </c>
      <c r="AT15" t="s">
        <v>58</v>
      </c>
      <c r="AU15">
        <f>(52+64)/2</f>
        <v>58</v>
      </c>
      <c r="AV15">
        <v>91</v>
      </c>
      <c r="AW15">
        <f t="shared" si="7"/>
        <v>3.8812785388127922</v>
      </c>
      <c r="AX15" t="s">
        <v>61</v>
      </c>
      <c r="AZ15">
        <v>98.3</v>
      </c>
      <c r="BA15" t="s">
        <v>62</v>
      </c>
      <c r="BB15">
        <f>(59+60)/2</f>
        <v>59.5</v>
      </c>
      <c r="BC15">
        <v>94.4</v>
      </c>
      <c r="BD15">
        <f t="shared" si="8"/>
        <v>3.9674465920650985</v>
      </c>
      <c r="BE15" t="s">
        <v>64</v>
      </c>
      <c r="BF15">
        <f>(38+50)/2</f>
        <v>44</v>
      </c>
      <c r="BG15">
        <v>97.5</v>
      </c>
      <c r="BI15">
        <f>(59+60)/2</f>
        <v>59.5</v>
      </c>
      <c r="BJ15">
        <f>(183+229)/2</f>
        <v>206</v>
      </c>
      <c r="BK15">
        <f>(282+325)/2</f>
        <v>303.5</v>
      </c>
      <c r="BL15">
        <f>(343+441)/2</f>
        <v>392</v>
      </c>
      <c r="BM15">
        <f>(410+392)/2</f>
        <v>401</v>
      </c>
      <c r="BN15">
        <f>(92+91)/2</f>
        <v>91.5</v>
      </c>
      <c r="BO15">
        <f>59.5+((206-59.6)*0.5)+206+((303.5-206)*0.5)+303.5+((392-303.5)*0.5)+392+((401-392)*0.5)+91.5+((401-91.5)*0.5)</f>
        <v>1377.95</v>
      </c>
      <c r="BQ15">
        <v>1.2902</v>
      </c>
      <c r="BR15">
        <f t="shared" si="9"/>
        <v>1.3125127161749746</v>
      </c>
      <c r="BS15">
        <v>0.63119999999999998</v>
      </c>
      <c r="BT15">
        <f t="shared" si="10"/>
        <v>0.64211597151576805</v>
      </c>
      <c r="BU15">
        <f t="shared" si="11"/>
        <v>2.04404309252218</v>
      </c>
      <c r="BV15" s="1" t="s">
        <v>138</v>
      </c>
      <c r="BW15" t="s">
        <v>129</v>
      </c>
    </row>
    <row r="16" spans="1:76">
      <c r="A16" s="6" t="s">
        <v>15</v>
      </c>
      <c r="B16" s="2">
        <v>44227</v>
      </c>
      <c r="C16" s="8" t="s">
        <v>66</v>
      </c>
      <c r="D16" s="4">
        <v>72</v>
      </c>
      <c r="E16" s="9">
        <v>41.3</v>
      </c>
      <c r="F16" s="10" t="s">
        <v>27</v>
      </c>
      <c r="G16" s="10">
        <f>(66+88)/2</f>
        <v>77</v>
      </c>
      <c r="H16" s="10">
        <v>75.599999999999994</v>
      </c>
      <c r="I16" s="10" t="s">
        <v>29</v>
      </c>
      <c r="J16" s="10">
        <f>(43+51)/2</f>
        <v>47</v>
      </c>
      <c r="K16" s="10">
        <v>71.400000000000006</v>
      </c>
      <c r="L16" s="10">
        <f t="shared" si="0"/>
        <v>5.5555555555555403</v>
      </c>
      <c r="M16" s="10" t="s">
        <v>36</v>
      </c>
      <c r="N16" s="10">
        <f>(76+88)/2</f>
        <v>82</v>
      </c>
      <c r="O16" s="10">
        <v>78.5</v>
      </c>
      <c r="P16" s="10">
        <f t="shared" si="1"/>
        <v>90.072639225181618</v>
      </c>
      <c r="Q16" s="10" t="s">
        <v>39</v>
      </c>
      <c r="R16" s="10"/>
      <c r="S16" s="10">
        <v>81</v>
      </c>
      <c r="T16" s="10" t="s">
        <v>40</v>
      </c>
      <c r="U16" s="10">
        <f>(65+63)/2</f>
        <v>64</v>
      </c>
      <c r="V16" s="10">
        <v>75.599999999999994</v>
      </c>
      <c r="W16" s="10">
        <f t="shared" si="2"/>
        <v>6.6666666666666732</v>
      </c>
      <c r="X16" s="10" t="s">
        <v>47</v>
      </c>
      <c r="Y16" s="10">
        <f>(80+86)/2</f>
        <v>83</v>
      </c>
      <c r="Z16" s="10">
        <v>82.9</v>
      </c>
      <c r="AA16">
        <f t="shared" si="3"/>
        <v>5.6050955414012806</v>
      </c>
      <c r="AB16" t="s">
        <v>48</v>
      </c>
      <c r="AD16">
        <v>85.7</v>
      </c>
      <c r="AE16" t="s">
        <v>49</v>
      </c>
      <c r="AF16">
        <f>(56+57)/2</f>
        <v>56.5</v>
      </c>
      <c r="AG16">
        <v>82.1</v>
      </c>
      <c r="AH16">
        <f t="shared" si="4"/>
        <v>4.2007001166861242</v>
      </c>
      <c r="AI16" t="s">
        <v>50</v>
      </c>
      <c r="AJ16">
        <f>(73+66)/2</f>
        <v>69.5</v>
      </c>
      <c r="AK16">
        <v>87.2</v>
      </c>
      <c r="AL16">
        <f t="shared" si="5"/>
        <v>5.186972255729791</v>
      </c>
      <c r="AM16" t="s">
        <v>55</v>
      </c>
      <c r="AO16">
        <v>90.4</v>
      </c>
      <c r="AP16" t="s">
        <v>56</v>
      </c>
      <c r="AQ16">
        <f>(55+58)/2</f>
        <v>56.5</v>
      </c>
      <c r="AR16">
        <v>85.4</v>
      </c>
      <c r="AS16">
        <f t="shared" si="6"/>
        <v>2.0642201834862353</v>
      </c>
      <c r="AT16" t="s">
        <v>58</v>
      </c>
      <c r="AU16">
        <f>(61+70)/2</f>
        <v>65.5</v>
      </c>
      <c r="AV16">
        <v>91.3</v>
      </c>
      <c r="AW16">
        <f t="shared" si="7"/>
        <v>4.7018348623853141</v>
      </c>
      <c r="AX16" t="s">
        <v>61</v>
      </c>
      <c r="AZ16">
        <v>94.5</v>
      </c>
      <c r="BA16" t="s">
        <v>62</v>
      </c>
      <c r="BB16">
        <f>(48+52)/2</f>
        <v>50</v>
      </c>
      <c r="BC16">
        <v>89.4</v>
      </c>
      <c r="BD16">
        <f t="shared" si="8"/>
        <v>5.396825396825391</v>
      </c>
      <c r="BE16" t="s">
        <v>64</v>
      </c>
      <c r="BF16">
        <f>(63+67)/2</f>
        <v>65</v>
      </c>
      <c r="BG16">
        <v>92.3</v>
      </c>
      <c r="BI16">
        <f>(48+52)/2</f>
        <v>50</v>
      </c>
      <c r="BJ16">
        <f>(127+152)/2</f>
        <v>139.5</v>
      </c>
      <c r="BK16">
        <f>(223+219)/2</f>
        <v>221</v>
      </c>
      <c r="BL16">
        <f>(274+263)/2</f>
        <v>268.5</v>
      </c>
      <c r="BM16">
        <f>(296+305)/2</f>
        <v>300.5</v>
      </c>
      <c r="BN16">
        <f>(70+84)/2</f>
        <v>77</v>
      </c>
      <c r="BO16">
        <f>50+((139.5-50)*0.5)+139.5+((221-139.5)*0.5)+221+((268.5-221)*0.5)+268.5+((300.5-268.5)*0.5)+77+((300.5-77)*0.5)</f>
        <v>993</v>
      </c>
      <c r="BQ16">
        <v>1.1374</v>
      </c>
      <c r="BR16">
        <f t="shared" si="9"/>
        <v>1.2035978835978836</v>
      </c>
      <c r="BS16">
        <v>0.54620000000000002</v>
      </c>
      <c r="BT16">
        <f t="shared" si="10"/>
        <v>0.57798941798941805</v>
      </c>
      <c r="BU16">
        <f t="shared" si="11"/>
        <v>2.0823874038813619</v>
      </c>
      <c r="BV16" t="s">
        <v>138</v>
      </c>
      <c r="BW16" s="1" t="s">
        <v>127</v>
      </c>
    </row>
    <row r="17" spans="1:75">
      <c r="A17" s="6" t="s">
        <v>16</v>
      </c>
      <c r="B17" s="2">
        <v>44227</v>
      </c>
      <c r="C17" s="8" t="s">
        <v>66</v>
      </c>
      <c r="D17" s="4">
        <v>78</v>
      </c>
      <c r="E17" s="9">
        <v>40.200000000000003</v>
      </c>
      <c r="F17" s="10" t="s">
        <v>27</v>
      </c>
      <c r="G17" s="31">
        <f>(184+231+180)/3</f>
        <v>198.33333333333334</v>
      </c>
      <c r="H17" s="10">
        <v>76.7</v>
      </c>
      <c r="I17" s="10" t="s">
        <v>29</v>
      </c>
      <c r="J17" s="10">
        <f>(44+55)/2</f>
        <v>49.5</v>
      </c>
      <c r="K17" s="10">
        <v>73.5</v>
      </c>
      <c r="L17" s="10">
        <f t="shared" si="0"/>
        <v>4.1720990873533284</v>
      </c>
      <c r="M17" s="10" t="s">
        <v>36</v>
      </c>
      <c r="N17" s="31">
        <f>(193+173)/2</f>
        <v>183</v>
      </c>
      <c r="O17" s="10">
        <v>80</v>
      </c>
      <c r="P17" s="10">
        <f t="shared" si="1"/>
        <v>99.004975124378092</v>
      </c>
      <c r="Q17" s="10" t="s">
        <v>39</v>
      </c>
      <c r="R17" s="10"/>
      <c r="S17" s="10">
        <v>82.9</v>
      </c>
      <c r="T17" s="10" t="s">
        <v>40</v>
      </c>
      <c r="U17" s="10">
        <f>(56+67)/2</f>
        <v>61.5</v>
      </c>
      <c r="V17" s="10">
        <v>78.2</v>
      </c>
      <c r="W17" s="10">
        <f t="shared" si="2"/>
        <v>5.6694813027744306</v>
      </c>
      <c r="X17" s="10" t="s">
        <v>47</v>
      </c>
      <c r="Y17" s="10">
        <f>(68+75)/2</f>
        <v>71.5</v>
      </c>
      <c r="Z17" s="10">
        <v>85.1</v>
      </c>
      <c r="AA17">
        <f t="shared" si="3"/>
        <v>6.3749999999999929</v>
      </c>
      <c r="AB17" t="s">
        <v>48</v>
      </c>
      <c r="AD17">
        <v>88.4</v>
      </c>
      <c r="AE17" t="s">
        <v>49</v>
      </c>
      <c r="AF17">
        <f>(63+62)/2</f>
        <v>62.5</v>
      </c>
      <c r="AG17">
        <v>82.3</v>
      </c>
      <c r="AH17">
        <f t="shared" si="4"/>
        <v>6.900452488687792</v>
      </c>
      <c r="AI17" t="s">
        <v>50</v>
      </c>
      <c r="AJ17">
        <f>(69+66)/2</f>
        <v>67.5</v>
      </c>
      <c r="AK17">
        <v>89.5</v>
      </c>
      <c r="AL17">
        <f t="shared" si="5"/>
        <v>5.1703877790834376</v>
      </c>
      <c r="AM17" t="s">
        <v>55</v>
      </c>
      <c r="AO17">
        <v>93.4</v>
      </c>
      <c r="AP17" t="s">
        <v>56</v>
      </c>
      <c r="AQ17">
        <f>(48+60)/2</f>
        <v>54</v>
      </c>
      <c r="AR17">
        <v>87.4</v>
      </c>
      <c r="AS17">
        <f t="shared" si="6"/>
        <v>2.3463687150837926</v>
      </c>
      <c r="AT17" t="s">
        <v>58</v>
      </c>
      <c r="AU17">
        <f>(97+128+70)/3</f>
        <v>98.333333333333329</v>
      </c>
      <c r="AV17">
        <v>93.9</v>
      </c>
      <c r="AW17">
        <f t="shared" si="7"/>
        <v>4.9162011173184421</v>
      </c>
      <c r="AX17" t="s">
        <v>61</v>
      </c>
      <c r="AZ17">
        <v>98</v>
      </c>
      <c r="BA17" t="s">
        <v>62</v>
      </c>
      <c r="BB17">
        <f>(50+46)/2</f>
        <v>48</v>
      </c>
      <c r="BC17">
        <v>91.6</v>
      </c>
      <c r="BD17">
        <f t="shared" si="8"/>
        <v>6.5306122448979655</v>
      </c>
      <c r="BE17" t="s">
        <v>64</v>
      </c>
      <c r="BF17">
        <f>(68+72)/2</f>
        <v>70</v>
      </c>
      <c r="BG17">
        <v>94.4</v>
      </c>
      <c r="BI17">
        <f>(50+46)/2</f>
        <v>48</v>
      </c>
      <c r="BJ17">
        <f>(121+149)/2</f>
        <v>135</v>
      </c>
      <c r="BK17">
        <f>(202+189)/2</f>
        <v>195.5</v>
      </c>
      <c r="BL17">
        <f>(205+270)/2</f>
        <v>237.5</v>
      </c>
      <c r="BM17">
        <f>(189+249)/2</f>
        <v>219</v>
      </c>
      <c r="BN17">
        <f>(59+68)/2</f>
        <v>63.5</v>
      </c>
      <c r="BO17">
        <f>48+((135-48)*0.5)+135+((195.5-135)*0.5)+195.5+((237.5-195.5)*0.5)+219+((237.5-219)*0.5)+63.5+((219-63.5)*0.5)</f>
        <v>842.75</v>
      </c>
      <c r="BQ17">
        <v>1.5392999999999999</v>
      </c>
      <c r="BR17">
        <f t="shared" si="9"/>
        <v>1.5707142857142857</v>
      </c>
      <c r="BS17">
        <v>0.64100000000000001</v>
      </c>
      <c r="BT17">
        <f t="shared" si="10"/>
        <v>0.65408163265306118</v>
      </c>
      <c r="BU17">
        <f t="shared" si="11"/>
        <v>2.4014040561622467</v>
      </c>
      <c r="BV17" t="s">
        <v>138</v>
      </c>
      <c r="BW17" t="s">
        <v>129</v>
      </c>
    </row>
    <row r="18" spans="1:75" s="43" customFormat="1">
      <c r="A18" s="38" t="s">
        <v>17</v>
      </c>
      <c r="B18" s="40">
        <v>44227</v>
      </c>
      <c r="C18" s="40" t="s">
        <v>66</v>
      </c>
      <c r="D18" s="41">
        <v>81</v>
      </c>
      <c r="E18" s="42">
        <v>42.7</v>
      </c>
      <c r="F18" s="43" t="s">
        <v>27</v>
      </c>
      <c r="G18" s="43">
        <f>(91+96)/2</f>
        <v>93.5</v>
      </c>
      <c r="H18" s="43">
        <v>79.400000000000006</v>
      </c>
      <c r="I18" s="43" t="s">
        <v>29</v>
      </c>
      <c r="J18" s="43">
        <f>(45+57)/2</f>
        <v>51</v>
      </c>
      <c r="K18" s="43">
        <v>76.599999999999994</v>
      </c>
      <c r="L18" s="43">
        <f t="shared" si="0"/>
        <v>3.5264483627204171</v>
      </c>
      <c r="M18" s="43" t="s">
        <v>36</v>
      </c>
      <c r="N18" s="43">
        <f>(80+88)/2</f>
        <v>84</v>
      </c>
      <c r="O18" s="43">
        <v>82.5</v>
      </c>
      <c r="P18" s="43">
        <f t="shared" si="1"/>
        <v>93.208430913348934</v>
      </c>
      <c r="Q18" s="43" t="s">
        <v>39</v>
      </c>
      <c r="S18" s="43">
        <v>85.4</v>
      </c>
      <c r="T18" s="43" t="s">
        <v>40</v>
      </c>
      <c r="U18" s="43">
        <f>(59+62)/2</f>
        <v>60.5</v>
      </c>
      <c r="V18" s="43">
        <v>81.599999999999994</v>
      </c>
      <c r="W18" s="43">
        <f t="shared" si="2"/>
        <v>4.4496487119438068</v>
      </c>
      <c r="X18" s="43" t="s">
        <v>47</v>
      </c>
      <c r="Y18" s="43">
        <f>(74+70+76)/3</f>
        <v>73.333333333333329</v>
      </c>
      <c r="Z18" s="43">
        <v>87.6</v>
      </c>
      <c r="AA18" s="43">
        <f t="shared" si="3"/>
        <v>6.1818181818181754</v>
      </c>
      <c r="AB18" s="43" t="s">
        <v>48</v>
      </c>
      <c r="AD18" s="43">
        <v>91.7</v>
      </c>
      <c r="AE18" s="43" t="s">
        <v>49</v>
      </c>
      <c r="AF18" s="43">
        <f>(54+56)/2</f>
        <v>55</v>
      </c>
      <c r="AG18" s="43">
        <v>85.9</v>
      </c>
      <c r="AH18" s="43">
        <f t="shared" si="4"/>
        <v>6.3249727371864743</v>
      </c>
      <c r="AI18" s="43" t="s">
        <v>50</v>
      </c>
      <c r="AJ18" s="43">
        <f>(78+76)/2</f>
        <v>77</v>
      </c>
      <c r="AK18" s="43">
        <v>90.9</v>
      </c>
      <c r="AL18" s="43">
        <f t="shared" si="5"/>
        <v>3.7671232876712457</v>
      </c>
      <c r="AM18" s="43" t="s">
        <v>55</v>
      </c>
      <c r="AO18" s="43">
        <v>95</v>
      </c>
      <c r="AP18" s="43" t="s">
        <v>56</v>
      </c>
      <c r="AQ18" s="43">
        <f>(58+58)/2</f>
        <v>58</v>
      </c>
      <c r="AR18" s="43">
        <v>89.2</v>
      </c>
      <c r="AS18" s="43">
        <f t="shared" si="6"/>
        <v>1.8701870187018732</v>
      </c>
      <c r="AT18" s="43" t="s">
        <v>58</v>
      </c>
      <c r="AU18" s="43">
        <f>(66+71)/2</f>
        <v>68.5</v>
      </c>
      <c r="AV18" s="43">
        <v>94.8</v>
      </c>
      <c r="AW18" s="43">
        <f t="shared" si="7"/>
        <v>4.2904290429042806</v>
      </c>
      <c r="AX18" s="43" t="s">
        <v>61</v>
      </c>
      <c r="AZ18" s="43">
        <v>98.3</v>
      </c>
      <c r="BA18" s="43" t="s">
        <v>62</v>
      </c>
      <c r="BB18" s="43">
        <f>(44+42)/2</f>
        <v>43</v>
      </c>
      <c r="BC18" s="43">
        <v>95.6</v>
      </c>
      <c r="BD18" s="43">
        <f t="shared" si="8"/>
        <v>2.7466937945066152</v>
      </c>
      <c r="BE18" s="43" t="s">
        <v>64</v>
      </c>
      <c r="BF18" s="43">
        <f>(49+74)/2</f>
        <v>61.5</v>
      </c>
      <c r="BG18" s="43">
        <v>94.8</v>
      </c>
      <c r="BI18" s="43">
        <f>(44+42)/2</f>
        <v>43</v>
      </c>
      <c r="BJ18" s="43">
        <f>(92+79)/2</f>
        <v>85.5</v>
      </c>
      <c r="BK18" s="43">
        <f>(421+470)/2</f>
        <v>445.5</v>
      </c>
      <c r="BL18" s="43">
        <f>(436+530)/2</f>
        <v>483</v>
      </c>
      <c r="BM18" s="43">
        <f>(435+600)/2</f>
        <v>517.5</v>
      </c>
      <c r="BN18" s="43">
        <f>(130+109)/2</f>
        <v>119.5</v>
      </c>
      <c r="BO18" s="43" t="s">
        <v>148</v>
      </c>
      <c r="BQ18" s="43">
        <v>1.7470000000000001</v>
      </c>
      <c r="BR18" s="43">
        <f t="shared" si="9"/>
        <v>1.7772126144455749</v>
      </c>
      <c r="BS18" s="43">
        <v>0.64119999999999999</v>
      </c>
      <c r="BT18" s="43">
        <f t="shared" si="10"/>
        <v>0.65228891149542223</v>
      </c>
      <c r="BU18" s="43">
        <f t="shared" si="11"/>
        <v>2.7245789145352464</v>
      </c>
      <c r="BV18" s="43" t="s">
        <v>138</v>
      </c>
      <c r="BW18" s="43" t="s">
        <v>134</v>
      </c>
    </row>
    <row r="19" spans="1:75">
      <c r="A19" s="7" t="s">
        <v>18</v>
      </c>
      <c r="B19" s="2">
        <v>44227</v>
      </c>
      <c r="C19" s="8" t="s">
        <v>66</v>
      </c>
      <c r="D19" s="4">
        <v>70</v>
      </c>
      <c r="E19" s="9">
        <v>45.1</v>
      </c>
      <c r="F19" s="10" t="s">
        <v>27</v>
      </c>
      <c r="G19" s="31">
        <f>(160+150)/2</f>
        <v>155</v>
      </c>
      <c r="H19" s="10">
        <v>86.5</v>
      </c>
      <c r="I19" s="10" t="s">
        <v>29</v>
      </c>
      <c r="J19" s="10">
        <f>(39+40)/2</f>
        <v>39.5</v>
      </c>
      <c r="K19" s="10">
        <v>83</v>
      </c>
      <c r="L19" s="10">
        <f t="shared" si="0"/>
        <v>4.0462427745664744</v>
      </c>
      <c r="M19" s="10" t="s">
        <v>36</v>
      </c>
      <c r="N19" s="11">
        <f>(207+201)/2</f>
        <v>204</v>
      </c>
      <c r="O19" s="10">
        <v>93.2</v>
      </c>
      <c r="P19" s="10">
        <f t="shared" si="1"/>
        <v>106.65188470066518</v>
      </c>
      <c r="Q19" s="10" t="s">
        <v>39</v>
      </c>
      <c r="R19" s="10"/>
      <c r="S19" s="10">
        <v>94.7</v>
      </c>
      <c r="T19" s="10" t="s">
        <v>40</v>
      </c>
      <c r="U19" s="10">
        <f>(60+50)/2</f>
        <v>55</v>
      </c>
      <c r="V19" s="10">
        <v>88.5</v>
      </c>
      <c r="W19" s="10">
        <f t="shared" si="2"/>
        <v>6.5469904963041214</v>
      </c>
      <c r="X19" s="10" t="s">
        <v>47</v>
      </c>
      <c r="Y19" s="11">
        <f>(297+303)/2</f>
        <v>300</v>
      </c>
      <c r="Z19" s="10">
        <v>95.4</v>
      </c>
      <c r="AA19">
        <f t="shared" si="3"/>
        <v>2.3605150214592303</v>
      </c>
      <c r="AB19" t="s">
        <v>48</v>
      </c>
      <c r="AD19">
        <v>98.5</v>
      </c>
      <c r="AE19" t="s">
        <v>49</v>
      </c>
      <c r="AF19" s="32">
        <f>(79+69+81)/3</f>
        <v>76.333333333333329</v>
      </c>
      <c r="AG19">
        <v>93.6</v>
      </c>
      <c r="AH19">
        <f t="shared" si="4"/>
        <v>4.9746192893401071</v>
      </c>
      <c r="AI19" t="s">
        <v>50</v>
      </c>
      <c r="AJ19">
        <f>(75+82)/2</f>
        <v>78.5</v>
      </c>
      <c r="AK19">
        <v>93.1</v>
      </c>
      <c r="AL19" s="14">
        <f t="shared" si="5"/>
        <v>-2.4109014675052531</v>
      </c>
      <c r="AM19" t="s">
        <v>55</v>
      </c>
      <c r="AO19">
        <v>97.4</v>
      </c>
      <c r="AP19" t="s">
        <v>56</v>
      </c>
      <c r="AQ19">
        <f>(64+77+49)/3</f>
        <v>63.333333333333336</v>
      </c>
      <c r="AR19">
        <v>90.5</v>
      </c>
      <c r="AS19">
        <f t="shared" si="6"/>
        <v>2.7926960257787266</v>
      </c>
      <c r="AT19" t="s">
        <v>58</v>
      </c>
      <c r="AU19" s="1">
        <f>(292+298)/2</f>
        <v>295</v>
      </c>
      <c r="AV19">
        <v>99.3</v>
      </c>
      <c r="AW19">
        <f t="shared" si="7"/>
        <v>6.6595059076262118</v>
      </c>
      <c r="AX19" t="s">
        <v>61</v>
      </c>
      <c r="AZ19">
        <v>104.4</v>
      </c>
      <c r="BA19" t="s">
        <v>62</v>
      </c>
      <c r="BB19">
        <f>(65+52)/2</f>
        <v>58.5</v>
      </c>
      <c r="BC19">
        <v>98.8</v>
      </c>
      <c r="BD19">
        <f t="shared" si="8"/>
        <v>5.3639846743295099</v>
      </c>
      <c r="BE19" t="s">
        <v>64</v>
      </c>
      <c r="BF19">
        <f>(89+102)/2</f>
        <v>95.5</v>
      </c>
      <c r="BG19">
        <v>100.6</v>
      </c>
      <c r="BI19">
        <f>(65+52)/2</f>
        <v>58.5</v>
      </c>
      <c r="BJ19">
        <f>(176+196)/2</f>
        <v>186</v>
      </c>
      <c r="BK19">
        <f>(261+236)/2</f>
        <v>248.5</v>
      </c>
      <c r="BL19">
        <f>(289+316)/2</f>
        <v>302.5</v>
      </c>
      <c r="BM19">
        <f>(444+527)/2</f>
        <v>485.5</v>
      </c>
      <c r="BN19">
        <f>(308+290)/2</f>
        <v>299</v>
      </c>
      <c r="BO19">
        <f>58.5+((186-58.5)*0.5)+186+((248.5-186)*0.5)+248.5+((302.5-248.5)*0.5)+302.5+((485.5-302.5)*0.5)+299+((485.5-299)*0.5)</f>
        <v>1401.25</v>
      </c>
      <c r="BQ19">
        <v>1.1691</v>
      </c>
      <c r="BR19">
        <f t="shared" si="9"/>
        <v>1.1198275862068965</v>
      </c>
      <c r="BS19">
        <v>0.60140000000000005</v>
      </c>
      <c r="BT19">
        <f t="shared" si="10"/>
        <v>0.57605363984674329</v>
      </c>
      <c r="BU19">
        <f t="shared" si="11"/>
        <v>1.9439640838044561</v>
      </c>
      <c r="BV19" t="s">
        <v>138</v>
      </c>
      <c r="BW19" t="s">
        <v>129</v>
      </c>
    </row>
    <row r="20" spans="1:75" s="43" customFormat="1">
      <c r="A20" s="37" t="s">
        <v>19</v>
      </c>
      <c r="B20" s="40">
        <v>44228</v>
      </c>
      <c r="C20" s="40" t="s">
        <v>66</v>
      </c>
      <c r="D20" s="41">
        <v>58</v>
      </c>
      <c r="E20" s="42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43">
        <v>85</v>
      </c>
      <c r="L20" s="43">
        <f t="shared" si="0"/>
        <v>5.2396878483835039</v>
      </c>
      <c r="M20" s="43" t="s">
        <v>36</v>
      </c>
      <c r="N20" s="43">
        <f>(74+51)/2</f>
        <v>62.5</v>
      </c>
      <c r="O20" s="43">
        <v>92.4</v>
      </c>
      <c r="P20" s="43">
        <f t="shared" si="1"/>
        <v>124.27184466019416</v>
      </c>
      <c r="Q20" s="43" t="s">
        <v>39</v>
      </c>
      <c r="S20" s="43">
        <v>94.2</v>
      </c>
      <c r="T20" s="43" t="s">
        <v>40</v>
      </c>
      <c r="U20" s="43">
        <f>(58+58)/2</f>
        <v>58</v>
      </c>
      <c r="V20" s="43">
        <v>89.4</v>
      </c>
      <c r="W20" s="43">
        <f t="shared" si="2"/>
        <v>5.0955414012738824</v>
      </c>
      <c r="X20" s="43" t="s">
        <v>47</v>
      </c>
      <c r="Y20" s="43">
        <f>(82+75)/2</f>
        <v>78.5</v>
      </c>
      <c r="Z20" s="43">
        <v>95.9</v>
      </c>
      <c r="AA20" s="43">
        <f t="shared" si="3"/>
        <v>3.7878787878787881</v>
      </c>
      <c r="AB20" s="43" t="s">
        <v>48</v>
      </c>
      <c r="AD20" s="43" t="s">
        <v>137</v>
      </c>
      <c r="AE20" s="43" t="s">
        <v>49</v>
      </c>
      <c r="AI20" s="43" t="s">
        <v>50</v>
      </c>
      <c r="AM20" s="43" t="s">
        <v>55</v>
      </c>
      <c r="AP20" s="43" t="s">
        <v>56</v>
      </c>
      <c r="AT20" s="43" t="s">
        <v>58</v>
      </c>
      <c r="AX20" s="43" t="s">
        <v>61</v>
      </c>
      <c r="BA20" s="43" t="s">
        <v>62</v>
      </c>
      <c r="BE20" s="43" t="s">
        <v>64</v>
      </c>
    </row>
    <row r="21" spans="1:75">
      <c r="A21" s="6" t="s">
        <v>20</v>
      </c>
      <c r="B21" s="2">
        <v>44228</v>
      </c>
      <c r="C21" s="8" t="s">
        <v>66</v>
      </c>
      <c r="D21" s="4">
        <v>73</v>
      </c>
      <c r="E21" s="9">
        <v>41</v>
      </c>
      <c r="F21" s="10" t="s">
        <v>27</v>
      </c>
      <c r="G21" s="11">
        <f>(412+373)/2</f>
        <v>392.5</v>
      </c>
      <c r="H21" s="10">
        <v>93.1</v>
      </c>
      <c r="I21" s="10" t="s">
        <v>29</v>
      </c>
      <c r="J21" s="10">
        <f>(33+58+40+32)/4</f>
        <v>40.75</v>
      </c>
      <c r="K21" s="10">
        <v>88.2</v>
      </c>
      <c r="L21" s="10">
        <f t="shared" si="0"/>
        <v>5.2631578947368336</v>
      </c>
      <c r="M21" s="10" t="s">
        <v>36</v>
      </c>
      <c r="N21" s="11">
        <f>(416+503)/2</f>
        <v>459.5</v>
      </c>
      <c r="O21" s="10">
        <v>96</v>
      </c>
      <c r="P21" s="10">
        <f t="shared" si="1"/>
        <v>134.14634146341464</v>
      </c>
      <c r="Q21" s="10" t="s">
        <v>39</v>
      </c>
      <c r="R21" s="10"/>
      <c r="S21" s="10">
        <v>98.7</v>
      </c>
      <c r="T21" s="10" t="s">
        <v>40</v>
      </c>
      <c r="U21" s="10">
        <f>(43+43)/2</f>
        <v>43</v>
      </c>
      <c r="V21" s="10">
        <v>92.4</v>
      </c>
      <c r="W21" s="10">
        <f t="shared" si="2"/>
        <v>6.3829787234042517</v>
      </c>
      <c r="X21" s="10" t="s">
        <v>47</v>
      </c>
      <c r="Y21" s="11">
        <f>(264+443+321)/3</f>
        <v>342.66666666666669</v>
      </c>
      <c r="Z21" s="10">
        <v>102.2</v>
      </c>
      <c r="AA21">
        <f t="shared" si="3"/>
        <v>6.4583333333333366</v>
      </c>
      <c r="AB21" t="s">
        <v>48</v>
      </c>
      <c r="AD21">
        <v>108</v>
      </c>
      <c r="AE21" t="s">
        <v>49</v>
      </c>
      <c r="AF21">
        <f>(49+40)/2</f>
        <v>44.5</v>
      </c>
      <c r="AG21">
        <v>100.7</v>
      </c>
      <c r="AH21">
        <f t="shared" si="4"/>
        <v>6.7592592592592569</v>
      </c>
      <c r="AI21" t="s">
        <v>50</v>
      </c>
      <c r="AJ21" s="1">
        <f>(321+383)/2</f>
        <v>352</v>
      </c>
      <c r="AK21">
        <v>107.8</v>
      </c>
      <c r="AL21">
        <f t="shared" si="5"/>
        <v>5.4794520547945149</v>
      </c>
      <c r="AM21" t="s">
        <v>55</v>
      </c>
      <c r="AO21">
        <v>109.5</v>
      </c>
      <c r="AP21" t="s">
        <v>56</v>
      </c>
      <c r="AQ21">
        <f>(66+73+58+69)/4</f>
        <v>66.5</v>
      </c>
      <c r="AR21">
        <v>102</v>
      </c>
      <c r="AS21">
        <f t="shared" si="6"/>
        <v>5.3803339517625206</v>
      </c>
      <c r="AT21" t="s">
        <v>58</v>
      </c>
      <c r="AU21" s="34">
        <f>(443+568)/2</f>
        <v>505.5</v>
      </c>
      <c r="AV21">
        <v>109.7</v>
      </c>
      <c r="AW21">
        <f t="shared" si="7"/>
        <v>1.7625231910946251</v>
      </c>
      <c r="AX21" t="s">
        <v>61</v>
      </c>
      <c r="AZ21">
        <v>110.5</v>
      </c>
      <c r="BA21" t="s">
        <v>62</v>
      </c>
      <c r="BB21">
        <f>(63+66)/2</f>
        <v>64.5</v>
      </c>
      <c r="BC21">
        <v>104</v>
      </c>
      <c r="BD21">
        <f t="shared" si="8"/>
        <v>5.8823529411764701</v>
      </c>
      <c r="BE21" t="s">
        <v>64</v>
      </c>
      <c r="BF21" t="s">
        <v>149</v>
      </c>
      <c r="BG21" t="s">
        <v>149</v>
      </c>
      <c r="BI21">
        <f>(63+66)/2</f>
        <v>64.5</v>
      </c>
      <c r="BJ21">
        <f>(208+225)/2</f>
        <v>216.5</v>
      </c>
      <c r="BK21">
        <f>(506+533)/2</f>
        <v>519.5</v>
      </c>
      <c r="BL21">
        <f>(573+591)/2</f>
        <v>582</v>
      </c>
      <c r="BM21" s="1">
        <f>(574+600)/2</f>
        <v>587</v>
      </c>
      <c r="BN21">
        <f>(299+319)/2</f>
        <v>309</v>
      </c>
      <c r="BO21">
        <f>64.5+((216.5=64.5)*0.5)+216.5+((519.5-216.5)*0.5)+519.5+((582-519.5)*0.5)+582+((587-582)*0.5)+309+((587-309)*0.5)</f>
        <v>2015.75</v>
      </c>
      <c r="BQ21">
        <v>0.92620000000000002</v>
      </c>
      <c r="BR21">
        <f t="shared" si="9"/>
        <v>0.83819004524886886</v>
      </c>
      <c r="BS21">
        <v>0.62160000000000004</v>
      </c>
      <c r="BT21">
        <f t="shared" si="10"/>
        <v>0.5625339366515838</v>
      </c>
      <c r="BU21">
        <f t="shared" si="11"/>
        <v>1.49002574002574</v>
      </c>
      <c r="BV21" t="s">
        <v>131</v>
      </c>
      <c r="BW21" s="1" t="s">
        <v>133</v>
      </c>
    </row>
    <row r="22" spans="1:75">
      <c r="A22" s="7" t="s">
        <v>21</v>
      </c>
      <c r="B22" s="2">
        <v>44228</v>
      </c>
      <c r="C22" s="8" t="s">
        <v>66</v>
      </c>
      <c r="D22" s="4">
        <v>77</v>
      </c>
      <c r="E22" s="9">
        <v>48</v>
      </c>
      <c r="F22" s="10" t="s">
        <v>27</v>
      </c>
      <c r="G22" s="11">
        <f>(266+237)/2</f>
        <v>251.5</v>
      </c>
      <c r="H22" s="10">
        <v>98.2</v>
      </c>
      <c r="I22" s="10" t="s">
        <v>29</v>
      </c>
      <c r="J22" s="10">
        <f>(31+54+33)/3</f>
        <v>39.333333333333336</v>
      </c>
      <c r="K22" s="10">
        <v>95</v>
      </c>
      <c r="L22" s="10">
        <f t="shared" si="0"/>
        <v>3.2586558044806542</v>
      </c>
      <c r="M22" s="10" t="s">
        <v>36</v>
      </c>
      <c r="N22" s="11">
        <f>(277+322)/2</f>
        <v>299.5</v>
      </c>
      <c r="O22" s="10">
        <v>104.2</v>
      </c>
      <c r="P22" s="10">
        <f t="shared" si="1"/>
        <v>117.08333333333334</v>
      </c>
      <c r="Q22" s="10" t="s">
        <v>39</v>
      </c>
      <c r="R22" s="10"/>
      <c r="S22" s="10">
        <v>105.5</v>
      </c>
      <c r="T22" s="10" t="s">
        <v>40</v>
      </c>
      <c r="U22" s="10">
        <f>(38+44)/2</f>
        <v>41</v>
      </c>
      <c r="V22" s="10">
        <v>99</v>
      </c>
      <c r="W22" s="10">
        <f t="shared" si="2"/>
        <v>6.1611374407582939</v>
      </c>
      <c r="X22" s="10" t="s">
        <v>47</v>
      </c>
      <c r="Y22" s="11">
        <f>(224+231)/2</f>
        <v>227.5</v>
      </c>
      <c r="Z22" s="10">
        <v>109.6</v>
      </c>
      <c r="AA22">
        <f t="shared" si="3"/>
        <v>5.182341650671777</v>
      </c>
      <c r="AB22" t="s">
        <v>48</v>
      </c>
      <c r="AD22">
        <v>114.3</v>
      </c>
      <c r="AE22" t="s">
        <v>49</v>
      </c>
      <c r="AF22">
        <f>(38+49+43)/3</f>
        <v>43.333333333333336</v>
      </c>
      <c r="AG22">
        <v>107.9</v>
      </c>
      <c r="AH22">
        <f t="shared" si="4"/>
        <v>5.5993000874890564</v>
      </c>
      <c r="AI22" t="s">
        <v>50</v>
      </c>
      <c r="AJ22" s="1">
        <f>(272+344)/2</f>
        <v>308</v>
      </c>
      <c r="AK22">
        <v>116.6</v>
      </c>
      <c r="AL22">
        <f t="shared" si="5"/>
        <v>6.3868613138686134</v>
      </c>
      <c r="AM22" t="s">
        <v>55</v>
      </c>
      <c r="AO22">
        <v>117.6</v>
      </c>
      <c r="AP22" t="s">
        <v>56</v>
      </c>
      <c r="AQ22">
        <f>(37+57)/2</f>
        <v>47</v>
      </c>
      <c r="AR22">
        <v>111.9</v>
      </c>
      <c r="AS22">
        <f t="shared" si="6"/>
        <v>4.0308747855917568</v>
      </c>
      <c r="AT22" t="s">
        <v>58</v>
      </c>
      <c r="AU22" s="1">
        <f>(309+368)/2</f>
        <v>338.5</v>
      </c>
      <c r="AV22">
        <v>112.9</v>
      </c>
      <c r="AW22">
        <f t="shared" si="7"/>
        <v>-3.1732418524871258</v>
      </c>
      <c r="AX22" t="s">
        <v>61</v>
      </c>
      <c r="AZ22">
        <v>121.3</v>
      </c>
      <c r="BA22" t="s">
        <v>62</v>
      </c>
      <c r="BB22">
        <f>(52+45)/2</f>
        <v>48.5</v>
      </c>
      <c r="BC22">
        <v>113.8</v>
      </c>
      <c r="BD22">
        <f t="shared" si="8"/>
        <v>6.1830173124484755</v>
      </c>
      <c r="BE22" t="s">
        <v>64</v>
      </c>
      <c r="BF22" t="s">
        <v>149</v>
      </c>
      <c r="BG22" t="s">
        <v>149</v>
      </c>
      <c r="BI22">
        <f>(52+45)/2</f>
        <v>48.5</v>
      </c>
      <c r="BJ22">
        <f>(223+210)/2</f>
        <v>216.5</v>
      </c>
      <c r="BK22">
        <f>(480+475)/2</f>
        <v>477.5</v>
      </c>
      <c r="BL22">
        <f>(342+345)/2</f>
        <v>343.5</v>
      </c>
      <c r="BM22" s="1">
        <f>(588+489)/2</f>
        <v>538.5</v>
      </c>
      <c r="BN22">
        <f>276</f>
        <v>276</v>
      </c>
      <c r="BO22">
        <f>48.5+((216.5-48.5)*0.5)+216.5+((477.5-216.5)*0.5)+343.5+((477.5-343.5)*0.5)+343.5+((538.5-343.5)*0.5)+276+((538.5-276)*0.5)</f>
        <v>1738.25</v>
      </c>
      <c r="BQ22">
        <v>1.7053</v>
      </c>
      <c r="BR22">
        <f t="shared" si="9"/>
        <v>1.405853256389118</v>
      </c>
      <c r="BS22">
        <v>0.878</v>
      </c>
      <c r="BT22">
        <f t="shared" si="10"/>
        <v>0.72382522671063476</v>
      </c>
      <c r="BU22">
        <f t="shared" si="11"/>
        <v>1.9422551252847382</v>
      </c>
      <c r="BV22" t="s">
        <v>131</v>
      </c>
      <c r="BW22" t="s">
        <v>134</v>
      </c>
    </row>
    <row r="23" spans="1:75">
      <c r="D23" s="4"/>
    </row>
    <row r="24" spans="1:75">
      <c r="D24" s="4"/>
      <c r="J24">
        <f>AVERAGE(J4:J22)</f>
        <v>62.85526315789474</v>
      </c>
      <c r="N24">
        <f>AVERAGE(N4:N22)</f>
        <v>213.59649122807019</v>
      </c>
      <c r="U24">
        <f>AVERAGE(U4:U22)</f>
        <v>58.478070175438603</v>
      </c>
      <c r="Y24">
        <f>AVERAGE(Y4:Y22)</f>
        <v>190.28947368421052</v>
      </c>
      <c r="AF24">
        <f>AVERAGE(AF4:AF22)</f>
        <v>55.203703703703709</v>
      </c>
      <c r="AJ24">
        <f>AVERAGE(AJ4:AJ22)</f>
        <v>191.72222222222223</v>
      </c>
      <c r="AQ24">
        <f>AVERAGE(AQ4:AQ13)</f>
        <v>53.3</v>
      </c>
    </row>
    <row r="25" spans="1:75">
      <c r="D25" s="4"/>
    </row>
    <row r="26" spans="1:75">
      <c r="A26" t="s">
        <v>118</v>
      </c>
      <c r="B26" s="2"/>
      <c r="C26" s="2"/>
    </row>
    <row r="27" spans="1:75">
      <c r="A27" t="s">
        <v>123</v>
      </c>
    </row>
    <row r="28" spans="1:75">
      <c r="A28" s="1" t="s">
        <v>150</v>
      </c>
    </row>
    <row r="29" spans="1:75">
      <c r="A29" s="49" t="s">
        <v>151</v>
      </c>
    </row>
  </sheetData>
  <conditionalFormatting sqref="E4:E22">
    <cfRule type="colorScale" priority="9">
      <colorScale>
        <cfvo type="min"/>
        <cfvo type="max"/>
        <color rgb="FFFCFCFF"/>
        <color rgb="FFF8696B"/>
      </colorScale>
    </cfRule>
  </conditionalFormatting>
  <conditionalFormatting sqref="BR4:BR22">
    <cfRule type="colorScale" priority="7">
      <colorScale>
        <cfvo type="min"/>
        <cfvo type="max"/>
        <color rgb="FFF8696B"/>
        <color rgb="FFFCFCFF"/>
      </colorScale>
    </cfRule>
  </conditionalFormatting>
  <conditionalFormatting sqref="BT4:BT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U4:BU22">
    <cfRule type="colorScale" priority="4">
      <colorScale>
        <cfvo type="min"/>
        <cfvo type="max"/>
        <color rgb="FFF8696B"/>
        <color rgb="FFFCFCFF"/>
      </colorScale>
    </cfRule>
  </conditionalFormatting>
  <conditionalFormatting sqref="BO4:BO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O4:BO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75"/>
  <cols>
    <col min="3" max="3" width="10.87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156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154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153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155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153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154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155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153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154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155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153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152</v>
      </c>
      <c r="G13" t="s">
        <v>154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153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154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155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152</v>
      </c>
      <c r="G17" t="s">
        <v>155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70" workbookViewId="0">
      <selection activeCell="I18" sqref="I18"/>
    </sheetView>
  </sheetViews>
  <sheetFormatPr defaultColWidth="11" defaultRowHeight="15.7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topLeftCell="A22" zoomScale="75" zoomScaleNormal="75" workbookViewId="0">
      <selection activeCell="P40" sqref="P40"/>
    </sheetView>
  </sheetViews>
  <sheetFormatPr defaultColWidth="11" defaultRowHeight="15.7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75"/>
  <cols>
    <col min="2" max="2" width="22.87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J25"/>
  <sheetViews>
    <sheetView topLeftCell="A16" zoomScale="91" workbookViewId="0">
      <selection activeCell="J29" sqref="J29"/>
    </sheetView>
  </sheetViews>
  <sheetFormatPr defaultColWidth="11" defaultRowHeight="15.7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 Data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Jen</cp:lastModifiedBy>
  <dcterms:created xsi:type="dcterms:W3CDTF">2021-03-29T20:00:13Z</dcterms:created>
  <dcterms:modified xsi:type="dcterms:W3CDTF">2021-08-03T17:16:51Z</dcterms:modified>
</cp:coreProperties>
</file>