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4830C9B5-2192-427B-BAFB-FE2DCD16F106}" xr6:coauthVersionLast="47" xr6:coauthVersionMax="47" xr10:uidLastSave="{00000000-0000-0000-0000-000000000000}"/>
  <bookViews>
    <workbookView xWindow="-110" yWindow="-110" windowWidth="38620" windowHeight="21220" tabRatio="572" xr2:uid="{738F6AC3-FEF2-0849-9025-0F50FEEDD7DB}"/>
  </bookViews>
  <sheets>
    <sheet name="animal phenotypes" sheetId="8" r:id="rId1"/>
    <sheet name="Raw Data" sheetId="1" r:id="rId2"/>
    <sheet name="cleaned" sheetId="7" r:id="rId3"/>
    <sheet name="KAO" sheetId="6" r:id="rId4"/>
    <sheet name="Correlations" sheetId="5" r:id="rId5"/>
    <sheet name="Summary" sheetId="3" r:id="rId6"/>
    <sheet name="Hormones" sheetId="2" r:id="rId7"/>
    <sheet name="Temporary" sheetId="4" r:id="rId8"/>
  </sheets>
  <definedNames>
    <definedName name="a0">'Raw Data'!$AS$20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22" i="1" l="1"/>
  <c r="CJ22" i="1"/>
  <c r="CM22" i="1" s="1"/>
  <c r="CG22" i="1"/>
  <c r="CF22" i="1"/>
  <c r="CD22" i="1"/>
  <c r="CB22" i="1"/>
  <c r="BZ22" i="1"/>
  <c r="BX22" i="1"/>
  <c r="BV22" i="1"/>
  <c r="BU22" i="1"/>
  <c r="BS22" i="1"/>
  <c r="BM22" i="1"/>
  <c r="BJ22" i="1"/>
  <c r="BE22" i="1"/>
  <c r="BB22" i="1"/>
  <c r="AZ22" i="1"/>
  <c r="AW22" i="1"/>
  <c r="AR22" i="1"/>
  <c r="AO22" i="1"/>
  <c r="AM22" i="1"/>
  <c r="AJ22" i="1"/>
  <c r="AE22" i="1"/>
  <c r="AB22" i="1"/>
  <c r="Z22" i="1"/>
  <c r="W22" i="1"/>
  <c r="R22" i="1"/>
  <c r="O22" i="1"/>
  <c r="M22" i="1"/>
  <c r="J22" i="1"/>
  <c r="G22" i="1"/>
  <c r="CL21" i="1"/>
  <c r="CJ21" i="1"/>
  <c r="CM21" i="1" s="1"/>
  <c r="CG21" i="1"/>
  <c r="CF21" i="1"/>
  <c r="CD21" i="1"/>
  <c r="CB21" i="1"/>
  <c r="BZ21" i="1"/>
  <c r="BX21" i="1"/>
  <c r="BV21" i="1"/>
  <c r="BU21" i="1"/>
  <c r="BS21" i="1"/>
  <c r="BM21" i="1"/>
  <c r="BJ21" i="1"/>
  <c r="BE21" i="1"/>
  <c r="BB21" i="1"/>
  <c r="AZ21" i="1"/>
  <c r="AW21" i="1"/>
  <c r="AR21" i="1"/>
  <c r="AO21" i="1"/>
  <c r="AM21" i="1"/>
  <c r="AJ21" i="1"/>
  <c r="AE21" i="1"/>
  <c r="AB21" i="1"/>
  <c r="Z21" i="1"/>
  <c r="W21" i="1"/>
  <c r="R21" i="1"/>
  <c r="O21" i="1"/>
  <c r="M21" i="1"/>
  <c r="J21" i="1"/>
  <c r="G21" i="1"/>
  <c r="AE20" i="1"/>
  <c r="AB20" i="1"/>
  <c r="Z20" i="1"/>
  <c r="W20" i="1"/>
  <c r="R20" i="1"/>
  <c r="O20" i="1"/>
  <c r="M20" i="1"/>
  <c r="J20" i="1"/>
  <c r="G20" i="1"/>
  <c r="CL19" i="1"/>
  <c r="CJ19" i="1"/>
  <c r="CM19" i="1" s="1"/>
  <c r="CG19" i="1"/>
  <c r="CF19" i="1"/>
  <c r="CD19" i="1"/>
  <c r="CB19" i="1"/>
  <c r="BZ19" i="1"/>
  <c r="BX19" i="1"/>
  <c r="BV19" i="1"/>
  <c r="BU19" i="1"/>
  <c r="BS19" i="1"/>
  <c r="BR19" i="1"/>
  <c r="BM19" i="1"/>
  <c r="BJ19" i="1"/>
  <c r="BE19" i="1"/>
  <c r="BB19" i="1"/>
  <c r="AZ19" i="1"/>
  <c r="AW19" i="1"/>
  <c r="AR19" i="1"/>
  <c r="AO19" i="1"/>
  <c r="AM19" i="1"/>
  <c r="AJ19" i="1"/>
  <c r="AE19" i="1"/>
  <c r="AB19" i="1"/>
  <c r="Z19" i="1"/>
  <c r="W19" i="1"/>
  <c r="R19" i="1"/>
  <c r="O19" i="1"/>
  <c r="M19" i="1"/>
  <c r="J19" i="1"/>
  <c r="G19" i="1"/>
  <c r="CL18" i="1"/>
  <c r="CJ18" i="1"/>
  <c r="CM18" i="1" s="1"/>
  <c r="CG18" i="1"/>
  <c r="CF18" i="1"/>
  <c r="CD18" i="1"/>
  <c r="CB18" i="1"/>
  <c r="BZ18" i="1"/>
  <c r="BX18" i="1"/>
  <c r="BV18" i="1"/>
  <c r="BU18" i="1"/>
  <c r="BS18" i="1"/>
  <c r="BR18" i="1"/>
  <c r="BO18" i="1"/>
  <c r="BM18" i="1"/>
  <c r="BJ18" i="1"/>
  <c r="BE18" i="1"/>
  <c r="BB18" i="1"/>
  <c r="AZ18" i="1"/>
  <c r="AW18" i="1"/>
  <c r="AR18" i="1"/>
  <c r="AO18" i="1"/>
  <c r="AM18" i="1"/>
  <c r="AJ18" i="1"/>
  <c r="AE18" i="1"/>
  <c r="AB18" i="1"/>
  <c r="Z18" i="1"/>
  <c r="W18" i="1"/>
  <c r="R18" i="1"/>
  <c r="O18" i="1"/>
  <c r="M18" i="1"/>
  <c r="J18" i="1"/>
  <c r="G18" i="1"/>
  <c r="CL17" i="1"/>
  <c r="CJ17" i="1"/>
  <c r="CM17" i="1" s="1"/>
  <c r="CF17" i="1"/>
  <c r="CD17" i="1"/>
  <c r="CB17" i="1"/>
  <c r="BZ17" i="1"/>
  <c r="BX17" i="1"/>
  <c r="BV17" i="1"/>
  <c r="BU17" i="1"/>
  <c r="BS17" i="1"/>
  <c r="BR17" i="1"/>
  <c r="BO17" i="1"/>
  <c r="BM17" i="1"/>
  <c r="BJ17" i="1"/>
  <c r="BE17" i="1"/>
  <c r="BB17" i="1"/>
  <c r="AZ17" i="1"/>
  <c r="AW17" i="1"/>
  <c r="AR17" i="1"/>
  <c r="AO17" i="1"/>
  <c r="AM17" i="1"/>
  <c r="AJ17" i="1"/>
  <c r="AE17" i="1"/>
  <c r="AB17" i="1"/>
  <c r="Z17" i="1"/>
  <c r="W17" i="1"/>
  <c r="R17" i="1"/>
  <c r="O17" i="1"/>
  <c r="M17" i="1"/>
  <c r="J17" i="1"/>
  <c r="G17" i="1"/>
  <c r="CL16" i="1"/>
  <c r="CJ16" i="1"/>
  <c r="CM16" i="1" s="1"/>
  <c r="CG16" i="1"/>
  <c r="CF16" i="1"/>
  <c r="CD16" i="1"/>
  <c r="CB16" i="1"/>
  <c r="BZ16" i="1"/>
  <c r="BX16" i="1"/>
  <c r="BV16" i="1"/>
  <c r="BU16" i="1"/>
  <c r="BS16" i="1"/>
  <c r="BR16" i="1"/>
  <c r="BO16" i="1"/>
  <c r="BM16" i="1"/>
  <c r="BJ16" i="1"/>
  <c r="BE16" i="1"/>
  <c r="BB16" i="1"/>
  <c r="AZ16" i="1"/>
  <c r="AW16" i="1"/>
  <c r="AR16" i="1"/>
  <c r="AO16" i="1"/>
  <c r="AM16" i="1"/>
  <c r="AJ16" i="1"/>
  <c r="AE16" i="1"/>
  <c r="AB16" i="1"/>
  <c r="Z16" i="1"/>
  <c r="W16" i="1"/>
  <c r="R16" i="1"/>
  <c r="O16" i="1"/>
  <c r="M16" i="1"/>
  <c r="J16" i="1"/>
  <c r="G16" i="1"/>
  <c r="CM15" i="1"/>
  <c r="CL15" i="1"/>
  <c r="CJ15" i="1"/>
  <c r="CG15" i="1"/>
  <c r="CF15" i="1"/>
  <c r="CD15" i="1"/>
  <c r="CB15" i="1"/>
  <c r="BZ15" i="1"/>
  <c r="BX15" i="1"/>
  <c r="BV15" i="1"/>
  <c r="BU15" i="1"/>
  <c r="BS15" i="1"/>
  <c r="BR15" i="1"/>
  <c r="BO15" i="1"/>
  <c r="BM15" i="1"/>
  <c r="BJ15" i="1"/>
  <c r="BE15" i="1"/>
  <c r="BB15" i="1"/>
  <c r="AZ15" i="1"/>
  <c r="AW15" i="1"/>
  <c r="AR15" i="1"/>
  <c r="AO15" i="1"/>
  <c r="AM15" i="1"/>
  <c r="AJ15" i="1"/>
  <c r="AE15" i="1"/>
  <c r="AB15" i="1"/>
  <c r="Z15" i="1"/>
  <c r="W15" i="1"/>
  <c r="R15" i="1"/>
  <c r="O15" i="1"/>
  <c r="M15" i="1"/>
  <c r="J15" i="1"/>
  <c r="G15" i="1"/>
  <c r="CM14" i="1"/>
  <c r="CL14" i="1"/>
  <c r="CJ14" i="1"/>
  <c r="CG14" i="1"/>
  <c r="CF14" i="1"/>
  <c r="CD14" i="1"/>
  <c r="CB14" i="1"/>
  <c r="BZ14" i="1"/>
  <c r="BX14" i="1"/>
  <c r="BV14" i="1"/>
  <c r="BU14" i="1"/>
  <c r="BS14" i="1"/>
  <c r="BR14" i="1"/>
  <c r="BO14" i="1"/>
  <c r="BM14" i="1"/>
  <c r="BJ14" i="1"/>
  <c r="BE14" i="1"/>
  <c r="BB14" i="1"/>
  <c r="AZ14" i="1"/>
  <c r="AW14" i="1"/>
  <c r="AR14" i="1"/>
  <c r="AO14" i="1"/>
  <c r="AM14" i="1"/>
  <c r="AJ14" i="1"/>
  <c r="AE14" i="1"/>
  <c r="AB14" i="1"/>
  <c r="Z14" i="1"/>
  <c r="W14" i="1"/>
  <c r="R14" i="1"/>
  <c r="O14" i="1"/>
  <c r="M14" i="1"/>
  <c r="J14" i="1"/>
  <c r="G14" i="1"/>
  <c r="CM13" i="1"/>
  <c r="CL13" i="1"/>
  <c r="CJ13" i="1"/>
  <c r="CG13" i="1"/>
  <c r="CF13" i="1"/>
  <c r="CD13" i="1"/>
  <c r="CB13" i="1"/>
  <c r="BZ13" i="1"/>
  <c r="BX13" i="1"/>
  <c r="BV13" i="1"/>
  <c r="BS13" i="1"/>
  <c r="BU13" i="1" s="1"/>
  <c r="BR13" i="1"/>
  <c r="BO13" i="1"/>
  <c r="BM13" i="1"/>
  <c r="BJ13" i="1"/>
  <c r="BE13" i="1"/>
  <c r="BB13" i="1"/>
  <c r="AZ13" i="1"/>
  <c r="AW13" i="1"/>
  <c r="AR13" i="1"/>
  <c r="AO13" i="1"/>
  <c r="AM13" i="1"/>
  <c r="AJ13" i="1"/>
  <c r="AE13" i="1"/>
  <c r="AB13" i="1"/>
  <c r="Z13" i="1"/>
  <c r="W13" i="1"/>
  <c r="R13" i="1"/>
  <c r="O13" i="1"/>
  <c r="M13" i="1"/>
  <c r="J13" i="1"/>
  <c r="G13" i="1"/>
  <c r="CM12" i="1"/>
  <c r="CL12" i="1"/>
  <c r="CJ12" i="1"/>
  <c r="CG12" i="1"/>
  <c r="CF12" i="1"/>
  <c r="CD12" i="1"/>
  <c r="CB12" i="1"/>
  <c r="BZ12" i="1"/>
  <c r="BX12" i="1"/>
  <c r="BV12" i="1"/>
  <c r="BU12" i="1"/>
  <c r="BS12" i="1"/>
  <c r="BR12" i="1"/>
  <c r="BO12" i="1"/>
  <c r="BM12" i="1"/>
  <c r="BJ12" i="1"/>
  <c r="BE12" i="1"/>
  <c r="BB12" i="1"/>
  <c r="AZ12" i="1"/>
  <c r="AW12" i="1"/>
  <c r="AR12" i="1"/>
  <c r="AO12" i="1"/>
  <c r="AM12" i="1"/>
  <c r="AJ12" i="1"/>
  <c r="AE12" i="1"/>
  <c r="AB12" i="1"/>
  <c r="Z12" i="1"/>
  <c r="W12" i="1"/>
  <c r="R12" i="1"/>
  <c r="O12" i="1"/>
  <c r="M12" i="1"/>
  <c r="J12" i="1"/>
  <c r="G12" i="1"/>
  <c r="CL11" i="1"/>
  <c r="CM11" i="1" s="1"/>
  <c r="CJ11" i="1"/>
  <c r="BM11" i="1"/>
  <c r="BJ11" i="1"/>
  <c r="BE11" i="1"/>
  <c r="BB11" i="1"/>
  <c r="AZ11" i="1"/>
  <c r="AW11" i="1"/>
  <c r="AR11" i="1"/>
  <c r="AO11" i="1"/>
  <c r="AM11" i="1"/>
  <c r="AJ11" i="1"/>
  <c r="AE11" i="1"/>
  <c r="AB11" i="1"/>
  <c r="Z11" i="1"/>
  <c r="W11" i="1"/>
  <c r="R11" i="1"/>
  <c r="O11" i="1"/>
  <c r="M11" i="1"/>
  <c r="J11" i="1"/>
  <c r="G11" i="1"/>
  <c r="CM10" i="1"/>
  <c r="CL10" i="1"/>
  <c r="CJ10" i="1"/>
  <c r="CG10" i="1"/>
  <c r="CF10" i="1"/>
  <c r="CD10" i="1"/>
  <c r="CB10" i="1"/>
  <c r="BZ10" i="1"/>
  <c r="BX10" i="1"/>
  <c r="BV10" i="1"/>
  <c r="BS10" i="1"/>
  <c r="BU10" i="1" s="1"/>
  <c r="BR10" i="1"/>
  <c r="BO10" i="1"/>
  <c r="BM10" i="1"/>
  <c r="BJ10" i="1"/>
  <c r="BE10" i="1"/>
  <c r="BB10" i="1"/>
  <c r="AZ10" i="1"/>
  <c r="AW10" i="1"/>
  <c r="AR10" i="1"/>
  <c r="AO10" i="1"/>
  <c r="AM10" i="1"/>
  <c r="AJ10" i="1"/>
  <c r="AE10" i="1"/>
  <c r="AB10" i="1"/>
  <c r="Z10" i="1"/>
  <c r="W10" i="1"/>
  <c r="R10" i="1"/>
  <c r="O10" i="1"/>
  <c r="M10" i="1"/>
  <c r="J10" i="1"/>
  <c r="G10" i="1"/>
  <c r="CM9" i="1"/>
  <c r="CL9" i="1"/>
  <c r="CJ9" i="1"/>
  <c r="CG9" i="1"/>
  <c r="CF9" i="1"/>
  <c r="CD9" i="1"/>
  <c r="CB9" i="1"/>
  <c r="BZ9" i="1"/>
  <c r="BX9" i="1"/>
  <c r="BV9" i="1"/>
  <c r="BU9" i="1"/>
  <c r="BS9" i="1"/>
  <c r="BR9" i="1"/>
  <c r="BO9" i="1"/>
  <c r="BM9" i="1"/>
  <c r="BJ9" i="1"/>
  <c r="BE9" i="1"/>
  <c r="BB9" i="1"/>
  <c r="AZ9" i="1"/>
  <c r="AW9" i="1"/>
  <c r="AR9" i="1"/>
  <c r="AO9" i="1"/>
  <c r="AM9" i="1"/>
  <c r="AJ9" i="1"/>
  <c r="AE9" i="1"/>
  <c r="AB9" i="1"/>
  <c r="Z9" i="1"/>
  <c r="W9" i="1"/>
  <c r="R9" i="1"/>
  <c r="O9" i="1"/>
  <c r="M9" i="1"/>
  <c r="J9" i="1"/>
  <c r="G9" i="1"/>
  <c r="CL8" i="1"/>
  <c r="CJ8" i="1"/>
  <c r="CM8" i="1" s="1"/>
  <c r="CG8" i="1"/>
  <c r="CF8" i="1"/>
  <c r="CD8" i="1"/>
  <c r="CB8" i="1"/>
  <c r="BZ8" i="1"/>
  <c r="BX8" i="1"/>
  <c r="BV8" i="1"/>
  <c r="BU8" i="1"/>
  <c r="BS8" i="1"/>
  <c r="BR8" i="1"/>
  <c r="BO8" i="1"/>
  <c r="BM8" i="1"/>
  <c r="BJ8" i="1"/>
  <c r="BE8" i="1"/>
  <c r="BB8" i="1"/>
  <c r="AZ8" i="1"/>
  <c r="AW8" i="1"/>
  <c r="AR8" i="1"/>
  <c r="AO8" i="1"/>
  <c r="AM8" i="1"/>
  <c r="AJ8" i="1"/>
  <c r="AE8" i="1"/>
  <c r="AB8" i="1"/>
  <c r="Z8" i="1"/>
  <c r="W8" i="1"/>
  <c r="R8" i="1"/>
  <c r="O8" i="1"/>
  <c r="M8" i="1"/>
  <c r="J8" i="1"/>
  <c r="G8" i="1"/>
  <c r="CM7" i="1"/>
  <c r="CL7" i="1"/>
  <c r="CJ7" i="1"/>
  <c r="BM7" i="1"/>
  <c r="BJ7" i="1"/>
  <c r="BE7" i="1"/>
  <c r="BB7" i="1"/>
  <c r="AZ7" i="1"/>
  <c r="AW7" i="1"/>
  <c r="AR7" i="1"/>
  <c r="AO7" i="1"/>
  <c r="AM7" i="1"/>
  <c r="AJ7" i="1"/>
  <c r="AE7" i="1"/>
  <c r="AB7" i="1"/>
  <c r="Z7" i="1"/>
  <c r="W7" i="1"/>
  <c r="R7" i="1"/>
  <c r="O7" i="1"/>
  <c r="M7" i="1"/>
  <c r="J7" i="1"/>
  <c r="G7" i="1"/>
  <c r="CM6" i="1"/>
  <c r="CL6" i="1"/>
  <c r="CJ6" i="1"/>
  <c r="CG6" i="1"/>
  <c r="CF6" i="1"/>
  <c r="CD6" i="1"/>
  <c r="CB6" i="1"/>
  <c r="BZ6" i="1"/>
  <c r="BX6" i="1"/>
  <c r="BV6" i="1"/>
  <c r="BU6" i="1"/>
  <c r="BS6" i="1"/>
  <c r="BR6" i="1"/>
  <c r="BO6" i="1"/>
  <c r="BM6" i="1"/>
  <c r="BJ6" i="1"/>
  <c r="BE6" i="1"/>
  <c r="BB6" i="1"/>
  <c r="AZ6" i="1"/>
  <c r="AW6" i="1"/>
  <c r="AR6" i="1"/>
  <c r="AO6" i="1"/>
  <c r="AM6" i="1"/>
  <c r="AJ6" i="1"/>
  <c r="AE6" i="1"/>
  <c r="AB6" i="1"/>
  <c r="Z6" i="1"/>
  <c r="W6" i="1"/>
  <c r="R6" i="1"/>
  <c r="O6" i="1"/>
  <c r="M6" i="1"/>
  <c r="J6" i="1"/>
  <c r="G6" i="1"/>
  <c r="CL5" i="1"/>
  <c r="CJ5" i="1"/>
  <c r="CM5" i="1" s="1"/>
  <c r="CG5" i="1"/>
  <c r="CF5" i="1"/>
  <c r="CD5" i="1"/>
  <c r="CB5" i="1"/>
  <c r="BZ5" i="1"/>
  <c r="BX5" i="1"/>
  <c r="BV5" i="1"/>
  <c r="BS5" i="1"/>
  <c r="BU5" i="1" s="1"/>
  <c r="BR5" i="1"/>
  <c r="BO5" i="1"/>
  <c r="BM5" i="1"/>
  <c r="BJ5" i="1"/>
  <c r="BE5" i="1"/>
  <c r="BB5" i="1"/>
  <c r="AZ5" i="1"/>
  <c r="AW5" i="1"/>
  <c r="AR5" i="1"/>
  <c r="AO5" i="1"/>
  <c r="AM5" i="1"/>
  <c r="AJ5" i="1"/>
  <c r="AE5" i="1"/>
  <c r="AB5" i="1"/>
  <c r="Z5" i="1"/>
  <c r="W5" i="1"/>
  <c r="R5" i="1"/>
  <c r="O5" i="1"/>
  <c r="M5" i="1"/>
  <c r="J5" i="1"/>
  <c r="G5" i="1"/>
  <c r="CM4" i="1"/>
  <c r="CL4" i="1"/>
  <c r="CJ4" i="1"/>
  <c r="CG4" i="1"/>
  <c r="CF4" i="1"/>
  <c r="CD4" i="1"/>
  <c r="CB4" i="1"/>
  <c r="BZ4" i="1"/>
  <c r="BX4" i="1"/>
  <c r="BV4" i="1"/>
  <c r="BS4" i="1"/>
  <c r="BU4" i="1" s="1"/>
  <c r="BR4" i="1"/>
  <c r="BO4" i="1"/>
  <c r="BM4" i="1"/>
  <c r="BJ4" i="1"/>
  <c r="BE4" i="1"/>
  <c r="BB4" i="1"/>
  <c r="AZ4" i="1"/>
  <c r="AW4" i="1"/>
  <c r="AW24" i="1" s="1"/>
  <c r="AR4" i="1"/>
  <c r="AO4" i="1"/>
  <c r="AO24" i="1" s="1"/>
  <c r="AM4" i="1"/>
  <c r="AJ4" i="1"/>
  <c r="AJ24" i="1" s="1"/>
  <c r="AE4" i="1"/>
  <c r="AB4" i="1"/>
  <c r="AB24" i="1" s="1"/>
  <c r="Z4" i="1"/>
  <c r="W4" i="1"/>
  <c r="W24" i="1" s="1"/>
  <c r="R4" i="1"/>
  <c r="O4" i="1"/>
  <c r="O24" i="1" s="1"/>
  <c r="M4" i="1"/>
  <c r="J4" i="1"/>
  <c r="J24" i="1" s="1"/>
  <c r="G4" i="1"/>
  <c r="X16" i="8"/>
  <c r="X15" i="8"/>
  <c r="X14" i="8"/>
  <c r="X13" i="8"/>
  <c r="X12" i="8"/>
  <c r="X11" i="8"/>
  <c r="X10" i="8"/>
  <c r="X8" i="8"/>
  <c r="X7" i="8"/>
  <c r="X6" i="8"/>
  <c r="X4" i="8"/>
  <c r="X3" i="8"/>
  <c r="X2" i="8"/>
  <c r="AC20" i="8"/>
  <c r="AC19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W20" i="8"/>
  <c r="W19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AB20" i="8"/>
  <c r="AB19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V20" i="8"/>
  <c r="V19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AA20" i="8"/>
  <c r="AA19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R20" i="8"/>
  <c r="R19" i="8"/>
  <c r="R17" i="8"/>
  <c r="R16" i="8"/>
  <c r="R14" i="8"/>
  <c r="R13" i="8"/>
  <c r="R12" i="8"/>
  <c r="R11" i="8"/>
  <c r="R10" i="8"/>
  <c r="R8" i="8"/>
  <c r="R7" i="8"/>
  <c r="R6" i="8"/>
  <c r="R4" i="8"/>
  <c r="R3" i="8"/>
  <c r="R2" i="8"/>
  <c r="F37" i="4" l="1"/>
  <c r="I37" i="4"/>
  <c r="K37" i="4"/>
  <c r="M37" i="4"/>
  <c r="O37" i="4"/>
  <c r="T37" i="4"/>
  <c r="V37" i="4"/>
  <c r="X37" i="4"/>
  <c r="Z37" i="4"/>
  <c r="AE37" i="4"/>
  <c r="AG37" i="4"/>
  <c r="AI37" i="4"/>
  <c r="AK37" i="4"/>
  <c r="AP37" i="4"/>
  <c r="AR37" i="4"/>
  <c r="AT37" i="4"/>
  <c r="AV37" i="4"/>
  <c r="BA37" i="4"/>
  <c r="BC37" i="4"/>
  <c r="BE37" i="4"/>
  <c r="F38" i="4"/>
  <c r="I38" i="4"/>
  <c r="K38" i="4"/>
  <c r="M38" i="4"/>
  <c r="O38" i="4"/>
  <c r="T38" i="4"/>
  <c r="V38" i="4"/>
  <c r="X38" i="4"/>
  <c r="Z38" i="4"/>
  <c r="AE38" i="4"/>
  <c r="AG38" i="4"/>
  <c r="AI38" i="4"/>
  <c r="AK38" i="4"/>
  <c r="AP38" i="4"/>
  <c r="AR38" i="4"/>
  <c r="AT38" i="4"/>
  <c r="AV38" i="4"/>
  <c r="BA38" i="4"/>
  <c r="BC38" i="4"/>
  <c r="BE38" i="4"/>
  <c r="F39" i="4"/>
  <c r="I39" i="4"/>
  <c r="K39" i="4"/>
  <c r="M39" i="4"/>
  <c r="O39" i="4"/>
  <c r="T39" i="4"/>
  <c r="V39" i="4"/>
  <c r="X39" i="4"/>
  <c r="Z39" i="4"/>
  <c r="AE39" i="4"/>
  <c r="AG39" i="4"/>
  <c r="AI39" i="4"/>
  <c r="AK39" i="4"/>
  <c r="AP39" i="4"/>
  <c r="AR39" i="4"/>
  <c r="AT39" i="4"/>
  <c r="AV39" i="4"/>
  <c r="BA39" i="4"/>
  <c r="BC39" i="4"/>
  <c r="BE39" i="4"/>
  <c r="F40" i="4"/>
  <c r="I40" i="4"/>
  <c r="K40" i="4"/>
  <c r="M40" i="4"/>
  <c r="O40" i="4"/>
  <c r="T40" i="4"/>
  <c r="V40" i="4"/>
  <c r="X40" i="4"/>
  <c r="Z40" i="4"/>
  <c r="AE40" i="4"/>
  <c r="AG40" i="4"/>
  <c r="AI40" i="4"/>
  <c r="AK40" i="4"/>
  <c r="AP40" i="4"/>
  <c r="AR40" i="4"/>
  <c r="AT40" i="4"/>
  <c r="AV40" i="4"/>
  <c r="BA40" i="4"/>
  <c r="BC40" i="4"/>
  <c r="F41" i="4"/>
  <c r="I41" i="4"/>
  <c r="K41" i="4"/>
  <c r="M41" i="4"/>
  <c r="O41" i="4"/>
  <c r="T41" i="4"/>
  <c r="V41" i="4"/>
  <c r="X41" i="4"/>
  <c r="Z41" i="4"/>
  <c r="AE41" i="4"/>
  <c r="AG41" i="4"/>
  <c r="AI41" i="4"/>
  <c r="AK41" i="4"/>
  <c r="AP41" i="4"/>
  <c r="AR41" i="4"/>
  <c r="AT41" i="4"/>
  <c r="AV41" i="4"/>
  <c r="BA41" i="4"/>
  <c r="BC41" i="4"/>
  <c r="BE41" i="4"/>
  <c r="F42" i="4"/>
  <c r="I42" i="4"/>
  <c r="K42" i="4"/>
  <c r="M42" i="4"/>
  <c r="O42" i="4"/>
  <c r="T42" i="4"/>
  <c r="V42" i="4"/>
  <c r="X42" i="4"/>
  <c r="Z42" i="4"/>
  <c r="AE42" i="4"/>
  <c r="AG42" i="4"/>
  <c r="AI42" i="4"/>
  <c r="AK42" i="4"/>
  <c r="AP42" i="4"/>
  <c r="AR42" i="4"/>
  <c r="AT42" i="4"/>
  <c r="AV42" i="4"/>
  <c r="BA42" i="4"/>
  <c r="BC42" i="4"/>
  <c r="BE42" i="4"/>
  <c r="F43" i="4"/>
  <c r="I43" i="4"/>
  <c r="K43" i="4"/>
  <c r="M43" i="4"/>
  <c r="O43" i="4"/>
  <c r="T43" i="4"/>
  <c r="V43" i="4"/>
  <c r="X43" i="4"/>
  <c r="Z43" i="4"/>
  <c r="AE43" i="4"/>
  <c r="AG43" i="4"/>
  <c r="AI43" i="4"/>
  <c r="AK43" i="4"/>
  <c r="AP43" i="4"/>
  <c r="AR43" i="4"/>
  <c r="AT43" i="4"/>
  <c r="AV43" i="4"/>
  <c r="BA43" i="4"/>
  <c r="BC43" i="4"/>
  <c r="BE43" i="4"/>
  <c r="F44" i="4"/>
  <c r="I44" i="4"/>
  <c r="K44" i="4"/>
  <c r="M44" i="4"/>
  <c r="O44" i="4"/>
  <c r="T44" i="4"/>
  <c r="V44" i="4"/>
  <c r="X44" i="4"/>
  <c r="Z44" i="4"/>
  <c r="AE44" i="4"/>
  <c r="AG44" i="4"/>
  <c r="AI44" i="4"/>
  <c r="AK44" i="4"/>
  <c r="AP44" i="4"/>
  <c r="AR44" i="4"/>
  <c r="AT44" i="4"/>
  <c r="AV44" i="4"/>
  <c r="BA44" i="4"/>
  <c r="BC44" i="4"/>
  <c r="F45" i="4"/>
  <c r="I45" i="4"/>
  <c r="K45" i="4"/>
  <c r="M45" i="4"/>
  <c r="O45" i="4"/>
  <c r="T45" i="4"/>
  <c r="V45" i="4"/>
  <c r="X45" i="4"/>
  <c r="Z45" i="4"/>
  <c r="AE45" i="4"/>
  <c r="AG45" i="4"/>
  <c r="AI45" i="4"/>
  <c r="AK45" i="4"/>
  <c r="AP45" i="4"/>
  <c r="AR45" i="4"/>
  <c r="AT45" i="4"/>
  <c r="AV45" i="4"/>
  <c r="BA45" i="4"/>
  <c r="BC45" i="4"/>
  <c r="BE45" i="4"/>
  <c r="F46" i="4"/>
  <c r="I46" i="4"/>
  <c r="K46" i="4"/>
  <c r="M46" i="4"/>
  <c r="O46" i="4"/>
  <c r="T46" i="4"/>
  <c r="V46" i="4"/>
  <c r="X46" i="4"/>
  <c r="Z46" i="4"/>
  <c r="AE46" i="4"/>
  <c r="AG46" i="4"/>
  <c r="AI46" i="4"/>
  <c r="AK46" i="4"/>
  <c r="AP46" i="4"/>
  <c r="AR46" i="4"/>
  <c r="AT46" i="4"/>
  <c r="AV46" i="4"/>
  <c r="BA46" i="4"/>
  <c r="BC46" i="4"/>
  <c r="BE46" i="4"/>
  <c r="F47" i="4"/>
  <c r="I47" i="4"/>
  <c r="K47" i="4"/>
  <c r="M47" i="4"/>
  <c r="O47" i="4"/>
  <c r="T47" i="4"/>
  <c r="V47" i="4"/>
  <c r="X47" i="4"/>
  <c r="Z47" i="4"/>
  <c r="AE47" i="4"/>
  <c r="AG47" i="4"/>
  <c r="AI47" i="4"/>
  <c r="AK47" i="4"/>
  <c r="AP47" i="4"/>
  <c r="AR47" i="4"/>
  <c r="AT47" i="4"/>
  <c r="AV47" i="4"/>
  <c r="BA47" i="4"/>
  <c r="BC47" i="4"/>
  <c r="BE47" i="4"/>
  <c r="F48" i="4"/>
  <c r="I48" i="4"/>
  <c r="K48" i="4"/>
  <c r="M48" i="4"/>
  <c r="O48" i="4"/>
  <c r="T48" i="4"/>
  <c r="V48" i="4"/>
  <c r="X48" i="4"/>
  <c r="Z48" i="4"/>
  <c r="AE48" i="4"/>
  <c r="AG48" i="4"/>
  <c r="AI48" i="4"/>
  <c r="AK48" i="4"/>
  <c r="AP48" i="4"/>
  <c r="AR48" i="4"/>
  <c r="AT48" i="4"/>
  <c r="AV48" i="4"/>
  <c r="BA48" i="4"/>
  <c r="BC48" i="4"/>
  <c r="BE48" i="4"/>
  <c r="F49" i="4"/>
  <c r="I49" i="4"/>
  <c r="K49" i="4"/>
  <c r="M49" i="4"/>
  <c r="O49" i="4"/>
  <c r="T49" i="4"/>
  <c r="V49" i="4"/>
  <c r="X49" i="4"/>
  <c r="Z49" i="4"/>
  <c r="AE49" i="4"/>
  <c r="AG49" i="4"/>
  <c r="AI49" i="4"/>
  <c r="AK49" i="4"/>
  <c r="AP49" i="4"/>
  <c r="AR49" i="4"/>
  <c r="AT49" i="4"/>
  <c r="AV49" i="4"/>
  <c r="BA49" i="4"/>
  <c r="BC49" i="4"/>
  <c r="BE49" i="4"/>
  <c r="F50" i="4"/>
  <c r="I50" i="4"/>
  <c r="K50" i="4"/>
  <c r="M50" i="4"/>
  <c r="O50" i="4"/>
  <c r="T50" i="4"/>
  <c r="V50" i="4"/>
  <c r="X50" i="4"/>
  <c r="Z50" i="4"/>
  <c r="AE50" i="4"/>
  <c r="AG50" i="4"/>
  <c r="AI50" i="4"/>
  <c r="AK50" i="4"/>
  <c r="AP50" i="4"/>
  <c r="AR50" i="4"/>
  <c r="AT50" i="4"/>
  <c r="AV50" i="4"/>
  <c r="BA50" i="4"/>
  <c r="BC50" i="4"/>
  <c r="BE50" i="4"/>
  <c r="F51" i="4"/>
  <c r="I51" i="4"/>
  <c r="K51" i="4"/>
  <c r="M51" i="4"/>
  <c r="O51" i="4"/>
  <c r="T51" i="4"/>
  <c r="V51" i="4"/>
  <c r="X51" i="4"/>
  <c r="Z51" i="4"/>
  <c r="AE51" i="4"/>
  <c r="AG51" i="4"/>
  <c r="AI51" i="4"/>
  <c r="AK51" i="4"/>
  <c r="AP51" i="4"/>
  <c r="AR51" i="4"/>
  <c r="AT51" i="4"/>
  <c r="AV51" i="4"/>
  <c r="BA51" i="4"/>
  <c r="BC51" i="4"/>
  <c r="BE51" i="4"/>
  <c r="F52" i="4"/>
  <c r="I52" i="4"/>
  <c r="K52" i="4"/>
  <c r="M52" i="4"/>
  <c r="O52" i="4"/>
  <c r="T52" i="4"/>
  <c r="V52" i="4"/>
  <c r="X52" i="4"/>
  <c r="Z52" i="4"/>
  <c r="AE52" i="4"/>
  <c r="AG52" i="4"/>
  <c r="AI52" i="4"/>
  <c r="AK52" i="4"/>
  <c r="AP52" i="4"/>
  <c r="AR52" i="4"/>
  <c r="AT52" i="4"/>
  <c r="AV52" i="4"/>
  <c r="BA52" i="4"/>
  <c r="BC52" i="4"/>
  <c r="BE52" i="4"/>
  <c r="F53" i="4"/>
  <c r="I53" i="4"/>
  <c r="K53" i="4"/>
  <c r="M53" i="4"/>
  <c r="O53" i="4"/>
  <c r="T53" i="4"/>
  <c r="V53" i="4"/>
  <c r="X53" i="4"/>
  <c r="Z53" i="4"/>
  <c r="F54" i="4"/>
  <c r="I54" i="4"/>
  <c r="K54" i="4"/>
  <c r="M54" i="4"/>
  <c r="O54" i="4"/>
  <c r="T54" i="4"/>
  <c r="V54" i="4"/>
  <c r="X54" i="4"/>
  <c r="Z54" i="4"/>
  <c r="AE54" i="4"/>
  <c r="AG54" i="4"/>
  <c r="AI54" i="4"/>
  <c r="AK54" i="4"/>
  <c r="AP54" i="4"/>
  <c r="AR54" i="4"/>
  <c r="AT54" i="4"/>
  <c r="AV54" i="4"/>
  <c r="BA54" i="4"/>
  <c r="BC54" i="4"/>
  <c r="F55" i="4"/>
  <c r="I55" i="4"/>
  <c r="K55" i="4"/>
  <c r="M55" i="4"/>
  <c r="O55" i="4"/>
  <c r="T55" i="4"/>
  <c r="V55" i="4"/>
  <c r="X55" i="4"/>
  <c r="Z55" i="4"/>
  <c r="AE55" i="4"/>
  <c r="AG55" i="4"/>
  <c r="AI55" i="4"/>
  <c r="AK55" i="4"/>
  <c r="AP55" i="4"/>
  <c r="AR55" i="4"/>
  <c r="AT55" i="4"/>
  <c r="AV55" i="4"/>
  <c r="BA55" i="4"/>
  <c r="BC55" i="4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8" i="6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F39" i="3" l="1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F40" i="3" l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E31" i="3"/>
  <c r="E30" i="3"/>
  <c r="E29" i="3"/>
  <c r="E28" i="3"/>
  <c r="E27" i="3"/>
  <c r="E26" i="3"/>
  <c r="E25" i="3"/>
  <c r="E24" i="3"/>
  <c r="E23" i="3"/>
  <c r="E22" i="3"/>
  <c r="J20" i="4" l="1"/>
  <c r="E10" i="4"/>
  <c r="I14" i="4"/>
  <c r="J12" i="4"/>
  <c r="G25" i="4"/>
  <c r="J19" i="4"/>
  <c r="J23" i="4"/>
  <c r="J11" i="4"/>
  <c r="H25" i="4"/>
  <c r="J22" i="4"/>
  <c r="E40" i="3"/>
  <c r="J10" i="4"/>
  <c r="G14" i="4"/>
  <c r="H14" i="4"/>
  <c r="C14" i="4"/>
  <c r="E11" i="4"/>
  <c r="I25" i="4"/>
  <c r="E12" i="4"/>
  <c r="B14" i="4"/>
</calcChain>
</file>

<file path=xl/sharedStrings.xml><?xml version="1.0" encoding="utf-8"?>
<sst xmlns="http://schemas.openxmlformats.org/spreadsheetml/2006/main" count="2921" uniqueCount="249">
  <si>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</si>
  <si>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</si>
  <si>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</si>
  <si>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</si>
  <si>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</si>
  <si>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</si>
  <si>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</si>
  <si>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</si>
  <si>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</si>
  <si>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</si>
  <si>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</si>
  <si>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</si>
  <si>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</si>
  <si>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</si>
  <si>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</si>
  <si>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</si>
  <si>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</si>
  <si>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</si>
  <si>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</si>
  <si>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</si>
  <si>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</si>
  <si>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</si>
  <si>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</si>
  <si>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</si>
  <si>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</si>
  <si>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</si>
  <si>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</si>
  <si>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</si>
  <si>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</si>
  <si>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</si>
  <si>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</si>
  <si>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</si>
  <si>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</si>
  <si>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</si>
  <si>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</si>
  <si>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</si>
  <si>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</si>
  <si>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</si>
  <si>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</si>
  <si>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</si>
  <si>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</si>
  <si>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</si>
  <si>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</si>
  <si>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</si>
  <si>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</si>
  <si>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</si>
  <si>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</si>
  <si>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</si>
  <si>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</si>
  <si>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</si>
  <si>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</si>
  <si>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</si>
  <si>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</si>
  <si>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</si>
  <si>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</si>
  <si>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</si>
  <si>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</si>
  <si>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</si>
  <si>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</si>
  <si>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</si>
  <si>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</si>
  <si>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</si>
  <si>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</si>
  <si>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</si>
  <si>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</si>
  <si>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</si>
  <si>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</si>
  <si>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</si>
  <si>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</si>
  <si>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</si>
  <si>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</si>
  <si>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</si>
  <si>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</si>
  <si>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</si>
  <si>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</si>
  <si>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</si>
  <si>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</si>
  <si>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</si>
  <si>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</si>
  <si>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</si>
  <si>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</si>
  <si>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</si>
  <si>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</si>
  <si>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</si>
  <si>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</si>
  <si>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</si>
  <si>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</si>
  <si>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</si>
  <si>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</si>
  <si>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</si>
  <si>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</si>
  <si>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</si>
  <si>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</si>
  <si>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</si>
  <si>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</si>
  <si>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</si>
  <si>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</si>
  <si>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</si>
  <si>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</si>
  <si>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</si>
  <si>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</si>
  <si>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</si>
  <si>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</si>
  <si>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</si>
  <si>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</si>
  <si>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</si>
  <si>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</si>
  <si>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</si>
  <si>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</si>
  <si>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</si>
  <si>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</si>
  <si>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</si>
  <si>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</si>
  <si>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</si>
  <si>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</si>
  <si>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</si>
  <si>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</si>
  <si>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</si>
  <si>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</si>
  <si>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</si>
  <si>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</si>
  <si>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</si>
  <si>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</si>
  <si>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</si>
  <si>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</si>
  <si>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</si>
  <si>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</si>
  <si>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</si>
  <si>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</si>
  <si>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</si>
  <si>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</si>
  <si>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</si>
  <si>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</si>
  <si>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</si>
  <si>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</si>
  <si>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</si>
  <si>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</si>
  <si>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</si>
  <si>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</si>
  <si>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</si>
  <si>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</si>
  <si>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</si>
  <si>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</si>
  <si>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</si>
  <si>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</si>
  <si>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</si>
  <si>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</si>
  <si>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</si>
  <si>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</si>
  <si>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</si>
  <si>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</si>
  <si>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</si>
  <si>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</si>
  <si>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</si>
  <si>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</si>
  <si>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</si>
  <si>
    <t>animal</t>
  </si>
  <si>
    <t>Notes</t>
  </si>
  <si>
    <t>euthanized</t>
  </si>
  <si>
    <t>BG type</t>
  </si>
  <si>
    <t>weight type</t>
  </si>
  <si>
    <t>weight change type</t>
  </si>
  <si>
    <t>weeks old note</t>
  </si>
  <si>
    <t>weight change %</t>
  </si>
  <si>
    <t>loss</t>
  </si>
  <si>
    <t>gain 4 to 8 weeks</t>
  </si>
  <si>
    <t>gain</t>
  </si>
  <si>
    <t>note</t>
  </si>
  <si>
    <t>8 to 9 weeks gain</t>
  </si>
  <si>
    <t>9 to 10 weeks gain</t>
  </si>
  <si>
    <t>change</t>
  </si>
  <si>
    <t>OGTT (AUC): Animal stressed?</t>
  </si>
  <si>
    <t>OGTT failed Didn't collect tissue or post-OGTT blood</t>
  </si>
  <si>
    <t>BG</t>
  </si>
  <si>
    <t>when</t>
  </si>
  <si>
    <t>weight</t>
  </si>
  <si>
    <t>glucose_tolerance</t>
  </si>
  <si>
    <t>impaired</t>
  </si>
  <si>
    <t>lcms_sampled</t>
  </si>
  <si>
    <t>diabetic</t>
  </si>
  <si>
    <t>normal</t>
  </si>
  <si>
    <t>?8.913</t>
  </si>
  <si>
    <t>?10.64</t>
  </si>
  <si>
    <t>Insulin (ng/mL)</t>
  </si>
  <si>
    <t>?0.5975</t>
  </si>
  <si>
    <t xml:space="preserve">Insulin </t>
  </si>
  <si>
    <t>Insulin (AUC)</t>
  </si>
  <si>
    <t>Insulin(10min)</t>
  </si>
  <si>
    <t>Insulin(20min)</t>
  </si>
  <si>
    <t>Insulin(30min)</t>
  </si>
  <si>
    <t>Insulin(60min)</t>
  </si>
  <si>
    <t>Insulin(120min)</t>
  </si>
  <si>
    <t>OGTT(0min)</t>
  </si>
  <si>
    <t>Insulin(0min)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</si>
  <si>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</si>
  <si>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</si>
  <si>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</si>
  <si>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</si>
  <si>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</si>
  <si>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</si>
  <si>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</si>
  <si>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</si>
  <si>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</si>
  <si>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</si>
  <si>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</si>
  <si>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</si>
  <si>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</si>
  <si>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</si>
  <si>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</si>
  <si>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</si>
  <si>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</si>
  <si>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</si>
  <si>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</si>
  <si>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</si>
  <si>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</si>
  <si>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WeightRBGweek8</t>
  </si>
  <si>
    <t>WeightRBGweek4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</si>
  <si>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</si>
  <si>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</si>
  <si>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</si>
  <si>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</si>
  <si>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</si>
  <si>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</si>
  <si>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</si>
  <si>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</si>
  <si>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</si>
  <si>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</si>
  <si>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</si>
  <si>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</si>
  <si>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</si>
  <si>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</si>
  <si>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Insulin/Glucose (Fasting)</t>
  </si>
  <si>
    <t>Selected for metabolomics study</t>
  </si>
  <si>
    <t>T1060M (IGT)</t>
  </si>
  <si>
    <t>T1061M (IGT)</t>
  </si>
  <si>
    <t>T1062M (IGT)</t>
  </si>
  <si>
    <t>T1074M (IGT)</t>
  </si>
  <si>
    <t>T1075M (Diabetic)</t>
  </si>
  <si>
    <t>T1076M (Diabetic)</t>
  </si>
  <si>
    <t>T1081M (Diabetic)</t>
  </si>
  <si>
    <t>T1082M (Diabetic)</t>
  </si>
  <si>
    <t>T1091M (NGT)</t>
  </si>
  <si>
    <t>T1092M (IGT)</t>
  </si>
  <si>
    <t>T1093M (NGT)</t>
  </si>
  <si>
    <t>T1094M (NGT)</t>
  </si>
  <si>
    <t>T1095M (IGT)</t>
  </si>
  <si>
    <t>T1096M (IGT)</t>
  </si>
  <si>
    <t>T1101M (Diabetic)</t>
  </si>
  <si>
    <t>T1102M (IGT)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</si>
</sst>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#,##0.000"/>
    <numFmt numFmtId="165" formatCode="0.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2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4" fillId="0" borderId="0" xfId="0" applyFont="1" applyFill="1"/>
    <xf numFmtId="0" fontId="4" fillId="0" borderId="0" xfId="0" applyFont="1"/>
    <xf numFmtId="0" fontId="5" fillId="0" borderId="0" xfId="1"/>
    <xf numFmtId="0" fontId="2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6" fillId="0" borderId="0" xfId="0" applyFont="1" applyFill="1"/>
    <xf numFmtId="14" fontId="0" fillId="3" borderId="0" xfId="0" applyNumberFormat="1" applyFill="1"/>
    <xf numFmtId="0" fontId="3" fillId="3" borderId="0" xfId="0" applyFont="1" applyFill="1"/>
    <xf numFmtId="0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2" fillId="4" borderId="7" xfId="0" applyFont="1" applyFill="1" applyBorder="1"/>
    <xf numFmtId="0" fontId="1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/>
    <xf numFmtId="0" fontId="9" fillId="4" borderId="7" xfId="0" applyFont="1" applyFill="1" applyBorder="1"/>
    <xf numFmtId="0" fontId="9" fillId="2" borderId="0" xfId="0" applyFont="1" applyFill="1"/>
    <xf numFmtId="2" fontId="9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165" fontId="3" fillId="0" borderId="0" xfId="0" applyNumberFormat="1" applyFont="1"/>
    <xf numFmtId="165" fontId="3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Data'!$AH$4:$AH$22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620712</xdr:colOff>
      <xdr:row>22</xdr:row>
      <xdr:rowOff>66675</xdr:rowOff>
    </xdr:from>
    <xdr:to>
      <xdr:col>32</xdr:col>
      <xdr:colOff>58737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1A7-F666-4315-911C-3CBD5B505094}">
  <dimension ref="A1:BL33"/>
  <sheetViews>
    <sheetView tabSelected="1" topLeftCell="AK1" workbookViewId="0">
      <selection activeCell="AX24" sqref="AX24"/>
    </sheetView>
  </sheetViews>
  <sheetFormatPr defaultRowHeight="15.5"/>
  <cols>
    <col min="2" max="3" width="12.58203125" customWidth="1"/>
    <col min="5" max="5" width="13.25" customWidth="1"/>
    <col min="6" max="9" width="11.6640625" bestFit="1" customWidth="1"/>
    <col min="10" max="10" width="12.6640625" bestFit="1" customWidth="1"/>
    <col min="11" max="11" width="14.6640625" bestFit="1" customWidth="1"/>
    <col min="12" max="39" width="14.6640625" customWidth="1"/>
    <col min="40" max="55" width="18.33203125" customWidth="1"/>
    <col min="56" max="56" width="6.08203125" bestFit="1" customWidth="1"/>
    <col min="57" max="57" width="22.75" bestFit="1" customWidth="1"/>
    <col min="58" max="58" width="11.75" bestFit="1" customWidth="1"/>
    <col min="59" max="59" width="25.33203125" bestFit="1" customWidth="1"/>
    <col min="60" max="61" width="11.75" bestFit="1" customWidth="1"/>
    <col min="62" max="62" width="6.58203125" bestFit="1" customWidth="1"/>
    <col min="63" max="63" width="11.75" bestFit="1" customWidth="1"/>
    <col min="64" max="64" width="33.83203125" bestFit="1" customWidth="1"/>
  </cols>
  <sheetData>
    <row r="1" spans="1:64">
      <c r="A1" t="s">
        <v>156</v>
      </c>
      <c r="B1" t="s">
        <v>32</v>
      </c>
      <c r="C1" t="s">
        <v>178</v>
      </c>
      <c r="D1" t="s">
        <v>176</v>
      </c>
      <c r="E1" t="s">
        <v>192</v>
      </c>
      <c r="F1" t="s">
        <v>109</v>
      </c>
      <c r="G1" t="s">
        <v>111</v>
      </c>
      <c r="H1" t="s">
        <v>112</v>
      </c>
      <c r="I1" t="s">
        <v>113</v>
      </c>
      <c r="J1" t="s">
        <v>114</v>
      </c>
      <c r="K1" t="s">
        <v>119</v>
      </c>
      <c r="L1" t="s">
        <v>193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186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208</v>
      </c>
      <c r="AH1" t="s">
        <v>209</v>
      </c>
      <c r="AI1" t="s">
        <v>210</v>
      </c>
      <c r="AJ1" t="s">
        <v>211</v>
      </c>
      <c r="AK1" t="s">
        <v>212</v>
      </c>
      <c r="AL1" t="s">
        <v>213</v>
      </c>
      <c r="AM1" t="s">
        <v>214</v>
      </c>
      <c r="AN1" t="s">
        <v>216</v>
      </c>
      <c r="AO1" t="s">
        <v>215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115</v>
      </c>
      <c r="BE1" t="s">
        <v>116</v>
      </c>
      <c r="BF1" t="s">
        <v>120</v>
      </c>
      <c r="BG1" t="s">
        <v>117</v>
      </c>
      <c r="BH1" t="s">
        <v>121</v>
      </c>
      <c r="BI1" t="s">
        <v>122</v>
      </c>
      <c r="BJ1" t="s">
        <v>125</v>
      </c>
      <c r="BK1" t="s">
        <v>130</v>
      </c>
      <c r="BL1" t="s">
        <v>157</v>
      </c>
    </row>
    <row r="2" spans="1:64">
      <c r="A2" s="5">
        <v>1060</v>
      </c>
      <c r="B2" s="2">
        <v>44219</v>
      </c>
      <c r="C2" s="2" t="b">
        <v>1</v>
      </c>
      <c r="D2" t="s">
        <v>177</v>
      </c>
      <c r="E2">
        <v>58.5</v>
      </c>
      <c r="F2">
        <v>178</v>
      </c>
      <c r="G2">
        <v>314.5</v>
      </c>
      <c r="H2">
        <v>551</v>
      </c>
      <c r="I2">
        <v>589</v>
      </c>
      <c r="J2">
        <v>200</v>
      </c>
      <c r="K2">
        <v>1761.75</v>
      </c>
      <c r="L2" s="58">
        <v>2.3580000000000001</v>
      </c>
      <c r="M2" s="58">
        <v>2.1539999999999999</v>
      </c>
      <c r="N2" s="58">
        <v>2.5369999999999999</v>
      </c>
      <c r="O2" s="58">
        <v>2.2069999999999999</v>
      </c>
      <c r="P2" s="58">
        <v>3.3959999999999999</v>
      </c>
      <c r="Q2" s="58">
        <v>5.5759999999999996</v>
      </c>
      <c r="R2">
        <f>E2+(0.5*(E2-H2))+H2+(0.5*(J2-H2))+L2+(0.5*(J2-L2))+L2+(0.5*(N2-L2))+N2+(0.5*(P2-N2))</f>
        <v>294.34299999999996</v>
      </c>
      <c r="S2" s="67">
        <v>71.000000099999994</v>
      </c>
      <c r="T2" s="1">
        <f>(214+236)/2</f>
        <v>225</v>
      </c>
      <c r="U2">
        <f>(82+84)/2</f>
        <v>83</v>
      </c>
      <c r="V2" s="1">
        <f>(203+209)/2</f>
        <v>206</v>
      </c>
      <c r="W2" s="1">
        <f>(210+232)/2</f>
        <v>221</v>
      </c>
      <c r="X2" s="32">
        <f>(206+180)/2</f>
        <v>193</v>
      </c>
      <c r="Y2">
        <f>(40+42)/2</f>
        <v>41</v>
      </c>
      <c r="Z2">
        <f>(47+49)/2</f>
        <v>48</v>
      </c>
      <c r="AA2">
        <f>(46+59)/2</f>
        <v>52.5</v>
      </c>
      <c r="AB2">
        <f>(52+48)/2</f>
        <v>50</v>
      </c>
      <c r="AC2">
        <f>(60+57)/2</f>
        <v>58.5</v>
      </c>
      <c r="AD2" s="58">
        <v>2.8740000000000001</v>
      </c>
      <c r="AE2" s="58">
        <v>1.6679999999999999</v>
      </c>
      <c r="AF2" s="58">
        <v>0.96350000000000002</v>
      </c>
      <c r="AG2" s="58">
        <v>1.4139999999999999</v>
      </c>
      <c r="AH2" s="58">
        <v>2.3580000000000001</v>
      </c>
      <c r="AI2" s="58">
        <v>11.42</v>
      </c>
      <c r="AJ2" s="58">
        <v>12.25</v>
      </c>
      <c r="AK2" s="58">
        <v>13.18</v>
      </c>
      <c r="AL2" s="58">
        <v>11.28</v>
      </c>
      <c r="AM2" s="58">
        <v>32.33</v>
      </c>
      <c r="AN2">
        <v>53.7</v>
      </c>
      <c r="AO2">
        <v>92.6</v>
      </c>
      <c r="AP2">
        <v>98.1</v>
      </c>
      <c r="AQ2">
        <v>100.9</v>
      </c>
      <c r="AR2">
        <v>104.4</v>
      </c>
      <c r="AS2">
        <v>104.6</v>
      </c>
      <c r="AT2">
        <v>85.4</v>
      </c>
      <c r="AU2">
        <v>90.9</v>
      </c>
      <c r="AV2">
        <v>94.9</v>
      </c>
      <c r="AW2">
        <v>99.5</v>
      </c>
      <c r="AX2">
        <v>105.1</v>
      </c>
      <c r="AY2">
        <v>90.2</v>
      </c>
      <c r="AZ2">
        <v>96</v>
      </c>
      <c r="BA2">
        <v>101.3</v>
      </c>
      <c r="BB2">
        <v>104.5</v>
      </c>
      <c r="BC2">
        <v>105.1</v>
      </c>
      <c r="BE2">
        <v>2.0448</v>
      </c>
      <c r="BF2">
        <v>1.9455756422454804</v>
      </c>
      <c r="BG2">
        <v>0.71850000000000003</v>
      </c>
      <c r="BH2">
        <v>0.68363463368220745</v>
      </c>
      <c r="BI2">
        <v>2.8459290187891439</v>
      </c>
      <c r="BJ2" t="s">
        <v>131</v>
      </c>
      <c r="BK2" t="s">
        <v>128</v>
      </c>
    </row>
    <row r="3" spans="1:64">
      <c r="A3" s="6">
        <v>1061</v>
      </c>
      <c r="B3" s="2">
        <v>44219</v>
      </c>
      <c r="C3" s="2" t="b">
        <v>0</v>
      </c>
      <c r="E3">
        <v>48</v>
      </c>
      <c r="F3">
        <v>196.5</v>
      </c>
      <c r="G3">
        <v>344.5</v>
      </c>
      <c r="H3">
        <v>449.5</v>
      </c>
      <c r="I3">
        <v>518</v>
      </c>
      <c r="J3">
        <v>284.5</v>
      </c>
      <c r="K3">
        <v>1674.8</v>
      </c>
      <c r="L3" s="58">
        <v>3.0870000000000002</v>
      </c>
      <c r="M3" s="58">
        <v>2.407</v>
      </c>
      <c r="N3" s="58">
        <v>1.7829999999999999</v>
      </c>
      <c r="O3" s="58">
        <v>1.425</v>
      </c>
      <c r="P3" s="58">
        <v>2.1549999999999998</v>
      </c>
      <c r="Q3" s="58">
        <v>2.6480000000000001</v>
      </c>
      <c r="R3">
        <f>E3+(0.5*(E3-H3))+J3+(0.5*(H3-J3))+L3+(0.5*(J3-L3))+L3+(0.5*(N3-L3))+N3+(0.5*(P3-N3))</f>
        <v>362.44749999999999</v>
      </c>
      <c r="S3" s="67">
        <v>73</v>
      </c>
      <c r="T3" s="1">
        <f>(279+251)/2</f>
        <v>265</v>
      </c>
      <c r="U3" s="1">
        <f>(269+310)/2</f>
        <v>289.5</v>
      </c>
      <c r="V3" s="1">
        <f>(314+338)/2</f>
        <v>326</v>
      </c>
      <c r="W3" s="1">
        <f>(295+323)/2</f>
        <v>309</v>
      </c>
      <c r="X3" s="1">
        <f>(335+406)/2</f>
        <v>370.5</v>
      </c>
      <c r="Y3">
        <f>(43+43)/2</f>
        <v>43</v>
      </c>
      <c r="Z3">
        <f>(44+44)/2</f>
        <v>44</v>
      </c>
      <c r="AA3">
        <f>(36+44)/2</f>
        <v>40</v>
      </c>
      <c r="AB3">
        <f>(36+32)/2</f>
        <v>34</v>
      </c>
      <c r="AC3">
        <f>(42+54)/2</f>
        <v>48</v>
      </c>
      <c r="AD3" s="58">
        <v>1.92</v>
      </c>
      <c r="AE3" s="58">
        <v>3.101</v>
      </c>
      <c r="AF3" s="58">
        <v>1.89</v>
      </c>
      <c r="AG3" s="58">
        <v>1.681</v>
      </c>
      <c r="AH3" s="58">
        <v>3.0870000000000002</v>
      </c>
      <c r="AI3" s="58">
        <v>16.899999999999999</v>
      </c>
      <c r="AJ3" s="58">
        <v>13.42</v>
      </c>
      <c r="AK3" s="58">
        <v>9.6669999999999998</v>
      </c>
      <c r="AL3" s="58">
        <v>6.6989999999999998</v>
      </c>
      <c r="AM3" s="58">
        <v>48.37</v>
      </c>
      <c r="AN3">
        <v>52.1</v>
      </c>
      <c r="AO3">
        <v>88.9</v>
      </c>
      <c r="AP3">
        <v>93.4</v>
      </c>
      <c r="AQ3">
        <v>98.2</v>
      </c>
      <c r="AR3">
        <v>98.8</v>
      </c>
      <c r="AS3">
        <v>100.4</v>
      </c>
      <c r="AT3">
        <v>82.5</v>
      </c>
      <c r="AU3">
        <v>86.7</v>
      </c>
      <c r="AV3">
        <v>92.5</v>
      </c>
      <c r="AW3">
        <v>94.3</v>
      </c>
      <c r="AX3">
        <v>101.7</v>
      </c>
      <c r="AY3">
        <v>85.9</v>
      </c>
      <c r="AZ3">
        <v>90.7</v>
      </c>
      <c r="BA3">
        <v>97</v>
      </c>
      <c r="BB3">
        <v>98.1</v>
      </c>
      <c r="BC3">
        <v>101.7</v>
      </c>
      <c r="BE3">
        <v>1.7807999999999999</v>
      </c>
      <c r="BF3">
        <v>1.7510324483775812</v>
      </c>
      <c r="BG3">
        <v>0.60589999999999999</v>
      </c>
      <c r="BH3">
        <v>0.59577187807276299</v>
      </c>
      <c r="BI3">
        <v>2.9390988611982181</v>
      </c>
      <c r="BJ3" t="s">
        <v>131</v>
      </c>
      <c r="BK3" t="s">
        <v>129</v>
      </c>
    </row>
    <row r="4" spans="1:64">
      <c r="A4" s="6">
        <v>1062</v>
      </c>
      <c r="B4" s="2">
        <v>44219</v>
      </c>
      <c r="C4" s="2" t="b">
        <v>1</v>
      </c>
      <c r="D4" t="s">
        <v>177</v>
      </c>
      <c r="E4">
        <v>56.5</v>
      </c>
      <c r="F4">
        <v>219</v>
      </c>
      <c r="G4">
        <v>334</v>
      </c>
      <c r="H4">
        <v>462</v>
      </c>
      <c r="I4">
        <v>511</v>
      </c>
      <c r="J4">
        <v>189</v>
      </c>
      <c r="K4">
        <v>1648.75</v>
      </c>
      <c r="L4" s="58">
        <v>3.3439999999999999</v>
      </c>
      <c r="M4" s="58">
        <v>2.5910000000000002</v>
      </c>
      <c r="N4" s="58">
        <v>3.4980000000000002</v>
      </c>
      <c r="O4" s="58">
        <v>2.8780000000000001</v>
      </c>
      <c r="P4" s="58">
        <v>3.0760000000000001</v>
      </c>
      <c r="Q4" s="58">
        <v>5.2809999999999997</v>
      </c>
      <c r="R4">
        <f>H4+(0.5*(E4-H4))+H4+(0.5*(J4-H4))+L4+(0.5*(J4-L4))+L4+(0.5*(N4-L4))+N4+(0.5*(P4-N4))</f>
        <v>687.63000000000011</v>
      </c>
      <c r="S4" s="67">
        <v>78</v>
      </c>
      <c r="T4" s="1">
        <f>(249+264)/2</f>
        <v>256.5</v>
      </c>
      <c r="U4" s="1">
        <f>(266+235)/2</f>
        <v>250.5</v>
      </c>
      <c r="V4" s="32">
        <f>(137+142)/2</f>
        <v>139.5</v>
      </c>
      <c r="W4" s="1">
        <f>(248+249)/2</f>
        <v>248.5</v>
      </c>
      <c r="X4">
        <f>(91+107+76+81+86+101)/6</f>
        <v>90.333333333333329</v>
      </c>
      <c r="Y4">
        <f>(60+52+45)/3</f>
        <v>52.333333333333336</v>
      </c>
      <c r="Z4">
        <f>(47+49)/2</f>
        <v>48</v>
      </c>
      <c r="AA4">
        <f>(40+40)/2</f>
        <v>40</v>
      </c>
      <c r="AB4">
        <f>(41+36)/2</f>
        <v>38.5</v>
      </c>
      <c r="AC4">
        <f>(55+58)/2</f>
        <v>56.5</v>
      </c>
      <c r="AD4" s="58">
        <v>4.1539999999999999</v>
      </c>
      <c r="AE4" s="58">
        <v>2.879</v>
      </c>
      <c r="AF4" s="58">
        <v>1.9770000000000001</v>
      </c>
      <c r="AG4" s="58">
        <v>2.734</v>
      </c>
      <c r="AH4" s="58">
        <v>3.3439999999999999</v>
      </c>
      <c r="AI4" s="58">
        <v>10.37</v>
      </c>
      <c r="AJ4" s="58">
        <v>12.76</v>
      </c>
      <c r="AK4" s="58">
        <v>11.56</v>
      </c>
      <c r="AL4" s="58">
        <v>9.4499999999999993</v>
      </c>
      <c r="AM4" s="58">
        <v>38.47</v>
      </c>
      <c r="AN4">
        <v>51.3</v>
      </c>
      <c r="AO4">
        <v>93.5</v>
      </c>
      <c r="AP4">
        <v>99.3</v>
      </c>
      <c r="AQ4">
        <v>103</v>
      </c>
      <c r="AR4">
        <v>107</v>
      </c>
      <c r="AS4">
        <v>106.9</v>
      </c>
      <c r="AT4">
        <v>86.7</v>
      </c>
      <c r="AU4">
        <v>91.9</v>
      </c>
      <c r="AV4">
        <v>96.8</v>
      </c>
      <c r="AW4">
        <v>102.1</v>
      </c>
      <c r="AX4">
        <v>109.1</v>
      </c>
      <c r="AY4">
        <v>91.2</v>
      </c>
      <c r="AZ4">
        <v>96.1</v>
      </c>
      <c r="BA4">
        <v>101.3</v>
      </c>
      <c r="BB4">
        <v>106.7</v>
      </c>
      <c r="BC4">
        <v>109.1</v>
      </c>
      <c r="BE4">
        <v>2.5185</v>
      </c>
      <c r="BF4">
        <v>2.3084326306141154</v>
      </c>
      <c r="BG4">
        <v>0.74390000000000001</v>
      </c>
      <c r="BH4">
        <v>0.68185151237396879</v>
      </c>
      <c r="BI4">
        <v>3.3855356902809519</v>
      </c>
      <c r="BJ4" t="s">
        <v>131</v>
      </c>
      <c r="BK4" t="s">
        <v>128</v>
      </c>
    </row>
    <row r="5" spans="1:64">
      <c r="A5" s="36">
        <v>1063</v>
      </c>
      <c r="B5" s="40">
        <v>44219</v>
      </c>
      <c r="C5" s="40" t="b">
        <v>0</v>
      </c>
      <c r="L5" s="59">
        <v>4.3659999999999997</v>
      </c>
      <c r="M5" s="59"/>
      <c r="N5" s="59"/>
      <c r="O5" s="59"/>
      <c r="P5" s="59"/>
      <c r="Q5" s="59"/>
      <c r="R5" s="43"/>
      <c r="S5" s="68">
        <v>73</v>
      </c>
      <c r="T5" s="43">
        <f>(58+68)/2</f>
        <v>63</v>
      </c>
      <c r="U5" s="43">
        <f>(45+48)/2</f>
        <v>46.5</v>
      </c>
      <c r="V5" s="43">
        <f>(75+81)/2</f>
        <v>78</v>
      </c>
      <c r="W5" s="43">
        <f>(59+67)/2</f>
        <v>63</v>
      </c>
      <c r="X5" s="43"/>
      <c r="Y5" s="43">
        <f>(40+42)/2</f>
        <v>41</v>
      </c>
      <c r="Z5" s="43">
        <f>(52+48)/2</f>
        <v>50</v>
      </c>
      <c r="AA5" s="43">
        <f>(63+66)/2</f>
        <v>64.5</v>
      </c>
      <c r="AB5" s="43">
        <f>(68+59)/2</f>
        <v>63.5</v>
      </c>
      <c r="AC5" s="43">
        <f>(41+43)/2</f>
        <v>42</v>
      </c>
      <c r="AD5" s="58">
        <v>2.3039999999999998</v>
      </c>
      <c r="AE5" s="59">
        <v>0.99519999999999997</v>
      </c>
      <c r="AF5" s="59">
        <v>1.381</v>
      </c>
      <c r="AG5" s="59">
        <v>2.5299999999999998</v>
      </c>
      <c r="AH5" s="59">
        <v>4.3659999999999997</v>
      </c>
      <c r="AI5" s="59">
        <v>43.94</v>
      </c>
      <c r="AJ5" s="60">
        <v>10.64</v>
      </c>
      <c r="AK5" s="59">
        <v>39.24</v>
      </c>
      <c r="AL5" s="59">
        <v>51.56</v>
      </c>
      <c r="AM5" s="59"/>
      <c r="AN5" s="43">
        <v>49.6</v>
      </c>
      <c r="AO5" s="43">
        <v>91.9</v>
      </c>
      <c r="AP5" s="43">
        <v>98.3</v>
      </c>
      <c r="AQ5" s="43">
        <v>102.8</v>
      </c>
      <c r="AR5" s="43">
        <v>105</v>
      </c>
      <c r="AS5" s="43"/>
      <c r="AT5" s="43">
        <v>85.2</v>
      </c>
      <c r="AU5" s="43">
        <v>92.5</v>
      </c>
      <c r="AV5" s="43">
        <v>97.1</v>
      </c>
      <c r="AW5" s="43">
        <v>101</v>
      </c>
      <c r="AX5" s="43">
        <v>109.2</v>
      </c>
      <c r="AY5" s="43">
        <v>89</v>
      </c>
      <c r="AZ5" s="43">
        <v>96.7</v>
      </c>
      <c r="BA5" s="43">
        <v>102.3</v>
      </c>
      <c r="BB5" s="43">
        <v>105.7</v>
      </c>
      <c r="BC5" s="43">
        <v>109.2</v>
      </c>
      <c r="BE5">
        <v>2.5485000000000002</v>
      </c>
      <c r="BF5">
        <v>2.3337912087912089</v>
      </c>
      <c r="BG5">
        <v>0.86140000000000005</v>
      </c>
      <c r="BH5">
        <v>0.78882783882783891</v>
      </c>
      <c r="BI5">
        <v>2.9585558393313209</v>
      </c>
      <c r="BK5" t="s">
        <v>128</v>
      </c>
      <c r="BL5" t="s">
        <v>172</v>
      </c>
    </row>
    <row r="6" spans="1:64">
      <c r="A6" s="5">
        <v>1074</v>
      </c>
      <c r="B6" s="2">
        <v>44219</v>
      </c>
      <c r="C6" s="2" t="b">
        <v>1</v>
      </c>
      <c r="D6" t="s">
        <v>177</v>
      </c>
      <c r="E6">
        <v>38.5</v>
      </c>
      <c r="F6">
        <v>160</v>
      </c>
      <c r="G6">
        <v>308</v>
      </c>
      <c r="H6">
        <v>368</v>
      </c>
      <c r="I6">
        <v>445.5</v>
      </c>
      <c r="J6">
        <v>99</v>
      </c>
      <c r="K6">
        <v>1350.25</v>
      </c>
      <c r="L6" s="58">
        <v>1.81</v>
      </c>
      <c r="M6" s="58">
        <v>2.81</v>
      </c>
      <c r="N6" s="58">
        <v>4.8310000000000004</v>
      </c>
      <c r="O6" s="58">
        <v>3.99</v>
      </c>
      <c r="P6" s="58">
        <v>7</v>
      </c>
      <c r="Q6" s="62">
        <v>4.88</v>
      </c>
      <c r="R6">
        <f>E6+(0.5*(H6-E6))+H6+(0.5*(J6-H6))+L6+(0.5*(J6-L6))+L6+(0.5*(N6-L6))+P6+(0.5*(N6-P6))</f>
        <v>496.39099999999996</v>
      </c>
      <c r="S6" s="67">
        <v>70</v>
      </c>
      <c r="T6" s="1">
        <f>(249+216)/2</f>
        <v>232.5</v>
      </c>
      <c r="U6" s="1">
        <f>(203+204)/2</f>
        <v>203.5</v>
      </c>
      <c r="V6" s="1">
        <f>(209+202)/2</f>
        <v>205.5</v>
      </c>
      <c r="W6" s="1">
        <f>(219+232)/2</f>
        <v>225.5</v>
      </c>
      <c r="X6" s="32">
        <f>(180+99)/2</f>
        <v>139.5</v>
      </c>
      <c r="Y6" s="1">
        <f>(160+195+159)/3</f>
        <v>171.33333333333334</v>
      </c>
      <c r="Z6">
        <f>(48+55)/2</f>
        <v>51.5</v>
      </c>
      <c r="AA6">
        <f>(53+57)/2</f>
        <v>55</v>
      </c>
      <c r="AB6">
        <f>(45+47)/2</f>
        <v>46</v>
      </c>
      <c r="AC6">
        <f>(37+40)/2</f>
        <v>38.5</v>
      </c>
      <c r="AD6" s="58">
        <v>7.3869999999999996</v>
      </c>
      <c r="AE6" s="58">
        <v>2.7650000000000001</v>
      </c>
      <c r="AF6" s="58">
        <v>1.3919999999999999</v>
      </c>
      <c r="AG6" s="58">
        <v>2.5710000000000002</v>
      </c>
      <c r="AH6" s="58">
        <v>1.81</v>
      </c>
      <c r="AI6" s="58">
        <v>8.1869999999999994</v>
      </c>
      <c r="AJ6" s="58">
        <v>14.11</v>
      </c>
      <c r="AK6" s="58">
        <v>13.63</v>
      </c>
      <c r="AL6" s="58">
        <v>14.34</v>
      </c>
      <c r="AM6" s="58">
        <v>25.71</v>
      </c>
      <c r="AN6">
        <v>55.8</v>
      </c>
      <c r="AO6">
        <v>95.7</v>
      </c>
      <c r="AP6">
        <v>102.3</v>
      </c>
      <c r="AQ6">
        <v>106.3</v>
      </c>
      <c r="AR6">
        <v>108.3</v>
      </c>
      <c r="AS6">
        <v>108.6</v>
      </c>
      <c r="AT6">
        <v>93.2</v>
      </c>
      <c r="AU6">
        <v>95.6</v>
      </c>
      <c r="AV6">
        <v>100.5</v>
      </c>
      <c r="AW6">
        <v>103.4</v>
      </c>
      <c r="AX6">
        <v>110.4</v>
      </c>
      <c r="AY6">
        <v>96.7</v>
      </c>
      <c r="AZ6">
        <v>98.7</v>
      </c>
      <c r="BA6">
        <v>106.2</v>
      </c>
      <c r="BB6">
        <v>110.1</v>
      </c>
      <c r="BC6">
        <v>110.4</v>
      </c>
      <c r="BE6">
        <v>2.5059999999999998</v>
      </c>
      <c r="BF6">
        <v>2.2699275362318838</v>
      </c>
      <c r="BG6">
        <v>0.71640000000000004</v>
      </c>
      <c r="BH6">
        <v>0.64891304347826084</v>
      </c>
      <c r="BI6">
        <v>3.4980457844779451</v>
      </c>
      <c r="BJ6" t="s">
        <v>131</v>
      </c>
      <c r="BK6" t="s">
        <v>129</v>
      </c>
    </row>
    <row r="7" spans="1:64">
      <c r="A7" s="6">
        <v>1075</v>
      </c>
      <c r="B7" s="2">
        <v>44219</v>
      </c>
      <c r="C7" s="2" t="b">
        <v>0</v>
      </c>
      <c r="E7">
        <v>169</v>
      </c>
      <c r="F7">
        <v>355</v>
      </c>
      <c r="G7">
        <v>600</v>
      </c>
      <c r="H7">
        <v>600</v>
      </c>
      <c r="I7">
        <v>569.5</v>
      </c>
      <c r="J7">
        <v>392</v>
      </c>
      <c r="K7">
        <v>3365</v>
      </c>
      <c r="L7" s="58">
        <v>1.8460000000000001</v>
      </c>
      <c r="M7" s="58">
        <v>1.3879999999999999</v>
      </c>
      <c r="N7" s="58">
        <v>1.617</v>
      </c>
      <c r="O7" s="58">
        <v>1.71</v>
      </c>
      <c r="P7" s="58">
        <v>0.99080000000000001</v>
      </c>
      <c r="Q7" s="58">
        <v>1.123</v>
      </c>
      <c r="R7">
        <f>H7+(0.5*(E7-H7))+H7+(0.5*(J7-H7))+J7+(0.5*(L7-J7))+N7+(0.5*(L7-N7))+N7+(0.5*(P7-N7))</f>
        <v>1080.4583999999998</v>
      </c>
      <c r="S7" s="67">
        <v>69</v>
      </c>
      <c r="T7" s="1">
        <f>(417+349)/2</f>
        <v>383</v>
      </c>
      <c r="U7" s="1">
        <f>(406+372)/2</f>
        <v>389</v>
      </c>
      <c r="V7" s="1">
        <f>(351+383)/2</f>
        <v>367</v>
      </c>
      <c r="W7" s="1">
        <f>(487+541)/2</f>
        <v>514</v>
      </c>
      <c r="X7" s="1">
        <f>(451+560+516)/3</f>
        <v>509</v>
      </c>
      <c r="Y7" s="32">
        <f>(75+83+55+96)/4</f>
        <v>77.25</v>
      </c>
      <c r="Z7" s="32">
        <f>(95+115)/2</f>
        <v>105</v>
      </c>
      <c r="AA7">
        <f>(63+72)/2</f>
        <v>67.5</v>
      </c>
      <c r="AB7">
        <f>(60+63)/2</f>
        <v>61.5</v>
      </c>
      <c r="AC7" s="1">
        <f>(183+155)/2</f>
        <v>169</v>
      </c>
      <c r="AD7" s="58">
        <v>2.0390000000000001</v>
      </c>
      <c r="AE7" s="58">
        <v>1.476</v>
      </c>
      <c r="AF7" s="58">
        <v>1.0629999999999999</v>
      </c>
      <c r="AG7" s="58">
        <v>1.603</v>
      </c>
      <c r="AH7" s="58">
        <v>1.8460000000000001</v>
      </c>
      <c r="AI7" s="58">
        <v>2.7080000000000002</v>
      </c>
      <c r="AJ7" s="58">
        <v>2.2970000000000002</v>
      </c>
      <c r="AK7" s="58">
        <v>3.3730000000000002</v>
      </c>
      <c r="AL7" s="58">
        <v>3.0859999999999999</v>
      </c>
      <c r="AM7" s="58">
        <v>11.62</v>
      </c>
      <c r="AN7">
        <v>56.3</v>
      </c>
      <c r="AO7">
        <v>91.7</v>
      </c>
      <c r="AP7">
        <v>95.3</v>
      </c>
      <c r="AQ7">
        <v>98.5</v>
      </c>
      <c r="AR7">
        <v>103.2</v>
      </c>
      <c r="AS7">
        <v>101.8</v>
      </c>
      <c r="AT7">
        <v>86.7</v>
      </c>
      <c r="AU7">
        <v>89.4</v>
      </c>
      <c r="AV7">
        <v>93</v>
      </c>
      <c r="AW7">
        <v>96.7</v>
      </c>
      <c r="AX7">
        <v>105.5</v>
      </c>
      <c r="AY7">
        <v>90.9</v>
      </c>
      <c r="AZ7">
        <v>93.2</v>
      </c>
      <c r="BA7">
        <v>96.8</v>
      </c>
      <c r="BB7">
        <v>102.3</v>
      </c>
      <c r="BC7">
        <v>105.5</v>
      </c>
      <c r="BE7">
        <v>1.3107</v>
      </c>
      <c r="BF7">
        <v>1.2423696682464453</v>
      </c>
      <c r="BG7">
        <v>0.59099999999999997</v>
      </c>
      <c r="BH7">
        <v>0.56018957345971565</v>
      </c>
      <c r="BI7">
        <v>2.2177664974619287</v>
      </c>
      <c r="BJ7" t="s">
        <v>126</v>
      </c>
      <c r="BK7" t="s">
        <v>127</v>
      </c>
    </row>
    <row r="8" spans="1:64">
      <c r="A8" s="7">
        <v>1076</v>
      </c>
      <c r="B8" s="2">
        <v>44219</v>
      </c>
      <c r="C8" s="2" t="b">
        <v>1</v>
      </c>
      <c r="D8" t="s">
        <v>179</v>
      </c>
      <c r="E8">
        <v>138</v>
      </c>
      <c r="F8">
        <v>352.5</v>
      </c>
      <c r="G8">
        <v>513.5</v>
      </c>
      <c r="H8">
        <v>585</v>
      </c>
      <c r="I8">
        <v>600</v>
      </c>
      <c r="J8">
        <v>406.5</v>
      </c>
      <c r="K8">
        <v>2321.25</v>
      </c>
      <c r="L8" s="58">
        <v>2.827</v>
      </c>
      <c r="M8" s="58">
        <v>2.0169999999999999</v>
      </c>
      <c r="N8" s="58">
        <v>1.2969999999999999</v>
      </c>
      <c r="O8" s="58">
        <v>1.5429999999999999</v>
      </c>
      <c r="P8" s="58">
        <v>2.0760000000000001</v>
      </c>
      <c r="Q8" s="58">
        <v>2.2149999999999999</v>
      </c>
      <c r="R8">
        <f>H8+(0.5*(E8-H8))+J8+(0.5*(H8-J8))+L8+(0.5*(L8-J8))+L8+(0.5*(N8-L8))+N8+(0.5*(P8-N8))</f>
        <v>661.98900000000003</v>
      </c>
      <c r="S8" s="67">
        <v>96</v>
      </c>
      <c r="T8" s="1">
        <f>(510+348+305)/3</f>
        <v>387.66666666666669</v>
      </c>
      <c r="U8" s="1">
        <f>(288+274)/2</f>
        <v>281</v>
      </c>
      <c r="V8" s="1">
        <f>(375+323)/2</f>
        <v>349</v>
      </c>
      <c r="W8" s="1">
        <f>(367+416)/2</f>
        <v>391.5</v>
      </c>
      <c r="X8" s="1">
        <f>(441+430)/2</f>
        <v>435.5</v>
      </c>
      <c r="Y8" s="1">
        <f>(145+208+170)/3</f>
        <v>174.33333333333334</v>
      </c>
      <c r="Z8" s="32">
        <f>(72+85)/2</f>
        <v>78.5</v>
      </c>
      <c r="AA8">
        <f>(55+87)/2</f>
        <v>71</v>
      </c>
      <c r="AB8">
        <f>(43+58)/2</f>
        <v>50.5</v>
      </c>
      <c r="AC8" s="1">
        <f>(150+126)/2</f>
        <v>138</v>
      </c>
      <c r="AD8" s="58">
        <v>5.1829999999999998</v>
      </c>
      <c r="AE8" s="58">
        <v>2.09</v>
      </c>
      <c r="AF8" s="58">
        <v>1.2</v>
      </c>
      <c r="AG8" s="58">
        <v>1.8240000000000001</v>
      </c>
      <c r="AH8" s="58">
        <v>2.827</v>
      </c>
      <c r="AI8" s="58">
        <v>2.8450000000000002</v>
      </c>
      <c r="AJ8" s="58">
        <v>3.6970000000000001</v>
      </c>
      <c r="AK8" s="58">
        <v>3.637</v>
      </c>
      <c r="AL8" s="58">
        <v>2.9369999999999998</v>
      </c>
      <c r="AM8" s="58">
        <v>16.37</v>
      </c>
      <c r="AN8">
        <v>60.7</v>
      </c>
      <c r="AO8">
        <v>95.4</v>
      </c>
      <c r="AP8">
        <v>99.1</v>
      </c>
      <c r="AQ8">
        <v>106.3</v>
      </c>
      <c r="AR8">
        <v>112.6</v>
      </c>
      <c r="AS8">
        <v>110.7</v>
      </c>
      <c r="AT8">
        <v>93.1</v>
      </c>
      <c r="AU8">
        <v>94.9</v>
      </c>
      <c r="AV8">
        <v>99.5</v>
      </c>
      <c r="AW8">
        <v>105.5</v>
      </c>
      <c r="AX8">
        <v>112.1</v>
      </c>
      <c r="AY8">
        <v>95.2</v>
      </c>
      <c r="AZ8">
        <v>100.7</v>
      </c>
      <c r="BA8">
        <v>103.2</v>
      </c>
      <c r="BB8">
        <v>110.3</v>
      </c>
      <c r="BC8">
        <v>112.1</v>
      </c>
      <c r="BE8">
        <v>1.4332</v>
      </c>
      <c r="BF8">
        <v>1.2785013380909902</v>
      </c>
      <c r="BG8">
        <v>0.69599999999999995</v>
      </c>
      <c r="BH8">
        <v>0.62087421944692234</v>
      </c>
      <c r="BI8">
        <v>2.0591954022988506</v>
      </c>
      <c r="BJ8" t="s">
        <v>126</v>
      </c>
      <c r="BK8" t="s">
        <v>129</v>
      </c>
    </row>
    <row r="9" spans="1:64">
      <c r="A9" s="37">
        <v>1080</v>
      </c>
      <c r="B9" s="40">
        <v>44220</v>
      </c>
      <c r="C9" s="40" t="b">
        <v>0</v>
      </c>
      <c r="L9" s="59">
        <v>4.9509999999999996</v>
      </c>
      <c r="M9" s="59"/>
      <c r="N9" s="59"/>
      <c r="O9" s="59"/>
      <c r="P9" s="59"/>
      <c r="Q9" s="59"/>
      <c r="R9" s="43"/>
      <c r="S9" s="68">
        <v>57</v>
      </c>
      <c r="T9" s="45">
        <f>(115+114+123)/3</f>
        <v>117.33333333333333</v>
      </c>
      <c r="U9" s="43">
        <f>(68+79)/2</f>
        <v>73.5</v>
      </c>
      <c r="V9" s="43">
        <f>(47+43)/2</f>
        <v>45</v>
      </c>
      <c r="W9" s="43">
        <f>(59+63)/2</f>
        <v>61</v>
      </c>
      <c r="X9" s="43"/>
      <c r="Y9" s="43">
        <f>(61+41+50+49)/4</f>
        <v>50.25</v>
      </c>
      <c r="Z9" s="43">
        <f>(57+56)/2</f>
        <v>56.5</v>
      </c>
      <c r="AA9" s="43">
        <f>(38+45)/2</f>
        <v>41.5</v>
      </c>
      <c r="AB9" s="43">
        <f>(58+46)/2</f>
        <v>52</v>
      </c>
      <c r="AC9" s="43">
        <f>(46+58)/2</f>
        <v>52</v>
      </c>
      <c r="AD9" s="58">
        <v>2.1320000000000001</v>
      </c>
      <c r="AE9" s="59">
        <v>1.875</v>
      </c>
      <c r="AF9" s="59">
        <v>1.29</v>
      </c>
      <c r="AG9" s="59">
        <v>1.9339999999999999</v>
      </c>
      <c r="AH9" s="59">
        <v>4.9509999999999996</v>
      </c>
      <c r="AI9" s="59">
        <v>10.52</v>
      </c>
      <c r="AJ9" s="59">
        <v>12.96</v>
      </c>
      <c r="AK9" s="59">
        <v>4.5529999999999999</v>
      </c>
      <c r="AL9" s="59">
        <v>16.79</v>
      </c>
      <c r="AM9" s="59"/>
      <c r="AN9" s="43">
        <v>48.7</v>
      </c>
      <c r="AO9" s="43">
        <v>94.9</v>
      </c>
      <c r="AP9" s="43">
        <v>102</v>
      </c>
      <c r="AQ9" s="43">
        <v>106</v>
      </c>
      <c r="AR9" s="43">
        <v>109.8</v>
      </c>
      <c r="AS9" s="43"/>
      <c r="AT9" s="43">
        <v>87.3</v>
      </c>
      <c r="AU9" s="43">
        <v>93.7</v>
      </c>
      <c r="AV9" s="43">
        <v>100.9</v>
      </c>
      <c r="AW9" s="43">
        <v>104.7</v>
      </c>
      <c r="AX9" s="43">
        <v>112.1</v>
      </c>
      <c r="AY9" s="43">
        <v>91.4</v>
      </c>
      <c r="AZ9" s="43">
        <v>101</v>
      </c>
      <c r="BA9" s="43">
        <v>107.4</v>
      </c>
      <c r="BB9" s="43">
        <v>109.9</v>
      </c>
      <c r="BC9" s="43">
        <v>112.1</v>
      </c>
      <c r="BE9">
        <v>1.9369000000000001</v>
      </c>
      <c r="BF9">
        <v>1.7278322925958969</v>
      </c>
      <c r="BG9">
        <v>0.77539999999999998</v>
      </c>
      <c r="BH9">
        <v>0.6917038358608385</v>
      </c>
      <c r="BI9">
        <v>2.4979365488779992</v>
      </c>
      <c r="BK9" t="s">
        <v>128</v>
      </c>
      <c r="BL9" t="s">
        <v>172</v>
      </c>
    </row>
    <row r="10" spans="1:64">
      <c r="A10" s="6">
        <v>1081</v>
      </c>
      <c r="B10" s="2">
        <v>44220</v>
      </c>
      <c r="C10" s="2" t="b">
        <v>0</v>
      </c>
      <c r="E10">
        <v>171</v>
      </c>
      <c r="F10">
        <v>345</v>
      </c>
      <c r="G10">
        <v>547</v>
      </c>
      <c r="H10">
        <v>600</v>
      </c>
      <c r="I10">
        <v>563</v>
      </c>
      <c r="J10">
        <v>428.5</v>
      </c>
      <c r="K10">
        <v>2354.75</v>
      </c>
      <c r="L10" s="58">
        <v>2.0430000000000001</v>
      </c>
      <c r="M10" s="58">
        <v>1.54</v>
      </c>
      <c r="N10" s="58">
        <v>1.59</v>
      </c>
      <c r="O10" s="58">
        <v>2.976</v>
      </c>
      <c r="P10" s="58">
        <v>1.2490000000000001</v>
      </c>
      <c r="Q10" s="58">
        <v>1.5609999999999999</v>
      </c>
      <c r="R10">
        <f>H10+(0.5*(E10-H10))+H10+(0.5*(J10-H10))+J10+(0.5*(L10-J10))+N10+(0.5*(L10-N10))+N10+(0.5*(P10-N10))</f>
        <v>1118.2574999999999</v>
      </c>
      <c r="S10" s="67">
        <v>79</v>
      </c>
      <c r="T10" s="1">
        <f>(273+341+278)/3</f>
        <v>297.33333333333331</v>
      </c>
      <c r="U10" s="1">
        <f>(318+335)/2</f>
        <v>326.5</v>
      </c>
      <c r="V10" s="1">
        <f>(307+336)/2</f>
        <v>321.5</v>
      </c>
      <c r="W10" s="1">
        <f>(378+391)/2</f>
        <v>384.5</v>
      </c>
      <c r="X10" s="1">
        <f>(600+600)/2</f>
        <v>600</v>
      </c>
      <c r="Y10">
        <f>(43+61+67)/3</f>
        <v>57</v>
      </c>
      <c r="Z10">
        <f>(58+74+67+68)/4</f>
        <v>66.75</v>
      </c>
      <c r="AA10">
        <f>(78+69)/2</f>
        <v>73.5</v>
      </c>
      <c r="AB10">
        <f>(65+62)/2</f>
        <v>63.5</v>
      </c>
      <c r="AC10" s="1">
        <f>(163+179)/2</f>
        <v>171</v>
      </c>
      <c r="AD10" s="58">
        <v>4.5339999999999998</v>
      </c>
      <c r="AE10" s="60">
        <v>8.9130000000000003</v>
      </c>
      <c r="AF10" s="58">
        <v>2.2389999999999999</v>
      </c>
      <c r="AG10" s="58">
        <v>1.7250000000000001</v>
      </c>
      <c r="AH10" s="58">
        <v>2.0430000000000001</v>
      </c>
      <c r="AI10" s="58">
        <v>3.96</v>
      </c>
      <c r="AJ10" s="58">
        <v>6.798</v>
      </c>
      <c r="AK10" s="58">
        <v>5.1260000000000003</v>
      </c>
      <c r="AL10" s="58">
        <v>3.0009999999999999</v>
      </c>
      <c r="AM10" s="58">
        <v>14.42</v>
      </c>
      <c r="AN10">
        <v>56.2</v>
      </c>
      <c r="AO10">
        <v>97.7</v>
      </c>
      <c r="AP10">
        <v>104</v>
      </c>
      <c r="AQ10">
        <v>106.5</v>
      </c>
      <c r="AR10">
        <v>109.3</v>
      </c>
      <c r="AS10">
        <v>109.2</v>
      </c>
      <c r="AT10">
        <v>90.6</v>
      </c>
      <c r="AU10">
        <v>95.1</v>
      </c>
      <c r="AV10">
        <v>99.6</v>
      </c>
      <c r="AW10">
        <v>102.9</v>
      </c>
      <c r="AX10">
        <v>113.2</v>
      </c>
      <c r="AY10">
        <v>95.8</v>
      </c>
      <c r="AZ10">
        <v>100.1</v>
      </c>
      <c r="BA10">
        <v>106.1</v>
      </c>
      <c r="BB10">
        <v>108.3</v>
      </c>
      <c r="BC10">
        <v>113.2</v>
      </c>
      <c r="BE10">
        <v>1.3511</v>
      </c>
      <c r="BF10">
        <v>1.1935512367491166</v>
      </c>
      <c r="BG10">
        <v>0.62829999999999997</v>
      </c>
      <c r="BH10">
        <v>0.55503533568904595</v>
      </c>
      <c r="BI10">
        <v>2.1504058570746456</v>
      </c>
      <c r="BJ10" t="s">
        <v>126</v>
      </c>
      <c r="BK10" t="s">
        <v>128</v>
      </c>
    </row>
    <row r="11" spans="1:64">
      <c r="A11" s="7">
        <v>1082</v>
      </c>
      <c r="B11" s="2">
        <v>44220</v>
      </c>
      <c r="C11" s="2" t="b">
        <v>1</v>
      </c>
      <c r="D11" t="s">
        <v>179</v>
      </c>
      <c r="E11">
        <v>62</v>
      </c>
      <c r="F11">
        <v>258</v>
      </c>
      <c r="G11">
        <v>600</v>
      </c>
      <c r="H11">
        <v>600</v>
      </c>
      <c r="I11">
        <v>571.5</v>
      </c>
      <c r="J11">
        <v>328.5</v>
      </c>
      <c r="K11">
        <v>2224.75</v>
      </c>
      <c r="L11" s="58">
        <v>1.2789999999999999</v>
      </c>
      <c r="M11" s="58">
        <v>1.4430000000000001</v>
      </c>
      <c r="N11" s="58">
        <v>2.0219999999999998</v>
      </c>
      <c r="O11" s="58">
        <v>1.3979999999999999</v>
      </c>
      <c r="P11" s="58">
        <v>1.347</v>
      </c>
      <c r="Q11" s="58">
        <v>2.3010000000000002</v>
      </c>
      <c r="R11">
        <f>E11+(0.5*(H11-E11))+H11+(0.5*(J11-H11))+L11+(0.5*(J11-L11))+N11+(0.5*(L11-N11))+N11+(0.5*(P11-N11))</f>
        <v>963.47450000000015</v>
      </c>
      <c r="S11" s="67">
        <v>90</v>
      </c>
      <c r="T11" s="1">
        <f>(287+257)/2</f>
        <v>272</v>
      </c>
      <c r="U11" s="1">
        <f>(329+350)/2</f>
        <v>339.5</v>
      </c>
      <c r="V11" s="1">
        <f>(320+341)/2</f>
        <v>330.5</v>
      </c>
      <c r="W11" s="1">
        <f>(414+412)/2</f>
        <v>413</v>
      </c>
      <c r="X11" s="1">
        <f>(529+546)/2</f>
        <v>537.5</v>
      </c>
      <c r="Y11">
        <f>(51+67)/2</f>
        <v>59</v>
      </c>
      <c r="Z11">
        <f>(60+47+53)/3</f>
        <v>53.333333333333336</v>
      </c>
      <c r="AA11">
        <f>(42+58)/2</f>
        <v>50</v>
      </c>
      <c r="AB11">
        <f>(55+90+71+78)/4</f>
        <v>73.5</v>
      </c>
      <c r="AC11">
        <f>(57+67)/2</f>
        <v>62</v>
      </c>
      <c r="AD11" s="58">
        <v>2.3239999999999998</v>
      </c>
      <c r="AE11" s="60"/>
      <c r="AF11" s="58">
        <v>1.119</v>
      </c>
      <c r="AG11" s="58">
        <v>1.389</v>
      </c>
      <c r="AH11" s="58">
        <v>1.2789999999999999</v>
      </c>
      <c r="AI11" s="58">
        <v>4.5880000000000001</v>
      </c>
      <c r="AJ11" s="58">
        <v>2.9710000000000001</v>
      </c>
      <c r="AK11" s="58">
        <v>3.4649999999999999</v>
      </c>
      <c r="AL11" s="58">
        <v>2.145</v>
      </c>
      <c r="AM11" s="58">
        <v>13.01</v>
      </c>
      <c r="AN11">
        <v>54.1</v>
      </c>
      <c r="AO11">
        <v>95.9</v>
      </c>
      <c r="AP11">
        <v>102</v>
      </c>
      <c r="AQ11">
        <v>105.8</v>
      </c>
      <c r="AR11">
        <v>106.5</v>
      </c>
      <c r="AS11">
        <v>105.5</v>
      </c>
      <c r="AT11">
        <v>89.6</v>
      </c>
      <c r="AU11">
        <v>93.8</v>
      </c>
      <c r="AV11">
        <v>98.4</v>
      </c>
      <c r="AW11">
        <v>99.9</v>
      </c>
      <c r="AX11">
        <v>108.8</v>
      </c>
      <c r="AY11">
        <v>94.5</v>
      </c>
      <c r="AZ11">
        <v>99.7</v>
      </c>
      <c r="BA11">
        <v>103.9</v>
      </c>
      <c r="BB11">
        <v>107.4</v>
      </c>
      <c r="BC11">
        <v>108.8</v>
      </c>
      <c r="BE11">
        <v>0.89039999999999997</v>
      </c>
      <c r="BF11">
        <v>0.81838235294117645</v>
      </c>
      <c r="BG11">
        <v>0.65149999999999997</v>
      </c>
      <c r="BH11">
        <v>0.59880514705882348</v>
      </c>
      <c r="BI11">
        <v>1.3666922486569455</v>
      </c>
      <c r="BJ11" t="s">
        <v>126</v>
      </c>
      <c r="BK11" t="s">
        <v>127</v>
      </c>
    </row>
    <row r="12" spans="1:64">
      <c r="A12" s="5">
        <v>1091</v>
      </c>
      <c r="B12" s="2">
        <v>44227</v>
      </c>
      <c r="C12" s="2" t="b">
        <v>1</v>
      </c>
      <c r="D12" t="s">
        <v>180</v>
      </c>
      <c r="E12">
        <v>72</v>
      </c>
      <c r="F12">
        <v>172.5</v>
      </c>
      <c r="G12">
        <v>201.5</v>
      </c>
      <c r="H12">
        <v>208</v>
      </c>
      <c r="I12">
        <v>195</v>
      </c>
      <c r="J12">
        <v>67.5</v>
      </c>
      <c r="K12">
        <v>846.75</v>
      </c>
      <c r="L12" s="58">
        <v>1.29</v>
      </c>
      <c r="M12" s="58">
        <v>5.008</v>
      </c>
      <c r="N12" s="58">
        <v>6.9690000000000003</v>
      </c>
      <c r="O12" s="58">
        <v>5.8609999999999998</v>
      </c>
      <c r="P12" s="58">
        <v>8.5090000000000003</v>
      </c>
      <c r="Q12" s="58">
        <v>0.90500000000000003</v>
      </c>
      <c r="R12">
        <f>E12+(0.5*(H12-E12))+H12+(0.5*(J12-H12))+L12+(0.5*(J12-L12))+L12+(0.5*(N12-L12))+P12+(0.5*(N12-P12))</f>
        <v>324.01350000000008</v>
      </c>
      <c r="S12" s="67">
        <v>84</v>
      </c>
      <c r="T12" s="32">
        <f>(111+106)/2</f>
        <v>108.5</v>
      </c>
      <c r="U12">
        <f>(93+78+87)/3</f>
        <v>86</v>
      </c>
      <c r="V12">
        <f>(71+72)/2</f>
        <v>71.5</v>
      </c>
      <c r="W12">
        <f>(74+82)/2</f>
        <v>78</v>
      </c>
      <c r="X12">
        <f>(66+70)/2</f>
        <v>68</v>
      </c>
      <c r="Y12">
        <f>(52+55+53)/3</f>
        <v>53.333333333333336</v>
      </c>
      <c r="Z12">
        <f>(63+63)/2</f>
        <v>63</v>
      </c>
      <c r="AA12">
        <f>(48+49)/2</f>
        <v>48.5</v>
      </c>
      <c r="AB12">
        <f>(57+69)/2</f>
        <v>63</v>
      </c>
      <c r="AC12">
        <f>(75+69)/2</f>
        <v>72</v>
      </c>
      <c r="AD12" s="58">
        <v>0.95289999999999997</v>
      </c>
      <c r="AE12" s="58">
        <v>1.758</v>
      </c>
      <c r="AF12" s="58">
        <v>1.165</v>
      </c>
      <c r="AG12" s="58">
        <v>2.617</v>
      </c>
      <c r="AH12" s="58">
        <v>1.29</v>
      </c>
      <c r="AI12" s="58">
        <v>13.61</v>
      </c>
      <c r="AJ12" s="58">
        <v>22.8</v>
      </c>
      <c r="AK12" s="58">
        <v>21.67</v>
      </c>
      <c r="AL12" s="58">
        <v>17.55</v>
      </c>
      <c r="AM12" s="58">
        <v>8.2899999999999991</v>
      </c>
      <c r="AN12">
        <v>41.1</v>
      </c>
      <c r="AO12">
        <v>78.5</v>
      </c>
      <c r="AP12">
        <v>83.1</v>
      </c>
      <c r="AQ12">
        <v>87.3</v>
      </c>
      <c r="AR12">
        <v>89.5</v>
      </c>
      <c r="AS12">
        <v>89.6</v>
      </c>
      <c r="AT12">
        <v>70.900000000000006</v>
      </c>
      <c r="AU12">
        <v>75.8</v>
      </c>
      <c r="AV12">
        <v>81.8</v>
      </c>
      <c r="AW12">
        <v>83.8</v>
      </c>
      <c r="AX12">
        <v>92.4</v>
      </c>
      <c r="AY12">
        <v>76.099999999999994</v>
      </c>
      <c r="AZ12">
        <v>81.2</v>
      </c>
      <c r="BA12">
        <v>86.2</v>
      </c>
      <c r="BB12">
        <v>89</v>
      </c>
      <c r="BC12">
        <v>92.4</v>
      </c>
      <c r="BE12">
        <v>1.4930000000000001</v>
      </c>
      <c r="BF12">
        <v>1.615800865800866</v>
      </c>
      <c r="BG12">
        <v>0.53539999999999999</v>
      </c>
      <c r="BH12">
        <v>0.57943722943722942</v>
      </c>
      <c r="BI12">
        <v>2.7885692939858053</v>
      </c>
      <c r="BJ12" t="s">
        <v>138</v>
      </c>
      <c r="BK12" t="s">
        <v>129</v>
      </c>
    </row>
    <row r="13" spans="1:64">
      <c r="A13" s="6">
        <v>1092</v>
      </c>
      <c r="B13" s="2">
        <v>44227</v>
      </c>
      <c r="C13" s="2" t="b">
        <v>1</v>
      </c>
      <c r="D13" t="s">
        <v>177</v>
      </c>
      <c r="E13">
        <v>59.5</v>
      </c>
      <c r="F13">
        <v>206</v>
      </c>
      <c r="G13">
        <v>303.5</v>
      </c>
      <c r="H13">
        <v>392</v>
      </c>
      <c r="I13">
        <v>401</v>
      </c>
      <c r="J13">
        <v>91.5</v>
      </c>
      <c r="K13">
        <v>1377.95</v>
      </c>
      <c r="L13" s="58">
        <v>3.29</v>
      </c>
      <c r="M13" s="58">
        <v>5.4809999999999999</v>
      </c>
      <c r="N13" s="58">
        <v>6.5640000000000001</v>
      </c>
      <c r="O13" s="58">
        <v>6.9340000000000002</v>
      </c>
      <c r="P13" s="61">
        <v>17.88</v>
      </c>
      <c r="Q13" s="58">
        <v>7.8789999999999996</v>
      </c>
      <c r="R13">
        <f>E13+(0.5*(H13-E13))+H13+(0.5*(J13-H13))+L13+(0.5*(J13-L13))+L13+(0.5*(N13-L13))+P13+(0.5*(N13-P13))</f>
        <v>532.04399999999987</v>
      </c>
      <c r="S13" s="67">
        <v>75</v>
      </c>
      <c r="T13">
        <f>(84+68)/2</f>
        <v>76</v>
      </c>
      <c r="U13">
        <f>(70+71)/2</f>
        <v>70.5</v>
      </c>
      <c r="V13">
        <f>(55+63)/2</f>
        <v>59</v>
      </c>
      <c r="W13">
        <f>(52+64)/2</f>
        <v>58</v>
      </c>
      <c r="X13">
        <f>(38+50)/2</f>
        <v>44</v>
      </c>
      <c r="Y13">
        <f>(46+46)/2</f>
        <v>46</v>
      </c>
      <c r="Z13">
        <f>(65+62)/2</f>
        <v>63.5</v>
      </c>
      <c r="AA13">
        <f>(49+54)/2</f>
        <v>51.5</v>
      </c>
      <c r="AB13">
        <f>(76+52+52)/3</f>
        <v>60</v>
      </c>
      <c r="AC13">
        <f>(59+60)/2</f>
        <v>59.5</v>
      </c>
      <c r="AD13" s="58">
        <v>0.47449999999999998</v>
      </c>
      <c r="AE13" s="58">
        <v>1.18</v>
      </c>
      <c r="AF13" s="58">
        <v>1.0549999999999999</v>
      </c>
      <c r="AG13" s="58">
        <v>2.1230000000000002</v>
      </c>
      <c r="AH13" s="58">
        <v>3.29</v>
      </c>
      <c r="AI13" s="58">
        <v>8.5370000000000008</v>
      </c>
      <c r="AJ13" s="58">
        <v>16.690000000000001</v>
      </c>
      <c r="AK13" s="58">
        <v>19.329999999999998</v>
      </c>
      <c r="AL13" s="58">
        <v>15.15</v>
      </c>
      <c r="AM13" s="58">
        <v>30.05</v>
      </c>
      <c r="AN13">
        <v>39.4</v>
      </c>
      <c r="AO13">
        <v>77.7</v>
      </c>
      <c r="AP13">
        <v>84.2</v>
      </c>
      <c r="AQ13">
        <v>87.6</v>
      </c>
      <c r="AR13">
        <v>91</v>
      </c>
      <c r="AS13">
        <v>97.5</v>
      </c>
      <c r="AT13">
        <v>69.7</v>
      </c>
      <c r="AU13">
        <v>75.099999999999994</v>
      </c>
      <c r="AV13">
        <v>84.2</v>
      </c>
      <c r="AW13">
        <v>84.5</v>
      </c>
      <c r="AX13">
        <v>98.3</v>
      </c>
      <c r="AY13">
        <v>73.2</v>
      </c>
      <c r="AZ13">
        <v>80.2</v>
      </c>
      <c r="BA13">
        <v>88.5</v>
      </c>
      <c r="BB13">
        <v>89.5</v>
      </c>
      <c r="BC13">
        <v>98.3</v>
      </c>
      <c r="BE13">
        <v>1.2902</v>
      </c>
      <c r="BF13">
        <v>1.3125127161749746</v>
      </c>
      <c r="BG13">
        <v>0.63119999999999998</v>
      </c>
      <c r="BH13">
        <v>0.64211597151576805</v>
      </c>
      <c r="BI13">
        <v>2.04404309252218</v>
      </c>
      <c r="BJ13" t="s">
        <v>138</v>
      </c>
      <c r="BK13" t="s">
        <v>129</v>
      </c>
    </row>
    <row r="14" spans="1:64">
      <c r="A14" s="6">
        <v>1093</v>
      </c>
      <c r="B14" s="2">
        <v>44227</v>
      </c>
      <c r="C14" s="2" t="b">
        <v>1</v>
      </c>
      <c r="D14" t="s">
        <v>180</v>
      </c>
      <c r="E14">
        <v>50</v>
      </c>
      <c r="F14">
        <v>139.5</v>
      </c>
      <c r="G14">
        <v>221</v>
      </c>
      <c r="H14">
        <v>268.5</v>
      </c>
      <c r="I14">
        <v>300.5</v>
      </c>
      <c r="J14">
        <v>77</v>
      </c>
      <c r="K14">
        <v>993</v>
      </c>
      <c r="L14" s="58">
        <v>1.107</v>
      </c>
      <c r="M14" s="58">
        <v>4.8310000000000004</v>
      </c>
      <c r="N14" s="58">
        <v>2.6259999999999999</v>
      </c>
      <c r="O14" s="58">
        <v>2.31</v>
      </c>
      <c r="P14" s="58">
        <v>5.8719999999999999</v>
      </c>
      <c r="Q14" s="58">
        <v>2.0979999999999999</v>
      </c>
      <c r="R14">
        <f>E14+(0.5*(H14-E14))+H14+(0.5*(J14-H14))+L14+(0.5*(J14-L14))+L14+(0.5*(N14-L14))+P14+(0.5*(N14-P14))</f>
        <v>377.1690000000001</v>
      </c>
      <c r="S14" s="67">
        <v>72</v>
      </c>
      <c r="T14">
        <f>(76+88)/2</f>
        <v>82</v>
      </c>
      <c r="U14">
        <f>(80+86)/2</f>
        <v>83</v>
      </c>
      <c r="V14">
        <f>(73+66)/2</f>
        <v>69.5</v>
      </c>
      <c r="W14">
        <f>(61+70)/2</f>
        <v>65.5</v>
      </c>
      <c r="X14">
        <f>(63+67)/2</f>
        <v>65</v>
      </c>
      <c r="Y14">
        <f>(43+51)/2</f>
        <v>47</v>
      </c>
      <c r="Z14">
        <f>(65+63)/2</f>
        <v>64</v>
      </c>
      <c r="AA14">
        <f>(56+57)/2</f>
        <v>56.5</v>
      </c>
      <c r="AB14">
        <f>(55+58)/2</f>
        <v>56.5</v>
      </c>
      <c r="AC14">
        <f>(48+52)/2</f>
        <v>50</v>
      </c>
      <c r="AD14" s="58">
        <v>0.89270000000000005</v>
      </c>
      <c r="AE14" s="58">
        <v>0.96940000000000004</v>
      </c>
      <c r="AF14" s="58">
        <v>1.2569999999999999</v>
      </c>
      <c r="AG14" s="58">
        <v>1.2490000000000001</v>
      </c>
      <c r="AH14" s="58">
        <v>1.107</v>
      </c>
      <c r="AI14" s="58">
        <v>11.06</v>
      </c>
      <c r="AJ14" s="58">
        <v>11.14</v>
      </c>
      <c r="AK14" s="58">
        <v>12.91</v>
      </c>
      <c r="AL14" s="58">
        <v>9.3059999999999992</v>
      </c>
      <c r="AM14" s="58">
        <v>9.64</v>
      </c>
      <c r="AN14">
        <v>41.3</v>
      </c>
      <c r="AO14">
        <v>78.5</v>
      </c>
      <c r="AP14">
        <v>82.9</v>
      </c>
      <c r="AQ14">
        <v>87.2</v>
      </c>
      <c r="AR14">
        <v>91.3</v>
      </c>
      <c r="AS14">
        <v>92.3</v>
      </c>
      <c r="AT14">
        <v>71.400000000000006</v>
      </c>
      <c r="AU14">
        <v>75.599999999999994</v>
      </c>
      <c r="AV14">
        <v>82.1</v>
      </c>
      <c r="AW14">
        <v>85.4</v>
      </c>
      <c r="AX14">
        <v>94.5</v>
      </c>
      <c r="AY14">
        <v>75.599999999999994</v>
      </c>
      <c r="AZ14">
        <v>81</v>
      </c>
      <c r="BA14">
        <v>85.7</v>
      </c>
      <c r="BB14">
        <v>90.4</v>
      </c>
      <c r="BC14">
        <v>94.5</v>
      </c>
      <c r="BE14">
        <v>1.1374</v>
      </c>
      <c r="BF14">
        <v>1.2035978835978836</v>
      </c>
      <c r="BG14">
        <v>0.54620000000000002</v>
      </c>
      <c r="BH14">
        <v>0.57798941798941805</v>
      </c>
      <c r="BI14">
        <v>2.0823874038813619</v>
      </c>
      <c r="BJ14" t="s">
        <v>138</v>
      </c>
      <c r="BK14" t="s">
        <v>127</v>
      </c>
    </row>
    <row r="15" spans="1:64">
      <c r="A15" s="6">
        <v>1094</v>
      </c>
      <c r="B15" s="2">
        <v>44227</v>
      </c>
      <c r="C15" s="2" t="b">
        <v>0</v>
      </c>
      <c r="E15">
        <v>48</v>
      </c>
      <c r="F15">
        <v>135</v>
      </c>
      <c r="G15">
        <v>195.5</v>
      </c>
      <c r="H15">
        <v>237.5</v>
      </c>
      <c r="I15">
        <v>219</v>
      </c>
      <c r="J15">
        <v>63.5</v>
      </c>
      <c r="K15">
        <v>842.75</v>
      </c>
      <c r="L15" s="58">
        <v>1.177</v>
      </c>
      <c r="M15" s="58"/>
      <c r="N15" s="58"/>
      <c r="O15" s="58"/>
      <c r="P15" s="58"/>
      <c r="Q15" s="58"/>
      <c r="S15" s="67">
        <v>78</v>
      </c>
      <c r="T15" s="32">
        <f>(193+173)/2</f>
        <v>183</v>
      </c>
      <c r="U15">
        <f>(68+75)/2</f>
        <v>71.5</v>
      </c>
      <c r="V15">
        <f>(69+66)/2</f>
        <v>67.5</v>
      </c>
      <c r="W15">
        <f>(97+128+70)/3</f>
        <v>98.333333333333329</v>
      </c>
      <c r="X15">
        <f>(68+72)/2</f>
        <v>70</v>
      </c>
      <c r="Y15">
        <f>(44+55)/2</f>
        <v>49.5</v>
      </c>
      <c r="Z15">
        <f>(56+67)/2</f>
        <v>61.5</v>
      </c>
      <c r="AA15">
        <f>(63+62)/2</f>
        <v>62.5</v>
      </c>
      <c r="AB15">
        <f>(48+60)/2</f>
        <v>54</v>
      </c>
      <c r="AC15">
        <f>(50+46)/2</f>
        <v>48</v>
      </c>
      <c r="AD15" s="58">
        <v>3.1339999999999999</v>
      </c>
      <c r="AE15" s="58">
        <v>1.165</v>
      </c>
      <c r="AF15" s="58">
        <v>0.97</v>
      </c>
      <c r="AG15" s="58">
        <v>1.0549999999999999</v>
      </c>
      <c r="AH15" s="58">
        <v>1.177</v>
      </c>
      <c r="AI15" s="58">
        <v>33.549999999999997</v>
      </c>
      <c r="AJ15" s="58">
        <v>17.12</v>
      </c>
      <c r="AK15" s="58">
        <v>28.61</v>
      </c>
      <c r="AL15" s="58">
        <v>40.26</v>
      </c>
      <c r="AM15" s="58">
        <v>21.59</v>
      </c>
      <c r="AN15">
        <v>40.200000000000003</v>
      </c>
      <c r="AO15">
        <v>80</v>
      </c>
      <c r="AP15">
        <v>85.1</v>
      </c>
      <c r="AQ15">
        <v>89.5</v>
      </c>
      <c r="AR15">
        <v>93.9</v>
      </c>
      <c r="AS15">
        <v>94.4</v>
      </c>
      <c r="AT15">
        <v>73.5</v>
      </c>
      <c r="AU15">
        <v>78.2</v>
      </c>
      <c r="AV15">
        <v>82.3</v>
      </c>
      <c r="AW15">
        <v>87.4</v>
      </c>
      <c r="AX15">
        <v>98</v>
      </c>
      <c r="AY15">
        <v>76.7</v>
      </c>
      <c r="AZ15">
        <v>82.9</v>
      </c>
      <c r="BA15">
        <v>88.4</v>
      </c>
      <c r="BB15">
        <v>93.4</v>
      </c>
      <c r="BC15">
        <v>98</v>
      </c>
      <c r="BE15">
        <v>1.5392999999999999</v>
      </c>
      <c r="BF15">
        <v>1.5707142857142857</v>
      </c>
      <c r="BG15">
        <v>0.64100000000000001</v>
      </c>
      <c r="BH15">
        <v>0.65408163265306118</v>
      </c>
      <c r="BI15">
        <v>2.4014040561622467</v>
      </c>
      <c r="BJ15" t="s">
        <v>138</v>
      </c>
      <c r="BK15" t="s">
        <v>129</v>
      </c>
    </row>
    <row r="16" spans="1:64">
      <c r="A16" s="38">
        <v>1095</v>
      </c>
      <c r="B16" s="40">
        <v>44227</v>
      </c>
      <c r="C16" s="40" t="b">
        <v>0</v>
      </c>
      <c r="E16">
        <v>43</v>
      </c>
      <c r="F16">
        <v>85.5</v>
      </c>
      <c r="G16">
        <v>445.5</v>
      </c>
      <c r="H16">
        <v>483</v>
      </c>
      <c r="I16">
        <v>517.5</v>
      </c>
      <c r="J16">
        <v>119.5</v>
      </c>
      <c r="L16" s="58">
        <v>4.5250000000000004</v>
      </c>
      <c r="M16" s="58">
        <v>4.0780000000000003</v>
      </c>
      <c r="N16" s="58">
        <v>8.0120000000000005</v>
      </c>
      <c r="O16" s="58">
        <v>7.0179999999999998</v>
      </c>
      <c r="P16" s="58">
        <v>10.050000000000001</v>
      </c>
      <c r="Q16" s="63">
        <v>6.5350000000000001</v>
      </c>
      <c r="R16">
        <f>E16+(0.5*(H16-E16))+H16+(0.5*(J16-H16))+L16+(0.5*(J16-L16))+L16+(0.5*(N16-L16))+P16+(0.5*(N16-P16))</f>
        <v>641.5619999999999</v>
      </c>
      <c r="S16" s="67">
        <v>81</v>
      </c>
      <c r="T16">
        <f>(80+88)/2</f>
        <v>84</v>
      </c>
      <c r="U16">
        <f>(74+70+76)/3</f>
        <v>73.333333333333329</v>
      </c>
      <c r="V16">
        <f>(78+76)/2</f>
        <v>77</v>
      </c>
      <c r="W16">
        <f>(66+71)/2</f>
        <v>68.5</v>
      </c>
      <c r="X16">
        <f>(49+74)/2</f>
        <v>61.5</v>
      </c>
      <c r="Y16">
        <f>(45+57)/2</f>
        <v>51</v>
      </c>
      <c r="Z16">
        <f>(59+62)/2</f>
        <v>60.5</v>
      </c>
      <c r="AA16">
        <f>(54+56)/2</f>
        <v>55</v>
      </c>
      <c r="AB16">
        <f>(58+58)/2</f>
        <v>58</v>
      </c>
      <c r="AC16">
        <f>(44+42)/2</f>
        <v>43</v>
      </c>
      <c r="AD16" s="58">
        <v>1.9330000000000001</v>
      </c>
      <c r="AE16" s="58">
        <v>2.5019999999999998</v>
      </c>
      <c r="AF16" s="58">
        <v>2.4929999999999999</v>
      </c>
      <c r="AG16" s="58">
        <v>3.1669999999999998</v>
      </c>
      <c r="AH16" s="58">
        <v>4.5250000000000004</v>
      </c>
      <c r="AI16" s="58">
        <v>23.9</v>
      </c>
      <c r="AJ16" s="58">
        <v>20.58</v>
      </c>
      <c r="AK16" s="58">
        <v>21.4</v>
      </c>
      <c r="AL16" s="58">
        <v>27.74</v>
      </c>
      <c r="AM16" s="58">
        <v>20.34</v>
      </c>
      <c r="AN16">
        <v>42.7</v>
      </c>
      <c r="AO16">
        <v>82.5</v>
      </c>
      <c r="AP16">
        <v>87.6</v>
      </c>
      <c r="AQ16">
        <v>90.9</v>
      </c>
      <c r="AR16">
        <v>94.8</v>
      </c>
      <c r="AS16">
        <v>94.8</v>
      </c>
      <c r="AT16">
        <v>76.599999999999994</v>
      </c>
      <c r="AU16">
        <v>81.599999999999994</v>
      </c>
      <c r="AV16">
        <v>85.9</v>
      </c>
      <c r="AW16">
        <v>89.2</v>
      </c>
      <c r="AX16">
        <v>98.3</v>
      </c>
      <c r="AY16">
        <v>79.400000000000006</v>
      </c>
      <c r="AZ16">
        <v>85.4</v>
      </c>
      <c r="BA16">
        <v>91.7</v>
      </c>
      <c r="BB16">
        <v>95</v>
      </c>
      <c r="BC16">
        <v>98.3</v>
      </c>
      <c r="BE16">
        <v>1.7470000000000001</v>
      </c>
      <c r="BF16">
        <v>1.7772126144455749</v>
      </c>
      <c r="BG16">
        <v>0.64119999999999999</v>
      </c>
      <c r="BH16">
        <v>0.65228891149542223</v>
      </c>
      <c r="BI16">
        <v>2.7245789145352464</v>
      </c>
      <c r="BJ16" t="s">
        <v>138</v>
      </c>
      <c r="BK16" t="s">
        <v>134</v>
      </c>
      <c r="BL16" t="s">
        <v>171</v>
      </c>
    </row>
    <row r="17" spans="1:64">
      <c r="A17" s="7">
        <v>1096</v>
      </c>
      <c r="B17" s="2">
        <v>44227</v>
      </c>
      <c r="C17" s="2" t="b">
        <v>0</v>
      </c>
      <c r="E17">
        <v>58.5</v>
      </c>
      <c r="F17">
        <v>186</v>
      </c>
      <c r="G17">
        <v>248.5</v>
      </c>
      <c r="H17">
        <v>302.5</v>
      </c>
      <c r="I17">
        <v>485.5</v>
      </c>
      <c r="J17">
        <v>299</v>
      </c>
      <c r="K17">
        <v>1401.25</v>
      </c>
      <c r="L17" s="58">
        <v>4.0149999999999997</v>
      </c>
      <c r="M17" s="58">
        <v>5.2919999999999998</v>
      </c>
      <c r="N17" s="58">
        <v>5.0789999999999997</v>
      </c>
      <c r="O17" s="58">
        <v>4.4169999999999998</v>
      </c>
      <c r="P17" s="58">
        <v>5.2329999999999997</v>
      </c>
      <c r="Q17" s="58">
        <v>6.2990000000000004</v>
      </c>
      <c r="R17">
        <f>E17+(0.5*(H17-E17))+J17+(0.5*(H17-J17))+L17+(0.5*(J17-L17))+L17+(0.5*(N17-L17))+N17+(0.5*(P17-N17))</f>
        <v>642.46049999999991</v>
      </c>
      <c r="S17" s="67">
        <v>70</v>
      </c>
      <c r="T17" s="1">
        <f>(207+201)/2</f>
        <v>204</v>
      </c>
      <c r="U17" s="1">
        <f>(297+303)/2</f>
        <v>300</v>
      </c>
      <c r="V17">
        <f>(75+82)/2</f>
        <v>78.5</v>
      </c>
      <c r="W17" s="1">
        <f>(292+298)/2</f>
        <v>295</v>
      </c>
      <c r="X17">
        <v>102</v>
      </c>
      <c r="Y17">
        <f>(39+40)/2</f>
        <v>39.5</v>
      </c>
      <c r="Z17">
        <f>(60+50)/2</f>
        <v>55</v>
      </c>
      <c r="AA17" s="32">
        <f>(79+69+81)/3</f>
        <v>76.333333333333329</v>
      </c>
      <c r="AB17">
        <f>(64+77+49)/3</f>
        <v>63.333333333333336</v>
      </c>
      <c r="AC17">
        <f>(65+52)/2</f>
        <v>58.5</v>
      </c>
      <c r="AD17" s="58">
        <v>2.5179999999999998</v>
      </c>
      <c r="AE17" s="58">
        <v>3.536</v>
      </c>
      <c r="AF17" s="58">
        <v>3.6419999999999999</v>
      </c>
      <c r="AG17" s="58">
        <v>2.3290000000000002</v>
      </c>
      <c r="AH17" s="58">
        <v>4.0149999999999997</v>
      </c>
      <c r="AI17" s="58">
        <v>17.88</v>
      </c>
      <c r="AJ17" s="58">
        <v>11.58</v>
      </c>
      <c r="AK17" s="58">
        <v>6.57</v>
      </c>
      <c r="AL17" s="58">
        <v>14.57</v>
      </c>
      <c r="AM17" s="58">
        <v>37.17</v>
      </c>
      <c r="AN17">
        <v>45.1</v>
      </c>
      <c r="AO17">
        <v>93.2</v>
      </c>
      <c r="AP17">
        <v>95.4</v>
      </c>
      <c r="AQ17">
        <v>93.1</v>
      </c>
      <c r="AR17">
        <v>99.3</v>
      </c>
      <c r="AS17">
        <v>100.6</v>
      </c>
      <c r="AT17">
        <v>83</v>
      </c>
      <c r="AU17">
        <v>88.5</v>
      </c>
      <c r="AV17">
        <v>93.6</v>
      </c>
      <c r="AW17">
        <v>90.5</v>
      </c>
      <c r="AX17">
        <v>104.4</v>
      </c>
      <c r="AY17">
        <v>86.5</v>
      </c>
      <c r="AZ17">
        <v>94.7</v>
      </c>
      <c r="BA17">
        <v>98.5</v>
      </c>
      <c r="BB17">
        <v>97.4</v>
      </c>
      <c r="BC17">
        <v>104.4</v>
      </c>
      <c r="BE17">
        <v>1.1691</v>
      </c>
      <c r="BF17">
        <v>1.1198275862068965</v>
      </c>
      <c r="BG17">
        <v>0.60140000000000005</v>
      </c>
      <c r="BH17">
        <v>0.57605363984674329</v>
      </c>
      <c r="BI17">
        <v>1.9439640838044561</v>
      </c>
      <c r="BJ17" t="s">
        <v>138</v>
      </c>
      <c r="BK17" t="s">
        <v>129</v>
      </c>
    </row>
    <row r="18" spans="1:64">
      <c r="A18" s="37">
        <v>1100</v>
      </c>
      <c r="B18" s="40">
        <v>44228</v>
      </c>
      <c r="C18" s="40" t="b">
        <v>0</v>
      </c>
      <c r="L18" s="59"/>
      <c r="M18" s="59"/>
      <c r="N18" s="59"/>
      <c r="O18" s="59"/>
      <c r="P18" s="59"/>
      <c r="Q18" s="59"/>
      <c r="R18" s="43"/>
      <c r="S18" s="68">
        <v>58</v>
      </c>
      <c r="T18" s="43">
        <f>(74+51)/2</f>
        <v>62.5</v>
      </c>
      <c r="U18" s="43">
        <f>(82+75)/2</f>
        <v>78.5</v>
      </c>
      <c r="V18" s="43"/>
      <c r="W18" s="43"/>
      <c r="X18" s="43"/>
      <c r="Y18" s="43">
        <f>(61+64+59)/3</f>
        <v>61.333333333333336</v>
      </c>
      <c r="Z18" s="43">
        <f>(58+58)/2</f>
        <v>58</v>
      </c>
      <c r="AA18" s="43"/>
      <c r="AB18" s="43"/>
      <c r="AC18" s="43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43">
        <v>41.2</v>
      </c>
      <c r="AO18" s="43">
        <v>92.4</v>
      </c>
      <c r="AP18" s="43">
        <v>95.9</v>
      </c>
      <c r="AQ18" s="43"/>
      <c r="AR18" s="43"/>
      <c r="AT18" s="43">
        <v>85</v>
      </c>
      <c r="AU18" s="43">
        <v>89.4</v>
      </c>
      <c r="AV18" s="43"/>
      <c r="AW18" s="43"/>
      <c r="AX18" s="43"/>
      <c r="AY18" s="43">
        <v>89.7</v>
      </c>
      <c r="AZ18" s="43">
        <v>94.2</v>
      </c>
      <c r="BA18" s="43"/>
      <c r="BB18" s="43"/>
      <c r="BC18" s="43"/>
      <c r="BL18" t="s">
        <v>158</v>
      </c>
    </row>
    <row r="19" spans="1:64">
      <c r="A19" s="6">
        <v>1101</v>
      </c>
      <c r="B19" s="2">
        <v>44228</v>
      </c>
      <c r="C19" s="2" t="b">
        <v>1</v>
      </c>
      <c r="D19" t="s">
        <v>179</v>
      </c>
      <c r="E19">
        <v>64.5</v>
      </c>
      <c r="F19">
        <v>216.5</v>
      </c>
      <c r="G19">
        <v>519.5</v>
      </c>
      <c r="H19">
        <v>582</v>
      </c>
      <c r="I19">
        <v>587</v>
      </c>
      <c r="J19">
        <v>309</v>
      </c>
      <c r="K19">
        <v>2015.75</v>
      </c>
      <c r="L19" s="58">
        <v>0.98180000000000001</v>
      </c>
      <c r="M19" s="58">
        <v>0.87509999999999999</v>
      </c>
      <c r="N19" s="58">
        <v>1.496</v>
      </c>
      <c r="O19" s="58">
        <v>0.79830000000000001</v>
      </c>
      <c r="P19" s="58">
        <v>1.1499999999999999</v>
      </c>
      <c r="Q19" s="58">
        <v>1.919</v>
      </c>
      <c r="R19">
        <f>H19+(0.5*(E19-H19))+H19+(0.5*(J19-H19))+L19+(0.5*(J19-L19))+L19+(0.5*(N19-L19))+N19+(0.5*(P19-N19))</f>
        <v>926.30280000000005</v>
      </c>
      <c r="S19" s="67">
        <v>73</v>
      </c>
      <c r="T19" s="1">
        <f>(416+503)/2</f>
        <v>459.5</v>
      </c>
      <c r="U19" s="1">
        <f>(264+443+321)/3</f>
        <v>342.66666666666669</v>
      </c>
      <c r="V19" s="1">
        <f>(321+383)/2</f>
        <v>352</v>
      </c>
      <c r="W19" s="1">
        <f>(443+568)/2</f>
        <v>505.5</v>
      </c>
      <c r="Y19">
        <f>(33+58+40+32)/4</f>
        <v>40.75</v>
      </c>
      <c r="Z19">
        <f>(43+43)/2</f>
        <v>43</v>
      </c>
      <c r="AA19">
        <f>(49+40)/2</f>
        <v>44.5</v>
      </c>
      <c r="AB19">
        <f>(66+73+58+69)/4</f>
        <v>66.5</v>
      </c>
      <c r="AC19">
        <f>(63+66)/2</f>
        <v>64.5</v>
      </c>
      <c r="AD19" s="58">
        <v>2.2879999999999998</v>
      </c>
      <c r="AE19" s="58">
        <v>1.5840000000000001</v>
      </c>
      <c r="AF19" s="58">
        <v>1.982</v>
      </c>
      <c r="AG19" s="58">
        <v>1.2749999999999999</v>
      </c>
      <c r="AH19" s="58">
        <v>0.98180000000000001</v>
      </c>
      <c r="AI19" s="58">
        <v>3.1219999999999999</v>
      </c>
      <c r="AJ19" s="58">
        <v>4.12</v>
      </c>
      <c r="AK19" s="58">
        <v>3.5129999999999999</v>
      </c>
      <c r="AL19" s="60">
        <v>0.59750000000000003</v>
      </c>
      <c r="AM19" s="58">
        <v>13.49</v>
      </c>
      <c r="AN19">
        <v>41</v>
      </c>
      <c r="AO19">
        <v>96</v>
      </c>
      <c r="AP19">
        <v>102.2</v>
      </c>
      <c r="AQ19">
        <v>107.8</v>
      </c>
      <c r="AR19">
        <v>109.7</v>
      </c>
      <c r="AT19">
        <v>88.2</v>
      </c>
      <c r="AU19">
        <v>92.4</v>
      </c>
      <c r="AV19">
        <v>100.7</v>
      </c>
      <c r="AW19">
        <v>102</v>
      </c>
      <c r="AX19">
        <v>110.5</v>
      </c>
      <c r="AY19">
        <v>93.1</v>
      </c>
      <c r="AZ19">
        <v>98.7</v>
      </c>
      <c r="BA19">
        <v>108</v>
      </c>
      <c r="BB19">
        <v>109.5</v>
      </c>
      <c r="BC19">
        <v>110.5</v>
      </c>
      <c r="BE19">
        <v>0.92620000000000002</v>
      </c>
      <c r="BF19">
        <v>0.83819004524886886</v>
      </c>
      <c r="BG19">
        <v>0.62160000000000004</v>
      </c>
      <c r="BH19">
        <v>0.5625339366515838</v>
      </c>
      <c r="BI19">
        <v>1.49002574002574</v>
      </c>
      <c r="BJ19" t="s">
        <v>131</v>
      </c>
      <c r="BK19" t="s">
        <v>133</v>
      </c>
    </row>
    <row r="20" spans="1:64">
      <c r="A20" s="7">
        <v>1102</v>
      </c>
      <c r="B20" s="2">
        <v>44228</v>
      </c>
      <c r="C20" s="2" t="b">
        <v>1</v>
      </c>
      <c r="D20" t="s">
        <v>177</v>
      </c>
      <c r="E20">
        <v>48.5</v>
      </c>
      <c r="F20">
        <v>216.5</v>
      </c>
      <c r="G20">
        <v>477.5</v>
      </c>
      <c r="H20">
        <v>343.5</v>
      </c>
      <c r="I20">
        <v>538.5</v>
      </c>
      <c r="J20">
        <v>276</v>
      </c>
      <c r="K20">
        <v>1738.25</v>
      </c>
      <c r="L20" s="58">
        <v>2.7770000000000001</v>
      </c>
      <c r="M20" s="58">
        <v>3.512</v>
      </c>
      <c r="N20" s="58">
        <v>3.952</v>
      </c>
      <c r="O20" s="58">
        <v>3.0049999999999999</v>
      </c>
      <c r="P20" s="58">
        <v>2.919</v>
      </c>
      <c r="Q20" s="58">
        <v>3.2349999999999999</v>
      </c>
      <c r="R20">
        <f>E20+(0.5*(H20-E20))+H20+(0.5*(J20-H20))+L20+(0.5*(J20-L20))+N20+(0.5*(L20-N20))+N20+(0.5*(P20-N20))</f>
        <v>651.93850000000009</v>
      </c>
      <c r="S20" s="67">
        <v>77</v>
      </c>
      <c r="T20" s="1">
        <f>(277+322)/2</f>
        <v>299.5</v>
      </c>
      <c r="U20" s="1">
        <f>(224+231)/2</f>
        <v>227.5</v>
      </c>
      <c r="V20" s="1">
        <f>(272+344)/2</f>
        <v>308</v>
      </c>
      <c r="W20" s="1">
        <f>(309+368)/2</f>
        <v>338.5</v>
      </c>
      <c r="Y20">
        <f>(31+54+33)/3</f>
        <v>39.333333333333336</v>
      </c>
      <c r="Z20">
        <f>(38+44)/2</f>
        <v>41</v>
      </c>
      <c r="AA20">
        <f>(38+49+43)/3</f>
        <v>43.333333333333336</v>
      </c>
      <c r="AB20">
        <f>(37+57)/2</f>
        <v>47</v>
      </c>
      <c r="AC20">
        <f>(52+45)/2</f>
        <v>48.5</v>
      </c>
      <c r="AD20" s="58">
        <v>2.4359999999999999</v>
      </c>
      <c r="AE20" s="59">
        <v>2.633</v>
      </c>
      <c r="AF20" s="58">
        <v>2.8140000000000001</v>
      </c>
      <c r="AG20" s="58">
        <v>3.1589999999999998</v>
      </c>
      <c r="AH20" s="58">
        <v>2.7770000000000001</v>
      </c>
      <c r="AI20" s="58">
        <v>8.5739999999999998</v>
      </c>
      <c r="AJ20" s="58">
        <v>5.4329999999999998</v>
      </c>
      <c r="AK20" s="58">
        <v>9.1509999999999998</v>
      </c>
      <c r="AL20" s="58">
        <v>6.9089999999999998</v>
      </c>
      <c r="AM20" s="58">
        <v>27.69</v>
      </c>
      <c r="AN20">
        <v>48</v>
      </c>
      <c r="AO20">
        <v>104.2</v>
      </c>
      <c r="AP20">
        <v>109.6</v>
      </c>
      <c r="AQ20">
        <v>116.6</v>
      </c>
      <c r="AR20">
        <v>112.9</v>
      </c>
      <c r="AT20">
        <v>95</v>
      </c>
      <c r="AU20">
        <v>99</v>
      </c>
      <c r="AV20">
        <v>107.9</v>
      </c>
      <c r="AW20">
        <v>111.9</v>
      </c>
      <c r="AX20">
        <v>121.3</v>
      </c>
      <c r="AY20">
        <v>98.2</v>
      </c>
      <c r="AZ20">
        <v>105.5</v>
      </c>
      <c r="BA20">
        <v>114.3</v>
      </c>
      <c r="BB20">
        <v>117.6</v>
      </c>
      <c r="BC20">
        <v>121.3</v>
      </c>
      <c r="BE20">
        <v>1.7053</v>
      </c>
      <c r="BF20">
        <v>1.405853256389118</v>
      </c>
      <c r="BG20">
        <v>0.878</v>
      </c>
      <c r="BH20">
        <v>0.72382522671063476</v>
      </c>
      <c r="BI20">
        <v>1.9422551252847382</v>
      </c>
      <c r="BJ20" t="s">
        <v>131</v>
      </c>
      <c r="BK20" t="s">
        <v>134</v>
      </c>
    </row>
    <row r="25" spans="1:64">
      <c r="B25" s="57"/>
      <c r="C25" s="57"/>
    </row>
    <row r="26" spans="1:64">
      <c r="B26" s="57"/>
      <c r="C26" s="57"/>
    </row>
    <row r="27" spans="1:64">
      <c r="B27" s="57"/>
      <c r="C27" s="57"/>
    </row>
    <row r="28" spans="1:64">
      <c r="B28" s="57"/>
      <c r="C28" s="57"/>
    </row>
    <row r="29" spans="1:64">
      <c r="B29" s="57"/>
      <c r="C29" s="57"/>
    </row>
    <row r="30" spans="1:64">
      <c r="B30" s="57"/>
      <c r="C30" s="57"/>
    </row>
    <row r="31" spans="1:64">
      <c r="B31" s="57"/>
      <c r="C31" s="57"/>
    </row>
    <row r="32" spans="1:64">
      <c r="B32" s="57"/>
      <c r="C32" s="57"/>
    </row>
    <row r="33" spans="2:3">
      <c r="B33" s="57"/>
      <c r="C33" s="57"/>
    </row>
  </sheetData>
  <conditionalFormatting sqref="R2:R11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N2:AN20">
    <cfRule type="colorScale" priority="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CP44"/>
  <sheetViews>
    <sheetView zoomScaleNormal="100" workbookViewId="0">
      <pane xSplit="1" topLeftCell="BF1" activePane="topRight" state="frozen"/>
      <selection pane="topRight" activeCell="BH4" sqref="BH4:BH22"/>
    </sheetView>
  </sheetViews>
  <sheetFormatPr defaultColWidth="10.6640625" defaultRowHeight="15.5"/>
  <cols>
    <col min="1" max="1" width="22.33203125" customWidth="1"/>
    <col min="2" max="2" width="11.5" bestFit="1" customWidth="1"/>
    <col min="3" max="5" width="11.5" customWidth="1"/>
    <col min="6" max="7" width="10.83203125" customWidth="1"/>
    <col min="8" max="8" width="18.1640625" customWidth="1"/>
    <col min="9" max="10" width="10.83203125" customWidth="1"/>
    <col min="11" max="11" width="10.83203125" style="58" customWidth="1"/>
    <col min="12" max="12" width="10.83203125" customWidth="1"/>
    <col min="13" max="13" width="12.83203125" customWidth="1"/>
    <col min="14" max="15" width="10.83203125" customWidth="1"/>
    <col min="16" max="16" width="10.83203125" style="58" customWidth="1"/>
    <col min="17" max="17" width="10.83203125" customWidth="1"/>
    <col min="18" max="18" width="12.5" customWidth="1"/>
    <col min="19" max="23" width="10.83203125" customWidth="1"/>
    <col min="24" max="24" width="10.83203125" style="58" customWidth="1"/>
    <col min="25" max="25" width="10.83203125" customWidth="1"/>
    <col min="26" max="26" width="12.83203125" customWidth="1"/>
    <col min="27" max="28" width="10.83203125" customWidth="1"/>
    <col min="29" max="29" width="10.83203125" style="58" customWidth="1"/>
    <col min="30" max="36" width="10.83203125" customWidth="1"/>
    <col min="37" max="37" width="10.83203125" style="58" customWidth="1"/>
    <col min="38" max="41" width="10.83203125" customWidth="1"/>
    <col min="42" max="42" width="10.83203125" style="58" customWidth="1"/>
    <col min="43" max="49" width="10.83203125" customWidth="1"/>
    <col min="50" max="50" width="10.83203125" style="58" customWidth="1"/>
    <col min="51" max="54" width="10.83203125" customWidth="1"/>
    <col min="55" max="55" width="10.83203125" style="58" customWidth="1"/>
    <col min="56" max="62" width="10.83203125" customWidth="1"/>
    <col min="63" max="63" width="10.83203125" style="58" customWidth="1"/>
    <col min="64" max="66" width="10.83203125" customWidth="1"/>
    <col min="67" max="67" width="15" customWidth="1"/>
    <col min="68" max="68" width="15" style="58" customWidth="1"/>
    <col min="69" max="71" width="10.83203125" customWidth="1"/>
    <col min="72" max="72" width="10.83203125" style="58" customWidth="1"/>
    <col min="73" max="73" width="10.83203125" style="64" customWidth="1"/>
    <col min="74" max="74" width="10.83203125" customWidth="1"/>
    <col min="75" max="75" width="10.83203125" style="58" customWidth="1"/>
    <col min="76" max="76" width="10.83203125" customWidth="1"/>
    <col min="77" max="77" width="10.83203125" style="58" customWidth="1"/>
    <col min="78" max="78" width="10.83203125" customWidth="1"/>
    <col min="79" max="79" width="10.83203125" style="58" customWidth="1"/>
    <col min="80" max="80" width="10.83203125" customWidth="1"/>
    <col min="81" max="81" width="10.83203125" style="58" customWidth="1"/>
    <col min="82" max="82" width="10.83203125" customWidth="1"/>
    <col min="83" max="83" width="10.83203125" style="58" customWidth="1"/>
  </cols>
  <sheetData>
    <row r="1" spans="1:94">
      <c r="A1" t="s">
        <v>31</v>
      </c>
    </row>
    <row r="2" spans="1:94">
      <c r="D2" t="s">
        <v>35</v>
      </c>
      <c r="E2" t="s">
        <v>35</v>
      </c>
      <c r="J2" t="s">
        <v>37</v>
      </c>
      <c r="L2" t="s">
        <v>37</v>
      </c>
      <c r="O2" t="s">
        <v>37</v>
      </c>
      <c r="Q2" t="s">
        <v>37</v>
      </c>
      <c r="R2" t="s">
        <v>69</v>
      </c>
      <c r="W2" t="s">
        <v>38</v>
      </c>
      <c r="Y2" t="s">
        <v>38</v>
      </c>
      <c r="AB2" t="s">
        <v>38</v>
      </c>
      <c r="AD2" t="s">
        <v>38</v>
      </c>
      <c r="AE2" t="s">
        <v>68</v>
      </c>
      <c r="AJ2" t="s">
        <v>43</v>
      </c>
      <c r="AL2" t="s">
        <v>43</v>
      </c>
      <c r="AO2" t="s">
        <v>43</v>
      </c>
      <c r="AQ2" t="s">
        <v>43</v>
      </c>
      <c r="AR2" t="s">
        <v>81</v>
      </c>
      <c r="AW2" t="s">
        <v>51</v>
      </c>
      <c r="AY2" t="s">
        <v>51</v>
      </c>
      <c r="BB2" t="s">
        <v>51</v>
      </c>
      <c r="BD2" t="s">
        <v>51</v>
      </c>
      <c r="BJ2" t="s">
        <v>52</v>
      </c>
      <c r="BL2" t="s">
        <v>52</v>
      </c>
      <c r="BO2" t="s">
        <v>52</v>
      </c>
      <c r="BQ2" t="s">
        <v>52</v>
      </c>
      <c r="BS2" t="s">
        <v>124</v>
      </c>
    </row>
    <row r="3" spans="1:94">
      <c r="B3" t="s">
        <v>32</v>
      </c>
      <c r="C3" t="s">
        <v>0</v>
      </c>
      <c r="D3" t="s">
        <v>1</v>
      </c>
      <c r="E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s="58" t="s">
        <v>70</v>
      </c>
      <c r="L3" t="s">
        <v>2</v>
      </c>
      <c r="M3" t="s">
        <v>23</v>
      </c>
      <c r="N3" t="s">
        <v>0</v>
      </c>
      <c r="O3" t="s">
        <v>1</v>
      </c>
      <c r="P3" s="58" t="s">
        <v>70</v>
      </c>
      <c r="Q3" t="s">
        <v>2</v>
      </c>
      <c r="R3" t="s">
        <v>67</v>
      </c>
      <c r="S3" t="s">
        <v>0</v>
      </c>
      <c r="T3" t="s">
        <v>33</v>
      </c>
      <c r="U3" t="s">
        <v>34</v>
      </c>
      <c r="V3" t="s">
        <v>0</v>
      </c>
      <c r="W3" t="s">
        <v>26</v>
      </c>
      <c r="X3" s="58" t="s">
        <v>70</v>
      </c>
      <c r="Y3" t="s">
        <v>2</v>
      </c>
      <c r="Z3" t="s">
        <v>23</v>
      </c>
      <c r="AA3" t="s">
        <v>0</v>
      </c>
      <c r="AB3" t="s">
        <v>1</v>
      </c>
      <c r="AC3" s="58" t="s">
        <v>70</v>
      </c>
      <c r="AD3" t="s">
        <v>2</v>
      </c>
      <c r="AE3" t="s">
        <v>42</v>
      </c>
      <c r="AF3" t="s">
        <v>0</v>
      </c>
      <c r="AG3" t="s">
        <v>33</v>
      </c>
      <c r="AH3" t="s">
        <v>34</v>
      </c>
      <c r="AI3" t="s">
        <v>0</v>
      </c>
      <c r="AJ3" t="s">
        <v>26</v>
      </c>
      <c r="AK3" s="58" t="s">
        <v>70</v>
      </c>
      <c r="AL3" t="s">
        <v>2</v>
      </c>
      <c r="AM3" t="s">
        <v>23</v>
      </c>
      <c r="AN3" t="s">
        <v>0</v>
      </c>
      <c r="AO3" t="s">
        <v>1</v>
      </c>
      <c r="AP3" s="58" t="s">
        <v>70</v>
      </c>
      <c r="AQ3" t="s">
        <v>2</v>
      </c>
      <c r="AR3" t="s">
        <v>42</v>
      </c>
      <c r="AS3" t="s">
        <v>0</v>
      </c>
      <c r="AT3" t="s">
        <v>33</v>
      </c>
      <c r="AU3" t="s">
        <v>34</v>
      </c>
      <c r="AV3" t="s">
        <v>0</v>
      </c>
      <c r="AW3" t="s">
        <v>26</v>
      </c>
      <c r="AX3" s="58" t="s">
        <v>183</v>
      </c>
      <c r="AY3" t="s">
        <v>2</v>
      </c>
      <c r="AZ3" t="s">
        <v>23</v>
      </c>
      <c r="BA3" t="s">
        <v>0</v>
      </c>
      <c r="BB3" t="s">
        <v>1</v>
      </c>
      <c r="BC3" s="58" t="s">
        <v>183</v>
      </c>
      <c r="BD3" t="s">
        <v>2</v>
      </c>
      <c r="BE3" t="s">
        <v>42</v>
      </c>
      <c r="BF3" t="s">
        <v>0</v>
      </c>
      <c r="BG3" t="s">
        <v>33</v>
      </c>
      <c r="BH3" t="s">
        <v>34</v>
      </c>
      <c r="BI3" t="s">
        <v>0</v>
      </c>
      <c r="BJ3" t="s">
        <v>26</v>
      </c>
      <c r="BK3" s="58" t="s">
        <v>70</v>
      </c>
      <c r="BL3" t="s">
        <v>2</v>
      </c>
      <c r="BM3" t="s">
        <v>23</v>
      </c>
      <c r="BN3" t="s">
        <v>0</v>
      </c>
      <c r="BO3" t="s">
        <v>135</v>
      </c>
      <c r="BP3" s="58" t="s">
        <v>185</v>
      </c>
      <c r="BQ3" t="s">
        <v>2</v>
      </c>
      <c r="BR3" t="s">
        <v>42</v>
      </c>
      <c r="BS3" t="s">
        <v>110</v>
      </c>
      <c r="BT3" s="58" t="s">
        <v>70</v>
      </c>
      <c r="BU3" s="64" t="s">
        <v>231</v>
      </c>
      <c r="BV3" t="s">
        <v>109</v>
      </c>
      <c r="BW3" s="58" t="s">
        <v>70</v>
      </c>
      <c r="BX3" t="s">
        <v>111</v>
      </c>
      <c r="BY3" s="58" t="s">
        <v>70</v>
      </c>
      <c r="BZ3" t="s">
        <v>112</v>
      </c>
      <c r="CA3" s="58" t="s">
        <v>70</v>
      </c>
      <c r="CB3" s="12" t="s">
        <v>113</v>
      </c>
      <c r="CC3" s="58" t="s">
        <v>70</v>
      </c>
      <c r="CD3" s="12" t="s">
        <v>114</v>
      </c>
      <c r="CE3" s="58" t="s">
        <v>70</v>
      </c>
      <c r="CF3" s="12" t="s">
        <v>119</v>
      </c>
      <c r="CG3" s="12" t="s">
        <v>186</v>
      </c>
      <c r="CH3" t="s">
        <v>115</v>
      </c>
      <c r="CI3" t="s">
        <v>116</v>
      </c>
      <c r="CJ3" s="12" t="s">
        <v>120</v>
      </c>
      <c r="CK3" t="s">
        <v>117</v>
      </c>
      <c r="CL3" t="s">
        <v>121</v>
      </c>
      <c r="CM3" t="s">
        <v>122</v>
      </c>
      <c r="CN3" t="s">
        <v>125</v>
      </c>
      <c r="CO3" t="s">
        <v>130</v>
      </c>
      <c r="CP3" t="s">
        <v>232</v>
      </c>
    </row>
    <row r="4" spans="1:94">
      <c r="A4" s="5" t="s">
        <v>233</v>
      </c>
      <c r="B4" s="2">
        <v>44219</v>
      </c>
      <c r="C4" s="2" t="s">
        <v>65</v>
      </c>
      <c r="D4" s="12">
        <v>71</v>
      </c>
      <c r="E4">
        <v>53.7</v>
      </c>
      <c r="F4" t="s">
        <v>22</v>
      </c>
      <c r="G4" s="1">
        <f>(236+274)/2</f>
        <v>255</v>
      </c>
      <c r="H4">
        <v>90.2</v>
      </c>
      <c r="I4" t="s">
        <v>28</v>
      </c>
      <c r="J4">
        <f>(40+42)/2</f>
        <v>41</v>
      </c>
      <c r="K4" s="58">
        <v>2.8740000000000001</v>
      </c>
      <c r="L4">
        <v>85.4</v>
      </c>
      <c r="M4">
        <f>(H4-L4)/H4*100</f>
        <v>5.321507760532147</v>
      </c>
      <c r="N4" t="s">
        <v>24</v>
      </c>
      <c r="O4" s="1">
        <f>(214+236)/2</f>
        <v>225</v>
      </c>
      <c r="P4" s="58">
        <v>11.42</v>
      </c>
      <c r="Q4">
        <v>92.6</v>
      </c>
      <c r="R4">
        <f>(Q4-E4)/E4*100</f>
        <v>72.439478584729969</v>
      </c>
      <c r="S4" t="s">
        <v>25</v>
      </c>
      <c r="U4">
        <v>96</v>
      </c>
      <c r="V4" t="s">
        <v>30</v>
      </c>
      <c r="W4">
        <f>(47+49)/2</f>
        <v>48</v>
      </c>
      <c r="X4" s="58">
        <v>1.6679999999999999</v>
      </c>
      <c r="Y4">
        <v>90.9</v>
      </c>
      <c r="Z4">
        <f>(U4-Y4)/U4*100</f>
        <v>5.3124999999999947</v>
      </c>
      <c r="AA4" t="s">
        <v>41</v>
      </c>
      <c r="AB4">
        <f>(82+84)/2</f>
        <v>83</v>
      </c>
      <c r="AC4" s="58">
        <v>12.25</v>
      </c>
      <c r="AD4">
        <v>98.1</v>
      </c>
      <c r="AE4">
        <f>(AD4-Q4)/Q4*100</f>
        <v>5.9395248380129591</v>
      </c>
      <c r="AF4" t="s">
        <v>44</v>
      </c>
      <c r="AH4">
        <v>101.3</v>
      </c>
      <c r="AI4" t="s">
        <v>45</v>
      </c>
      <c r="AJ4">
        <f>(46+59)/2</f>
        <v>52.5</v>
      </c>
      <c r="AK4" s="58">
        <v>0.96350000000000002</v>
      </c>
      <c r="AL4">
        <v>94.9</v>
      </c>
      <c r="AM4">
        <f>(AH4-AL4)/AH4*100</f>
        <v>6.3178677196446111</v>
      </c>
      <c r="AN4" t="s">
        <v>46</v>
      </c>
      <c r="AO4" s="1">
        <f>(203+209)/2</f>
        <v>206</v>
      </c>
      <c r="AP4" s="58">
        <v>13.18</v>
      </c>
      <c r="AQ4">
        <v>100.9</v>
      </c>
      <c r="AR4">
        <f>(AQ4-AD4)/AD4*100</f>
        <v>2.8542303771661688</v>
      </c>
      <c r="AS4" t="s">
        <v>53</v>
      </c>
      <c r="AU4">
        <v>104.5</v>
      </c>
      <c r="AV4" t="s">
        <v>54</v>
      </c>
      <c r="AW4">
        <f>(52+48)/2</f>
        <v>50</v>
      </c>
      <c r="AX4" s="58">
        <v>1.4139999999999999</v>
      </c>
      <c r="AY4">
        <v>99.5</v>
      </c>
      <c r="AZ4">
        <f>(AQ4-AY4)/AQ4*100</f>
        <v>1.3875123885034744</v>
      </c>
      <c r="BA4" t="s">
        <v>57</v>
      </c>
      <c r="BB4" s="1">
        <f>(210+232)/2</f>
        <v>221</v>
      </c>
      <c r="BC4" s="58">
        <v>11.28</v>
      </c>
      <c r="BD4">
        <v>104.4</v>
      </c>
      <c r="BE4">
        <f>(BD4-AQ4)/AQ4*100</f>
        <v>3.4687809712586719</v>
      </c>
      <c r="BF4" t="s">
        <v>59</v>
      </c>
      <c r="BH4">
        <v>105.1</v>
      </c>
      <c r="BI4" t="s">
        <v>60</v>
      </c>
      <c r="BJ4">
        <f>(60+57)/2</f>
        <v>58.5</v>
      </c>
      <c r="BK4" s="58">
        <v>2.3580000000000001</v>
      </c>
      <c r="BL4">
        <v>100.9</v>
      </c>
      <c r="BM4">
        <f>(BH4-BL4)/BH4*100</f>
        <v>3.9961941008563167</v>
      </c>
      <c r="BN4" t="s">
        <v>63</v>
      </c>
      <c r="BO4" s="32">
        <f>(206+180)/2</f>
        <v>193</v>
      </c>
      <c r="BP4" s="58">
        <v>32.33</v>
      </c>
      <c r="BQ4">
        <v>104.6</v>
      </c>
      <c r="BR4">
        <f>(BQ4-BL4)/BL4*100</f>
        <v>3.6669970267591565</v>
      </c>
      <c r="BS4">
        <f>(60+57)/2</f>
        <v>58.5</v>
      </c>
      <c r="BT4" s="58">
        <v>2.3580000000000001</v>
      </c>
      <c r="BU4" s="64">
        <f>BT4/BS4</f>
        <v>4.0307692307692308E-2</v>
      </c>
      <c r="BV4">
        <f>(169+187)/2</f>
        <v>178</v>
      </c>
      <c r="BW4" s="58">
        <v>2.1539999999999999</v>
      </c>
      <c r="BX4">
        <f>(340+289)/2</f>
        <v>314.5</v>
      </c>
      <c r="BY4" s="58">
        <v>2.5369999999999999</v>
      </c>
      <c r="BZ4">
        <f>(518+584)/2</f>
        <v>551</v>
      </c>
      <c r="CA4" s="58">
        <v>2.2069999999999999</v>
      </c>
      <c r="CB4" s="1">
        <f>(600+578)/2</f>
        <v>589</v>
      </c>
      <c r="CC4" s="58">
        <v>3.3959999999999999</v>
      </c>
      <c r="CD4">
        <f>(210+190)/2</f>
        <v>200</v>
      </c>
      <c r="CE4" s="58">
        <v>5.5759999999999996</v>
      </c>
      <c r="CF4">
        <f>58.5+((178-58.5)*0.5)+178+((314.5-178)*0.5)+314.5+((551-314.5)*0.5)+551+((589-551)*0.5)+200+((589-200)*0.5)</f>
        <v>1761.75</v>
      </c>
      <c r="CG4">
        <f>BT4+(0.5*(BT4-BW4))+BW4+(0.5*(BY4-BW4))+CA4+(0.5*(BY4-CA4))+CA4+(0.5*(CC4-CA4))+CC4+(0.5*(CE4-CC4))</f>
        <v>14.465</v>
      </c>
      <c r="CI4">
        <v>2.0448</v>
      </c>
      <c r="CJ4">
        <f t="shared" ref="CJ4:CJ19" si="0">(CI4/BH4)*100</f>
        <v>1.9455756422454804</v>
      </c>
      <c r="CK4">
        <v>0.71850000000000003</v>
      </c>
      <c r="CL4">
        <f t="shared" ref="CL4:CL19" si="1">(CK4/BH4)*100</f>
        <v>0.68363463368220745</v>
      </c>
      <c r="CM4">
        <f>CJ4/CL4</f>
        <v>2.8459290187891439</v>
      </c>
      <c r="CN4" t="s">
        <v>131</v>
      </c>
      <c r="CO4" t="s">
        <v>128</v>
      </c>
      <c r="CP4" s="65"/>
    </row>
    <row r="5" spans="1:94">
      <c r="A5" s="6" t="s">
        <v>234</v>
      </c>
      <c r="B5" s="2">
        <v>44219</v>
      </c>
      <c r="C5" s="2" t="s">
        <v>65</v>
      </c>
      <c r="D5" s="12">
        <v>73</v>
      </c>
      <c r="E5">
        <v>52.1</v>
      </c>
      <c r="F5" t="s">
        <v>22</v>
      </c>
      <c r="G5" s="1">
        <f>(207+227)/2</f>
        <v>217</v>
      </c>
      <c r="H5">
        <v>85.9</v>
      </c>
      <c r="I5" t="s">
        <v>28</v>
      </c>
      <c r="J5">
        <f>(43+43)/2</f>
        <v>43</v>
      </c>
      <c r="K5" s="58">
        <v>1.92</v>
      </c>
      <c r="L5">
        <v>82.5</v>
      </c>
      <c r="M5">
        <f t="shared" ref="M5:M22" si="2">(H5-L5)/H5*100</f>
        <v>3.9580908032596103</v>
      </c>
      <c r="N5" t="s">
        <v>24</v>
      </c>
      <c r="O5" s="1">
        <f>(279+251)/2</f>
        <v>265</v>
      </c>
      <c r="P5" s="58">
        <v>16.899999999999999</v>
      </c>
      <c r="Q5">
        <v>88.9</v>
      </c>
      <c r="R5">
        <f t="shared" ref="R5:R22" si="3">(Q5-E5)/E5*100</f>
        <v>70.633397312859898</v>
      </c>
      <c r="S5" t="s">
        <v>25</v>
      </c>
      <c r="U5">
        <v>90.7</v>
      </c>
      <c r="V5" t="s">
        <v>30</v>
      </c>
      <c r="W5">
        <f>(44+44)/2</f>
        <v>44</v>
      </c>
      <c r="X5" s="58">
        <v>3.101</v>
      </c>
      <c r="Y5">
        <v>86.7</v>
      </c>
      <c r="Z5">
        <f t="shared" ref="Z5:Z22" si="4">(U5-Y5)/U5*100</f>
        <v>4.4101433296582133</v>
      </c>
      <c r="AA5" t="s">
        <v>41</v>
      </c>
      <c r="AB5" s="1">
        <f>(269+310)/2</f>
        <v>289.5</v>
      </c>
      <c r="AC5" s="58">
        <v>13.42</v>
      </c>
      <c r="AD5">
        <v>93.4</v>
      </c>
      <c r="AE5">
        <f t="shared" ref="AE5:AE22" si="5">(AD5-Q5)/Q5*100</f>
        <v>5.0618672665916753</v>
      </c>
      <c r="AF5" t="s">
        <v>44</v>
      </c>
      <c r="AH5">
        <v>97</v>
      </c>
      <c r="AI5" t="s">
        <v>45</v>
      </c>
      <c r="AJ5">
        <f>(36+44)/2</f>
        <v>40</v>
      </c>
      <c r="AK5" s="58">
        <v>1.89</v>
      </c>
      <c r="AL5">
        <v>92.5</v>
      </c>
      <c r="AM5">
        <f t="shared" ref="AM5:AM22" si="6">(AH5-AL5)/AH5*100</f>
        <v>4.6391752577319592</v>
      </c>
      <c r="AN5" t="s">
        <v>46</v>
      </c>
      <c r="AO5" s="1">
        <f>(314+338)/2</f>
        <v>326</v>
      </c>
      <c r="AP5" s="58">
        <v>9.6669999999999998</v>
      </c>
      <c r="AQ5">
        <v>98.2</v>
      </c>
      <c r="AR5">
        <f t="shared" ref="AR5:AR22" si="7">(AQ5-AD5)/AD5*100</f>
        <v>5.1391862955032082</v>
      </c>
      <c r="AS5" t="s">
        <v>53</v>
      </c>
      <c r="AU5">
        <v>98.1</v>
      </c>
      <c r="AV5" t="s">
        <v>54</v>
      </c>
      <c r="AW5">
        <f>(36+32)/2</f>
        <v>34</v>
      </c>
      <c r="AX5" s="58">
        <v>1.681</v>
      </c>
      <c r="AY5">
        <v>94.3</v>
      </c>
      <c r="AZ5">
        <f t="shared" ref="AZ5:AZ22" si="8">(AQ5-AY5)/AQ5*100</f>
        <v>3.9714867617107998</v>
      </c>
      <c r="BA5" t="s">
        <v>57</v>
      </c>
      <c r="BB5" s="1">
        <f>(295+323)/2</f>
        <v>309</v>
      </c>
      <c r="BC5" s="58">
        <v>6.6989999999999998</v>
      </c>
      <c r="BD5">
        <v>98.8</v>
      </c>
      <c r="BE5">
        <f t="shared" ref="BE5:BE22" si="9">(BD5-AQ5)/AQ5*100</f>
        <v>0.61099796334011636</v>
      </c>
      <c r="BF5" t="s">
        <v>59</v>
      </c>
      <c r="BH5">
        <v>101.7</v>
      </c>
      <c r="BI5" t="s">
        <v>60</v>
      </c>
      <c r="BJ5">
        <f>(42+54)/2</f>
        <v>48</v>
      </c>
      <c r="BK5" s="58">
        <v>3.0870000000000002</v>
      </c>
      <c r="BL5">
        <v>97</v>
      </c>
      <c r="BM5">
        <f t="shared" ref="BM5:BM22" si="10">(BH5-BL5)/BH5*100</f>
        <v>4.6214355948869255</v>
      </c>
      <c r="BN5" t="s">
        <v>63</v>
      </c>
      <c r="BO5" s="1">
        <f>(335+406)/2</f>
        <v>370.5</v>
      </c>
      <c r="BP5" s="58">
        <v>48.37</v>
      </c>
      <c r="BQ5">
        <v>100.4</v>
      </c>
      <c r="BR5">
        <f t="shared" ref="BR5:BR19" si="11">(BQ5-BL5)/BL5*100</f>
        <v>3.5051546391752635</v>
      </c>
      <c r="BS5">
        <f>(42+54)/2</f>
        <v>48</v>
      </c>
      <c r="BT5" s="58">
        <v>3.0870000000000002</v>
      </c>
      <c r="BU5" s="64">
        <f t="shared" ref="BU5:BU22" si="12">BT5/BS5</f>
        <v>6.4312500000000009E-2</v>
      </c>
      <c r="BV5">
        <f>(176+217)/2</f>
        <v>196.5</v>
      </c>
      <c r="BW5" s="58">
        <v>2.407</v>
      </c>
      <c r="BX5">
        <f>(313+376)/2</f>
        <v>344.5</v>
      </c>
      <c r="BY5" s="58">
        <v>1.7829999999999999</v>
      </c>
      <c r="BZ5">
        <f>(430+469)/2</f>
        <v>449.5</v>
      </c>
      <c r="CA5" s="58">
        <v>1.425</v>
      </c>
      <c r="CB5" s="1">
        <f>(514+522)/2</f>
        <v>518</v>
      </c>
      <c r="CC5" s="58">
        <v>2.1549999999999998</v>
      </c>
      <c r="CD5">
        <f>(265+304)/2</f>
        <v>284.5</v>
      </c>
      <c r="CE5" s="58">
        <v>2.6480000000000001</v>
      </c>
      <c r="CF5">
        <f>48+((196.5-48)*0.5)+196.5+((344.6-196.5)*0.5)+344.5+((449.5-344.5)*0.5)+449.5+((518-449.5)*0.5)+284.5+((518-284.5)*0.5)</f>
        <v>1674.8</v>
      </c>
      <c r="CG5">
        <f>BT5+(0.5*(BT5-BW5))+BY5+(0.5*(BW5-BY5))+CA5+(0.5*(BY5-CA5))+CA5+(0.5*(CC5-CA5))+CC5+(0.5*(CE5-CC5))</f>
        <v>11.317500000000003</v>
      </c>
      <c r="CI5">
        <v>1.7807999999999999</v>
      </c>
      <c r="CJ5">
        <f t="shared" si="0"/>
        <v>1.7510324483775812</v>
      </c>
      <c r="CK5">
        <v>0.60589999999999999</v>
      </c>
      <c r="CL5">
        <f t="shared" si="1"/>
        <v>0.59577187807276299</v>
      </c>
      <c r="CM5">
        <f t="shared" ref="CM5:CM22" si="13">CJ5/CL5</f>
        <v>2.9390988611982181</v>
      </c>
      <c r="CN5" t="s">
        <v>131</v>
      </c>
      <c r="CO5" t="s">
        <v>129</v>
      </c>
    </row>
    <row r="6" spans="1:94">
      <c r="A6" s="6" t="s">
        <v>235</v>
      </c>
      <c r="B6" s="2">
        <v>44219</v>
      </c>
      <c r="C6" s="2" t="s">
        <v>65</v>
      </c>
      <c r="D6" s="12">
        <v>78</v>
      </c>
      <c r="E6">
        <v>51.3</v>
      </c>
      <c r="F6" t="s">
        <v>22</v>
      </c>
      <c r="G6" s="1">
        <f>(322+320)/2</f>
        <v>321</v>
      </c>
      <c r="H6">
        <v>91.2</v>
      </c>
      <c r="I6" t="s">
        <v>28</v>
      </c>
      <c r="J6">
        <f>(60+52+45)/3</f>
        <v>52.333333333333336</v>
      </c>
      <c r="K6" s="58">
        <v>4.1539999999999999</v>
      </c>
      <c r="L6">
        <v>86.7</v>
      </c>
      <c r="M6">
        <f t="shared" si="2"/>
        <v>4.9342105263157894</v>
      </c>
      <c r="N6" t="s">
        <v>24</v>
      </c>
      <c r="O6" s="1">
        <f>(249+264)/2</f>
        <v>256.5</v>
      </c>
      <c r="P6" s="58">
        <v>10.37</v>
      </c>
      <c r="Q6">
        <v>93.5</v>
      </c>
      <c r="R6">
        <f t="shared" si="3"/>
        <v>82.261208576998058</v>
      </c>
      <c r="S6" t="s">
        <v>25</v>
      </c>
      <c r="U6">
        <v>96.1</v>
      </c>
      <c r="V6" t="s">
        <v>30</v>
      </c>
      <c r="W6">
        <f>(47+49)/2</f>
        <v>48</v>
      </c>
      <c r="X6" s="58">
        <v>2.879</v>
      </c>
      <c r="Y6">
        <v>91.9</v>
      </c>
      <c r="Z6">
        <f t="shared" si="4"/>
        <v>4.3704474505723088</v>
      </c>
      <c r="AA6" t="s">
        <v>41</v>
      </c>
      <c r="AB6" s="1">
        <f>(266+235)/2</f>
        <v>250.5</v>
      </c>
      <c r="AC6" s="58">
        <v>12.76</v>
      </c>
      <c r="AD6">
        <v>99.3</v>
      </c>
      <c r="AE6">
        <f t="shared" si="5"/>
        <v>6.203208556149729</v>
      </c>
      <c r="AF6" t="s">
        <v>44</v>
      </c>
      <c r="AH6">
        <v>101.3</v>
      </c>
      <c r="AI6" t="s">
        <v>45</v>
      </c>
      <c r="AJ6">
        <f>(40+40)/2</f>
        <v>40</v>
      </c>
      <c r="AK6" s="58">
        <v>1.9770000000000001</v>
      </c>
      <c r="AL6">
        <v>96.8</v>
      </c>
      <c r="AM6">
        <f t="shared" si="6"/>
        <v>4.4422507403751235</v>
      </c>
      <c r="AN6" t="s">
        <v>46</v>
      </c>
      <c r="AO6" s="32">
        <f>(137+142)/2</f>
        <v>139.5</v>
      </c>
      <c r="AP6" s="58">
        <v>11.56</v>
      </c>
      <c r="AQ6">
        <v>103</v>
      </c>
      <c r="AR6">
        <f t="shared" si="7"/>
        <v>3.7260825780463276</v>
      </c>
      <c r="AS6" t="s">
        <v>53</v>
      </c>
      <c r="AU6">
        <v>106.7</v>
      </c>
      <c r="AV6" t="s">
        <v>54</v>
      </c>
      <c r="AW6">
        <f>(41+36)/2</f>
        <v>38.5</v>
      </c>
      <c r="AX6" s="58">
        <v>2.734</v>
      </c>
      <c r="AY6">
        <v>102.1</v>
      </c>
      <c r="AZ6">
        <f t="shared" si="8"/>
        <v>0.8737864077669959</v>
      </c>
      <c r="BA6" t="s">
        <v>57</v>
      </c>
      <c r="BB6" s="1">
        <f>(248+249)/2</f>
        <v>248.5</v>
      </c>
      <c r="BC6" s="58">
        <v>9.4499999999999993</v>
      </c>
      <c r="BD6">
        <v>107</v>
      </c>
      <c r="BE6">
        <f t="shared" si="9"/>
        <v>3.8834951456310676</v>
      </c>
      <c r="BF6" t="s">
        <v>59</v>
      </c>
      <c r="BH6">
        <v>109.1</v>
      </c>
      <c r="BI6" t="s">
        <v>60</v>
      </c>
      <c r="BJ6">
        <f>(55+58)/2</f>
        <v>56.5</v>
      </c>
      <c r="BK6" s="58">
        <v>3.3439999999999999</v>
      </c>
      <c r="BL6">
        <v>105.4</v>
      </c>
      <c r="BM6">
        <f t="shared" si="10"/>
        <v>3.3913840513290459</v>
      </c>
      <c r="BN6" t="s">
        <v>63</v>
      </c>
      <c r="BO6">
        <f>(91+107+76+81+86+101)/6</f>
        <v>90.333333333333329</v>
      </c>
      <c r="BP6" s="58">
        <v>38.47</v>
      </c>
      <c r="BQ6">
        <v>106.9</v>
      </c>
      <c r="BR6">
        <f t="shared" si="11"/>
        <v>1.4231499051233396</v>
      </c>
      <c r="BS6">
        <f>(55+58)/2</f>
        <v>56.5</v>
      </c>
      <c r="BT6" s="58">
        <v>3.3439999999999999</v>
      </c>
      <c r="BU6" s="64">
        <f t="shared" si="12"/>
        <v>5.91858407079646E-2</v>
      </c>
      <c r="BV6">
        <f>(215+223)/2</f>
        <v>219</v>
      </c>
      <c r="BW6" s="58">
        <v>2.5910000000000002</v>
      </c>
      <c r="BX6">
        <f>(379+289)/2</f>
        <v>334</v>
      </c>
      <c r="BY6" s="58">
        <v>3.4980000000000002</v>
      </c>
      <c r="BZ6">
        <f>(457+467)/2</f>
        <v>462</v>
      </c>
      <c r="CA6" s="58">
        <v>2.8780000000000001</v>
      </c>
      <c r="CB6" s="1">
        <f>(528+494)/2</f>
        <v>511</v>
      </c>
      <c r="CC6" s="58">
        <v>3.0760000000000001</v>
      </c>
      <c r="CD6">
        <f>(185+236+167+168)/4</f>
        <v>189</v>
      </c>
      <c r="CE6" s="58">
        <v>5.2809999999999997</v>
      </c>
      <c r="CF6">
        <f>56.5+((219-56.5)*0.5)+219+((334-219)*0.5)+334+((462-334)*0.5)+462+((511-462)*0.5)+189+((511-189)*0.5)</f>
        <v>1648.75</v>
      </c>
      <c r="CG6">
        <f>BW6+(0.5*(BT6-BW6))+BW6+(0.5*(BY6-BW6))+CA6+(0.5*(BY6-CA6))+CA6+(0.5*(CC6-CA6))+CC6+(0.5*(CE6-CC6))</f>
        <v>16.355500000000003</v>
      </c>
      <c r="CI6">
        <v>2.5185</v>
      </c>
      <c r="CJ6">
        <f t="shared" si="0"/>
        <v>2.3084326306141154</v>
      </c>
      <c r="CK6">
        <v>0.74390000000000001</v>
      </c>
      <c r="CL6">
        <f t="shared" si="1"/>
        <v>0.68185151237396879</v>
      </c>
      <c r="CM6">
        <f t="shared" si="13"/>
        <v>3.3855356902809519</v>
      </c>
      <c r="CN6" t="s">
        <v>131</v>
      </c>
      <c r="CO6" t="s">
        <v>128</v>
      </c>
      <c r="CP6" s="65"/>
    </row>
    <row r="7" spans="1:94" s="43" customFormat="1">
      <c r="A7" s="36" t="s">
        <v>6</v>
      </c>
      <c r="B7" s="40">
        <v>44219</v>
      </c>
      <c r="C7" s="40" t="s">
        <v>65</v>
      </c>
      <c r="D7" s="41">
        <v>73</v>
      </c>
      <c r="E7" s="43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58">
        <v>2.3039999999999998</v>
      </c>
      <c r="L7" s="43">
        <v>85.2</v>
      </c>
      <c r="M7">
        <f t="shared" si="2"/>
        <v>4.2696629213483117</v>
      </c>
      <c r="N7" s="43" t="s">
        <v>24</v>
      </c>
      <c r="O7" s="43">
        <f>(58+68)/2</f>
        <v>63</v>
      </c>
      <c r="P7" s="59">
        <v>43.94</v>
      </c>
      <c r="Q7" s="43">
        <v>91.9</v>
      </c>
      <c r="R7" s="43">
        <f t="shared" si="3"/>
        <v>85.282258064516142</v>
      </c>
      <c r="S7" s="43" t="s">
        <v>25</v>
      </c>
      <c r="U7" s="43">
        <v>96.7</v>
      </c>
      <c r="V7" s="43" t="s">
        <v>30</v>
      </c>
      <c r="W7" s="43">
        <f>(52+48)/2</f>
        <v>50</v>
      </c>
      <c r="X7" s="59">
        <v>0.99519999999999997</v>
      </c>
      <c r="Y7" s="43">
        <v>92.5</v>
      </c>
      <c r="Z7" s="43">
        <f t="shared" si="4"/>
        <v>4.3433298862461251</v>
      </c>
      <c r="AA7" s="43" t="s">
        <v>41</v>
      </c>
      <c r="AB7" s="43">
        <f>(45+48)/2</f>
        <v>46.5</v>
      </c>
      <c r="AC7" s="60" t="s">
        <v>182</v>
      </c>
      <c r="AD7" s="43">
        <v>98.3</v>
      </c>
      <c r="AE7" s="43">
        <f t="shared" si="5"/>
        <v>6.9640914036996637</v>
      </c>
      <c r="AF7" s="43" t="s">
        <v>44</v>
      </c>
      <c r="AH7" s="43">
        <v>102.3</v>
      </c>
      <c r="AI7" s="43" t="s">
        <v>45</v>
      </c>
      <c r="AJ7" s="43">
        <f>(63+66)/2</f>
        <v>64.5</v>
      </c>
      <c r="AK7" s="59">
        <v>1.381</v>
      </c>
      <c r="AL7" s="43">
        <v>97.1</v>
      </c>
      <c r="AM7" s="43">
        <f t="shared" si="6"/>
        <v>5.0830889540566995</v>
      </c>
      <c r="AN7" s="43" t="s">
        <v>46</v>
      </c>
      <c r="AO7" s="43">
        <f>(75+81)/2</f>
        <v>78</v>
      </c>
      <c r="AP7" s="59">
        <v>39.24</v>
      </c>
      <c r="AQ7" s="43">
        <v>102.8</v>
      </c>
      <c r="AR7" s="43">
        <f t="shared" si="7"/>
        <v>4.5778229908443535</v>
      </c>
      <c r="AS7" s="43" t="s">
        <v>53</v>
      </c>
      <c r="AU7" s="43">
        <v>105.7</v>
      </c>
      <c r="AV7" s="43" t="s">
        <v>54</v>
      </c>
      <c r="AW7" s="43">
        <f>(68+59)/2</f>
        <v>63.5</v>
      </c>
      <c r="AX7" s="59">
        <v>2.5299999999999998</v>
      </c>
      <c r="AY7" s="43">
        <v>101</v>
      </c>
      <c r="AZ7" s="43">
        <f t="shared" si="8"/>
        <v>1.7509727626459117</v>
      </c>
      <c r="BA7" s="43" t="s">
        <v>57</v>
      </c>
      <c r="BB7" s="43">
        <f>(59+67)/2</f>
        <v>63</v>
      </c>
      <c r="BC7" s="59">
        <v>51.56</v>
      </c>
      <c r="BD7" s="43">
        <v>105</v>
      </c>
      <c r="BE7" s="43">
        <f t="shared" si="9"/>
        <v>2.1400778210116758</v>
      </c>
      <c r="BF7" s="43" t="s">
        <v>59</v>
      </c>
      <c r="BH7" s="43">
        <v>109.2</v>
      </c>
      <c r="BI7" s="43" t="s">
        <v>60</v>
      </c>
      <c r="BJ7" s="43">
        <f>(41+43)/2</f>
        <v>42</v>
      </c>
      <c r="BK7" s="59">
        <v>4.3659999999999997</v>
      </c>
      <c r="BL7" s="43">
        <v>105.1</v>
      </c>
      <c r="BM7" s="43">
        <f t="shared" si="10"/>
        <v>3.7545787545787621</v>
      </c>
      <c r="BN7" s="43" t="s">
        <v>63</v>
      </c>
      <c r="BP7" s="59"/>
      <c r="BR7"/>
      <c r="BS7" s="43" t="s">
        <v>132</v>
      </c>
      <c r="BT7" s="59">
        <v>4.3659999999999997</v>
      </c>
      <c r="BU7" s="64"/>
      <c r="BW7" s="59"/>
      <c r="BY7" s="59"/>
      <c r="CA7" s="59"/>
      <c r="CC7" s="59"/>
      <c r="CE7" s="59"/>
      <c r="CI7" s="43">
        <v>2.5485000000000002</v>
      </c>
      <c r="CJ7" s="43">
        <f t="shared" si="0"/>
        <v>2.3337912087912089</v>
      </c>
      <c r="CK7" s="43">
        <v>0.86140000000000005</v>
      </c>
      <c r="CL7" s="43">
        <f t="shared" si="1"/>
        <v>0.78882783882783891</v>
      </c>
      <c r="CM7" s="43">
        <f t="shared" si="13"/>
        <v>2.9585558393313209</v>
      </c>
      <c r="CO7" s="43" t="s">
        <v>128</v>
      </c>
      <c r="CP7" s="43" t="s">
        <v>136</v>
      </c>
    </row>
    <row r="8" spans="1:94">
      <c r="A8" s="5" t="s">
        <v>236</v>
      </c>
      <c r="B8" s="2">
        <v>44219</v>
      </c>
      <c r="C8" s="2" t="s">
        <v>65</v>
      </c>
      <c r="D8" s="12">
        <v>70</v>
      </c>
      <c r="E8">
        <v>55.8</v>
      </c>
      <c r="F8" t="s">
        <v>22</v>
      </c>
      <c r="G8" s="1">
        <f>(339+384)/2</f>
        <v>361.5</v>
      </c>
      <c r="H8">
        <v>96.7</v>
      </c>
      <c r="I8" t="s">
        <v>28</v>
      </c>
      <c r="J8" s="1">
        <f>(160+195+159)/3</f>
        <v>171.33333333333334</v>
      </c>
      <c r="K8" s="58">
        <v>7.3869999999999996</v>
      </c>
      <c r="L8">
        <v>93.2</v>
      </c>
      <c r="M8">
        <f t="shared" si="2"/>
        <v>3.6194415718717683</v>
      </c>
      <c r="N8" t="s">
        <v>24</v>
      </c>
      <c r="O8" s="1">
        <f>(249+216)/2</f>
        <v>232.5</v>
      </c>
      <c r="P8" s="58">
        <v>8.1869999999999994</v>
      </c>
      <c r="Q8">
        <v>95.7</v>
      </c>
      <c r="R8">
        <f t="shared" si="3"/>
        <v>71.505376344086031</v>
      </c>
      <c r="S8" t="s">
        <v>25</v>
      </c>
      <c r="U8">
        <v>98.7</v>
      </c>
      <c r="V8" t="s">
        <v>30</v>
      </c>
      <c r="W8">
        <f>(48+55)/2</f>
        <v>51.5</v>
      </c>
      <c r="X8" s="58">
        <v>2.7650000000000001</v>
      </c>
      <c r="Y8">
        <v>95.6</v>
      </c>
      <c r="Z8">
        <f t="shared" si="4"/>
        <v>3.140830800405277</v>
      </c>
      <c r="AA8" t="s">
        <v>41</v>
      </c>
      <c r="AB8" s="1">
        <f>(203+204)/2</f>
        <v>203.5</v>
      </c>
      <c r="AC8" s="58">
        <v>14.11</v>
      </c>
      <c r="AD8">
        <v>102.3</v>
      </c>
      <c r="AE8">
        <f t="shared" si="5"/>
        <v>6.8965517241379253</v>
      </c>
      <c r="AF8" t="s">
        <v>44</v>
      </c>
      <c r="AH8">
        <v>106.2</v>
      </c>
      <c r="AI8" t="s">
        <v>45</v>
      </c>
      <c r="AJ8">
        <f>(53+57)/2</f>
        <v>55</v>
      </c>
      <c r="AK8" s="58">
        <v>1.3919999999999999</v>
      </c>
      <c r="AL8">
        <v>100.5</v>
      </c>
      <c r="AM8">
        <f t="shared" si="6"/>
        <v>5.3672316384180814</v>
      </c>
      <c r="AN8" t="s">
        <v>46</v>
      </c>
      <c r="AO8" s="1">
        <f>(209+202)/2</f>
        <v>205.5</v>
      </c>
      <c r="AP8" s="58">
        <v>13.63</v>
      </c>
      <c r="AQ8">
        <v>106.3</v>
      </c>
      <c r="AR8">
        <f t="shared" si="7"/>
        <v>3.9100684261974585</v>
      </c>
      <c r="AS8" t="s">
        <v>53</v>
      </c>
      <c r="AU8">
        <v>110.1</v>
      </c>
      <c r="AV8" t="s">
        <v>54</v>
      </c>
      <c r="AW8">
        <f>(45+47)/2</f>
        <v>46</v>
      </c>
      <c r="AX8" s="58">
        <v>2.5710000000000002</v>
      </c>
      <c r="AY8">
        <v>103.4</v>
      </c>
      <c r="AZ8">
        <f t="shared" si="8"/>
        <v>2.7281279397930307</v>
      </c>
      <c r="BA8" t="s">
        <v>57</v>
      </c>
      <c r="BB8" s="1">
        <f>(219+232)/2</f>
        <v>225.5</v>
      </c>
      <c r="BC8" s="58">
        <v>14.34</v>
      </c>
      <c r="BD8">
        <v>108.3</v>
      </c>
      <c r="BE8">
        <f t="shared" si="9"/>
        <v>1.8814675446848543</v>
      </c>
      <c r="BF8" t="s">
        <v>59</v>
      </c>
      <c r="BH8">
        <v>110.4</v>
      </c>
      <c r="BI8" t="s">
        <v>60</v>
      </c>
      <c r="BJ8">
        <f>(37+40)/2</f>
        <v>38.5</v>
      </c>
      <c r="BK8" s="58">
        <v>1.81</v>
      </c>
      <c r="BL8">
        <v>106.6</v>
      </c>
      <c r="BM8">
        <f t="shared" si="10"/>
        <v>3.4420289855072568</v>
      </c>
      <c r="BN8" t="s">
        <v>63</v>
      </c>
      <c r="BO8" s="32">
        <f>(180+99)/2</f>
        <v>139.5</v>
      </c>
      <c r="BP8" s="58">
        <v>25.71</v>
      </c>
      <c r="BQ8">
        <v>108.6</v>
      </c>
      <c r="BR8">
        <f t="shared" si="11"/>
        <v>1.876172607879925</v>
      </c>
      <c r="BS8">
        <f>(37+40)/2</f>
        <v>38.5</v>
      </c>
      <c r="BT8" s="58">
        <v>1.81</v>
      </c>
      <c r="BU8" s="64">
        <f t="shared" si="12"/>
        <v>4.7012987012987013E-2</v>
      </c>
      <c r="BV8">
        <f>(160+160)/2</f>
        <v>160</v>
      </c>
      <c r="BW8" s="58">
        <v>2.81</v>
      </c>
      <c r="BX8">
        <f>(318+298)/2</f>
        <v>308</v>
      </c>
      <c r="BY8" s="58">
        <v>4.8310000000000004</v>
      </c>
      <c r="BZ8">
        <f>(375+361)/2</f>
        <v>368</v>
      </c>
      <c r="CA8" s="58">
        <v>3.99</v>
      </c>
      <c r="CB8" s="1">
        <f>(442+449)/2</f>
        <v>445.5</v>
      </c>
      <c r="CC8" s="58">
        <v>7</v>
      </c>
      <c r="CD8">
        <f>(100+98)/2</f>
        <v>99</v>
      </c>
      <c r="CE8" s="62">
        <v>4.88</v>
      </c>
      <c r="CF8">
        <f>38.5+((160-38.5)*0.5)+160+((308-160)*0.5)+308+((368-308)*0.5)+368+((445.5-368)*0.5)+99+((445.5-99)*0.5)</f>
        <v>1350.25</v>
      </c>
      <c r="CG8">
        <f>BT8+(0.5*(BW8-BT8))+BW8+(0.5*(BY8-BW8))+CA8+(0.5*(BY8-CA8))+CA8+(0.5*(CC8-CA8))+CE8+(0.5*(CC8-CE8))</f>
        <v>21.975999999999999</v>
      </c>
      <c r="CI8">
        <v>2.5059999999999998</v>
      </c>
      <c r="CJ8">
        <f t="shared" si="0"/>
        <v>2.2699275362318838</v>
      </c>
      <c r="CK8">
        <v>0.71640000000000004</v>
      </c>
      <c r="CL8">
        <f t="shared" si="1"/>
        <v>0.64891304347826084</v>
      </c>
      <c r="CM8">
        <f t="shared" si="13"/>
        <v>3.4980457844779451</v>
      </c>
      <c r="CN8" t="s">
        <v>131</v>
      </c>
      <c r="CO8" t="s">
        <v>129</v>
      </c>
      <c r="CP8" s="65"/>
    </row>
    <row r="9" spans="1:94">
      <c r="A9" s="6" t="s">
        <v>237</v>
      </c>
      <c r="B9" s="2">
        <v>44219</v>
      </c>
      <c r="C9" s="2" t="s">
        <v>65</v>
      </c>
      <c r="D9" s="12">
        <v>69</v>
      </c>
      <c r="E9">
        <v>56.3</v>
      </c>
      <c r="F9" t="s">
        <v>22</v>
      </c>
      <c r="G9" s="1">
        <f>(386+467)/2</f>
        <v>426.5</v>
      </c>
      <c r="H9">
        <v>90.9</v>
      </c>
      <c r="I9" t="s">
        <v>28</v>
      </c>
      <c r="J9" s="32">
        <f>(75+83+55+96)/4</f>
        <v>77.25</v>
      </c>
      <c r="K9" s="58">
        <v>2.0390000000000001</v>
      </c>
      <c r="L9">
        <v>86.7</v>
      </c>
      <c r="M9">
        <f t="shared" si="2"/>
        <v>4.620462046204624</v>
      </c>
      <c r="N9" t="s">
        <v>24</v>
      </c>
      <c r="O9" s="1">
        <f>(417+349)/2</f>
        <v>383</v>
      </c>
      <c r="P9" s="58">
        <v>2.7080000000000002</v>
      </c>
      <c r="Q9">
        <v>91.7</v>
      </c>
      <c r="R9">
        <f t="shared" si="3"/>
        <v>62.877442273534648</v>
      </c>
      <c r="S9" t="s">
        <v>25</v>
      </c>
      <c r="U9">
        <v>93.2</v>
      </c>
      <c r="V9" t="s">
        <v>30</v>
      </c>
      <c r="W9" s="32">
        <f>(95+115)/2</f>
        <v>105</v>
      </c>
      <c r="X9" s="58">
        <v>1.476</v>
      </c>
      <c r="Y9">
        <v>89.4</v>
      </c>
      <c r="Z9">
        <f t="shared" si="4"/>
        <v>4.0772532188841168</v>
      </c>
      <c r="AA9" t="s">
        <v>41</v>
      </c>
      <c r="AB9" s="1">
        <f>(406+372)/2</f>
        <v>389</v>
      </c>
      <c r="AC9" s="58">
        <v>2.2970000000000002</v>
      </c>
      <c r="AD9">
        <v>95.3</v>
      </c>
      <c r="AE9">
        <f t="shared" si="5"/>
        <v>3.9258451472191869</v>
      </c>
      <c r="AF9" t="s">
        <v>44</v>
      </c>
      <c r="AH9">
        <v>96.8</v>
      </c>
      <c r="AI9" t="s">
        <v>45</v>
      </c>
      <c r="AJ9">
        <f>(63+72)/2</f>
        <v>67.5</v>
      </c>
      <c r="AK9" s="58">
        <v>1.0629999999999999</v>
      </c>
      <c r="AL9">
        <v>93</v>
      </c>
      <c r="AM9">
        <f t="shared" si="6"/>
        <v>3.9256198347107412</v>
      </c>
      <c r="AN9" t="s">
        <v>46</v>
      </c>
      <c r="AO9" s="1">
        <f>(351+383)/2</f>
        <v>367</v>
      </c>
      <c r="AP9" s="58">
        <v>3.3730000000000002</v>
      </c>
      <c r="AQ9">
        <v>98.5</v>
      </c>
      <c r="AR9">
        <f t="shared" si="7"/>
        <v>3.3578174186778624</v>
      </c>
      <c r="AS9" t="s">
        <v>53</v>
      </c>
      <c r="AU9">
        <v>102.3</v>
      </c>
      <c r="AV9" t="s">
        <v>54</v>
      </c>
      <c r="AW9">
        <f>(60+63)/2</f>
        <v>61.5</v>
      </c>
      <c r="AX9" s="58">
        <v>1.603</v>
      </c>
      <c r="AY9">
        <v>96.7</v>
      </c>
      <c r="AZ9">
        <f t="shared" si="8"/>
        <v>1.8274111675126874</v>
      </c>
      <c r="BA9" t="s">
        <v>57</v>
      </c>
      <c r="BB9" s="1">
        <f>(487+541)/2</f>
        <v>514</v>
      </c>
      <c r="BC9" s="58">
        <v>3.0859999999999999</v>
      </c>
      <c r="BD9">
        <v>103.2</v>
      </c>
      <c r="BE9">
        <f t="shared" si="9"/>
        <v>4.771573604060916</v>
      </c>
      <c r="BF9" t="s">
        <v>59</v>
      </c>
      <c r="BH9">
        <v>105.5</v>
      </c>
      <c r="BI9" t="s">
        <v>60</v>
      </c>
      <c r="BJ9" s="1">
        <f>(183+155)/2</f>
        <v>169</v>
      </c>
      <c r="BK9" s="58">
        <v>1.8460000000000001</v>
      </c>
      <c r="BL9">
        <v>98.7</v>
      </c>
      <c r="BM9">
        <f t="shared" si="10"/>
        <v>6.4454976303317508</v>
      </c>
      <c r="BN9" t="s">
        <v>63</v>
      </c>
      <c r="BO9" s="1">
        <f>(451+560+516)/3</f>
        <v>509</v>
      </c>
      <c r="BP9" s="58">
        <v>11.62</v>
      </c>
      <c r="BQ9">
        <v>101.8</v>
      </c>
      <c r="BR9">
        <f t="shared" si="11"/>
        <v>3.1408308004052627</v>
      </c>
      <c r="BS9">
        <f>(183+155)/2</f>
        <v>169</v>
      </c>
      <c r="BT9" s="58">
        <v>1.8460000000000001</v>
      </c>
      <c r="BU9" s="64">
        <f t="shared" si="12"/>
        <v>1.0923076923076924E-2</v>
      </c>
      <c r="BV9">
        <f>(361+349)/2</f>
        <v>355</v>
      </c>
      <c r="BW9" s="58">
        <v>1.3879999999999999</v>
      </c>
      <c r="BX9" s="1">
        <f>(600+600)/2</f>
        <v>600</v>
      </c>
      <c r="BY9" s="58">
        <v>1.617</v>
      </c>
      <c r="BZ9" s="1">
        <f>(600+600)/2</f>
        <v>600</v>
      </c>
      <c r="CA9" s="58">
        <v>1.71</v>
      </c>
      <c r="CB9">
        <f>(600+539)/2</f>
        <v>569.5</v>
      </c>
      <c r="CC9" s="58">
        <v>0.99080000000000001</v>
      </c>
      <c r="CD9">
        <f>(392+392)/2</f>
        <v>392</v>
      </c>
      <c r="CE9" s="58">
        <v>1.123</v>
      </c>
      <c r="CF9" s="35">
        <f>169+((355-169)*5)+355+((600-355)+0.5)+600+569.5+((600-569.5)*0.5)+392+((569.5-392)*0.5)</f>
        <v>3365</v>
      </c>
      <c r="CG9">
        <f>BW9+(0.5*(BT9-BW9))+BW9+(0.5*(BY9-BW9))+BY9+(0.5*(CA9-BY9))+CC9+(0.5*(CA9-CC9))+CC9+(0.5*(CE9-CC9))</f>
        <v>7.1902999999999997</v>
      </c>
      <c r="CI9">
        <v>1.3107</v>
      </c>
      <c r="CJ9">
        <f t="shared" si="0"/>
        <v>1.2423696682464453</v>
      </c>
      <c r="CK9">
        <v>0.59099999999999997</v>
      </c>
      <c r="CL9">
        <f t="shared" si="1"/>
        <v>0.56018957345971565</v>
      </c>
      <c r="CM9">
        <f t="shared" si="13"/>
        <v>2.2177664974619287</v>
      </c>
      <c r="CN9" s="1" t="s">
        <v>126</v>
      </c>
      <c r="CO9" s="1" t="s">
        <v>127</v>
      </c>
    </row>
    <row r="10" spans="1:94">
      <c r="A10" s="7" t="s">
        <v>238</v>
      </c>
      <c r="B10" s="2">
        <v>44219</v>
      </c>
      <c r="C10" s="2" t="s">
        <v>65</v>
      </c>
      <c r="D10" s="12">
        <v>96</v>
      </c>
      <c r="E10">
        <v>60.7</v>
      </c>
      <c r="F10" t="s">
        <v>22</v>
      </c>
      <c r="G10" s="1">
        <f>(412+287+309+293)/4</f>
        <v>325.25</v>
      </c>
      <c r="H10">
        <v>95.2</v>
      </c>
      <c r="I10" t="s">
        <v>28</v>
      </c>
      <c r="J10" s="1">
        <f>(145+208+170)/3</f>
        <v>174.33333333333334</v>
      </c>
      <c r="K10" s="58">
        <v>5.1829999999999998</v>
      </c>
      <c r="L10">
        <v>93.1</v>
      </c>
      <c r="M10">
        <f t="shared" si="2"/>
        <v>2.2058823529411855</v>
      </c>
      <c r="N10" t="s">
        <v>24</v>
      </c>
      <c r="O10" s="1">
        <f>(510+348+305)/3</f>
        <v>387.66666666666669</v>
      </c>
      <c r="P10" s="58">
        <v>2.8450000000000002</v>
      </c>
      <c r="Q10">
        <v>95.4</v>
      </c>
      <c r="R10">
        <f t="shared" si="3"/>
        <v>57.166392092256999</v>
      </c>
      <c r="S10" t="s">
        <v>25</v>
      </c>
      <c r="U10">
        <v>100.7</v>
      </c>
      <c r="V10" t="s">
        <v>30</v>
      </c>
      <c r="W10" s="32">
        <f>(72+85)/2</f>
        <v>78.5</v>
      </c>
      <c r="X10" s="58">
        <v>2.09</v>
      </c>
      <c r="Y10">
        <v>94.9</v>
      </c>
      <c r="Z10">
        <f t="shared" si="4"/>
        <v>5.7596822244289942</v>
      </c>
      <c r="AA10" t="s">
        <v>41</v>
      </c>
      <c r="AB10" s="1">
        <f>(288+274)/2</f>
        <v>281</v>
      </c>
      <c r="AC10" s="58">
        <v>3.6970000000000001</v>
      </c>
      <c r="AD10">
        <v>99.1</v>
      </c>
      <c r="AE10">
        <f t="shared" si="5"/>
        <v>3.8784067085953757</v>
      </c>
      <c r="AF10" t="s">
        <v>44</v>
      </c>
      <c r="AH10">
        <v>103.2</v>
      </c>
      <c r="AI10" t="s">
        <v>45</v>
      </c>
      <c r="AJ10">
        <f>(55+87)/2</f>
        <v>71</v>
      </c>
      <c r="AK10" s="58">
        <v>1.2</v>
      </c>
      <c r="AL10">
        <v>99.5</v>
      </c>
      <c r="AM10">
        <f t="shared" si="6"/>
        <v>3.5852713178294602</v>
      </c>
      <c r="AN10" t="s">
        <v>46</v>
      </c>
      <c r="AO10" s="1">
        <f>(375+323)/2</f>
        <v>349</v>
      </c>
      <c r="AP10" s="58">
        <v>3.637</v>
      </c>
      <c r="AQ10">
        <v>106.3</v>
      </c>
      <c r="AR10">
        <f t="shared" si="7"/>
        <v>7.2653884964682174</v>
      </c>
      <c r="AS10" t="s">
        <v>53</v>
      </c>
      <c r="AU10">
        <v>110.3</v>
      </c>
      <c r="AV10" t="s">
        <v>54</v>
      </c>
      <c r="AW10">
        <f>(43+58)/2</f>
        <v>50.5</v>
      </c>
      <c r="AX10" s="58">
        <v>1.8240000000000001</v>
      </c>
      <c r="AY10">
        <v>105.5</v>
      </c>
      <c r="AZ10">
        <f t="shared" si="8"/>
        <v>0.752587017873939</v>
      </c>
      <c r="BA10" t="s">
        <v>57</v>
      </c>
      <c r="BB10" s="1">
        <f>(367+416)/2</f>
        <v>391.5</v>
      </c>
      <c r="BC10" s="58">
        <v>2.9369999999999998</v>
      </c>
      <c r="BD10">
        <v>112.6</v>
      </c>
      <c r="BE10">
        <f t="shared" si="9"/>
        <v>5.9266227657572879</v>
      </c>
      <c r="BF10" t="s">
        <v>59</v>
      </c>
      <c r="BH10">
        <v>112.1</v>
      </c>
      <c r="BI10" t="s">
        <v>60</v>
      </c>
      <c r="BJ10" s="1">
        <f>(150+126)/2</f>
        <v>138</v>
      </c>
      <c r="BK10" s="58">
        <v>2.827</v>
      </c>
      <c r="BL10">
        <v>107</v>
      </c>
      <c r="BM10">
        <f t="shared" si="10"/>
        <v>4.5495093666369266</v>
      </c>
      <c r="BN10" t="s">
        <v>63</v>
      </c>
      <c r="BO10" s="1">
        <f>(441+430)/2</f>
        <v>435.5</v>
      </c>
      <c r="BP10" s="58">
        <v>16.37</v>
      </c>
      <c r="BQ10">
        <v>110.7</v>
      </c>
      <c r="BR10">
        <f t="shared" si="11"/>
        <v>3.4579439252336472</v>
      </c>
      <c r="BS10">
        <f>(150+126)/2</f>
        <v>138</v>
      </c>
      <c r="BT10" s="58">
        <v>2.827</v>
      </c>
      <c r="BU10" s="64">
        <f t="shared" si="12"/>
        <v>2.0485507246376811E-2</v>
      </c>
      <c r="BV10">
        <f>(362+343)/2</f>
        <v>352.5</v>
      </c>
      <c r="BW10" s="58">
        <v>2.0169999999999999</v>
      </c>
      <c r="BX10">
        <f>(474+553)/2</f>
        <v>513.5</v>
      </c>
      <c r="BY10" s="58">
        <v>1.2969999999999999</v>
      </c>
      <c r="BZ10">
        <f>(570+600)/2</f>
        <v>585</v>
      </c>
      <c r="CA10" s="58">
        <v>1.5429999999999999</v>
      </c>
      <c r="CB10" s="1">
        <f>(600+600)/2</f>
        <v>600</v>
      </c>
      <c r="CC10" s="58">
        <v>2.0760000000000001</v>
      </c>
      <c r="CD10">
        <f>(360+453)/2</f>
        <v>406.5</v>
      </c>
      <c r="CE10" s="58">
        <v>2.2149999999999999</v>
      </c>
      <c r="CF10">
        <f>138+((352.5-138)*0.5)+352.5+((513.5-352.5)*0.5)+513.5+((585-513.5)*0.5)+585+((600-585)*0.5)+404.5+((600-406.5)*0.5)</f>
        <v>2321.25</v>
      </c>
      <c r="CG10">
        <f>BW10+(0.5*(BT10-BW10))+BY10+(0.5*(BW10-BY10))+CA10+(0.5*(CA10-BY10))+CA10+(0.5*(CC10-CA10))+CC10+(0.5*(CE10-CC10))</f>
        <v>9.6999999999999993</v>
      </c>
      <c r="CI10">
        <v>1.4332</v>
      </c>
      <c r="CJ10">
        <f t="shared" si="0"/>
        <v>1.2785013380909902</v>
      </c>
      <c r="CK10">
        <v>0.69599999999999995</v>
      </c>
      <c r="CL10">
        <f t="shared" si="1"/>
        <v>0.62087421944692234</v>
      </c>
      <c r="CM10">
        <f t="shared" si="13"/>
        <v>2.0591954022988506</v>
      </c>
      <c r="CN10" s="1" t="s">
        <v>126</v>
      </c>
      <c r="CO10" t="s">
        <v>129</v>
      </c>
      <c r="CP10" s="65"/>
    </row>
    <row r="11" spans="1:94" s="43" customFormat="1">
      <c r="A11" s="37" t="s">
        <v>10</v>
      </c>
      <c r="B11" s="40">
        <v>44220</v>
      </c>
      <c r="C11" s="40" t="s">
        <v>65</v>
      </c>
      <c r="D11" s="41">
        <v>57</v>
      </c>
      <c r="E11" s="43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58">
        <v>2.1320000000000001</v>
      </c>
      <c r="L11" s="43">
        <v>87.3</v>
      </c>
      <c r="M11">
        <f t="shared" si="2"/>
        <v>4.4857768052516507</v>
      </c>
      <c r="N11" s="43" t="s">
        <v>24</v>
      </c>
      <c r="O11" s="45">
        <f>(115+114+123)/3</f>
        <v>117.33333333333333</v>
      </c>
      <c r="P11" s="59">
        <v>10.52</v>
      </c>
      <c r="Q11" s="43">
        <v>94.9</v>
      </c>
      <c r="R11" s="43">
        <f t="shared" si="3"/>
        <v>94.866529774127301</v>
      </c>
      <c r="S11" s="43" t="s">
        <v>25</v>
      </c>
      <c r="U11" s="43">
        <v>101</v>
      </c>
      <c r="V11" s="43" t="s">
        <v>30</v>
      </c>
      <c r="W11" s="43">
        <f>(57+56)/2</f>
        <v>56.5</v>
      </c>
      <c r="X11" s="59">
        <v>1.875</v>
      </c>
      <c r="Y11" s="43">
        <v>93.7</v>
      </c>
      <c r="Z11" s="43">
        <f t="shared" si="4"/>
        <v>7.2277227722772244</v>
      </c>
      <c r="AA11" s="43" t="s">
        <v>41</v>
      </c>
      <c r="AB11" s="43">
        <f>(68+79)/2</f>
        <v>73.5</v>
      </c>
      <c r="AC11" s="59">
        <v>12.96</v>
      </c>
      <c r="AD11" s="43">
        <v>102</v>
      </c>
      <c r="AE11" s="43">
        <f t="shared" si="5"/>
        <v>7.4815595363540499</v>
      </c>
      <c r="AF11" s="43" t="s">
        <v>44</v>
      </c>
      <c r="AH11" s="43">
        <v>107.4</v>
      </c>
      <c r="AI11" s="43" t="s">
        <v>45</v>
      </c>
      <c r="AJ11" s="43">
        <f>(38+45)/2</f>
        <v>41.5</v>
      </c>
      <c r="AK11" s="59">
        <v>1.29</v>
      </c>
      <c r="AL11" s="43">
        <v>100.9</v>
      </c>
      <c r="AM11" s="43">
        <f t="shared" si="6"/>
        <v>6.0521415270018624</v>
      </c>
      <c r="AN11" s="43" t="s">
        <v>46</v>
      </c>
      <c r="AO11" s="43">
        <f>(47+43)/2</f>
        <v>45</v>
      </c>
      <c r="AP11" s="59">
        <v>4.5529999999999999</v>
      </c>
      <c r="AQ11" s="43">
        <v>106</v>
      </c>
      <c r="AR11" s="43">
        <f t="shared" si="7"/>
        <v>3.9215686274509802</v>
      </c>
      <c r="AS11" s="43" t="s">
        <v>53</v>
      </c>
      <c r="AU11" s="43">
        <v>109.9</v>
      </c>
      <c r="AV11" s="43" t="s">
        <v>54</v>
      </c>
      <c r="AW11" s="43">
        <f>(58+46)/2</f>
        <v>52</v>
      </c>
      <c r="AX11" s="59">
        <v>1.9339999999999999</v>
      </c>
      <c r="AY11" s="43">
        <v>104.7</v>
      </c>
      <c r="AZ11" s="43">
        <f t="shared" si="8"/>
        <v>1.2264150943396199</v>
      </c>
      <c r="BA11" s="43" t="s">
        <v>57</v>
      </c>
      <c r="BB11" s="43">
        <f>(59+63)/2</f>
        <v>61</v>
      </c>
      <c r="BC11" s="59">
        <v>16.79</v>
      </c>
      <c r="BD11" s="43">
        <v>109.8</v>
      </c>
      <c r="BE11" s="43">
        <f t="shared" si="9"/>
        <v>3.5849056603773555</v>
      </c>
      <c r="BF11" s="43" t="s">
        <v>59</v>
      </c>
      <c r="BH11" s="43">
        <v>112.1</v>
      </c>
      <c r="BI11" s="43" t="s">
        <v>60</v>
      </c>
      <c r="BJ11" s="43">
        <f>(46+58)/2</f>
        <v>52</v>
      </c>
      <c r="BK11" s="59">
        <v>4.9509999999999996</v>
      </c>
      <c r="BL11" s="43">
        <v>107.2</v>
      </c>
      <c r="BM11" s="43">
        <f t="shared" si="10"/>
        <v>4.3710972346119457</v>
      </c>
      <c r="BN11" s="43" t="s">
        <v>63</v>
      </c>
      <c r="BP11" s="59"/>
      <c r="BR11"/>
      <c r="BS11" s="43" t="s">
        <v>132</v>
      </c>
      <c r="BT11" s="59">
        <v>4.9509999999999996</v>
      </c>
      <c r="BU11" s="64"/>
      <c r="BW11" s="59"/>
      <c r="BY11" s="59"/>
      <c r="CA11" s="59"/>
      <c r="CC11" s="59"/>
      <c r="CE11" s="59"/>
      <c r="CI11" s="43">
        <v>1.9369000000000001</v>
      </c>
      <c r="CJ11" s="43">
        <f t="shared" si="0"/>
        <v>1.7278322925958969</v>
      </c>
      <c r="CK11" s="43">
        <v>0.77539999999999998</v>
      </c>
      <c r="CL11" s="43">
        <f t="shared" si="1"/>
        <v>0.6917038358608385</v>
      </c>
      <c r="CM11" s="43">
        <f t="shared" si="13"/>
        <v>2.4979365488779992</v>
      </c>
      <c r="CO11" s="43" t="s">
        <v>128</v>
      </c>
      <c r="CP11" s="43" t="s">
        <v>136</v>
      </c>
    </row>
    <row r="12" spans="1:94">
      <c r="A12" s="6" t="s">
        <v>239</v>
      </c>
      <c r="B12" s="2">
        <v>44220</v>
      </c>
      <c r="C12" s="2" t="s">
        <v>65</v>
      </c>
      <c r="D12" s="12">
        <v>79</v>
      </c>
      <c r="E12">
        <v>56.2</v>
      </c>
      <c r="F12" t="s">
        <v>22</v>
      </c>
      <c r="G12" s="1">
        <f>(431+503)/2</f>
        <v>467</v>
      </c>
      <c r="H12">
        <v>95.8</v>
      </c>
      <c r="I12" t="s">
        <v>28</v>
      </c>
      <c r="J12">
        <f>(43+61+67)/3</f>
        <v>57</v>
      </c>
      <c r="K12" s="58">
        <v>4.5339999999999998</v>
      </c>
      <c r="L12">
        <v>90.6</v>
      </c>
      <c r="M12">
        <f t="shared" si="2"/>
        <v>5.427974947807936</v>
      </c>
      <c r="N12" t="s">
        <v>24</v>
      </c>
      <c r="O12" s="1">
        <f>(273+341+278)/3</f>
        <v>297.33333333333331</v>
      </c>
      <c r="P12" s="58">
        <v>3.96</v>
      </c>
      <c r="Q12">
        <v>97.7</v>
      </c>
      <c r="R12">
        <f t="shared" si="3"/>
        <v>73.843416370106766</v>
      </c>
      <c r="S12" t="s">
        <v>25</v>
      </c>
      <c r="U12">
        <v>100.1</v>
      </c>
      <c r="V12" t="s">
        <v>30</v>
      </c>
      <c r="W12">
        <f>(58+74+67+68)/4</f>
        <v>66.75</v>
      </c>
      <c r="X12" s="60" t="s">
        <v>181</v>
      </c>
      <c r="Y12">
        <v>95.1</v>
      </c>
      <c r="Z12">
        <f t="shared" si="4"/>
        <v>4.9950049950049955</v>
      </c>
      <c r="AA12" t="s">
        <v>41</v>
      </c>
      <c r="AB12" s="1">
        <f>(318+335)/2</f>
        <v>326.5</v>
      </c>
      <c r="AC12" s="58">
        <v>6.798</v>
      </c>
      <c r="AD12">
        <v>104</v>
      </c>
      <c r="AE12">
        <f t="shared" si="5"/>
        <v>6.4483111566018394</v>
      </c>
      <c r="AF12" t="s">
        <v>44</v>
      </c>
      <c r="AH12">
        <v>106.1</v>
      </c>
      <c r="AI12" t="s">
        <v>45</v>
      </c>
      <c r="AJ12">
        <f>(78+69)/2</f>
        <v>73.5</v>
      </c>
      <c r="AK12" s="58">
        <v>2.2389999999999999</v>
      </c>
      <c r="AL12">
        <v>99.6</v>
      </c>
      <c r="AM12">
        <f t="shared" si="6"/>
        <v>6.1262959472196048</v>
      </c>
      <c r="AN12" t="s">
        <v>46</v>
      </c>
      <c r="AO12" s="1">
        <f>(307+336)/2</f>
        <v>321.5</v>
      </c>
      <c r="AP12" s="58">
        <v>5.1260000000000003</v>
      </c>
      <c r="AQ12">
        <v>106.5</v>
      </c>
      <c r="AR12">
        <f t="shared" si="7"/>
        <v>2.4038461538461542</v>
      </c>
      <c r="AS12" t="s">
        <v>53</v>
      </c>
      <c r="AU12">
        <v>108.3</v>
      </c>
      <c r="AV12" t="s">
        <v>54</v>
      </c>
      <c r="AW12">
        <f>(65+62)/2</f>
        <v>63.5</v>
      </c>
      <c r="AX12" s="58">
        <v>1.7250000000000001</v>
      </c>
      <c r="AY12">
        <v>102.9</v>
      </c>
      <c r="AZ12">
        <f t="shared" si="8"/>
        <v>3.3802816901408397</v>
      </c>
      <c r="BA12" t="s">
        <v>57</v>
      </c>
      <c r="BB12" s="1">
        <f>(378+391)/2</f>
        <v>384.5</v>
      </c>
      <c r="BC12" s="58">
        <v>3.0009999999999999</v>
      </c>
      <c r="BD12">
        <v>109.3</v>
      </c>
      <c r="BE12">
        <f t="shared" si="9"/>
        <v>2.6291079812206548</v>
      </c>
      <c r="BF12" t="s">
        <v>59</v>
      </c>
      <c r="BH12">
        <v>113.2</v>
      </c>
      <c r="BI12" t="s">
        <v>60</v>
      </c>
      <c r="BJ12" s="1">
        <f>(163+179)/2</f>
        <v>171</v>
      </c>
      <c r="BK12" s="58">
        <v>2.0430000000000001</v>
      </c>
      <c r="BL12">
        <v>105.1</v>
      </c>
      <c r="BM12">
        <f t="shared" si="10"/>
        <v>7.1554770318021284</v>
      </c>
      <c r="BN12" t="s">
        <v>63</v>
      </c>
      <c r="BO12" s="1">
        <f>(600+600)/2</f>
        <v>600</v>
      </c>
      <c r="BP12" s="58">
        <v>14.42</v>
      </c>
      <c r="BQ12">
        <v>109.2</v>
      </c>
      <c r="BR12">
        <f t="shared" si="11"/>
        <v>3.9010466222645181</v>
      </c>
      <c r="BS12">
        <f>(163+179)/2</f>
        <v>171</v>
      </c>
      <c r="BT12" s="58">
        <v>2.0430000000000001</v>
      </c>
      <c r="BU12" s="64">
        <f t="shared" si="12"/>
        <v>1.1947368421052632E-2</v>
      </c>
      <c r="BV12">
        <f>(325+365)/2</f>
        <v>345</v>
      </c>
      <c r="BW12" s="58">
        <v>1.54</v>
      </c>
      <c r="BX12">
        <f>(551+543)/2</f>
        <v>547</v>
      </c>
      <c r="BY12" s="58">
        <v>1.59</v>
      </c>
      <c r="BZ12" s="1">
        <f>(600+600)/2</f>
        <v>600</v>
      </c>
      <c r="CA12" s="58">
        <v>2.976</v>
      </c>
      <c r="CB12">
        <f>(600+526)/2</f>
        <v>563</v>
      </c>
      <c r="CC12" s="58">
        <v>1.2490000000000001</v>
      </c>
      <c r="CD12">
        <f>(381+476)/2</f>
        <v>428.5</v>
      </c>
      <c r="CE12" s="58">
        <v>1.5609999999999999</v>
      </c>
      <c r="CF12">
        <f>171+((345-171)*0.5)+345+((547-345)*0.5)+547+((600-547)*0.5)+563+((600-563)*0.5)+428.5+((563-428.5)*0.5)</f>
        <v>2354.75</v>
      </c>
      <c r="CG12">
        <f>BW12+(0.5*(BT12-BW12))+BW12+(0.5*(BY12-BW12))+BY12+(0.5*(CA12-BY12))+CC12+(0.5*(CA12-CC12))+CC12+(0.5*(CE12-CC12))</f>
        <v>9.1570000000000018</v>
      </c>
      <c r="CI12">
        <v>1.3511</v>
      </c>
      <c r="CJ12">
        <f t="shared" si="0"/>
        <v>1.1935512367491166</v>
      </c>
      <c r="CK12">
        <v>0.62829999999999997</v>
      </c>
      <c r="CL12">
        <f t="shared" si="1"/>
        <v>0.55503533568904595</v>
      </c>
      <c r="CM12">
        <f t="shared" si="13"/>
        <v>2.1504058570746456</v>
      </c>
      <c r="CN12" s="1" t="s">
        <v>126</v>
      </c>
      <c r="CO12" t="s">
        <v>128</v>
      </c>
    </row>
    <row r="13" spans="1:94">
      <c r="A13" s="7" t="s">
        <v>240</v>
      </c>
      <c r="B13" s="2">
        <v>44220</v>
      </c>
      <c r="C13" s="2" t="s">
        <v>65</v>
      </c>
      <c r="D13" s="12">
        <v>90</v>
      </c>
      <c r="E13">
        <v>54.1</v>
      </c>
      <c r="F13" t="s">
        <v>22</v>
      </c>
      <c r="G13" s="1">
        <f>(310+404)/2</f>
        <v>357</v>
      </c>
      <c r="H13">
        <v>94.5</v>
      </c>
      <c r="I13" t="s">
        <v>28</v>
      </c>
      <c r="J13">
        <f>(51+67)/2</f>
        <v>59</v>
      </c>
      <c r="K13" s="58">
        <v>2.3239999999999998</v>
      </c>
      <c r="L13">
        <v>89.6</v>
      </c>
      <c r="M13">
        <f t="shared" si="2"/>
        <v>5.1851851851851913</v>
      </c>
      <c r="N13" t="s">
        <v>24</v>
      </c>
      <c r="O13" s="1">
        <f>(287+257)/2</f>
        <v>272</v>
      </c>
      <c r="P13" s="58">
        <v>4.5880000000000001</v>
      </c>
      <c r="Q13">
        <v>95.9</v>
      </c>
      <c r="R13">
        <f t="shared" si="3"/>
        <v>77.264325323475049</v>
      </c>
      <c r="S13" t="s">
        <v>25</v>
      </c>
      <c r="U13">
        <v>99.7</v>
      </c>
      <c r="V13" t="s">
        <v>30</v>
      </c>
      <c r="W13">
        <f>(60+47+53)/3</f>
        <v>53.333333333333336</v>
      </c>
      <c r="X13" s="60"/>
      <c r="Y13">
        <v>93.8</v>
      </c>
      <c r="Z13">
        <f t="shared" si="4"/>
        <v>5.9177532597793441</v>
      </c>
      <c r="AA13" t="s">
        <v>41</v>
      </c>
      <c r="AB13" s="1">
        <f>(329+350)/2</f>
        <v>339.5</v>
      </c>
      <c r="AC13" s="58">
        <v>2.9710000000000001</v>
      </c>
      <c r="AD13">
        <v>102</v>
      </c>
      <c r="AE13">
        <f t="shared" si="5"/>
        <v>6.3607924921793471</v>
      </c>
      <c r="AF13" t="s">
        <v>44</v>
      </c>
      <c r="AH13">
        <v>103.9</v>
      </c>
      <c r="AI13" t="s">
        <v>45</v>
      </c>
      <c r="AJ13">
        <f>(42+58)/2</f>
        <v>50</v>
      </c>
      <c r="AK13" s="58">
        <v>1.119</v>
      </c>
      <c r="AL13">
        <v>98.4</v>
      </c>
      <c r="AM13">
        <f t="shared" si="6"/>
        <v>5.2935514918190565</v>
      </c>
      <c r="AN13" t="s">
        <v>46</v>
      </c>
      <c r="AO13" s="1">
        <f>(320+341)/2</f>
        <v>330.5</v>
      </c>
      <c r="AP13" s="58">
        <v>3.4649999999999999</v>
      </c>
      <c r="AQ13">
        <v>105.8</v>
      </c>
      <c r="AR13">
        <f t="shared" si="7"/>
        <v>3.7254901960784284</v>
      </c>
      <c r="AS13" t="s">
        <v>53</v>
      </c>
      <c r="AU13">
        <v>107.4</v>
      </c>
      <c r="AV13" t="s">
        <v>54</v>
      </c>
      <c r="AW13">
        <f>(55+90+71+78)/4</f>
        <v>73.5</v>
      </c>
      <c r="AX13" s="58">
        <v>1.389</v>
      </c>
      <c r="AY13">
        <v>99.9</v>
      </c>
      <c r="AZ13">
        <f t="shared" si="8"/>
        <v>5.576559546313792</v>
      </c>
      <c r="BA13" t="s">
        <v>57</v>
      </c>
      <c r="BB13" s="1">
        <f>(414+412)/2</f>
        <v>413</v>
      </c>
      <c r="BC13" s="58">
        <v>2.145</v>
      </c>
      <c r="BD13">
        <v>106.5</v>
      </c>
      <c r="BE13">
        <f t="shared" si="9"/>
        <v>0.66162570888469074</v>
      </c>
      <c r="BF13" t="s">
        <v>59</v>
      </c>
      <c r="BH13">
        <v>108.8</v>
      </c>
      <c r="BI13" t="s">
        <v>60</v>
      </c>
      <c r="BJ13">
        <f>(57+67)/2</f>
        <v>62</v>
      </c>
      <c r="BK13" s="58">
        <v>1.2789999999999999</v>
      </c>
      <c r="BL13">
        <v>100</v>
      </c>
      <c r="BM13">
        <f t="shared" si="10"/>
        <v>8.088235294117645</v>
      </c>
      <c r="BN13" t="s">
        <v>63</v>
      </c>
      <c r="BO13" s="1">
        <f>(529+546)/2</f>
        <v>537.5</v>
      </c>
      <c r="BP13" s="58">
        <v>13.01</v>
      </c>
      <c r="BQ13">
        <v>105.5</v>
      </c>
      <c r="BR13">
        <f t="shared" si="11"/>
        <v>5.5</v>
      </c>
      <c r="BS13">
        <f>(57+67)/2</f>
        <v>62</v>
      </c>
      <c r="BT13" s="58">
        <v>1.2789999999999999</v>
      </c>
      <c r="BU13" s="64">
        <f t="shared" si="12"/>
        <v>2.0629032258064516E-2</v>
      </c>
      <c r="BV13">
        <f>(268+248)/2</f>
        <v>258</v>
      </c>
      <c r="BW13" s="58">
        <v>1.4430000000000001</v>
      </c>
      <c r="BX13" s="1">
        <f>(600+600)/2</f>
        <v>600</v>
      </c>
      <c r="BY13" s="58">
        <v>2.0219999999999998</v>
      </c>
      <c r="BZ13" s="1">
        <f>(600+600)/2</f>
        <v>600</v>
      </c>
      <c r="CA13" s="58">
        <v>1.3979999999999999</v>
      </c>
      <c r="CB13">
        <f>(600+543)/2</f>
        <v>571.5</v>
      </c>
      <c r="CC13" s="58">
        <v>1.347</v>
      </c>
      <c r="CD13">
        <f>(315+342)/2</f>
        <v>328.5</v>
      </c>
      <c r="CE13" s="58">
        <v>2.3010000000000002</v>
      </c>
      <c r="CF13">
        <f>62+((258-62)*0.5)+258+((600-258)*0.5)+600+571.5+((600-571.5)*0.5)+328.5+((571.5-328.5)*0.5)</f>
        <v>2224.75</v>
      </c>
      <c r="CG13">
        <f>BT13+(0.5*(BW13-BT13))+BW13+(0.5*(BY13-BW13))+CA13+(0.5*(BY13-CA13))+CC13+(0.5*(CA13-CC13))+CC13+(0.5*(CE13-CC13))</f>
        <v>8.0000000000000018</v>
      </c>
      <c r="CI13">
        <v>0.89039999999999997</v>
      </c>
      <c r="CJ13">
        <f t="shared" si="0"/>
        <v>0.81838235294117645</v>
      </c>
      <c r="CK13">
        <v>0.65149999999999997</v>
      </c>
      <c r="CL13">
        <f t="shared" si="1"/>
        <v>0.59880514705882348</v>
      </c>
      <c r="CM13">
        <f t="shared" si="13"/>
        <v>1.3666922486569455</v>
      </c>
      <c r="CN13" s="1" t="s">
        <v>126</v>
      </c>
      <c r="CO13" s="1" t="s">
        <v>127</v>
      </c>
      <c r="CP13" s="65"/>
    </row>
    <row r="14" spans="1:94">
      <c r="A14" s="5" t="s">
        <v>241</v>
      </c>
      <c r="B14" s="2">
        <v>44227</v>
      </c>
      <c r="C14" s="2" t="s">
        <v>66</v>
      </c>
      <c r="D14" s="12">
        <v>84</v>
      </c>
      <c r="E14">
        <v>41.1</v>
      </c>
      <c r="F14" t="s">
        <v>27</v>
      </c>
      <c r="G14">
        <f>(85+87)/2</f>
        <v>86</v>
      </c>
      <c r="H14">
        <v>76.099999999999994</v>
      </c>
      <c r="I14" t="s">
        <v>29</v>
      </c>
      <c r="J14">
        <f>(52+55+53)/3</f>
        <v>53.333333333333336</v>
      </c>
      <c r="K14" s="58">
        <v>0.95289999999999997</v>
      </c>
      <c r="L14">
        <v>70.900000000000006</v>
      </c>
      <c r="M14">
        <f t="shared" si="2"/>
        <v>6.8331143232588554</v>
      </c>
      <c r="N14" t="s">
        <v>36</v>
      </c>
      <c r="O14" s="32">
        <f>(111+106)/2</f>
        <v>108.5</v>
      </c>
      <c r="P14" s="58">
        <v>13.61</v>
      </c>
      <c r="Q14">
        <v>78.5</v>
      </c>
      <c r="R14">
        <f t="shared" si="3"/>
        <v>90.99756690997566</v>
      </c>
      <c r="S14" t="s">
        <v>39</v>
      </c>
      <c r="U14">
        <v>81.2</v>
      </c>
      <c r="V14" t="s">
        <v>40</v>
      </c>
      <c r="W14">
        <f>(63+63)/2</f>
        <v>63</v>
      </c>
      <c r="X14" s="58">
        <v>1.758</v>
      </c>
      <c r="Y14">
        <v>75.8</v>
      </c>
      <c r="Z14">
        <f t="shared" si="4"/>
        <v>6.650246305418726</v>
      </c>
      <c r="AA14" t="s">
        <v>47</v>
      </c>
      <c r="AB14">
        <f>(93+78+87)/3</f>
        <v>86</v>
      </c>
      <c r="AC14" s="58">
        <v>22.8</v>
      </c>
      <c r="AD14">
        <v>83.1</v>
      </c>
      <c r="AE14">
        <f t="shared" si="5"/>
        <v>5.8598726114649606</v>
      </c>
      <c r="AF14" t="s">
        <v>48</v>
      </c>
      <c r="AH14">
        <v>86.2</v>
      </c>
      <c r="AI14" t="s">
        <v>49</v>
      </c>
      <c r="AJ14">
        <f>(48+49)/2</f>
        <v>48.5</v>
      </c>
      <c r="AK14" s="58">
        <v>1.165</v>
      </c>
      <c r="AL14">
        <v>81.8</v>
      </c>
      <c r="AM14">
        <f t="shared" si="6"/>
        <v>5.1044083526682202</v>
      </c>
      <c r="AN14" t="s">
        <v>50</v>
      </c>
      <c r="AO14">
        <f>(71+72)/2</f>
        <v>71.5</v>
      </c>
      <c r="AP14" s="58">
        <v>21.67</v>
      </c>
      <c r="AQ14">
        <v>87.3</v>
      </c>
      <c r="AR14">
        <f t="shared" si="7"/>
        <v>5.0541516245487399</v>
      </c>
      <c r="AS14" t="s">
        <v>55</v>
      </c>
      <c r="AU14">
        <v>89</v>
      </c>
      <c r="AV14" t="s">
        <v>56</v>
      </c>
      <c r="AW14">
        <f>(57+69)/2</f>
        <v>63</v>
      </c>
      <c r="AX14" s="58">
        <v>2.617</v>
      </c>
      <c r="AY14">
        <v>83.8</v>
      </c>
      <c r="AZ14">
        <f t="shared" si="8"/>
        <v>4.0091638029782359</v>
      </c>
      <c r="BA14" t="s">
        <v>58</v>
      </c>
      <c r="BB14">
        <f>(74+82)/2</f>
        <v>78</v>
      </c>
      <c r="BC14" s="58">
        <v>17.55</v>
      </c>
      <c r="BD14">
        <v>89.5</v>
      </c>
      <c r="BE14">
        <f t="shared" si="9"/>
        <v>2.5200458190148942</v>
      </c>
      <c r="BF14" t="s">
        <v>61</v>
      </c>
      <c r="BH14">
        <v>92.4</v>
      </c>
      <c r="BI14" t="s">
        <v>62</v>
      </c>
      <c r="BJ14">
        <f>(75+69)/2</f>
        <v>72</v>
      </c>
      <c r="BK14" s="58">
        <v>1.29</v>
      </c>
      <c r="BL14">
        <v>88</v>
      </c>
      <c r="BM14">
        <f t="shared" si="10"/>
        <v>4.7619047619047681</v>
      </c>
      <c r="BN14" t="s">
        <v>64</v>
      </c>
      <c r="BO14">
        <f>(66+70)/2</f>
        <v>68</v>
      </c>
      <c r="BP14" s="58">
        <v>8.2899999999999991</v>
      </c>
      <c r="BQ14">
        <v>89.6</v>
      </c>
      <c r="BR14">
        <f t="shared" si="11"/>
        <v>1.8181818181818119</v>
      </c>
      <c r="BS14">
        <f>(75+69)/2</f>
        <v>72</v>
      </c>
      <c r="BT14" s="58">
        <v>1.29</v>
      </c>
      <c r="BU14" s="64">
        <f t="shared" si="12"/>
        <v>1.7916666666666668E-2</v>
      </c>
      <c r="BV14">
        <f>(184+161)/2</f>
        <v>172.5</v>
      </c>
      <c r="BW14" s="58">
        <v>5.008</v>
      </c>
      <c r="BX14">
        <f>(187+216)/2</f>
        <v>201.5</v>
      </c>
      <c r="BY14" s="58">
        <v>6.9690000000000003</v>
      </c>
      <c r="BZ14" s="1">
        <f>(222+194)/2</f>
        <v>208</v>
      </c>
      <c r="CA14" s="58">
        <v>5.8609999999999998</v>
      </c>
      <c r="CB14">
        <f>(201+189)/2</f>
        <v>195</v>
      </c>
      <c r="CC14" s="58">
        <v>8.5090000000000003</v>
      </c>
      <c r="CD14">
        <f>(77+58)/2</f>
        <v>67.5</v>
      </c>
      <c r="CE14" s="58">
        <v>0.90500000000000003</v>
      </c>
      <c r="CF14">
        <f>72+((172.5-72)*0.5)+172.5+((201.5-172.5)*0.5)+201.5+((208-201.5)*0.5)+195+((208-195)*0.5)+67.5+((195-67.5)*0.5)</f>
        <v>846.75</v>
      </c>
      <c r="CG14">
        <f>BT14+(0.5*(BW14-BT14))+BW14+(0.5*(BY14-BW14))+CA14+(0.5*(BY14-CA14))+CA14+(0.5*(CC14-CA14))+CE14+(0.5*(CC14-CE14))</f>
        <v>27.444500000000001</v>
      </c>
      <c r="CI14">
        <v>1.4930000000000001</v>
      </c>
      <c r="CJ14">
        <f t="shared" si="0"/>
        <v>1.615800865800866</v>
      </c>
      <c r="CK14">
        <v>0.53539999999999999</v>
      </c>
      <c r="CL14">
        <f t="shared" si="1"/>
        <v>0.57943722943722942</v>
      </c>
      <c r="CM14">
        <f t="shared" si="13"/>
        <v>2.7885692939858053</v>
      </c>
      <c r="CN14" s="1" t="s">
        <v>138</v>
      </c>
      <c r="CO14" t="s">
        <v>129</v>
      </c>
      <c r="CP14" s="65"/>
    </row>
    <row r="15" spans="1:94">
      <c r="A15" s="6" t="s">
        <v>242</v>
      </c>
      <c r="B15" s="2">
        <v>44227</v>
      </c>
      <c r="C15" s="2" t="s">
        <v>66</v>
      </c>
      <c r="D15" s="12">
        <v>75</v>
      </c>
      <c r="E15">
        <v>39.4</v>
      </c>
      <c r="F15" t="s">
        <v>27</v>
      </c>
      <c r="G15">
        <f>(86+79)/2</f>
        <v>82.5</v>
      </c>
      <c r="H15">
        <v>73.2</v>
      </c>
      <c r="I15" t="s">
        <v>29</v>
      </c>
      <c r="J15">
        <f>(46+46)/2</f>
        <v>46</v>
      </c>
      <c r="K15" s="58">
        <v>0.47449999999999998</v>
      </c>
      <c r="L15">
        <v>69.7</v>
      </c>
      <c r="M15">
        <f t="shared" si="2"/>
        <v>4.7814207650273222</v>
      </c>
      <c r="N15" t="s">
        <v>36</v>
      </c>
      <c r="O15">
        <f>(84+68)/2</f>
        <v>76</v>
      </c>
      <c r="P15" s="58">
        <v>8.5370000000000008</v>
      </c>
      <c r="Q15">
        <v>77.7</v>
      </c>
      <c r="R15">
        <f t="shared" si="3"/>
        <v>97.20812182741119</v>
      </c>
      <c r="S15" t="s">
        <v>39</v>
      </c>
      <c r="U15">
        <v>80.2</v>
      </c>
      <c r="V15" t="s">
        <v>40</v>
      </c>
      <c r="W15">
        <f>(65+62)/2</f>
        <v>63.5</v>
      </c>
      <c r="X15" s="58">
        <v>1.18</v>
      </c>
      <c r="Y15">
        <v>75.099999999999994</v>
      </c>
      <c r="Z15">
        <f t="shared" si="4"/>
        <v>6.3591022443890379</v>
      </c>
      <c r="AA15" t="s">
        <v>47</v>
      </c>
      <c r="AB15">
        <f>(70+71)/2</f>
        <v>70.5</v>
      </c>
      <c r="AC15" s="58">
        <v>16.690000000000001</v>
      </c>
      <c r="AD15">
        <v>84.2</v>
      </c>
      <c r="AE15">
        <f t="shared" si="5"/>
        <v>8.3655083655083651</v>
      </c>
      <c r="AF15" t="s">
        <v>48</v>
      </c>
      <c r="AH15">
        <v>88.5</v>
      </c>
      <c r="AI15" t="s">
        <v>49</v>
      </c>
      <c r="AJ15">
        <f>(49+54)/2</f>
        <v>51.5</v>
      </c>
      <c r="AK15" s="58">
        <v>1.0549999999999999</v>
      </c>
      <c r="AL15">
        <v>84.2</v>
      </c>
      <c r="AM15">
        <f t="shared" si="6"/>
        <v>4.8587570621468892</v>
      </c>
      <c r="AN15" t="s">
        <v>50</v>
      </c>
      <c r="AO15">
        <f>(55+63)/2</f>
        <v>59</v>
      </c>
      <c r="AP15" s="58">
        <v>19.329999999999998</v>
      </c>
      <c r="AQ15">
        <v>87.6</v>
      </c>
      <c r="AR15">
        <f t="shared" si="7"/>
        <v>4.0380047505938137</v>
      </c>
      <c r="AS15" t="s">
        <v>55</v>
      </c>
      <c r="AU15">
        <v>89.5</v>
      </c>
      <c r="AV15" t="s">
        <v>56</v>
      </c>
      <c r="AW15">
        <f>(76+52+52)/3</f>
        <v>60</v>
      </c>
      <c r="AX15" s="58">
        <v>2.1230000000000002</v>
      </c>
      <c r="AY15">
        <v>84.5</v>
      </c>
      <c r="AZ15">
        <f t="shared" si="8"/>
        <v>3.5388127853881213</v>
      </c>
      <c r="BA15" t="s">
        <v>58</v>
      </c>
      <c r="BB15">
        <f>(52+64)/2</f>
        <v>58</v>
      </c>
      <c r="BC15" s="58">
        <v>15.15</v>
      </c>
      <c r="BD15">
        <v>91</v>
      </c>
      <c r="BE15">
        <f t="shared" si="9"/>
        <v>3.8812785388127922</v>
      </c>
      <c r="BF15" t="s">
        <v>61</v>
      </c>
      <c r="BH15">
        <v>98.3</v>
      </c>
      <c r="BI15" t="s">
        <v>62</v>
      </c>
      <c r="BJ15">
        <f>(59+60)/2</f>
        <v>59.5</v>
      </c>
      <c r="BK15" s="58">
        <v>3.29</v>
      </c>
      <c r="BL15">
        <v>94.4</v>
      </c>
      <c r="BM15">
        <f t="shared" si="10"/>
        <v>3.9674465920650985</v>
      </c>
      <c r="BN15" t="s">
        <v>64</v>
      </c>
      <c r="BO15">
        <f>(38+50)/2</f>
        <v>44</v>
      </c>
      <c r="BP15" s="58">
        <v>30.05</v>
      </c>
      <c r="BQ15">
        <v>97.5</v>
      </c>
      <c r="BR15">
        <f t="shared" si="11"/>
        <v>3.2838983050847399</v>
      </c>
      <c r="BS15">
        <f>(59+60)/2</f>
        <v>59.5</v>
      </c>
      <c r="BT15" s="58">
        <v>3.29</v>
      </c>
      <c r="BU15" s="64">
        <f t="shared" si="12"/>
        <v>5.5294117647058827E-2</v>
      </c>
      <c r="BV15">
        <f>(183+229)/2</f>
        <v>206</v>
      </c>
      <c r="BW15" s="58">
        <v>5.4809999999999999</v>
      </c>
      <c r="BX15">
        <f>(282+325)/2</f>
        <v>303.5</v>
      </c>
      <c r="BY15" s="58">
        <v>6.5640000000000001</v>
      </c>
      <c r="BZ15">
        <f>(343+441)/2</f>
        <v>392</v>
      </c>
      <c r="CA15" s="58">
        <v>6.9340000000000002</v>
      </c>
      <c r="CB15" s="1">
        <f>(410+392)/2</f>
        <v>401</v>
      </c>
      <c r="CC15" s="61">
        <v>17.88</v>
      </c>
      <c r="CD15">
        <f>(92+91)/2</f>
        <v>91.5</v>
      </c>
      <c r="CE15" s="58">
        <v>7.8789999999999996</v>
      </c>
      <c r="CF15">
        <f>59.5+((206-59.6)*0.5)+206+((303.5-206)*0.5)+303.5+((392-303.5)*0.5)+392+((401-392)*0.5)+91.5+((401-91.5)*0.5)</f>
        <v>1377.95</v>
      </c>
      <c r="CG15">
        <f>BT15+(0.5*(BW15-BT15))+BW15+(0.5*(BY15-BW15))+CA15+(0.5*(BY15-CA15))+CA15+(0.5*(CC15-CA15))+CE15+(0.5*(CC15-CE15))</f>
        <v>42.443500000000007</v>
      </c>
      <c r="CI15">
        <v>1.2902</v>
      </c>
      <c r="CJ15">
        <f t="shared" si="0"/>
        <v>1.3125127161749746</v>
      </c>
      <c r="CK15">
        <v>0.63119999999999998</v>
      </c>
      <c r="CL15">
        <f t="shared" si="1"/>
        <v>0.64211597151576805</v>
      </c>
      <c r="CM15">
        <f t="shared" si="13"/>
        <v>2.04404309252218</v>
      </c>
      <c r="CN15" s="1" t="s">
        <v>138</v>
      </c>
      <c r="CO15" t="s">
        <v>129</v>
      </c>
      <c r="CP15" s="65"/>
    </row>
    <row r="16" spans="1:94">
      <c r="A16" s="6" t="s">
        <v>243</v>
      </c>
      <c r="B16" s="2">
        <v>44227</v>
      </c>
      <c r="C16" s="2" t="s">
        <v>66</v>
      </c>
      <c r="D16" s="12">
        <v>72</v>
      </c>
      <c r="E16">
        <v>41.3</v>
      </c>
      <c r="F16" t="s">
        <v>27</v>
      </c>
      <c r="G16">
        <f>(66+88)/2</f>
        <v>77</v>
      </c>
      <c r="H16">
        <v>75.599999999999994</v>
      </c>
      <c r="I16" t="s">
        <v>29</v>
      </c>
      <c r="J16">
        <f>(43+51)/2</f>
        <v>47</v>
      </c>
      <c r="K16" s="58">
        <v>0.89270000000000005</v>
      </c>
      <c r="L16">
        <v>71.400000000000006</v>
      </c>
      <c r="M16">
        <f t="shared" si="2"/>
        <v>5.5555555555555403</v>
      </c>
      <c r="N16" t="s">
        <v>36</v>
      </c>
      <c r="O16">
        <f>(76+88)/2</f>
        <v>82</v>
      </c>
      <c r="P16" s="58">
        <v>11.06</v>
      </c>
      <c r="Q16">
        <v>78.5</v>
      </c>
      <c r="R16">
        <f t="shared" si="3"/>
        <v>90.072639225181618</v>
      </c>
      <c r="S16" t="s">
        <v>39</v>
      </c>
      <c r="U16">
        <v>81</v>
      </c>
      <c r="V16" t="s">
        <v>40</v>
      </c>
      <c r="W16">
        <f>(65+63)/2</f>
        <v>64</v>
      </c>
      <c r="X16" s="58">
        <v>0.96940000000000004</v>
      </c>
      <c r="Y16">
        <v>75.599999999999994</v>
      </c>
      <c r="Z16">
        <f t="shared" si="4"/>
        <v>6.6666666666666732</v>
      </c>
      <c r="AA16" t="s">
        <v>47</v>
      </c>
      <c r="AB16">
        <f>(80+86)/2</f>
        <v>83</v>
      </c>
      <c r="AC16" s="58">
        <v>11.14</v>
      </c>
      <c r="AD16">
        <v>82.9</v>
      </c>
      <c r="AE16">
        <f t="shared" si="5"/>
        <v>5.6050955414012806</v>
      </c>
      <c r="AF16" t="s">
        <v>48</v>
      </c>
      <c r="AH16">
        <v>85.7</v>
      </c>
      <c r="AI16" t="s">
        <v>49</v>
      </c>
      <c r="AJ16">
        <f>(56+57)/2</f>
        <v>56.5</v>
      </c>
      <c r="AK16" s="58">
        <v>1.2569999999999999</v>
      </c>
      <c r="AL16">
        <v>82.1</v>
      </c>
      <c r="AM16">
        <f t="shared" si="6"/>
        <v>4.2007001166861242</v>
      </c>
      <c r="AN16" t="s">
        <v>50</v>
      </c>
      <c r="AO16">
        <f>(73+66)/2</f>
        <v>69.5</v>
      </c>
      <c r="AP16" s="58">
        <v>12.91</v>
      </c>
      <c r="AQ16">
        <v>87.2</v>
      </c>
      <c r="AR16">
        <f t="shared" si="7"/>
        <v>5.186972255729791</v>
      </c>
      <c r="AS16" t="s">
        <v>55</v>
      </c>
      <c r="AU16">
        <v>90.4</v>
      </c>
      <c r="AV16" t="s">
        <v>56</v>
      </c>
      <c r="AW16">
        <f>(55+58)/2</f>
        <v>56.5</v>
      </c>
      <c r="AX16" s="58">
        <v>1.2490000000000001</v>
      </c>
      <c r="AY16">
        <v>85.4</v>
      </c>
      <c r="AZ16">
        <f t="shared" si="8"/>
        <v>2.0642201834862353</v>
      </c>
      <c r="BA16" t="s">
        <v>58</v>
      </c>
      <c r="BB16">
        <f>(61+70)/2</f>
        <v>65.5</v>
      </c>
      <c r="BC16" s="58">
        <v>9.3059999999999992</v>
      </c>
      <c r="BD16">
        <v>91.3</v>
      </c>
      <c r="BE16">
        <f t="shared" si="9"/>
        <v>4.7018348623853141</v>
      </c>
      <c r="BF16" t="s">
        <v>61</v>
      </c>
      <c r="BH16">
        <v>94.5</v>
      </c>
      <c r="BI16" t="s">
        <v>62</v>
      </c>
      <c r="BJ16">
        <f>(48+52)/2</f>
        <v>50</v>
      </c>
      <c r="BK16" s="58">
        <v>1.107</v>
      </c>
      <c r="BL16">
        <v>89.4</v>
      </c>
      <c r="BM16">
        <f t="shared" si="10"/>
        <v>5.396825396825391</v>
      </c>
      <c r="BN16" t="s">
        <v>64</v>
      </c>
      <c r="BO16">
        <f>(63+67)/2</f>
        <v>65</v>
      </c>
      <c r="BP16" s="58">
        <v>9.64</v>
      </c>
      <c r="BQ16">
        <v>92.3</v>
      </c>
      <c r="BR16">
        <f t="shared" si="11"/>
        <v>3.2438478747203479</v>
      </c>
      <c r="BS16">
        <f>(48+52)/2</f>
        <v>50</v>
      </c>
      <c r="BT16" s="58">
        <v>1.107</v>
      </c>
      <c r="BU16" s="64">
        <f t="shared" si="12"/>
        <v>2.214E-2</v>
      </c>
      <c r="BV16">
        <f>(127+152)/2</f>
        <v>139.5</v>
      </c>
      <c r="BW16" s="58">
        <v>4.8310000000000004</v>
      </c>
      <c r="BX16">
        <f>(223+219)/2</f>
        <v>221</v>
      </c>
      <c r="BY16" s="58">
        <v>2.6259999999999999</v>
      </c>
      <c r="BZ16">
        <f>(274+263)/2</f>
        <v>268.5</v>
      </c>
      <c r="CA16" s="58">
        <v>2.31</v>
      </c>
      <c r="CB16" s="1">
        <f>(296+305)/2</f>
        <v>300.5</v>
      </c>
      <c r="CC16" s="58">
        <v>5.8719999999999999</v>
      </c>
      <c r="CD16">
        <f>(70+84)/2</f>
        <v>77</v>
      </c>
      <c r="CE16" s="58">
        <v>2.0979999999999999</v>
      </c>
      <c r="CF16">
        <f>50+((139.5-50)*0.5)+139.5+((221-139.5)*0.5)+221+((268.5-221)*0.5)+268.5+((300.5-268.5)*0.5)+77+((300.5-77)*0.5)</f>
        <v>993</v>
      </c>
      <c r="CG16">
        <f>BT16+(0.5*(BW16-BT16))+BW16+(0.5*(BY16-BW16))+CA16+(0.5*(BY16-CA16))+CA16+(0.5*(CC16-CA16))+CE16+(0.5*(CC16-CE16))</f>
        <v>17.241500000000002</v>
      </c>
      <c r="CI16">
        <v>1.1374</v>
      </c>
      <c r="CJ16">
        <f t="shared" si="0"/>
        <v>1.2035978835978836</v>
      </c>
      <c r="CK16">
        <v>0.54620000000000002</v>
      </c>
      <c r="CL16">
        <f t="shared" si="1"/>
        <v>0.57798941798941805</v>
      </c>
      <c r="CM16">
        <f t="shared" si="13"/>
        <v>2.0823874038813619</v>
      </c>
      <c r="CN16" t="s">
        <v>138</v>
      </c>
      <c r="CO16" s="1" t="s">
        <v>127</v>
      </c>
      <c r="CP16" s="65"/>
    </row>
    <row r="17" spans="1:94">
      <c r="A17" s="6" t="s">
        <v>244</v>
      </c>
      <c r="B17" s="2">
        <v>44227</v>
      </c>
      <c r="C17" s="2" t="s">
        <v>66</v>
      </c>
      <c r="D17" s="12">
        <v>78</v>
      </c>
      <c r="E17">
        <v>40.200000000000003</v>
      </c>
      <c r="F17" t="s">
        <v>27</v>
      </c>
      <c r="G17" s="32">
        <f>(184+231+180)/3</f>
        <v>198.33333333333334</v>
      </c>
      <c r="H17">
        <v>76.7</v>
      </c>
      <c r="I17" t="s">
        <v>29</v>
      </c>
      <c r="J17">
        <f>(44+55)/2</f>
        <v>49.5</v>
      </c>
      <c r="K17" s="58">
        <v>3.1339999999999999</v>
      </c>
      <c r="L17">
        <v>73.5</v>
      </c>
      <c r="M17">
        <f t="shared" si="2"/>
        <v>4.1720990873533284</v>
      </c>
      <c r="N17" t="s">
        <v>36</v>
      </c>
      <c r="O17" s="32">
        <f>(193+173)/2</f>
        <v>183</v>
      </c>
      <c r="P17" s="58">
        <v>33.549999999999997</v>
      </c>
      <c r="Q17">
        <v>80</v>
      </c>
      <c r="R17">
        <f t="shared" si="3"/>
        <v>99.004975124378092</v>
      </c>
      <c r="S17" t="s">
        <v>39</v>
      </c>
      <c r="U17">
        <v>82.9</v>
      </c>
      <c r="V17" t="s">
        <v>40</v>
      </c>
      <c r="W17">
        <f>(56+67)/2</f>
        <v>61.5</v>
      </c>
      <c r="X17" s="58">
        <v>1.165</v>
      </c>
      <c r="Y17">
        <v>78.2</v>
      </c>
      <c r="Z17">
        <f t="shared" si="4"/>
        <v>5.6694813027744306</v>
      </c>
      <c r="AA17" t="s">
        <v>47</v>
      </c>
      <c r="AB17">
        <f>(68+75)/2</f>
        <v>71.5</v>
      </c>
      <c r="AC17" s="58">
        <v>17.12</v>
      </c>
      <c r="AD17">
        <v>85.1</v>
      </c>
      <c r="AE17">
        <f t="shared" si="5"/>
        <v>6.3749999999999929</v>
      </c>
      <c r="AF17" t="s">
        <v>48</v>
      </c>
      <c r="AH17">
        <v>88.4</v>
      </c>
      <c r="AI17" t="s">
        <v>49</v>
      </c>
      <c r="AJ17">
        <f>(63+62)/2</f>
        <v>62.5</v>
      </c>
      <c r="AK17" s="58">
        <v>0.97</v>
      </c>
      <c r="AL17">
        <v>82.3</v>
      </c>
      <c r="AM17">
        <f t="shared" si="6"/>
        <v>6.900452488687792</v>
      </c>
      <c r="AN17" t="s">
        <v>50</v>
      </c>
      <c r="AO17">
        <f>(69+66)/2</f>
        <v>67.5</v>
      </c>
      <c r="AP17" s="58">
        <v>28.61</v>
      </c>
      <c r="AQ17">
        <v>89.5</v>
      </c>
      <c r="AR17">
        <f t="shared" si="7"/>
        <v>5.1703877790834376</v>
      </c>
      <c r="AS17" t="s">
        <v>55</v>
      </c>
      <c r="AU17">
        <v>93.4</v>
      </c>
      <c r="AV17" t="s">
        <v>56</v>
      </c>
      <c r="AW17">
        <f>(48+60)/2</f>
        <v>54</v>
      </c>
      <c r="AX17" s="58">
        <v>1.0549999999999999</v>
      </c>
      <c r="AY17">
        <v>87.4</v>
      </c>
      <c r="AZ17">
        <f t="shared" si="8"/>
        <v>2.3463687150837926</v>
      </c>
      <c r="BA17" t="s">
        <v>58</v>
      </c>
      <c r="BB17">
        <f>(97+128+70)/3</f>
        <v>98.333333333333329</v>
      </c>
      <c r="BC17" s="58">
        <v>40.26</v>
      </c>
      <c r="BD17">
        <v>93.9</v>
      </c>
      <c r="BE17">
        <f t="shared" si="9"/>
        <v>4.9162011173184421</v>
      </c>
      <c r="BF17" t="s">
        <v>61</v>
      </c>
      <c r="BH17">
        <v>98</v>
      </c>
      <c r="BI17" t="s">
        <v>62</v>
      </c>
      <c r="BJ17">
        <f>(50+46)/2</f>
        <v>48</v>
      </c>
      <c r="BK17" s="58">
        <v>1.177</v>
      </c>
      <c r="BL17">
        <v>91.6</v>
      </c>
      <c r="BM17">
        <f t="shared" si="10"/>
        <v>6.5306122448979655</v>
      </c>
      <c r="BN17" t="s">
        <v>64</v>
      </c>
      <c r="BO17">
        <f>(68+72)/2</f>
        <v>70</v>
      </c>
      <c r="BP17" s="58">
        <v>21.59</v>
      </c>
      <c r="BQ17">
        <v>94.4</v>
      </c>
      <c r="BR17">
        <f t="shared" si="11"/>
        <v>3.056768558951978</v>
      </c>
      <c r="BS17">
        <f>(50+46)/2</f>
        <v>48</v>
      </c>
      <c r="BT17" s="58">
        <v>1.177</v>
      </c>
      <c r="BU17" s="64">
        <f t="shared" si="12"/>
        <v>2.4520833333333335E-2</v>
      </c>
      <c r="BV17">
        <f>(121+149)/2</f>
        <v>135</v>
      </c>
      <c r="BX17">
        <f>(202+189)/2</f>
        <v>195.5</v>
      </c>
      <c r="BZ17" s="1">
        <f>(205+270)/2</f>
        <v>237.5</v>
      </c>
      <c r="CB17">
        <f>(189+249)/2</f>
        <v>219</v>
      </c>
      <c r="CD17">
        <f>(59+68)/2</f>
        <v>63.5</v>
      </c>
      <c r="CF17">
        <f>48+((135-48)*0.5)+135+((195.5-135)*0.5)+195.5+((237.5-195.5)*0.5)+219+((237.5-219)*0.5)+63.5+((219-63.5)*0.5)</f>
        <v>842.75</v>
      </c>
      <c r="CI17">
        <v>1.5392999999999999</v>
      </c>
      <c r="CJ17">
        <f t="shared" si="0"/>
        <v>1.5707142857142857</v>
      </c>
      <c r="CK17">
        <v>0.64100000000000001</v>
      </c>
      <c r="CL17">
        <f t="shared" si="1"/>
        <v>0.65408163265306118</v>
      </c>
      <c r="CM17">
        <f t="shared" si="13"/>
        <v>2.4014040561622467</v>
      </c>
      <c r="CN17" t="s">
        <v>138</v>
      </c>
      <c r="CO17" t="s">
        <v>129</v>
      </c>
    </row>
    <row r="18" spans="1:94">
      <c r="A18" s="6" t="s">
        <v>245</v>
      </c>
      <c r="B18" s="2">
        <v>44227</v>
      </c>
      <c r="C18" s="2" t="s">
        <v>66</v>
      </c>
      <c r="D18" s="12">
        <v>81</v>
      </c>
      <c r="E18">
        <v>42.7</v>
      </c>
      <c r="F18" t="s">
        <v>27</v>
      </c>
      <c r="G18">
        <f>(91+96)/2</f>
        <v>93.5</v>
      </c>
      <c r="H18">
        <v>79.400000000000006</v>
      </c>
      <c r="I18" t="s">
        <v>29</v>
      </c>
      <c r="J18">
        <f>(45+57)/2</f>
        <v>51</v>
      </c>
      <c r="K18" s="58">
        <v>1.9330000000000001</v>
      </c>
      <c r="L18">
        <v>76.599999999999994</v>
      </c>
      <c r="M18">
        <f t="shared" si="2"/>
        <v>3.5264483627204171</v>
      </c>
      <c r="N18" t="s">
        <v>36</v>
      </c>
      <c r="O18">
        <f>(80+88)/2</f>
        <v>84</v>
      </c>
      <c r="P18" s="58">
        <v>23.9</v>
      </c>
      <c r="Q18">
        <v>82.5</v>
      </c>
      <c r="R18">
        <f t="shared" si="3"/>
        <v>93.208430913348934</v>
      </c>
      <c r="S18" t="s">
        <v>39</v>
      </c>
      <c r="U18">
        <v>85.4</v>
      </c>
      <c r="V18" t="s">
        <v>40</v>
      </c>
      <c r="W18">
        <f>(59+62)/2</f>
        <v>60.5</v>
      </c>
      <c r="X18" s="58">
        <v>2.5019999999999998</v>
      </c>
      <c r="Y18">
        <v>81.599999999999994</v>
      </c>
      <c r="Z18">
        <f t="shared" si="4"/>
        <v>4.4496487119438068</v>
      </c>
      <c r="AA18" t="s">
        <v>47</v>
      </c>
      <c r="AB18">
        <f>(74+70+76)/3</f>
        <v>73.333333333333329</v>
      </c>
      <c r="AC18" s="58">
        <v>20.58</v>
      </c>
      <c r="AD18">
        <v>87.6</v>
      </c>
      <c r="AE18">
        <f t="shared" si="5"/>
        <v>6.1818181818181754</v>
      </c>
      <c r="AF18" t="s">
        <v>48</v>
      </c>
      <c r="AH18">
        <v>91.7</v>
      </c>
      <c r="AI18" t="s">
        <v>49</v>
      </c>
      <c r="AJ18">
        <f>(54+56)/2</f>
        <v>55</v>
      </c>
      <c r="AK18" s="58">
        <v>2.4929999999999999</v>
      </c>
      <c r="AL18">
        <v>85.9</v>
      </c>
      <c r="AM18">
        <f t="shared" si="6"/>
        <v>6.3249727371864743</v>
      </c>
      <c r="AN18" t="s">
        <v>50</v>
      </c>
      <c r="AO18">
        <f>(78+76)/2</f>
        <v>77</v>
      </c>
      <c r="AP18" s="58">
        <v>21.4</v>
      </c>
      <c r="AQ18">
        <v>90.9</v>
      </c>
      <c r="AR18">
        <f t="shared" si="7"/>
        <v>3.7671232876712457</v>
      </c>
      <c r="AS18" t="s">
        <v>55</v>
      </c>
      <c r="AU18">
        <v>95</v>
      </c>
      <c r="AV18" t="s">
        <v>56</v>
      </c>
      <c r="AW18">
        <f>(58+58)/2</f>
        <v>58</v>
      </c>
      <c r="AX18" s="58">
        <v>3.1669999999999998</v>
      </c>
      <c r="AY18">
        <v>89.2</v>
      </c>
      <c r="AZ18">
        <f t="shared" si="8"/>
        <v>1.8701870187018732</v>
      </c>
      <c r="BA18" t="s">
        <v>58</v>
      </c>
      <c r="BB18">
        <f>(66+71)/2</f>
        <v>68.5</v>
      </c>
      <c r="BC18" s="58">
        <v>27.74</v>
      </c>
      <c r="BD18">
        <v>94.8</v>
      </c>
      <c r="BE18">
        <f t="shared" si="9"/>
        <v>4.2904290429042806</v>
      </c>
      <c r="BF18" t="s">
        <v>61</v>
      </c>
      <c r="BH18">
        <v>98.3</v>
      </c>
      <c r="BI18" t="s">
        <v>62</v>
      </c>
      <c r="BJ18">
        <f>(44+42)/2</f>
        <v>43</v>
      </c>
      <c r="BK18" s="58">
        <v>4.5250000000000004</v>
      </c>
      <c r="BL18">
        <v>95.6</v>
      </c>
      <c r="BM18">
        <f t="shared" si="10"/>
        <v>2.7466937945066152</v>
      </c>
      <c r="BN18" t="s">
        <v>64</v>
      </c>
      <c r="BO18">
        <f>(49+74)/2</f>
        <v>61.5</v>
      </c>
      <c r="BP18" s="58">
        <v>20.34</v>
      </c>
      <c r="BQ18">
        <v>94.8</v>
      </c>
      <c r="BR18">
        <f t="shared" si="11"/>
        <v>-0.83682008368200556</v>
      </c>
      <c r="BS18">
        <f>(44+42)/2</f>
        <v>43</v>
      </c>
      <c r="BT18" s="58">
        <v>4.5250000000000004</v>
      </c>
      <c r="BU18" s="64">
        <f t="shared" si="12"/>
        <v>0.10523255813953489</v>
      </c>
      <c r="BV18">
        <f>(92+79)/2</f>
        <v>85.5</v>
      </c>
      <c r="BW18" s="58">
        <v>4.0780000000000003</v>
      </c>
      <c r="BX18">
        <f>(421+470)/2</f>
        <v>445.5</v>
      </c>
      <c r="BY18" s="58">
        <v>8.0120000000000005</v>
      </c>
      <c r="BZ18">
        <f>(436+530)/2</f>
        <v>483</v>
      </c>
      <c r="CA18" s="58">
        <v>7.0179999999999998</v>
      </c>
      <c r="CB18" s="1">
        <f>(435+600)/2</f>
        <v>517.5</v>
      </c>
      <c r="CC18" s="58">
        <v>10.050000000000001</v>
      </c>
      <c r="CD18">
        <f>(130+109)/2</f>
        <v>119.5</v>
      </c>
      <c r="CE18" s="63">
        <v>6.5350000000000001</v>
      </c>
      <c r="CF18" s="66">
        <f>43+(0.5*(85.5-43))+85.8+(0.5*(445.5-85.5))+445.5+(0.5*(483-445.5))+483+(0.5*(517.5-483))+119.5+(0.5*(517.5-119.5))</f>
        <v>1613.05</v>
      </c>
      <c r="CG18">
        <f>BT18+(0.5*(BW18-BT18))+BW18+(0.5*(BY18-BW18))+CA18+(0.5*(BY18-CA18))+CA18+(0.5*(CC18-CA18))+CE18+(0.5*(CC18-CE18))</f>
        <v>34.688000000000002</v>
      </c>
      <c r="CI18">
        <v>1.7470000000000001</v>
      </c>
      <c r="CJ18">
        <f t="shared" si="0"/>
        <v>1.7772126144455749</v>
      </c>
      <c r="CK18">
        <v>0.64119999999999999</v>
      </c>
      <c r="CL18">
        <f t="shared" si="1"/>
        <v>0.65228891149542223</v>
      </c>
      <c r="CM18">
        <f t="shared" si="13"/>
        <v>2.7245789145352464</v>
      </c>
      <c r="CN18" t="s">
        <v>138</v>
      </c>
      <c r="CO18" t="s">
        <v>134</v>
      </c>
    </row>
    <row r="19" spans="1:94">
      <c r="A19" s="7" t="s">
        <v>246</v>
      </c>
      <c r="B19" s="2">
        <v>44227</v>
      </c>
      <c r="C19" s="2" t="s">
        <v>66</v>
      </c>
      <c r="D19" s="12">
        <v>70</v>
      </c>
      <c r="E19">
        <v>45.1</v>
      </c>
      <c r="F19" t="s">
        <v>27</v>
      </c>
      <c r="G19" s="32">
        <f>(160+150)/2</f>
        <v>155</v>
      </c>
      <c r="H19">
        <v>86.5</v>
      </c>
      <c r="I19" t="s">
        <v>29</v>
      </c>
      <c r="J19">
        <f>(39+40)/2</f>
        <v>39.5</v>
      </c>
      <c r="K19" s="58">
        <v>2.5179999999999998</v>
      </c>
      <c r="L19">
        <v>83</v>
      </c>
      <c r="M19">
        <f t="shared" si="2"/>
        <v>4.0462427745664744</v>
      </c>
      <c r="N19" t="s">
        <v>36</v>
      </c>
      <c r="O19" s="1">
        <f>(207+201)/2</f>
        <v>204</v>
      </c>
      <c r="P19" s="58">
        <v>17.88</v>
      </c>
      <c r="Q19">
        <v>93.2</v>
      </c>
      <c r="R19">
        <f t="shared" si="3"/>
        <v>106.65188470066518</v>
      </c>
      <c r="S19" t="s">
        <v>39</v>
      </c>
      <c r="U19">
        <v>94.7</v>
      </c>
      <c r="V19" t="s">
        <v>40</v>
      </c>
      <c r="W19">
        <f>(60+50)/2</f>
        <v>55</v>
      </c>
      <c r="X19" s="58">
        <v>3.536</v>
      </c>
      <c r="Y19">
        <v>88.5</v>
      </c>
      <c r="Z19">
        <f t="shared" si="4"/>
        <v>6.5469904963041214</v>
      </c>
      <c r="AA19" t="s">
        <v>47</v>
      </c>
      <c r="AB19" s="1">
        <f>(297+303)/2</f>
        <v>300</v>
      </c>
      <c r="AC19" s="58">
        <v>11.58</v>
      </c>
      <c r="AD19">
        <v>95.4</v>
      </c>
      <c r="AE19">
        <f t="shared" si="5"/>
        <v>2.3605150214592303</v>
      </c>
      <c r="AF19" t="s">
        <v>48</v>
      </c>
      <c r="AH19">
        <v>98.5</v>
      </c>
      <c r="AI19" t="s">
        <v>49</v>
      </c>
      <c r="AJ19" s="32">
        <f>(79+69+81)/3</f>
        <v>76.333333333333329</v>
      </c>
      <c r="AK19" s="58">
        <v>3.6419999999999999</v>
      </c>
      <c r="AL19">
        <v>93.6</v>
      </c>
      <c r="AM19">
        <f t="shared" si="6"/>
        <v>4.9746192893401071</v>
      </c>
      <c r="AN19" t="s">
        <v>50</v>
      </c>
      <c r="AO19">
        <f>(75+82)/2</f>
        <v>78.5</v>
      </c>
      <c r="AP19" s="58">
        <v>6.57</v>
      </c>
      <c r="AQ19">
        <v>93.1</v>
      </c>
      <c r="AR19" s="14">
        <f t="shared" si="7"/>
        <v>-2.4109014675052531</v>
      </c>
      <c r="AS19" t="s">
        <v>55</v>
      </c>
      <c r="AU19">
        <v>97.4</v>
      </c>
      <c r="AV19" t="s">
        <v>56</v>
      </c>
      <c r="AW19">
        <f>(64+77+49)/3</f>
        <v>63.333333333333336</v>
      </c>
      <c r="AX19" s="58">
        <v>2.3290000000000002</v>
      </c>
      <c r="AY19">
        <v>90.5</v>
      </c>
      <c r="AZ19">
        <f t="shared" si="8"/>
        <v>2.7926960257787266</v>
      </c>
      <c r="BA19" t="s">
        <v>58</v>
      </c>
      <c r="BB19" s="1">
        <f>(292+298)/2</f>
        <v>295</v>
      </c>
      <c r="BC19" s="58">
        <v>14.57</v>
      </c>
      <c r="BD19">
        <v>99.3</v>
      </c>
      <c r="BE19">
        <f t="shared" si="9"/>
        <v>6.6595059076262118</v>
      </c>
      <c r="BF19" t="s">
        <v>61</v>
      </c>
      <c r="BH19">
        <v>104.4</v>
      </c>
      <c r="BI19" t="s">
        <v>62</v>
      </c>
      <c r="BJ19">
        <f>(65+52)/2</f>
        <v>58.5</v>
      </c>
      <c r="BK19" s="58">
        <v>4.0149999999999997</v>
      </c>
      <c r="BL19">
        <v>98.8</v>
      </c>
      <c r="BM19">
        <f t="shared" si="10"/>
        <v>5.3639846743295099</v>
      </c>
      <c r="BN19" t="s">
        <v>64</v>
      </c>
      <c r="BO19">
        <v>102</v>
      </c>
      <c r="BP19" s="58">
        <v>37.17</v>
      </c>
      <c r="BQ19">
        <v>100.6</v>
      </c>
      <c r="BR19">
        <f t="shared" si="11"/>
        <v>1.8218623481781346</v>
      </c>
      <c r="BS19">
        <f>(65+52)/2</f>
        <v>58.5</v>
      </c>
      <c r="BT19" s="58">
        <v>4.0149999999999997</v>
      </c>
      <c r="BU19" s="64">
        <f t="shared" si="12"/>
        <v>6.8632478632478622E-2</v>
      </c>
      <c r="BV19">
        <f>(176+196)/2</f>
        <v>186</v>
      </c>
      <c r="BW19" s="58">
        <v>5.2919999999999998</v>
      </c>
      <c r="BX19">
        <f>(261+236)/2</f>
        <v>248.5</v>
      </c>
      <c r="BY19" s="58">
        <v>5.0789999999999997</v>
      </c>
      <c r="BZ19">
        <f>(289+316)/2</f>
        <v>302.5</v>
      </c>
      <c r="CA19" s="58">
        <v>4.4169999999999998</v>
      </c>
      <c r="CB19" s="1">
        <f>(444+527)/2</f>
        <v>485.5</v>
      </c>
      <c r="CC19" s="58">
        <v>5.2329999999999997</v>
      </c>
      <c r="CD19">
        <f>(308+290)/2</f>
        <v>299</v>
      </c>
      <c r="CE19" s="58">
        <v>6.2990000000000004</v>
      </c>
      <c r="CF19">
        <f>58.5+((186-58.5)*0.5)+186+((248.5-186)*0.5)+248.5+((302.5-248.5)*0.5)+302.5+((485.5-302.5)*0.5)+299+((485.5-299)*0.5)</f>
        <v>1401.25</v>
      </c>
      <c r="CG19">
        <f>BT19+(0.5*(BW19-BT19))+BY19+(0.5*(BW19-BY19))+CA19+(0.5*(BY19-CA19))+CA19+(0.5*(CC19-CA19))+CC19+(0.5*(CE19-CC19))</f>
        <v>25.178000000000001</v>
      </c>
      <c r="CI19">
        <v>1.1691</v>
      </c>
      <c r="CJ19">
        <f t="shared" si="0"/>
        <v>1.1198275862068965</v>
      </c>
      <c r="CK19">
        <v>0.60140000000000005</v>
      </c>
      <c r="CL19">
        <f t="shared" si="1"/>
        <v>0.57605363984674329</v>
      </c>
      <c r="CM19">
        <f t="shared" si="13"/>
        <v>1.9439640838044561</v>
      </c>
      <c r="CN19" t="s">
        <v>138</v>
      </c>
      <c r="CO19" t="s">
        <v>129</v>
      </c>
    </row>
    <row r="20" spans="1:94" s="43" customFormat="1">
      <c r="A20" s="37" t="s">
        <v>19</v>
      </c>
      <c r="B20" s="40">
        <v>44228</v>
      </c>
      <c r="C20" s="40" t="s">
        <v>66</v>
      </c>
      <c r="D20" s="41">
        <v>58</v>
      </c>
      <c r="E20" s="43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59"/>
      <c r="L20" s="43">
        <v>85</v>
      </c>
      <c r="M20">
        <f t="shared" si="2"/>
        <v>5.2396878483835039</v>
      </c>
      <c r="N20" s="43" t="s">
        <v>36</v>
      </c>
      <c r="O20" s="43">
        <f>(74+51)/2</f>
        <v>62.5</v>
      </c>
      <c r="P20" s="59"/>
      <c r="Q20" s="43">
        <v>92.4</v>
      </c>
      <c r="R20" s="43">
        <f t="shared" si="3"/>
        <v>124.27184466019416</v>
      </c>
      <c r="S20" s="43" t="s">
        <v>39</v>
      </c>
      <c r="U20" s="43">
        <v>94.2</v>
      </c>
      <c r="V20" s="43" t="s">
        <v>40</v>
      </c>
      <c r="W20" s="43">
        <f>(58+58)/2</f>
        <v>58</v>
      </c>
      <c r="X20" s="59"/>
      <c r="Y20" s="43">
        <v>89.4</v>
      </c>
      <c r="Z20" s="43">
        <f t="shared" si="4"/>
        <v>5.0955414012738824</v>
      </c>
      <c r="AA20" s="43" t="s">
        <v>47</v>
      </c>
      <c r="AB20" s="43">
        <f>(82+75)/2</f>
        <v>78.5</v>
      </c>
      <c r="AC20" s="59"/>
      <c r="AD20" s="43">
        <v>95.9</v>
      </c>
      <c r="AE20" s="43">
        <f t="shared" si="5"/>
        <v>3.7878787878787881</v>
      </c>
      <c r="AF20" s="43" t="s">
        <v>48</v>
      </c>
      <c r="AH20" s="43" t="s">
        <v>137</v>
      </c>
      <c r="AI20" s="43" t="s">
        <v>49</v>
      </c>
      <c r="AK20" s="59"/>
      <c r="AN20" s="43" t="s">
        <v>50</v>
      </c>
      <c r="AP20" s="59"/>
      <c r="AS20" s="43" t="s">
        <v>55</v>
      </c>
      <c r="AV20" s="43" t="s">
        <v>56</v>
      </c>
      <c r="AX20" s="59"/>
      <c r="BA20" s="43" t="s">
        <v>58</v>
      </c>
      <c r="BC20" s="59"/>
      <c r="BF20" s="43" t="s">
        <v>61</v>
      </c>
      <c r="BI20" s="43" t="s">
        <v>62</v>
      </c>
      <c r="BK20" s="59"/>
      <c r="BN20" s="43" t="s">
        <v>64</v>
      </c>
      <c r="BP20" s="59"/>
      <c r="BR20"/>
      <c r="BT20" s="59"/>
      <c r="BU20" s="64"/>
      <c r="BW20" s="59"/>
      <c r="BY20" s="59"/>
      <c r="CA20" s="59"/>
      <c r="CC20" s="59"/>
      <c r="CE20" s="59"/>
    </row>
    <row r="21" spans="1:94">
      <c r="A21" s="6" t="s">
        <v>247</v>
      </c>
      <c r="B21" s="2">
        <v>44228</v>
      </c>
      <c r="C21" s="2" t="s">
        <v>66</v>
      </c>
      <c r="D21" s="12">
        <v>73</v>
      </c>
      <c r="E21">
        <v>41</v>
      </c>
      <c r="F21" t="s">
        <v>27</v>
      </c>
      <c r="G21" s="1">
        <f>(412+373)/2</f>
        <v>392.5</v>
      </c>
      <c r="H21">
        <v>93.1</v>
      </c>
      <c r="I21" t="s">
        <v>29</v>
      </c>
      <c r="J21">
        <f>(33+58+40+32)/4</f>
        <v>40.75</v>
      </c>
      <c r="K21" s="58">
        <v>2.2879999999999998</v>
      </c>
      <c r="L21">
        <v>88.2</v>
      </c>
      <c r="M21">
        <f t="shared" si="2"/>
        <v>5.2631578947368336</v>
      </c>
      <c r="N21" t="s">
        <v>36</v>
      </c>
      <c r="O21" s="1">
        <f>(416+503)/2</f>
        <v>459.5</v>
      </c>
      <c r="P21" s="58">
        <v>3.1219999999999999</v>
      </c>
      <c r="Q21">
        <v>96</v>
      </c>
      <c r="R21">
        <f t="shared" si="3"/>
        <v>134.14634146341464</v>
      </c>
      <c r="S21" t="s">
        <v>39</v>
      </c>
      <c r="U21">
        <v>98.7</v>
      </c>
      <c r="V21" t="s">
        <v>40</v>
      </c>
      <c r="W21">
        <f>(43+43)/2</f>
        <v>43</v>
      </c>
      <c r="X21" s="58">
        <v>1.5840000000000001</v>
      </c>
      <c r="Y21">
        <v>92.4</v>
      </c>
      <c r="Z21">
        <f t="shared" si="4"/>
        <v>6.3829787234042517</v>
      </c>
      <c r="AA21" t="s">
        <v>47</v>
      </c>
      <c r="AB21" s="1">
        <f>(264+443+321)/3</f>
        <v>342.66666666666669</v>
      </c>
      <c r="AC21" s="58">
        <v>4.12</v>
      </c>
      <c r="AD21">
        <v>102.2</v>
      </c>
      <c r="AE21">
        <f t="shared" si="5"/>
        <v>6.4583333333333366</v>
      </c>
      <c r="AF21" t="s">
        <v>48</v>
      </c>
      <c r="AH21">
        <v>108</v>
      </c>
      <c r="AI21" t="s">
        <v>49</v>
      </c>
      <c r="AJ21">
        <f>(49+40)/2</f>
        <v>44.5</v>
      </c>
      <c r="AK21" s="58">
        <v>1.982</v>
      </c>
      <c r="AL21">
        <v>100.7</v>
      </c>
      <c r="AM21">
        <f t="shared" si="6"/>
        <v>6.7592592592592569</v>
      </c>
      <c r="AN21" t="s">
        <v>50</v>
      </c>
      <c r="AO21" s="1">
        <f>(321+383)/2</f>
        <v>352</v>
      </c>
      <c r="AP21" s="58">
        <v>3.5129999999999999</v>
      </c>
      <c r="AQ21">
        <v>107.8</v>
      </c>
      <c r="AR21">
        <f t="shared" si="7"/>
        <v>5.4794520547945149</v>
      </c>
      <c r="AS21" t="s">
        <v>55</v>
      </c>
      <c r="AU21">
        <v>109.5</v>
      </c>
      <c r="AV21" t="s">
        <v>56</v>
      </c>
      <c r="AW21">
        <f>(66+73+58+69)/4</f>
        <v>66.5</v>
      </c>
      <c r="AX21" s="58">
        <v>1.2749999999999999</v>
      </c>
      <c r="AY21">
        <v>102</v>
      </c>
      <c r="AZ21">
        <f t="shared" si="8"/>
        <v>5.3803339517625206</v>
      </c>
      <c r="BA21" t="s">
        <v>58</v>
      </c>
      <c r="BB21" s="1">
        <f>(443+568)/2</f>
        <v>505.5</v>
      </c>
      <c r="BC21" s="60" t="s">
        <v>184</v>
      </c>
      <c r="BD21">
        <v>109.7</v>
      </c>
      <c r="BE21">
        <f t="shared" si="9"/>
        <v>1.7625231910946251</v>
      </c>
      <c r="BF21" t="s">
        <v>61</v>
      </c>
      <c r="BH21">
        <v>110.5</v>
      </c>
      <c r="BI21" t="s">
        <v>62</v>
      </c>
      <c r="BJ21">
        <f>(63+66)/2</f>
        <v>64.5</v>
      </c>
      <c r="BK21" s="58">
        <v>0.98180000000000001</v>
      </c>
      <c r="BL21">
        <v>104</v>
      </c>
      <c r="BM21">
        <f t="shared" si="10"/>
        <v>5.8823529411764701</v>
      </c>
      <c r="BN21" t="s">
        <v>64</v>
      </c>
      <c r="BO21" t="s">
        <v>148</v>
      </c>
      <c r="BP21" s="58">
        <v>13.49</v>
      </c>
      <c r="BQ21" t="s">
        <v>148</v>
      </c>
      <c r="BS21">
        <f>(63+66)/2</f>
        <v>64.5</v>
      </c>
      <c r="BT21" s="58">
        <v>0.98180000000000001</v>
      </c>
      <c r="BU21" s="64">
        <f t="shared" si="12"/>
        <v>1.5221705426356589E-2</v>
      </c>
      <c r="BV21">
        <f>(208+225)/2</f>
        <v>216.5</v>
      </c>
      <c r="BW21" s="58">
        <v>0.87509999999999999</v>
      </c>
      <c r="BX21">
        <f>(506+533)/2</f>
        <v>519.5</v>
      </c>
      <c r="BY21" s="58">
        <v>1.496</v>
      </c>
      <c r="BZ21">
        <f>(573+591)/2</f>
        <v>582</v>
      </c>
      <c r="CA21" s="58">
        <v>0.79830000000000001</v>
      </c>
      <c r="CB21" s="1">
        <f>(574+600)/2</f>
        <v>587</v>
      </c>
      <c r="CC21" s="58">
        <v>1.1499999999999999</v>
      </c>
      <c r="CD21">
        <f>(299+319)/2</f>
        <v>309</v>
      </c>
      <c r="CE21" s="58">
        <v>1.919</v>
      </c>
      <c r="CF21">
        <f>64.5+((216.5=64.5)*0.5)+216.5+((519.5-216.5)*0.5)+519.5+((582-519.5)*0.5)+582+((587-582)*0.5)+309+((587-309)*0.5)</f>
        <v>2015.75</v>
      </c>
      <c r="CG21">
        <f>BW21+(0.5*(BT21-BW21))+BW21+(0.5*(BY21-BW21))+CA21+(0.5*(BY21-CA21))+CA21+(0.5*(CC21-CA21))+CC21+(0.5*(CE21-CC21))</f>
        <v>5.7697999999999992</v>
      </c>
      <c r="CI21">
        <v>0.92620000000000002</v>
      </c>
      <c r="CJ21">
        <f>(CI21/BH21)*100</f>
        <v>0.83819004524886886</v>
      </c>
      <c r="CK21">
        <v>0.62160000000000004</v>
      </c>
      <c r="CL21">
        <f>(CK21/BH21)*100</f>
        <v>0.5625339366515838</v>
      </c>
      <c r="CM21">
        <f t="shared" si="13"/>
        <v>1.49002574002574</v>
      </c>
      <c r="CN21" t="s">
        <v>131</v>
      </c>
      <c r="CO21" s="1" t="s">
        <v>133</v>
      </c>
      <c r="CP21" s="65"/>
    </row>
    <row r="22" spans="1:94">
      <c r="A22" s="7" t="s">
        <v>248</v>
      </c>
      <c r="B22" s="2">
        <v>44228</v>
      </c>
      <c r="C22" s="2" t="s">
        <v>66</v>
      </c>
      <c r="D22" s="12">
        <v>77</v>
      </c>
      <c r="E22">
        <v>48</v>
      </c>
      <c r="F22" t="s">
        <v>27</v>
      </c>
      <c r="G22" s="1">
        <f>(266+237)/2</f>
        <v>251.5</v>
      </c>
      <c r="H22">
        <v>98.2</v>
      </c>
      <c r="I22" t="s">
        <v>29</v>
      </c>
      <c r="J22">
        <f>(31+54+33)/3</f>
        <v>39.333333333333336</v>
      </c>
      <c r="K22" s="58">
        <v>2.4359999999999999</v>
      </c>
      <c r="L22">
        <v>95</v>
      </c>
      <c r="M22">
        <f t="shared" si="2"/>
        <v>3.2586558044806542</v>
      </c>
      <c r="N22" t="s">
        <v>36</v>
      </c>
      <c r="O22" s="1">
        <f>(277+322)/2</f>
        <v>299.5</v>
      </c>
      <c r="P22" s="58">
        <v>8.5739999999999998</v>
      </c>
      <c r="Q22">
        <v>104.2</v>
      </c>
      <c r="R22">
        <f t="shared" si="3"/>
        <v>117.08333333333334</v>
      </c>
      <c r="S22" t="s">
        <v>39</v>
      </c>
      <c r="U22">
        <v>105.5</v>
      </c>
      <c r="V22" t="s">
        <v>40</v>
      </c>
      <c r="W22">
        <f>(38+44)/2</f>
        <v>41</v>
      </c>
      <c r="X22" s="59">
        <v>2.633</v>
      </c>
      <c r="Y22">
        <v>99</v>
      </c>
      <c r="Z22">
        <f t="shared" si="4"/>
        <v>6.1611374407582939</v>
      </c>
      <c r="AA22" t="s">
        <v>47</v>
      </c>
      <c r="AB22" s="1">
        <f>(224+231)/2</f>
        <v>227.5</v>
      </c>
      <c r="AC22" s="58">
        <v>5.4329999999999998</v>
      </c>
      <c r="AD22">
        <v>109.6</v>
      </c>
      <c r="AE22">
        <f t="shared" si="5"/>
        <v>5.182341650671777</v>
      </c>
      <c r="AF22" t="s">
        <v>48</v>
      </c>
      <c r="AH22">
        <v>114.3</v>
      </c>
      <c r="AI22" t="s">
        <v>49</v>
      </c>
      <c r="AJ22">
        <f>(38+49+43)/3</f>
        <v>43.333333333333336</v>
      </c>
      <c r="AK22" s="58">
        <v>2.8140000000000001</v>
      </c>
      <c r="AL22">
        <v>107.9</v>
      </c>
      <c r="AM22">
        <f t="shared" si="6"/>
        <v>5.5993000874890564</v>
      </c>
      <c r="AN22" t="s">
        <v>50</v>
      </c>
      <c r="AO22" s="1">
        <f>(272+344)/2</f>
        <v>308</v>
      </c>
      <c r="AP22" s="58">
        <v>9.1509999999999998</v>
      </c>
      <c r="AQ22">
        <v>116.6</v>
      </c>
      <c r="AR22">
        <f t="shared" si="7"/>
        <v>6.3868613138686134</v>
      </c>
      <c r="AS22" t="s">
        <v>55</v>
      </c>
      <c r="AU22">
        <v>117.6</v>
      </c>
      <c r="AV22" t="s">
        <v>56</v>
      </c>
      <c r="AW22">
        <f>(37+57)/2</f>
        <v>47</v>
      </c>
      <c r="AX22" s="58">
        <v>3.1589999999999998</v>
      </c>
      <c r="AY22">
        <v>111.9</v>
      </c>
      <c r="AZ22">
        <f t="shared" si="8"/>
        <v>4.0308747855917568</v>
      </c>
      <c r="BA22" t="s">
        <v>58</v>
      </c>
      <c r="BB22" s="1">
        <f>(309+368)/2</f>
        <v>338.5</v>
      </c>
      <c r="BC22" s="58">
        <v>6.9089999999999998</v>
      </c>
      <c r="BD22">
        <v>112.9</v>
      </c>
      <c r="BE22">
        <f t="shared" si="9"/>
        <v>-3.1732418524871258</v>
      </c>
      <c r="BF22" t="s">
        <v>61</v>
      </c>
      <c r="BH22">
        <v>121.3</v>
      </c>
      <c r="BI22" t="s">
        <v>62</v>
      </c>
      <c r="BJ22">
        <f>(52+45)/2</f>
        <v>48.5</v>
      </c>
      <c r="BK22" s="58">
        <v>2.7770000000000001</v>
      </c>
      <c r="BL22">
        <v>113.8</v>
      </c>
      <c r="BM22">
        <f t="shared" si="10"/>
        <v>6.1830173124484755</v>
      </c>
      <c r="BN22" t="s">
        <v>64</v>
      </c>
      <c r="BO22" t="s">
        <v>148</v>
      </c>
      <c r="BP22" s="58">
        <v>27.69</v>
      </c>
      <c r="BQ22" t="s">
        <v>148</v>
      </c>
      <c r="BS22">
        <f>(52+45)/2</f>
        <v>48.5</v>
      </c>
      <c r="BT22" s="58">
        <v>2.7770000000000001</v>
      </c>
      <c r="BU22" s="64">
        <f t="shared" si="12"/>
        <v>5.7257731958762888E-2</v>
      </c>
      <c r="BV22">
        <f>(223+210)/2</f>
        <v>216.5</v>
      </c>
      <c r="BW22" s="58">
        <v>3.512</v>
      </c>
      <c r="BX22">
        <f>(480+475)/2</f>
        <v>477.5</v>
      </c>
      <c r="BY22" s="58">
        <v>3.952</v>
      </c>
      <c r="BZ22">
        <f>(342+345)/2</f>
        <v>343.5</v>
      </c>
      <c r="CA22" s="58">
        <v>3.0049999999999999</v>
      </c>
      <c r="CB22" s="1">
        <f>(588+489)/2</f>
        <v>538.5</v>
      </c>
      <c r="CC22" s="58">
        <v>2.919</v>
      </c>
      <c r="CD22">
        <f>276</f>
        <v>276</v>
      </c>
      <c r="CE22" s="58">
        <v>3.2349999999999999</v>
      </c>
      <c r="CF22">
        <f>48.5+((216.5-48.5)*0.5)+216.5+((477.5-216.5)*0.5)+343.5+((477.5-343.5)*0.5)+343.5+((538.5-343.5)*0.5)+276+((538.5-276)*0.5)</f>
        <v>1738.25</v>
      </c>
      <c r="CG22">
        <f>BT22+(0.5*(BW22-BT22))+BW22+(0.5*(BY22-BW22))+CA22+(0.5*(BY22-CA22))+CC22+(0.5*(CA22-CC22))+CC22+(0.5*(CE22-CC22))</f>
        <v>16.393999999999998</v>
      </c>
      <c r="CI22">
        <v>1.7053</v>
      </c>
      <c r="CJ22">
        <f>(CI22/BH22)*100</f>
        <v>1.405853256389118</v>
      </c>
      <c r="CK22">
        <v>0.878</v>
      </c>
      <c r="CL22">
        <f>(CK22/BH22)*100</f>
        <v>0.72382522671063476</v>
      </c>
      <c r="CM22">
        <f t="shared" si="13"/>
        <v>1.9422551252847382</v>
      </c>
      <c r="CN22" t="s">
        <v>131</v>
      </c>
      <c r="CO22" t="s">
        <v>134</v>
      </c>
      <c r="CP22" s="65"/>
    </row>
    <row r="23" spans="1:94">
      <c r="D23" s="12"/>
    </row>
    <row r="24" spans="1:94">
      <c r="D24" s="12"/>
      <c r="J24">
        <f>AVERAGE(J4:J22)</f>
        <v>62.85526315789474</v>
      </c>
      <c r="O24">
        <f>AVERAGE(O4:O22)</f>
        <v>213.59649122807019</v>
      </c>
      <c r="W24">
        <f>AVERAGE(W4:W22)</f>
        <v>58.478070175438603</v>
      </c>
      <c r="AB24">
        <f>AVERAGE(AB4:AB22)</f>
        <v>190.28947368421052</v>
      </c>
      <c r="AJ24">
        <f>AVERAGE(AJ4:AJ22)</f>
        <v>55.203703703703709</v>
      </c>
      <c r="AO24">
        <f>AVERAGE(AO4:AO22)</f>
        <v>191.72222222222223</v>
      </c>
      <c r="AW24">
        <f>AVERAGE(AW4:AW13)</f>
        <v>53.3</v>
      </c>
    </row>
    <row r="25" spans="1:94">
      <c r="D25" s="12"/>
      <c r="BU25" s="58"/>
    </row>
    <row r="26" spans="1:94">
      <c r="A26" t="s">
        <v>118</v>
      </c>
      <c r="B26" s="2"/>
      <c r="C26" s="2"/>
      <c r="BU26" s="58"/>
    </row>
    <row r="27" spans="1:94">
      <c r="A27" t="s">
        <v>123</v>
      </c>
      <c r="BU27" s="58"/>
    </row>
    <row r="28" spans="1:94">
      <c r="A28" s="1" t="s">
        <v>149</v>
      </c>
      <c r="BU28" s="58"/>
    </row>
    <row r="29" spans="1:94">
      <c r="A29" s="49" t="s">
        <v>150</v>
      </c>
      <c r="BU29" s="59"/>
    </row>
    <row r="30" spans="1:94">
      <c r="BU30" s="58"/>
    </row>
    <row r="31" spans="1:94">
      <c r="BU31" s="58"/>
    </row>
    <row r="32" spans="1:94">
      <c r="BU32" s="58"/>
    </row>
    <row r="33" spans="73:73">
      <c r="BU33" s="59"/>
    </row>
    <row r="34" spans="73:73">
      <c r="BU34" s="58"/>
    </row>
    <row r="35" spans="73:73">
      <c r="BU35" s="58"/>
    </row>
    <row r="36" spans="73:73">
      <c r="BU36" s="58"/>
    </row>
    <row r="37" spans="73:73">
      <c r="BU37" s="58"/>
    </row>
    <row r="38" spans="73:73">
      <c r="BU38" s="58"/>
    </row>
    <row r="39" spans="73:73">
      <c r="BU39" s="58"/>
    </row>
    <row r="40" spans="73:73">
      <c r="BU40" s="58"/>
    </row>
    <row r="41" spans="73:73">
      <c r="BU41" s="58"/>
    </row>
    <row r="42" spans="73:73">
      <c r="BU42" s="59"/>
    </row>
    <row r="43" spans="73:73">
      <c r="BU43" s="58"/>
    </row>
    <row r="44" spans="73:73">
      <c r="BU44" s="58"/>
    </row>
  </sheetData>
  <conditionalFormatting sqref="E4:E22">
    <cfRule type="colorScale" priority="6">
      <colorScale>
        <cfvo type="min"/>
        <cfvo type="max"/>
        <color rgb="FFFCFCFF"/>
        <color rgb="FFF8696B"/>
      </colorScale>
    </cfRule>
  </conditionalFormatting>
  <conditionalFormatting sqref="CJ4:CJ22">
    <cfRule type="colorScale" priority="5">
      <colorScale>
        <cfvo type="min"/>
        <cfvo type="max"/>
        <color rgb="FFF8696B"/>
        <color rgb="FFFCFCFF"/>
      </colorScale>
    </cfRule>
  </conditionalFormatting>
  <conditionalFormatting sqref="CL4:CL22">
    <cfRule type="colorScale" priority="4">
      <colorScale>
        <cfvo type="min"/>
        <cfvo type="max"/>
        <color rgb="FFF8696B"/>
        <color rgb="FFFCFCFF"/>
      </colorScale>
    </cfRule>
  </conditionalFormatting>
  <conditionalFormatting sqref="CM4:CM22">
    <cfRule type="colorScale" priority="3">
      <colorScale>
        <cfvo type="min"/>
        <cfvo type="max"/>
        <color rgb="FFF8696B"/>
        <color rgb="FFFCFCFF"/>
      </colorScale>
    </cfRule>
  </conditionalFormatting>
  <conditionalFormatting sqref="CF4:CG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F4:C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05B-D424-4DC0-AC13-7F237CAACD6F}">
  <dimension ref="A1:J305"/>
  <sheetViews>
    <sheetView workbookViewId="0">
      <pane ySplit="1" topLeftCell="A2" activePane="bottomLeft" state="frozen"/>
      <selection pane="bottomLeft" activeCell="E41" sqref="E41"/>
    </sheetView>
  </sheetViews>
  <sheetFormatPr defaultRowHeight="15.5"/>
  <cols>
    <col min="3" max="3" width="14.6640625" bestFit="1" customWidth="1"/>
    <col min="4" max="4" width="17.25" bestFit="1" customWidth="1"/>
    <col min="5" max="5" width="18.58203125" customWidth="1"/>
    <col min="6" max="6" width="23.9140625" customWidth="1"/>
    <col min="7" max="7" width="17.25" bestFit="1" customWidth="1"/>
    <col min="8" max="8" width="15.83203125" customWidth="1"/>
    <col min="9" max="9" width="17.1640625" customWidth="1"/>
    <col min="10" max="10" width="10.33203125" bestFit="1" customWidth="1"/>
    <col min="11" max="11" width="12" bestFit="1" customWidth="1"/>
    <col min="12" max="12" width="8.58203125" bestFit="1" customWidth="1"/>
    <col min="13" max="13" width="11.75" bestFit="1" customWidth="1"/>
    <col min="14" max="14" width="10.33203125" bestFit="1" customWidth="1"/>
    <col min="15" max="15" width="12.4140625" bestFit="1" customWidth="1"/>
    <col min="16" max="16" width="9.58203125" bestFit="1" customWidth="1"/>
    <col min="17" max="17" width="14.6640625" bestFit="1" customWidth="1"/>
    <col min="18" max="18" width="17.25" bestFit="1" customWidth="1"/>
    <col min="19" max="19" width="13.08203125" bestFit="1" customWidth="1"/>
    <col min="20" max="20" width="11.75" bestFit="1" customWidth="1"/>
    <col min="21" max="21" width="10.33203125" bestFit="1" customWidth="1"/>
    <col min="22" max="22" width="12" bestFit="1" customWidth="1"/>
    <col min="23" max="23" width="7.58203125" bestFit="1" customWidth="1"/>
    <col min="24" max="24" width="11.75" bestFit="1" customWidth="1"/>
    <col min="25" max="25" width="10.33203125" bestFit="1" customWidth="1"/>
    <col min="26" max="26" width="11.75" bestFit="1" customWidth="1"/>
    <col min="27" max="27" width="7.58203125" bestFit="1" customWidth="1"/>
    <col min="28" max="28" width="14.6640625" bestFit="1" customWidth="1"/>
    <col min="29" max="29" width="24.25" bestFit="1" customWidth="1"/>
    <col min="30" max="30" width="12" bestFit="1" customWidth="1"/>
  </cols>
  <sheetData>
    <row r="1" spans="1:10">
      <c r="A1" t="s">
        <v>156</v>
      </c>
      <c r="B1" t="s">
        <v>174</v>
      </c>
      <c r="C1" t="s">
        <v>173</v>
      </c>
      <c r="D1" s="3" t="s">
        <v>175</v>
      </c>
      <c r="E1" t="s">
        <v>163</v>
      </c>
      <c r="F1" t="s">
        <v>159</v>
      </c>
      <c r="G1" t="s">
        <v>160</v>
      </c>
      <c r="H1" t="s">
        <v>161</v>
      </c>
      <c r="I1" t="s">
        <v>162</v>
      </c>
      <c r="J1" t="s">
        <v>167</v>
      </c>
    </row>
    <row r="2" spans="1:10">
      <c r="A2" s="5" t="s">
        <v>3</v>
      </c>
      <c r="B2" s="8" t="s">
        <v>65</v>
      </c>
      <c r="C2" s="4">
        <v>71</v>
      </c>
      <c r="D2" s="9">
        <v>53.7</v>
      </c>
      <c r="F2" t="s">
        <v>1</v>
      </c>
      <c r="G2" s="3" t="s">
        <v>2</v>
      </c>
      <c r="H2" t="s">
        <v>170</v>
      </c>
      <c r="I2" t="s">
        <v>35</v>
      </c>
    </row>
    <row r="3" spans="1:10">
      <c r="A3" s="6" t="s">
        <v>4</v>
      </c>
      <c r="B3" s="8" t="s">
        <v>65</v>
      </c>
      <c r="C3" s="4">
        <v>73</v>
      </c>
      <c r="D3" s="9">
        <v>52.1</v>
      </c>
      <c r="F3" t="s">
        <v>1</v>
      </c>
      <c r="G3" s="3" t="s">
        <v>2</v>
      </c>
      <c r="H3" t="s">
        <v>170</v>
      </c>
      <c r="I3" t="s">
        <v>35</v>
      </c>
    </row>
    <row r="4" spans="1:10">
      <c r="A4" s="6" t="s">
        <v>5</v>
      </c>
      <c r="B4" s="8" t="s">
        <v>65</v>
      </c>
      <c r="C4" s="4">
        <v>78</v>
      </c>
      <c r="D4" s="9">
        <v>51.3</v>
      </c>
      <c r="F4" t="s">
        <v>1</v>
      </c>
      <c r="G4" s="3" t="s">
        <v>2</v>
      </c>
      <c r="H4" t="s">
        <v>170</v>
      </c>
      <c r="I4" t="s">
        <v>35</v>
      </c>
    </row>
    <row r="5" spans="1:10">
      <c r="A5" s="36" t="s">
        <v>6</v>
      </c>
      <c r="B5" s="40" t="s">
        <v>65</v>
      </c>
      <c r="C5" s="41">
        <v>73</v>
      </c>
      <c r="D5" s="42">
        <v>49.6</v>
      </c>
      <c r="F5" t="s">
        <v>1</v>
      </c>
      <c r="G5" s="3" t="s">
        <v>2</v>
      </c>
      <c r="H5" t="s">
        <v>170</v>
      </c>
      <c r="I5" t="s">
        <v>35</v>
      </c>
    </row>
    <row r="6" spans="1:10">
      <c r="A6" s="5" t="s">
        <v>7</v>
      </c>
      <c r="B6" s="8" t="s">
        <v>65</v>
      </c>
      <c r="C6" s="4">
        <v>70</v>
      </c>
      <c r="D6" s="9">
        <v>55.8</v>
      </c>
      <c r="F6" t="s">
        <v>1</v>
      </c>
      <c r="G6" s="3" t="s">
        <v>2</v>
      </c>
      <c r="H6" t="s">
        <v>170</v>
      </c>
      <c r="I6" t="s">
        <v>35</v>
      </c>
    </row>
    <row r="7" spans="1:10">
      <c r="A7" s="6" t="s">
        <v>8</v>
      </c>
      <c r="B7" s="8" t="s">
        <v>65</v>
      </c>
      <c r="C7" s="4">
        <v>69</v>
      </c>
      <c r="D7" s="9">
        <v>56.3</v>
      </c>
      <c r="F7" t="s">
        <v>1</v>
      </c>
      <c r="G7" s="3" t="s">
        <v>2</v>
      </c>
      <c r="H7" t="s">
        <v>170</v>
      </c>
      <c r="I7" t="s">
        <v>35</v>
      </c>
    </row>
    <row r="8" spans="1:10">
      <c r="A8" s="7" t="s">
        <v>9</v>
      </c>
      <c r="B8" s="8" t="s">
        <v>65</v>
      </c>
      <c r="C8" s="4">
        <v>96</v>
      </c>
      <c r="D8" s="9">
        <v>60.7</v>
      </c>
      <c r="F8" t="s">
        <v>1</v>
      </c>
      <c r="G8" s="3" t="s">
        <v>2</v>
      </c>
      <c r="H8" t="s">
        <v>170</v>
      </c>
      <c r="I8" t="s">
        <v>35</v>
      </c>
    </row>
    <row r="9" spans="1:10">
      <c r="A9" s="37" t="s">
        <v>10</v>
      </c>
      <c r="B9" s="40" t="s">
        <v>65</v>
      </c>
      <c r="C9" s="41">
        <v>57</v>
      </c>
      <c r="D9" s="42">
        <v>48.7</v>
      </c>
      <c r="F9" t="s">
        <v>1</v>
      </c>
      <c r="G9" s="3" t="s">
        <v>2</v>
      </c>
      <c r="H9" t="s">
        <v>170</v>
      </c>
      <c r="I9" t="s">
        <v>35</v>
      </c>
    </row>
    <row r="10" spans="1:10">
      <c r="A10" s="6" t="s">
        <v>11</v>
      </c>
      <c r="B10" s="8" t="s">
        <v>65</v>
      </c>
      <c r="C10" s="4">
        <v>79</v>
      </c>
      <c r="D10" s="9">
        <v>56.2</v>
      </c>
      <c r="F10" t="s">
        <v>1</v>
      </c>
      <c r="G10" s="3" t="s">
        <v>2</v>
      </c>
      <c r="H10" t="s">
        <v>170</v>
      </c>
      <c r="I10" t="s">
        <v>35</v>
      </c>
    </row>
    <row r="11" spans="1:10">
      <c r="A11" s="7" t="s">
        <v>12</v>
      </c>
      <c r="B11" s="8" t="s">
        <v>65</v>
      </c>
      <c r="C11" s="4">
        <v>90</v>
      </c>
      <c r="D11" s="9">
        <v>54.1</v>
      </c>
      <c r="F11" t="s">
        <v>1</v>
      </c>
      <c r="G11" s="3" t="s">
        <v>2</v>
      </c>
      <c r="H11" t="s">
        <v>170</v>
      </c>
      <c r="I11" t="s">
        <v>35</v>
      </c>
    </row>
    <row r="12" spans="1:10">
      <c r="A12" s="5" t="s">
        <v>13</v>
      </c>
      <c r="B12" s="8" t="s">
        <v>66</v>
      </c>
      <c r="C12" s="4">
        <v>84</v>
      </c>
      <c r="D12" s="9">
        <v>41.1</v>
      </c>
      <c r="F12" t="s">
        <v>1</v>
      </c>
      <c r="G12" s="3" t="s">
        <v>2</v>
      </c>
      <c r="H12" t="s">
        <v>170</v>
      </c>
      <c r="I12" t="s">
        <v>35</v>
      </c>
    </row>
    <row r="13" spans="1:10">
      <c r="A13" s="6" t="s">
        <v>14</v>
      </c>
      <c r="B13" s="8" t="s">
        <v>66</v>
      </c>
      <c r="C13" s="4">
        <v>75</v>
      </c>
      <c r="D13" s="9">
        <v>39.4</v>
      </c>
      <c r="F13" t="s">
        <v>1</v>
      </c>
      <c r="G13" s="3" t="s">
        <v>2</v>
      </c>
      <c r="H13" t="s">
        <v>170</v>
      </c>
      <c r="I13" t="s">
        <v>35</v>
      </c>
    </row>
    <row r="14" spans="1:10">
      <c r="A14" s="6" t="s">
        <v>15</v>
      </c>
      <c r="B14" s="8" t="s">
        <v>66</v>
      </c>
      <c r="C14" s="4">
        <v>72</v>
      </c>
      <c r="D14" s="9">
        <v>41.3</v>
      </c>
      <c r="F14" t="s">
        <v>1</v>
      </c>
      <c r="G14" s="3" t="s">
        <v>2</v>
      </c>
      <c r="H14" t="s">
        <v>170</v>
      </c>
      <c r="I14" t="s">
        <v>35</v>
      </c>
    </row>
    <row r="15" spans="1:10">
      <c r="A15" s="6" t="s">
        <v>16</v>
      </c>
      <c r="B15" s="8" t="s">
        <v>66</v>
      </c>
      <c r="C15" s="4">
        <v>78</v>
      </c>
      <c r="D15" s="9">
        <v>40.200000000000003</v>
      </c>
      <c r="F15" t="s">
        <v>1</v>
      </c>
      <c r="G15" s="3" t="s">
        <v>2</v>
      </c>
      <c r="H15" t="s">
        <v>170</v>
      </c>
      <c r="I15" t="s">
        <v>35</v>
      </c>
    </row>
    <row r="16" spans="1:10">
      <c r="A16" s="38" t="s">
        <v>17</v>
      </c>
      <c r="B16" s="40" t="s">
        <v>66</v>
      </c>
      <c r="C16" s="41">
        <v>81</v>
      </c>
      <c r="D16" s="42">
        <v>42.7</v>
      </c>
      <c r="F16" t="s">
        <v>1</v>
      </c>
      <c r="G16" s="3" t="s">
        <v>2</v>
      </c>
      <c r="H16" t="s">
        <v>170</v>
      </c>
      <c r="I16" t="s">
        <v>35</v>
      </c>
    </row>
    <row r="17" spans="1:9">
      <c r="A17" s="7" t="s">
        <v>18</v>
      </c>
      <c r="B17" s="8" t="s">
        <v>66</v>
      </c>
      <c r="C17" s="4">
        <v>70</v>
      </c>
      <c r="D17" s="9">
        <v>45.1</v>
      </c>
      <c r="F17" t="s">
        <v>1</v>
      </c>
      <c r="G17" s="3" t="s">
        <v>2</v>
      </c>
      <c r="H17" t="s">
        <v>170</v>
      </c>
      <c r="I17" t="s">
        <v>35</v>
      </c>
    </row>
    <row r="18" spans="1:9">
      <c r="A18" s="37" t="s">
        <v>19</v>
      </c>
      <c r="B18" s="40" t="s">
        <v>66</v>
      </c>
      <c r="C18" s="41">
        <v>58</v>
      </c>
      <c r="D18" s="42">
        <v>41.2</v>
      </c>
      <c r="F18" t="s">
        <v>1</v>
      </c>
      <c r="G18" s="3" t="s">
        <v>2</v>
      </c>
      <c r="H18" t="s">
        <v>170</v>
      </c>
      <c r="I18" t="s">
        <v>35</v>
      </c>
    </row>
    <row r="19" spans="1:9">
      <c r="A19" s="6" t="s">
        <v>20</v>
      </c>
      <c r="B19" s="8" t="s">
        <v>66</v>
      </c>
      <c r="C19" s="4">
        <v>73</v>
      </c>
      <c r="D19" s="9">
        <v>41</v>
      </c>
      <c r="F19" t="s">
        <v>1</v>
      </c>
      <c r="G19" s="3" t="s">
        <v>2</v>
      </c>
      <c r="H19" t="s">
        <v>170</v>
      </c>
      <c r="I19" t="s">
        <v>35</v>
      </c>
    </row>
    <row r="20" spans="1:9">
      <c r="A20" s="7" t="s">
        <v>21</v>
      </c>
      <c r="B20" s="8" t="s">
        <v>66</v>
      </c>
      <c r="C20" s="4">
        <v>77</v>
      </c>
      <c r="D20" s="9">
        <v>48</v>
      </c>
      <c r="F20" t="s">
        <v>1</v>
      </c>
      <c r="G20" s="3" t="s">
        <v>2</v>
      </c>
      <c r="H20" t="s">
        <v>170</v>
      </c>
      <c r="I20" t="s">
        <v>35</v>
      </c>
    </row>
    <row r="21" spans="1:9">
      <c r="A21" s="5" t="s">
        <v>3</v>
      </c>
      <c r="B21" s="10" t="s">
        <v>22</v>
      </c>
      <c r="C21" s="11">
        <f>(236+274)/2</f>
        <v>255</v>
      </c>
      <c r="D21" s="10">
        <v>90.2</v>
      </c>
      <c r="F21" t="s">
        <v>33</v>
      </c>
      <c r="G21" t="s">
        <v>34</v>
      </c>
      <c r="H21" t="s">
        <v>170</v>
      </c>
    </row>
    <row r="22" spans="1:9">
      <c r="A22" s="6" t="s">
        <v>4</v>
      </c>
      <c r="B22" s="10" t="s">
        <v>22</v>
      </c>
      <c r="C22" s="11">
        <f>(207+227)/2</f>
        <v>217</v>
      </c>
      <c r="D22" s="10">
        <v>85.9</v>
      </c>
      <c r="F22" t="s">
        <v>33</v>
      </c>
      <c r="G22" t="s">
        <v>34</v>
      </c>
      <c r="H22" t="s">
        <v>170</v>
      </c>
    </row>
    <row r="23" spans="1:9">
      <c r="A23" s="6" t="s">
        <v>5</v>
      </c>
      <c r="B23" s="10" t="s">
        <v>22</v>
      </c>
      <c r="C23" s="11">
        <f>(322+320)/2</f>
        <v>321</v>
      </c>
      <c r="D23" s="10">
        <v>91.2</v>
      </c>
      <c r="F23" t="s">
        <v>33</v>
      </c>
      <c r="G23" t="s">
        <v>34</v>
      </c>
      <c r="H23" t="s">
        <v>170</v>
      </c>
    </row>
    <row r="24" spans="1:9">
      <c r="A24" s="36" t="s">
        <v>6</v>
      </c>
      <c r="B24" s="43" t="s">
        <v>22</v>
      </c>
      <c r="C24" s="43">
        <f>(110+73)/2</f>
        <v>91.5</v>
      </c>
      <c r="D24" s="43">
        <v>89</v>
      </c>
      <c r="F24" t="s">
        <v>33</v>
      </c>
      <c r="G24" t="s">
        <v>34</v>
      </c>
      <c r="H24" t="s">
        <v>170</v>
      </c>
    </row>
    <row r="25" spans="1:9">
      <c r="A25" s="5" t="s">
        <v>7</v>
      </c>
      <c r="B25" s="10" t="s">
        <v>22</v>
      </c>
      <c r="C25" s="11">
        <f>(339+384)/2</f>
        <v>361.5</v>
      </c>
      <c r="D25" s="10">
        <v>96.7</v>
      </c>
      <c r="F25" t="s">
        <v>33</v>
      </c>
      <c r="G25" t="s">
        <v>34</v>
      </c>
      <c r="H25" t="s">
        <v>170</v>
      </c>
    </row>
    <row r="26" spans="1:9">
      <c r="A26" s="6" t="s">
        <v>8</v>
      </c>
      <c r="B26" s="10" t="s">
        <v>22</v>
      </c>
      <c r="C26" s="11">
        <f>(386+467)/2</f>
        <v>426.5</v>
      </c>
      <c r="D26" s="10">
        <v>90.9</v>
      </c>
      <c r="F26" t="s">
        <v>33</v>
      </c>
      <c r="G26" t="s">
        <v>34</v>
      </c>
      <c r="H26" t="s">
        <v>170</v>
      </c>
    </row>
    <row r="27" spans="1:9">
      <c r="A27" s="7" t="s">
        <v>9</v>
      </c>
      <c r="B27" s="10" t="s">
        <v>22</v>
      </c>
      <c r="C27" s="11">
        <f>(412+287+309+293)/4</f>
        <v>325.25</v>
      </c>
      <c r="D27" s="10">
        <v>95.2</v>
      </c>
      <c r="F27" t="s">
        <v>33</v>
      </c>
      <c r="G27" t="s">
        <v>34</v>
      </c>
      <c r="H27" t="s">
        <v>170</v>
      </c>
    </row>
    <row r="28" spans="1:9">
      <c r="A28" s="37" t="s">
        <v>10</v>
      </c>
      <c r="B28" s="43" t="s">
        <v>22</v>
      </c>
      <c r="C28" s="44">
        <f>(261+212)/2</f>
        <v>236.5</v>
      </c>
      <c r="D28" s="43">
        <v>91.4</v>
      </c>
      <c r="F28" t="s">
        <v>33</v>
      </c>
      <c r="G28" t="s">
        <v>34</v>
      </c>
      <c r="H28" t="s">
        <v>170</v>
      </c>
    </row>
    <row r="29" spans="1:9">
      <c r="A29" s="6" t="s">
        <v>11</v>
      </c>
      <c r="B29" s="10" t="s">
        <v>22</v>
      </c>
      <c r="C29" s="11">
        <f>(431+503)/2</f>
        <v>467</v>
      </c>
      <c r="D29" s="10">
        <v>95.8</v>
      </c>
      <c r="F29" t="s">
        <v>33</v>
      </c>
      <c r="G29" t="s">
        <v>34</v>
      </c>
      <c r="H29" t="s">
        <v>170</v>
      </c>
    </row>
    <row r="30" spans="1:9">
      <c r="A30" s="7" t="s">
        <v>12</v>
      </c>
      <c r="B30" s="10" t="s">
        <v>22</v>
      </c>
      <c r="C30" s="11">
        <f>(310+404)/2</f>
        <v>357</v>
      </c>
      <c r="D30" s="10">
        <v>94.5</v>
      </c>
      <c r="F30" t="s">
        <v>33</v>
      </c>
      <c r="G30" t="s">
        <v>34</v>
      </c>
      <c r="H30" t="s">
        <v>170</v>
      </c>
    </row>
    <row r="31" spans="1:9">
      <c r="A31" s="5" t="s">
        <v>13</v>
      </c>
      <c r="B31" s="10" t="s">
        <v>27</v>
      </c>
      <c r="C31" s="10">
        <f>(85+87)/2</f>
        <v>86</v>
      </c>
      <c r="D31" s="10">
        <v>76.099999999999994</v>
      </c>
      <c r="F31" t="s">
        <v>33</v>
      </c>
      <c r="G31" t="s">
        <v>34</v>
      </c>
      <c r="H31" t="s">
        <v>170</v>
      </c>
    </row>
    <row r="32" spans="1:9">
      <c r="A32" s="6" t="s">
        <v>14</v>
      </c>
      <c r="B32" s="10" t="s">
        <v>27</v>
      </c>
      <c r="C32" s="10">
        <f>(86+79)/2</f>
        <v>82.5</v>
      </c>
      <c r="D32" s="10">
        <v>73.2</v>
      </c>
      <c r="F32" t="s">
        <v>33</v>
      </c>
      <c r="G32" t="s">
        <v>34</v>
      </c>
      <c r="H32" t="s">
        <v>170</v>
      </c>
    </row>
    <row r="33" spans="1:9">
      <c r="A33" s="6" t="s">
        <v>15</v>
      </c>
      <c r="B33" s="10" t="s">
        <v>27</v>
      </c>
      <c r="C33" s="10">
        <f>(66+88)/2</f>
        <v>77</v>
      </c>
      <c r="D33" s="10">
        <v>75.599999999999994</v>
      </c>
      <c r="F33" t="s">
        <v>33</v>
      </c>
      <c r="G33" t="s">
        <v>34</v>
      </c>
      <c r="H33" t="s">
        <v>170</v>
      </c>
    </row>
    <row r="34" spans="1:9">
      <c r="A34" s="6" t="s">
        <v>16</v>
      </c>
      <c r="B34" s="10" t="s">
        <v>27</v>
      </c>
      <c r="C34" s="31">
        <f>(184+231+180)/3</f>
        <v>198.33333333333334</v>
      </c>
      <c r="D34" s="10">
        <v>76.7</v>
      </c>
      <c r="F34" t="s">
        <v>33</v>
      </c>
      <c r="G34" t="s">
        <v>34</v>
      </c>
      <c r="H34" t="s">
        <v>170</v>
      </c>
    </row>
    <row r="35" spans="1:9">
      <c r="A35" s="38" t="s">
        <v>17</v>
      </c>
      <c r="B35" s="43" t="s">
        <v>27</v>
      </c>
      <c r="C35" s="43">
        <f>(91+96)/2</f>
        <v>93.5</v>
      </c>
      <c r="D35" s="43">
        <v>79.400000000000006</v>
      </c>
      <c r="F35" t="s">
        <v>33</v>
      </c>
      <c r="G35" t="s">
        <v>34</v>
      </c>
      <c r="H35" t="s">
        <v>170</v>
      </c>
    </row>
    <row r="36" spans="1:9">
      <c r="A36" s="7" t="s">
        <v>18</v>
      </c>
      <c r="B36" s="10" t="s">
        <v>27</v>
      </c>
      <c r="C36" s="31">
        <f>(160+150)/2</f>
        <v>155</v>
      </c>
      <c r="D36" s="10">
        <v>86.5</v>
      </c>
      <c r="F36" t="s">
        <v>33</v>
      </c>
      <c r="G36" t="s">
        <v>34</v>
      </c>
      <c r="H36" t="s">
        <v>170</v>
      </c>
    </row>
    <row r="37" spans="1:9">
      <c r="A37" s="37" t="s">
        <v>19</v>
      </c>
      <c r="B37" s="43" t="s">
        <v>27</v>
      </c>
      <c r="C37" s="43">
        <f>(67+74)/2</f>
        <v>70.5</v>
      </c>
      <c r="D37" s="43">
        <v>89.7</v>
      </c>
      <c r="F37" t="s">
        <v>33</v>
      </c>
      <c r="G37" t="s">
        <v>34</v>
      </c>
      <c r="H37" t="s">
        <v>170</v>
      </c>
    </row>
    <row r="38" spans="1:9">
      <c r="A38" s="6" t="s">
        <v>20</v>
      </c>
      <c r="B38" s="10" t="s">
        <v>27</v>
      </c>
      <c r="C38" s="11">
        <f>(412+373)/2</f>
        <v>392.5</v>
      </c>
      <c r="D38" s="10">
        <v>93.1</v>
      </c>
      <c r="F38" t="s">
        <v>33</v>
      </c>
      <c r="G38" t="s">
        <v>34</v>
      </c>
      <c r="H38" t="s">
        <v>170</v>
      </c>
    </row>
    <row r="39" spans="1:9">
      <c r="A39" s="7" t="s">
        <v>21</v>
      </c>
      <c r="B39" s="10" t="s">
        <v>27</v>
      </c>
      <c r="C39" s="11">
        <f>(266+237)/2</f>
        <v>251.5</v>
      </c>
      <c r="D39" s="10">
        <v>98.2</v>
      </c>
      <c r="F39" t="s">
        <v>33</v>
      </c>
      <c r="G39" t="s">
        <v>34</v>
      </c>
      <c r="H39" t="s">
        <v>170</v>
      </c>
    </row>
    <row r="40" spans="1:9">
      <c r="A40" s="5" t="s">
        <v>3</v>
      </c>
      <c r="B40" t="s">
        <v>28</v>
      </c>
      <c r="C40">
        <v>41</v>
      </c>
      <c r="D40">
        <v>85.4</v>
      </c>
      <c r="E40">
        <v>5.321507760532147</v>
      </c>
      <c r="F40" t="s">
        <v>26</v>
      </c>
      <c r="G40" t="s">
        <v>2</v>
      </c>
      <c r="H40" t="s">
        <v>164</v>
      </c>
      <c r="I40" t="s">
        <v>37</v>
      </c>
    </row>
    <row r="41" spans="1:9">
      <c r="A41" s="6" t="s">
        <v>4</v>
      </c>
      <c r="B41" t="s">
        <v>28</v>
      </c>
      <c r="C41">
        <v>43</v>
      </c>
      <c r="D41">
        <v>82.5</v>
      </c>
      <c r="E41">
        <v>3.9580908032596103</v>
      </c>
      <c r="F41" t="s">
        <v>26</v>
      </c>
      <c r="G41" t="s">
        <v>2</v>
      </c>
      <c r="H41" t="s">
        <v>164</v>
      </c>
      <c r="I41" t="s">
        <v>37</v>
      </c>
    </row>
    <row r="42" spans="1:9">
      <c r="A42" s="6" t="s">
        <v>5</v>
      </c>
      <c r="B42" t="s">
        <v>28</v>
      </c>
      <c r="C42">
        <v>52.333333333333336</v>
      </c>
      <c r="D42">
        <v>86.7</v>
      </c>
      <c r="E42">
        <v>4.9342105263157894</v>
      </c>
      <c r="F42" t="s">
        <v>26</v>
      </c>
      <c r="G42" t="s">
        <v>2</v>
      </c>
      <c r="H42" t="s">
        <v>164</v>
      </c>
      <c r="I42" t="s">
        <v>37</v>
      </c>
    </row>
    <row r="43" spans="1:9">
      <c r="A43" s="36" t="s">
        <v>6</v>
      </c>
      <c r="B43" t="s">
        <v>28</v>
      </c>
      <c r="C43">
        <v>41</v>
      </c>
      <c r="D43">
        <v>85.2</v>
      </c>
      <c r="E43">
        <v>4.2696629213483117</v>
      </c>
      <c r="F43" t="s">
        <v>26</v>
      </c>
      <c r="G43" t="s">
        <v>2</v>
      </c>
      <c r="H43" t="s">
        <v>164</v>
      </c>
      <c r="I43" t="s">
        <v>37</v>
      </c>
    </row>
    <row r="44" spans="1:9">
      <c r="A44" s="5" t="s">
        <v>7</v>
      </c>
      <c r="B44" t="s">
        <v>28</v>
      </c>
      <c r="C44">
        <v>171.33333333333334</v>
      </c>
      <c r="D44">
        <v>93.2</v>
      </c>
      <c r="E44">
        <v>3.6194415718717683</v>
      </c>
      <c r="F44" t="s">
        <v>26</v>
      </c>
      <c r="G44" t="s">
        <v>2</v>
      </c>
      <c r="H44" t="s">
        <v>164</v>
      </c>
      <c r="I44" t="s">
        <v>37</v>
      </c>
    </row>
    <row r="45" spans="1:9">
      <c r="A45" s="6" t="s">
        <v>8</v>
      </c>
      <c r="B45" t="s">
        <v>28</v>
      </c>
      <c r="C45">
        <v>77.25</v>
      </c>
      <c r="D45">
        <v>86.7</v>
      </c>
      <c r="E45">
        <v>4.620462046204624</v>
      </c>
      <c r="F45" t="s">
        <v>26</v>
      </c>
      <c r="G45" t="s">
        <v>2</v>
      </c>
      <c r="H45" t="s">
        <v>164</v>
      </c>
      <c r="I45" t="s">
        <v>37</v>
      </c>
    </row>
    <row r="46" spans="1:9">
      <c r="A46" s="7" t="s">
        <v>9</v>
      </c>
      <c r="B46" t="s">
        <v>28</v>
      </c>
      <c r="C46">
        <v>174.33333333333334</v>
      </c>
      <c r="D46">
        <v>93.1</v>
      </c>
      <c r="E46">
        <v>2.2058823529411855</v>
      </c>
      <c r="F46" t="s">
        <v>26</v>
      </c>
      <c r="G46" t="s">
        <v>2</v>
      </c>
      <c r="H46" t="s">
        <v>164</v>
      </c>
      <c r="I46" t="s">
        <v>37</v>
      </c>
    </row>
    <row r="47" spans="1:9">
      <c r="A47" s="37" t="s">
        <v>10</v>
      </c>
      <c r="B47" t="s">
        <v>28</v>
      </c>
      <c r="C47">
        <v>50.25</v>
      </c>
      <c r="D47">
        <v>87.3</v>
      </c>
      <c r="E47">
        <v>4.4857768052516507</v>
      </c>
      <c r="F47" t="s">
        <v>26</v>
      </c>
      <c r="G47" t="s">
        <v>2</v>
      </c>
      <c r="H47" t="s">
        <v>164</v>
      </c>
      <c r="I47" t="s">
        <v>37</v>
      </c>
    </row>
    <row r="48" spans="1:9">
      <c r="A48" s="6" t="s">
        <v>11</v>
      </c>
      <c r="B48" t="s">
        <v>28</v>
      </c>
      <c r="C48">
        <v>57</v>
      </c>
      <c r="D48">
        <v>90.6</v>
      </c>
      <c r="E48">
        <v>5.427974947807936</v>
      </c>
      <c r="F48" t="s">
        <v>26</v>
      </c>
      <c r="G48" t="s">
        <v>2</v>
      </c>
      <c r="H48" t="s">
        <v>164</v>
      </c>
      <c r="I48" t="s">
        <v>37</v>
      </c>
    </row>
    <row r="49" spans="1:9">
      <c r="A49" s="7" t="s">
        <v>12</v>
      </c>
      <c r="B49" t="s">
        <v>28</v>
      </c>
      <c r="C49">
        <v>59</v>
      </c>
      <c r="D49">
        <v>89.6</v>
      </c>
      <c r="E49">
        <v>5.1851851851851913</v>
      </c>
      <c r="F49" t="s">
        <v>26</v>
      </c>
      <c r="G49" t="s">
        <v>2</v>
      </c>
      <c r="H49" t="s">
        <v>164</v>
      </c>
      <c r="I49" t="s">
        <v>37</v>
      </c>
    </row>
    <row r="50" spans="1:9">
      <c r="A50" s="5" t="s">
        <v>13</v>
      </c>
      <c r="B50" t="s">
        <v>29</v>
      </c>
      <c r="C50">
        <v>53.333333333333336</v>
      </c>
      <c r="D50">
        <v>70.900000000000006</v>
      </c>
      <c r="E50">
        <v>6.8331143232588554</v>
      </c>
      <c r="F50" t="s">
        <v>26</v>
      </c>
      <c r="G50" t="s">
        <v>2</v>
      </c>
      <c r="H50" t="s">
        <v>164</v>
      </c>
      <c r="I50" t="s">
        <v>37</v>
      </c>
    </row>
    <row r="51" spans="1:9">
      <c r="A51" s="6" t="s">
        <v>14</v>
      </c>
      <c r="B51" t="s">
        <v>29</v>
      </c>
      <c r="C51">
        <v>46</v>
      </c>
      <c r="D51">
        <v>69.7</v>
      </c>
      <c r="E51">
        <v>4.7814207650273222</v>
      </c>
      <c r="F51" t="s">
        <v>26</v>
      </c>
      <c r="G51" t="s">
        <v>2</v>
      </c>
      <c r="H51" t="s">
        <v>164</v>
      </c>
      <c r="I51" t="s">
        <v>37</v>
      </c>
    </row>
    <row r="52" spans="1:9">
      <c r="A52" s="6" t="s">
        <v>15</v>
      </c>
      <c r="B52" t="s">
        <v>29</v>
      </c>
      <c r="C52">
        <v>47</v>
      </c>
      <c r="D52">
        <v>71.400000000000006</v>
      </c>
      <c r="E52">
        <v>5.5555555555555403</v>
      </c>
      <c r="F52" t="s">
        <v>26</v>
      </c>
      <c r="G52" t="s">
        <v>2</v>
      </c>
      <c r="H52" t="s">
        <v>164</v>
      </c>
      <c r="I52" t="s">
        <v>37</v>
      </c>
    </row>
    <row r="53" spans="1:9">
      <c r="A53" s="6" t="s">
        <v>16</v>
      </c>
      <c r="B53" t="s">
        <v>29</v>
      </c>
      <c r="C53">
        <v>49.5</v>
      </c>
      <c r="D53">
        <v>73.5</v>
      </c>
      <c r="E53">
        <v>4.1720990873533284</v>
      </c>
      <c r="F53" t="s">
        <v>26</v>
      </c>
      <c r="G53" t="s">
        <v>2</v>
      </c>
      <c r="H53" t="s">
        <v>164</v>
      </c>
      <c r="I53" t="s">
        <v>37</v>
      </c>
    </row>
    <row r="54" spans="1:9">
      <c r="A54" s="38" t="s">
        <v>17</v>
      </c>
      <c r="B54" t="s">
        <v>29</v>
      </c>
      <c r="C54">
        <v>51</v>
      </c>
      <c r="D54">
        <v>76.599999999999994</v>
      </c>
      <c r="E54">
        <v>3.5264483627204171</v>
      </c>
      <c r="F54" t="s">
        <v>26</v>
      </c>
      <c r="G54" t="s">
        <v>2</v>
      </c>
      <c r="H54" t="s">
        <v>164</v>
      </c>
      <c r="I54" t="s">
        <v>37</v>
      </c>
    </row>
    <row r="55" spans="1:9">
      <c r="A55" s="7" t="s">
        <v>18</v>
      </c>
      <c r="B55" t="s">
        <v>29</v>
      </c>
      <c r="C55">
        <v>39.5</v>
      </c>
      <c r="D55">
        <v>83</v>
      </c>
      <c r="E55">
        <v>4.0462427745664744</v>
      </c>
      <c r="F55" t="s">
        <v>26</v>
      </c>
      <c r="G55" t="s">
        <v>2</v>
      </c>
      <c r="H55" t="s">
        <v>164</v>
      </c>
      <c r="I55" t="s">
        <v>37</v>
      </c>
    </row>
    <row r="56" spans="1:9">
      <c r="A56" s="37" t="s">
        <v>19</v>
      </c>
      <c r="B56" t="s">
        <v>29</v>
      </c>
      <c r="C56">
        <v>61.333333333333336</v>
      </c>
      <c r="D56">
        <v>85</v>
      </c>
      <c r="E56">
        <v>5.2396878483835039</v>
      </c>
      <c r="F56" t="s">
        <v>26</v>
      </c>
      <c r="G56" t="s">
        <v>2</v>
      </c>
      <c r="H56" t="s">
        <v>164</v>
      </c>
      <c r="I56" t="s">
        <v>37</v>
      </c>
    </row>
    <row r="57" spans="1:9">
      <c r="A57" s="6" t="s">
        <v>20</v>
      </c>
      <c r="B57" t="s">
        <v>29</v>
      </c>
      <c r="C57">
        <v>40.75</v>
      </c>
      <c r="D57">
        <v>88.2</v>
      </c>
      <c r="E57">
        <v>5.2631578947368336</v>
      </c>
      <c r="F57" t="s">
        <v>26</v>
      </c>
      <c r="G57" t="s">
        <v>2</v>
      </c>
      <c r="H57" t="s">
        <v>164</v>
      </c>
      <c r="I57" t="s">
        <v>37</v>
      </c>
    </row>
    <row r="58" spans="1:9">
      <c r="A58" s="7" t="s">
        <v>21</v>
      </c>
      <c r="B58" t="s">
        <v>29</v>
      </c>
      <c r="C58">
        <v>39.333333333333336</v>
      </c>
      <c r="D58">
        <v>95</v>
      </c>
      <c r="E58">
        <v>3.2586558044806542</v>
      </c>
      <c r="F58" t="s">
        <v>26</v>
      </c>
      <c r="G58" t="s">
        <v>2</v>
      </c>
      <c r="H58" t="s">
        <v>164</v>
      </c>
      <c r="I58" t="s">
        <v>37</v>
      </c>
    </row>
    <row r="59" spans="1:9">
      <c r="A59" s="5" t="s">
        <v>3</v>
      </c>
      <c r="B59" t="s">
        <v>24</v>
      </c>
      <c r="C59">
        <v>225</v>
      </c>
      <c r="D59">
        <v>92.6</v>
      </c>
      <c r="E59">
        <v>72.439478584729969</v>
      </c>
      <c r="F59" t="s">
        <v>1</v>
      </c>
      <c r="G59" t="s">
        <v>2</v>
      </c>
      <c r="H59" t="s">
        <v>165</v>
      </c>
      <c r="I59" t="s">
        <v>37</v>
      </c>
    </row>
    <row r="60" spans="1:9">
      <c r="A60" s="6" t="s">
        <v>4</v>
      </c>
      <c r="B60" t="s">
        <v>24</v>
      </c>
      <c r="C60">
        <v>265</v>
      </c>
      <c r="D60">
        <v>88.9</v>
      </c>
      <c r="E60">
        <v>70.633397312859898</v>
      </c>
      <c r="F60" t="s">
        <v>1</v>
      </c>
      <c r="G60" t="s">
        <v>2</v>
      </c>
      <c r="H60" t="s">
        <v>165</v>
      </c>
      <c r="I60" t="s">
        <v>37</v>
      </c>
    </row>
    <row r="61" spans="1:9">
      <c r="A61" s="6" t="s">
        <v>5</v>
      </c>
      <c r="B61" t="s">
        <v>24</v>
      </c>
      <c r="C61">
        <v>256.5</v>
      </c>
      <c r="D61">
        <v>93.5</v>
      </c>
      <c r="E61">
        <v>82.261208576998058</v>
      </c>
      <c r="F61" t="s">
        <v>1</v>
      </c>
      <c r="G61" t="s">
        <v>2</v>
      </c>
      <c r="H61" t="s">
        <v>165</v>
      </c>
      <c r="I61" t="s">
        <v>37</v>
      </c>
    </row>
    <row r="62" spans="1:9">
      <c r="A62" s="36" t="s">
        <v>6</v>
      </c>
      <c r="B62" t="s">
        <v>24</v>
      </c>
      <c r="C62">
        <v>63</v>
      </c>
      <c r="D62">
        <v>91.9</v>
      </c>
      <c r="E62">
        <v>85.282258064516142</v>
      </c>
      <c r="F62" t="s">
        <v>1</v>
      </c>
      <c r="G62" t="s">
        <v>2</v>
      </c>
      <c r="H62" t="s">
        <v>165</v>
      </c>
      <c r="I62" t="s">
        <v>37</v>
      </c>
    </row>
    <row r="63" spans="1:9">
      <c r="A63" s="5" t="s">
        <v>7</v>
      </c>
      <c r="B63" t="s">
        <v>24</v>
      </c>
      <c r="C63">
        <v>232.5</v>
      </c>
      <c r="D63">
        <v>95.7</v>
      </c>
      <c r="E63">
        <v>71.505376344086031</v>
      </c>
      <c r="F63" t="s">
        <v>1</v>
      </c>
      <c r="G63" t="s">
        <v>2</v>
      </c>
      <c r="H63" t="s">
        <v>165</v>
      </c>
      <c r="I63" t="s">
        <v>37</v>
      </c>
    </row>
    <row r="64" spans="1:9">
      <c r="A64" s="6" t="s">
        <v>8</v>
      </c>
      <c r="B64" t="s">
        <v>24</v>
      </c>
      <c r="C64">
        <v>383</v>
      </c>
      <c r="D64">
        <v>91.7</v>
      </c>
      <c r="E64">
        <v>62.877442273534648</v>
      </c>
      <c r="F64" t="s">
        <v>1</v>
      </c>
      <c r="G64" t="s">
        <v>2</v>
      </c>
      <c r="H64" t="s">
        <v>165</v>
      </c>
      <c r="I64" t="s">
        <v>37</v>
      </c>
    </row>
    <row r="65" spans="1:9">
      <c r="A65" s="7" t="s">
        <v>9</v>
      </c>
      <c r="B65" t="s">
        <v>24</v>
      </c>
      <c r="C65">
        <v>387.66666666666669</v>
      </c>
      <c r="D65">
        <v>95.4</v>
      </c>
      <c r="E65">
        <v>57.166392092256999</v>
      </c>
      <c r="F65" t="s">
        <v>1</v>
      </c>
      <c r="G65" t="s">
        <v>2</v>
      </c>
      <c r="H65" t="s">
        <v>165</v>
      </c>
      <c r="I65" t="s">
        <v>37</v>
      </c>
    </row>
    <row r="66" spans="1:9">
      <c r="A66" s="37" t="s">
        <v>10</v>
      </c>
      <c r="B66" t="s">
        <v>24</v>
      </c>
      <c r="C66">
        <v>117.33333333333333</v>
      </c>
      <c r="D66">
        <v>94.9</v>
      </c>
      <c r="E66">
        <v>94.866529774127301</v>
      </c>
      <c r="F66" t="s">
        <v>1</v>
      </c>
      <c r="G66" t="s">
        <v>2</v>
      </c>
      <c r="H66" t="s">
        <v>165</v>
      </c>
      <c r="I66" t="s">
        <v>37</v>
      </c>
    </row>
    <row r="67" spans="1:9">
      <c r="A67" s="6" t="s">
        <v>11</v>
      </c>
      <c r="B67" t="s">
        <v>24</v>
      </c>
      <c r="C67">
        <v>297.33333333333331</v>
      </c>
      <c r="D67">
        <v>97.7</v>
      </c>
      <c r="E67">
        <v>73.843416370106766</v>
      </c>
      <c r="F67" t="s">
        <v>1</v>
      </c>
      <c r="G67" t="s">
        <v>2</v>
      </c>
      <c r="H67" t="s">
        <v>165</v>
      </c>
      <c r="I67" t="s">
        <v>37</v>
      </c>
    </row>
    <row r="68" spans="1:9">
      <c r="A68" s="7" t="s">
        <v>12</v>
      </c>
      <c r="B68" t="s">
        <v>24</v>
      </c>
      <c r="C68">
        <v>272</v>
      </c>
      <c r="D68">
        <v>95.9</v>
      </c>
      <c r="E68">
        <v>77.264325323475049</v>
      </c>
      <c r="F68" t="s">
        <v>1</v>
      </c>
      <c r="G68" t="s">
        <v>2</v>
      </c>
      <c r="H68" t="s">
        <v>165</v>
      </c>
      <c r="I68" t="s">
        <v>37</v>
      </c>
    </row>
    <row r="69" spans="1:9">
      <c r="A69" s="5" t="s">
        <v>13</v>
      </c>
      <c r="B69" t="s">
        <v>36</v>
      </c>
      <c r="C69">
        <v>108.5</v>
      </c>
      <c r="D69">
        <v>78.5</v>
      </c>
      <c r="E69">
        <v>90.99756690997566</v>
      </c>
      <c r="F69" t="s">
        <v>1</v>
      </c>
      <c r="G69" t="s">
        <v>2</v>
      </c>
      <c r="H69" t="s">
        <v>165</v>
      </c>
      <c r="I69" t="s">
        <v>37</v>
      </c>
    </row>
    <row r="70" spans="1:9">
      <c r="A70" s="6" t="s">
        <v>14</v>
      </c>
      <c r="B70" t="s">
        <v>36</v>
      </c>
      <c r="C70">
        <v>76</v>
      </c>
      <c r="D70">
        <v>77.7</v>
      </c>
      <c r="E70">
        <v>97.20812182741119</v>
      </c>
      <c r="F70" t="s">
        <v>1</v>
      </c>
      <c r="G70" t="s">
        <v>2</v>
      </c>
      <c r="H70" t="s">
        <v>165</v>
      </c>
      <c r="I70" t="s">
        <v>37</v>
      </c>
    </row>
    <row r="71" spans="1:9">
      <c r="A71" s="6" t="s">
        <v>15</v>
      </c>
      <c r="B71" t="s">
        <v>36</v>
      </c>
      <c r="C71">
        <v>82</v>
      </c>
      <c r="D71">
        <v>78.5</v>
      </c>
      <c r="E71">
        <v>90.072639225181618</v>
      </c>
      <c r="F71" t="s">
        <v>1</v>
      </c>
      <c r="G71" t="s">
        <v>2</v>
      </c>
      <c r="H71" t="s">
        <v>165</v>
      </c>
      <c r="I71" t="s">
        <v>37</v>
      </c>
    </row>
    <row r="72" spans="1:9">
      <c r="A72" s="6" t="s">
        <v>16</v>
      </c>
      <c r="B72" t="s">
        <v>36</v>
      </c>
      <c r="C72">
        <v>183</v>
      </c>
      <c r="D72">
        <v>80</v>
      </c>
      <c r="E72">
        <v>99.004975124378092</v>
      </c>
      <c r="F72" t="s">
        <v>1</v>
      </c>
      <c r="G72" t="s">
        <v>2</v>
      </c>
      <c r="H72" t="s">
        <v>165</v>
      </c>
      <c r="I72" t="s">
        <v>37</v>
      </c>
    </row>
    <row r="73" spans="1:9">
      <c r="A73" s="38" t="s">
        <v>17</v>
      </c>
      <c r="B73" t="s">
        <v>36</v>
      </c>
      <c r="C73">
        <v>84</v>
      </c>
      <c r="D73">
        <v>82.5</v>
      </c>
      <c r="E73">
        <v>93.208430913348934</v>
      </c>
      <c r="F73" t="s">
        <v>1</v>
      </c>
      <c r="G73" t="s">
        <v>2</v>
      </c>
      <c r="H73" t="s">
        <v>165</v>
      </c>
      <c r="I73" t="s">
        <v>37</v>
      </c>
    </row>
    <row r="74" spans="1:9">
      <c r="A74" s="7" t="s">
        <v>18</v>
      </c>
      <c r="B74" t="s">
        <v>36</v>
      </c>
      <c r="C74">
        <v>204</v>
      </c>
      <c r="D74">
        <v>93.2</v>
      </c>
      <c r="E74">
        <v>106.65188470066518</v>
      </c>
      <c r="F74" t="s">
        <v>1</v>
      </c>
      <c r="G74" t="s">
        <v>2</v>
      </c>
      <c r="H74" t="s">
        <v>165</v>
      </c>
      <c r="I74" t="s">
        <v>37</v>
      </c>
    </row>
    <row r="75" spans="1:9">
      <c r="A75" s="37" t="s">
        <v>19</v>
      </c>
      <c r="B75" t="s">
        <v>36</v>
      </c>
      <c r="C75">
        <v>62.5</v>
      </c>
      <c r="D75">
        <v>92.4</v>
      </c>
      <c r="E75">
        <v>124.27184466019416</v>
      </c>
      <c r="F75" t="s">
        <v>1</v>
      </c>
      <c r="G75" t="s">
        <v>2</v>
      </c>
      <c r="H75" t="s">
        <v>165</v>
      </c>
      <c r="I75" t="s">
        <v>37</v>
      </c>
    </row>
    <row r="76" spans="1:9">
      <c r="A76" s="6" t="s">
        <v>20</v>
      </c>
      <c r="B76" t="s">
        <v>36</v>
      </c>
      <c r="C76">
        <v>459.5</v>
      </c>
      <c r="D76">
        <v>96</v>
      </c>
      <c r="E76">
        <v>134.14634146341464</v>
      </c>
      <c r="F76" t="s">
        <v>1</v>
      </c>
      <c r="G76" t="s">
        <v>2</v>
      </c>
      <c r="H76" t="s">
        <v>165</v>
      </c>
      <c r="I76" t="s">
        <v>37</v>
      </c>
    </row>
    <row r="77" spans="1:9">
      <c r="A77" s="7" t="s">
        <v>21</v>
      </c>
      <c r="B77" t="s">
        <v>36</v>
      </c>
      <c r="C77">
        <v>299.5</v>
      </c>
      <c r="D77">
        <v>104.2</v>
      </c>
      <c r="E77">
        <v>117.08333333333334</v>
      </c>
      <c r="F77" t="s">
        <v>1</v>
      </c>
      <c r="G77" t="s">
        <v>2</v>
      </c>
      <c r="H77" t="s">
        <v>165</v>
      </c>
      <c r="I77" t="s">
        <v>37</v>
      </c>
    </row>
    <row r="78" spans="1:9">
      <c r="A78" s="5" t="s">
        <v>3</v>
      </c>
      <c r="B78" t="s">
        <v>25</v>
      </c>
      <c r="D78">
        <v>96</v>
      </c>
      <c r="F78" t="s">
        <v>33</v>
      </c>
      <c r="G78" t="s">
        <v>34</v>
      </c>
    </row>
    <row r="79" spans="1:9">
      <c r="A79" s="6" t="s">
        <v>4</v>
      </c>
      <c r="B79" t="s">
        <v>25</v>
      </c>
      <c r="D79">
        <v>90.7</v>
      </c>
      <c r="F79" t="s">
        <v>33</v>
      </c>
      <c r="G79" t="s">
        <v>34</v>
      </c>
    </row>
    <row r="80" spans="1:9">
      <c r="A80" s="6" t="s">
        <v>5</v>
      </c>
      <c r="B80" t="s">
        <v>25</v>
      </c>
      <c r="D80">
        <v>96.1</v>
      </c>
      <c r="F80" t="s">
        <v>33</v>
      </c>
      <c r="G80" t="s">
        <v>34</v>
      </c>
    </row>
    <row r="81" spans="1:7">
      <c r="A81" s="36" t="s">
        <v>6</v>
      </c>
      <c r="B81" t="s">
        <v>25</v>
      </c>
      <c r="D81">
        <v>96.7</v>
      </c>
      <c r="F81" t="s">
        <v>33</v>
      </c>
      <c r="G81" t="s">
        <v>34</v>
      </c>
    </row>
    <row r="82" spans="1:7">
      <c r="A82" s="5" t="s">
        <v>7</v>
      </c>
      <c r="B82" t="s">
        <v>25</v>
      </c>
      <c r="D82">
        <v>98.7</v>
      </c>
      <c r="F82" t="s">
        <v>33</v>
      </c>
      <c r="G82" t="s">
        <v>34</v>
      </c>
    </row>
    <row r="83" spans="1:7">
      <c r="A83" s="6" t="s">
        <v>8</v>
      </c>
      <c r="B83" t="s">
        <v>25</v>
      </c>
      <c r="D83">
        <v>93.2</v>
      </c>
      <c r="F83" t="s">
        <v>33</v>
      </c>
      <c r="G83" t="s">
        <v>34</v>
      </c>
    </row>
    <row r="84" spans="1:7">
      <c r="A84" s="7" t="s">
        <v>9</v>
      </c>
      <c r="B84" t="s">
        <v>25</v>
      </c>
      <c r="D84">
        <v>100.7</v>
      </c>
      <c r="F84" t="s">
        <v>33</v>
      </c>
      <c r="G84" t="s">
        <v>34</v>
      </c>
    </row>
    <row r="85" spans="1:7">
      <c r="A85" s="37" t="s">
        <v>10</v>
      </c>
      <c r="B85" t="s">
        <v>25</v>
      </c>
      <c r="D85">
        <v>101</v>
      </c>
      <c r="F85" t="s">
        <v>33</v>
      </c>
      <c r="G85" t="s">
        <v>34</v>
      </c>
    </row>
    <row r="86" spans="1:7">
      <c r="A86" s="6" t="s">
        <v>11</v>
      </c>
      <c r="B86" t="s">
        <v>25</v>
      </c>
      <c r="D86">
        <v>100.1</v>
      </c>
      <c r="F86" t="s">
        <v>33</v>
      </c>
      <c r="G86" t="s">
        <v>34</v>
      </c>
    </row>
    <row r="87" spans="1:7">
      <c r="A87" s="7" t="s">
        <v>12</v>
      </c>
      <c r="B87" t="s">
        <v>25</v>
      </c>
      <c r="D87">
        <v>99.7</v>
      </c>
      <c r="F87" t="s">
        <v>33</v>
      </c>
      <c r="G87" t="s">
        <v>34</v>
      </c>
    </row>
    <row r="88" spans="1:7">
      <c r="A88" s="5" t="s">
        <v>13</v>
      </c>
      <c r="B88" t="s">
        <v>39</v>
      </c>
      <c r="D88">
        <v>81.2</v>
      </c>
      <c r="F88" t="s">
        <v>33</v>
      </c>
      <c r="G88" t="s">
        <v>34</v>
      </c>
    </row>
    <row r="89" spans="1:7">
      <c r="A89" s="6" t="s">
        <v>14</v>
      </c>
      <c r="B89" t="s">
        <v>39</v>
      </c>
      <c r="D89">
        <v>80.2</v>
      </c>
      <c r="F89" t="s">
        <v>33</v>
      </c>
      <c r="G89" t="s">
        <v>34</v>
      </c>
    </row>
    <row r="90" spans="1:7">
      <c r="A90" s="6" t="s">
        <v>15</v>
      </c>
      <c r="B90" t="s">
        <v>39</v>
      </c>
      <c r="D90">
        <v>81</v>
      </c>
      <c r="F90" t="s">
        <v>33</v>
      </c>
      <c r="G90" t="s">
        <v>34</v>
      </c>
    </row>
    <row r="91" spans="1:7">
      <c r="A91" s="6" t="s">
        <v>16</v>
      </c>
      <c r="B91" t="s">
        <v>39</v>
      </c>
      <c r="D91">
        <v>82.9</v>
      </c>
      <c r="F91" t="s">
        <v>33</v>
      </c>
      <c r="G91" t="s">
        <v>34</v>
      </c>
    </row>
    <row r="92" spans="1:7">
      <c r="A92" s="38" t="s">
        <v>17</v>
      </c>
      <c r="B92" t="s">
        <v>39</v>
      </c>
      <c r="D92">
        <v>85.4</v>
      </c>
      <c r="F92" t="s">
        <v>33</v>
      </c>
      <c r="G92" t="s">
        <v>34</v>
      </c>
    </row>
    <row r="93" spans="1:7">
      <c r="A93" s="7" t="s">
        <v>18</v>
      </c>
      <c r="B93" t="s">
        <v>39</v>
      </c>
      <c r="D93">
        <v>94.7</v>
      </c>
      <c r="F93" t="s">
        <v>33</v>
      </c>
      <c r="G93" t="s">
        <v>34</v>
      </c>
    </row>
    <row r="94" spans="1:7">
      <c r="A94" s="37" t="s">
        <v>19</v>
      </c>
      <c r="B94" t="s">
        <v>39</v>
      </c>
      <c r="D94">
        <v>94.2</v>
      </c>
      <c r="F94" t="s">
        <v>33</v>
      </c>
      <c r="G94" t="s">
        <v>34</v>
      </c>
    </row>
    <row r="95" spans="1:7">
      <c r="A95" s="6" t="s">
        <v>20</v>
      </c>
      <c r="B95" t="s">
        <v>39</v>
      </c>
      <c r="D95">
        <v>98.7</v>
      </c>
      <c r="F95" t="s">
        <v>33</v>
      </c>
      <c r="G95" t="s">
        <v>34</v>
      </c>
    </row>
    <row r="96" spans="1:7">
      <c r="A96" s="7" t="s">
        <v>21</v>
      </c>
      <c r="B96" t="s">
        <v>39</v>
      </c>
      <c r="D96">
        <v>105.5</v>
      </c>
      <c r="F96" t="s">
        <v>33</v>
      </c>
      <c r="G96" t="s">
        <v>34</v>
      </c>
    </row>
    <row r="97" spans="1:9">
      <c r="A97" s="5" t="s">
        <v>3</v>
      </c>
      <c r="B97" t="s">
        <v>30</v>
      </c>
      <c r="C97">
        <v>48</v>
      </c>
      <c r="D97">
        <v>90.9</v>
      </c>
      <c r="E97">
        <v>5.3124999999999947</v>
      </c>
      <c r="F97" t="s">
        <v>26</v>
      </c>
      <c r="G97" t="s">
        <v>2</v>
      </c>
      <c r="H97" t="s">
        <v>164</v>
      </c>
      <c r="I97" t="s">
        <v>38</v>
      </c>
    </row>
    <row r="98" spans="1:9">
      <c r="A98" s="6" t="s">
        <v>4</v>
      </c>
      <c r="B98" t="s">
        <v>30</v>
      </c>
      <c r="C98">
        <v>44</v>
      </c>
      <c r="D98">
        <v>86.7</v>
      </c>
      <c r="E98">
        <v>4.4101433296582133</v>
      </c>
      <c r="F98" t="s">
        <v>26</v>
      </c>
      <c r="G98" t="s">
        <v>2</v>
      </c>
      <c r="H98" t="s">
        <v>164</v>
      </c>
      <c r="I98" t="s">
        <v>38</v>
      </c>
    </row>
    <row r="99" spans="1:9">
      <c r="A99" s="6" t="s">
        <v>5</v>
      </c>
      <c r="B99" t="s">
        <v>30</v>
      </c>
      <c r="C99">
        <v>48</v>
      </c>
      <c r="D99">
        <v>91.9</v>
      </c>
      <c r="E99">
        <v>4.3704474505723088</v>
      </c>
      <c r="F99" t="s">
        <v>26</v>
      </c>
      <c r="G99" t="s">
        <v>2</v>
      </c>
      <c r="H99" t="s">
        <v>164</v>
      </c>
      <c r="I99" t="s">
        <v>38</v>
      </c>
    </row>
    <row r="100" spans="1:9">
      <c r="A100" s="36" t="s">
        <v>6</v>
      </c>
      <c r="B100" t="s">
        <v>30</v>
      </c>
      <c r="C100">
        <v>50</v>
      </c>
      <c r="D100">
        <v>92.5</v>
      </c>
      <c r="E100">
        <v>4.3433298862461251</v>
      </c>
      <c r="F100" t="s">
        <v>26</v>
      </c>
      <c r="G100" t="s">
        <v>2</v>
      </c>
      <c r="H100" t="s">
        <v>164</v>
      </c>
      <c r="I100" t="s">
        <v>38</v>
      </c>
    </row>
    <row r="101" spans="1:9">
      <c r="A101" s="5" t="s">
        <v>7</v>
      </c>
      <c r="B101" t="s">
        <v>30</v>
      </c>
      <c r="C101">
        <v>51.5</v>
      </c>
      <c r="D101">
        <v>95.6</v>
      </c>
      <c r="E101">
        <v>3.140830800405277</v>
      </c>
      <c r="F101" t="s">
        <v>26</v>
      </c>
      <c r="G101" t="s">
        <v>2</v>
      </c>
      <c r="H101" t="s">
        <v>164</v>
      </c>
      <c r="I101" t="s">
        <v>38</v>
      </c>
    </row>
    <row r="102" spans="1:9">
      <c r="A102" s="6" t="s">
        <v>8</v>
      </c>
      <c r="B102" t="s">
        <v>30</v>
      </c>
      <c r="C102">
        <v>105</v>
      </c>
      <c r="D102">
        <v>89.4</v>
      </c>
      <c r="E102">
        <v>4.0772532188841168</v>
      </c>
      <c r="F102" t="s">
        <v>26</v>
      </c>
      <c r="G102" t="s">
        <v>2</v>
      </c>
      <c r="H102" t="s">
        <v>164</v>
      </c>
      <c r="I102" t="s">
        <v>38</v>
      </c>
    </row>
    <row r="103" spans="1:9">
      <c r="A103" s="7" t="s">
        <v>9</v>
      </c>
      <c r="B103" t="s">
        <v>30</v>
      </c>
      <c r="C103">
        <v>78.5</v>
      </c>
      <c r="D103">
        <v>94.9</v>
      </c>
      <c r="E103">
        <v>5.7596822244289942</v>
      </c>
      <c r="F103" t="s">
        <v>26</v>
      </c>
      <c r="G103" t="s">
        <v>2</v>
      </c>
      <c r="H103" t="s">
        <v>164</v>
      </c>
      <c r="I103" t="s">
        <v>38</v>
      </c>
    </row>
    <row r="104" spans="1:9">
      <c r="A104" s="37" t="s">
        <v>10</v>
      </c>
      <c r="B104" t="s">
        <v>30</v>
      </c>
      <c r="C104">
        <v>56.5</v>
      </c>
      <c r="D104">
        <v>93.7</v>
      </c>
      <c r="E104">
        <v>7.2277227722772244</v>
      </c>
      <c r="F104" t="s">
        <v>26</v>
      </c>
      <c r="G104" t="s">
        <v>2</v>
      </c>
      <c r="H104" t="s">
        <v>164</v>
      </c>
      <c r="I104" t="s">
        <v>38</v>
      </c>
    </row>
    <row r="105" spans="1:9">
      <c r="A105" s="6" t="s">
        <v>11</v>
      </c>
      <c r="B105" t="s">
        <v>30</v>
      </c>
      <c r="C105">
        <v>66.75</v>
      </c>
      <c r="D105">
        <v>95.1</v>
      </c>
      <c r="E105">
        <v>4.9950049950049955</v>
      </c>
      <c r="F105" t="s">
        <v>26</v>
      </c>
      <c r="G105" t="s">
        <v>2</v>
      </c>
      <c r="H105" t="s">
        <v>164</v>
      </c>
      <c r="I105" t="s">
        <v>38</v>
      </c>
    </row>
    <row r="106" spans="1:9">
      <c r="A106" s="7" t="s">
        <v>12</v>
      </c>
      <c r="B106" t="s">
        <v>30</v>
      </c>
      <c r="C106">
        <v>53.333333333333336</v>
      </c>
      <c r="D106">
        <v>93.8</v>
      </c>
      <c r="E106">
        <v>5.9177532597793441</v>
      </c>
      <c r="F106" t="s">
        <v>26</v>
      </c>
      <c r="G106" t="s">
        <v>2</v>
      </c>
      <c r="H106" t="s">
        <v>164</v>
      </c>
      <c r="I106" t="s">
        <v>38</v>
      </c>
    </row>
    <row r="107" spans="1:9">
      <c r="A107" s="5" t="s">
        <v>13</v>
      </c>
      <c r="B107" t="s">
        <v>40</v>
      </c>
      <c r="C107">
        <v>63</v>
      </c>
      <c r="D107">
        <v>75.8</v>
      </c>
      <c r="E107">
        <v>6.650246305418726</v>
      </c>
      <c r="F107" t="s">
        <v>26</v>
      </c>
      <c r="G107" t="s">
        <v>2</v>
      </c>
      <c r="H107" t="s">
        <v>164</v>
      </c>
      <c r="I107" t="s">
        <v>38</v>
      </c>
    </row>
    <row r="108" spans="1:9">
      <c r="A108" s="6" t="s">
        <v>14</v>
      </c>
      <c r="B108" t="s">
        <v>40</v>
      </c>
      <c r="C108">
        <v>63.5</v>
      </c>
      <c r="D108">
        <v>75.099999999999994</v>
      </c>
      <c r="E108">
        <v>6.3591022443890379</v>
      </c>
      <c r="F108" t="s">
        <v>26</v>
      </c>
      <c r="G108" t="s">
        <v>2</v>
      </c>
      <c r="H108" t="s">
        <v>164</v>
      </c>
      <c r="I108" t="s">
        <v>38</v>
      </c>
    </row>
    <row r="109" spans="1:9">
      <c r="A109" s="6" t="s">
        <v>15</v>
      </c>
      <c r="B109" t="s">
        <v>40</v>
      </c>
      <c r="C109">
        <v>64</v>
      </c>
      <c r="D109">
        <v>75.599999999999994</v>
      </c>
      <c r="E109">
        <v>6.6666666666666732</v>
      </c>
      <c r="F109" t="s">
        <v>26</v>
      </c>
      <c r="G109" t="s">
        <v>2</v>
      </c>
      <c r="H109" t="s">
        <v>164</v>
      </c>
      <c r="I109" t="s">
        <v>38</v>
      </c>
    </row>
    <row r="110" spans="1:9">
      <c r="A110" s="6" t="s">
        <v>16</v>
      </c>
      <c r="B110" t="s">
        <v>40</v>
      </c>
      <c r="C110">
        <v>61.5</v>
      </c>
      <c r="D110">
        <v>78.2</v>
      </c>
      <c r="E110">
        <v>5.6694813027744306</v>
      </c>
      <c r="F110" t="s">
        <v>26</v>
      </c>
      <c r="G110" t="s">
        <v>2</v>
      </c>
      <c r="H110" t="s">
        <v>164</v>
      </c>
      <c r="I110" t="s">
        <v>38</v>
      </c>
    </row>
    <row r="111" spans="1:9">
      <c r="A111" s="38" t="s">
        <v>17</v>
      </c>
      <c r="B111" t="s">
        <v>40</v>
      </c>
      <c r="C111">
        <v>60.5</v>
      </c>
      <c r="D111">
        <v>81.599999999999994</v>
      </c>
      <c r="E111">
        <v>4.4496487119438068</v>
      </c>
      <c r="F111" t="s">
        <v>26</v>
      </c>
      <c r="G111" t="s">
        <v>2</v>
      </c>
      <c r="H111" t="s">
        <v>164</v>
      </c>
      <c r="I111" t="s">
        <v>38</v>
      </c>
    </row>
    <row r="112" spans="1:9">
      <c r="A112" s="7" t="s">
        <v>18</v>
      </c>
      <c r="B112" t="s">
        <v>40</v>
      </c>
      <c r="C112">
        <v>55</v>
      </c>
      <c r="D112">
        <v>88.5</v>
      </c>
      <c r="E112">
        <v>6.5469904963041214</v>
      </c>
      <c r="F112" t="s">
        <v>26</v>
      </c>
      <c r="G112" t="s">
        <v>2</v>
      </c>
      <c r="H112" t="s">
        <v>164</v>
      </c>
      <c r="I112" t="s">
        <v>38</v>
      </c>
    </row>
    <row r="113" spans="1:9">
      <c r="A113" s="37" t="s">
        <v>19</v>
      </c>
      <c r="B113" t="s">
        <v>40</v>
      </c>
      <c r="C113">
        <v>58</v>
      </c>
      <c r="D113">
        <v>89.4</v>
      </c>
      <c r="E113">
        <v>5.0955414012738824</v>
      </c>
      <c r="F113" t="s">
        <v>26</v>
      </c>
      <c r="G113" t="s">
        <v>2</v>
      </c>
      <c r="H113" t="s">
        <v>164</v>
      </c>
      <c r="I113" t="s">
        <v>38</v>
      </c>
    </row>
    <row r="114" spans="1:9">
      <c r="A114" s="6" t="s">
        <v>20</v>
      </c>
      <c r="B114" t="s">
        <v>40</v>
      </c>
      <c r="C114">
        <v>43</v>
      </c>
      <c r="D114">
        <v>92.4</v>
      </c>
      <c r="E114">
        <v>6.3829787234042517</v>
      </c>
      <c r="F114" t="s">
        <v>26</v>
      </c>
      <c r="G114" t="s">
        <v>2</v>
      </c>
      <c r="H114" t="s">
        <v>164</v>
      </c>
      <c r="I114" t="s">
        <v>38</v>
      </c>
    </row>
    <row r="115" spans="1:9">
      <c r="A115" s="7" t="s">
        <v>21</v>
      </c>
      <c r="B115" t="s">
        <v>40</v>
      </c>
      <c r="C115">
        <v>41</v>
      </c>
      <c r="D115">
        <v>99</v>
      </c>
      <c r="E115">
        <v>6.1611374407582939</v>
      </c>
      <c r="F115" t="s">
        <v>26</v>
      </c>
      <c r="G115" t="s">
        <v>2</v>
      </c>
      <c r="H115" t="s">
        <v>164</v>
      </c>
      <c r="I115" t="s">
        <v>38</v>
      </c>
    </row>
    <row r="116" spans="1:9">
      <c r="A116" s="5" t="s">
        <v>3</v>
      </c>
      <c r="B116" t="s">
        <v>41</v>
      </c>
      <c r="C116">
        <v>83</v>
      </c>
      <c r="D116">
        <v>98.1</v>
      </c>
      <c r="E116">
        <v>5.9395248380129591</v>
      </c>
      <c r="F116" t="s">
        <v>1</v>
      </c>
      <c r="G116" t="s">
        <v>2</v>
      </c>
      <c r="H116" t="s">
        <v>168</v>
      </c>
      <c r="I116" t="s">
        <v>38</v>
      </c>
    </row>
    <row r="117" spans="1:9">
      <c r="A117" s="6" t="s">
        <v>4</v>
      </c>
      <c r="B117" t="s">
        <v>41</v>
      </c>
      <c r="C117">
        <v>289.5</v>
      </c>
      <c r="D117">
        <v>93.4</v>
      </c>
      <c r="E117">
        <v>5.0618672665916753</v>
      </c>
      <c r="F117" t="s">
        <v>1</v>
      </c>
      <c r="G117" t="s">
        <v>2</v>
      </c>
      <c r="H117" t="s">
        <v>168</v>
      </c>
      <c r="I117" t="s">
        <v>38</v>
      </c>
    </row>
    <row r="118" spans="1:9">
      <c r="A118" s="6" t="s">
        <v>5</v>
      </c>
      <c r="B118" t="s">
        <v>41</v>
      </c>
      <c r="C118">
        <v>250.5</v>
      </c>
      <c r="D118">
        <v>99.3</v>
      </c>
      <c r="E118">
        <v>6.203208556149729</v>
      </c>
      <c r="F118" t="s">
        <v>1</v>
      </c>
      <c r="G118" t="s">
        <v>2</v>
      </c>
      <c r="H118" t="s">
        <v>168</v>
      </c>
      <c r="I118" t="s">
        <v>38</v>
      </c>
    </row>
    <row r="119" spans="1:9">
      <c r="A119" s="36" t="s">
        <v>6</v>
      </c>
      <c r="B119" t="s">
        <v>41</v>
      </c>
      <c r="C119">
        <v>46.5</v>
      </c>
      <c r="D119">
        <v>98.3</v>
      </c>
      <c r="E119">
        <v>6.9640914036996637</v>
      </c>
      <c r="F119" t="s">
        <v>1</v>
      </c>
      <c r="G119" t="s">
        <v>2</v>
      </c>
      <c r="H119" t="s">
        <v>168</v>
      </c>
      <c r="I119" t="s">
        <v>38</v>
      </c>
    </row>
    <row r="120" spans="1:9">
      <c r="A120" s="5" t="s">
        <v>7</v>
      </c>
      <c r="B120" t="s">
        <v>41</v>
      </c>
      <c r="C120">
        <v>203.5</v>
      </c>
      <c r="D120">
        <v>102.3</v>
      </c>
      <c r="E120">
        <v>6.8965517241379253</v>
      </c>
      <c r="F120" t="s">
        <v>1</v>
      </c>
      <c r="G120" t="s">
        <v>2</v>
      </c>
      <c r="H120" t="s">
        <v>168</v>
      </c>
      <c r="I120" t="s">
        <v>38</v>
      </c>
    </row>
    <row r="121" spans="1:9">
      <c r="A121" s="6" t="s">
        <v>8</v>
      </c>
      <c r="B121" t="s">
        <v>41</v>
      </c>
      <c r="C121">
        <v>389</v>
      </c>
      <c r="D121">
        <v>95.3</v>
      </c>
      <c r="E121">
        <v>3.9258451472191869</v>
      </c>
      <c r="F121" t="s">
        <v>1</v>
      </c>
      <c r="G121" t="s">
        <v>2</v>
      </c>
      <c r="H121" t="s">
        <v>168</v>
      </c>
      <c r="I121" t="s">
        <v>38</v>
      </c>
    </row>
    <row r="122" spans="1:9">
      <c r="A122" s="7" t="s">
        <v>9</v>
      </c>
      <c r="B122" t="s">
        <v>41</v>
      </c>
      <c r="C122">
        <v>281</v>
      </c>
      <c r="D122">
        <v>99.1</v>
      </c>
      <c r="E122">
        <v>3.8784067085953757</v>
      </c>
      <c r="F122" t="s">
        <v>1</v>
      </c>
      <c r="G122" t="s">
        <v>2</v>
      </c>
      <c r="H122" t="s">
        <v>168</v>
      </c>
      <c r="I122" t="s">
        <v>38</v>
      </c>
    </row>
    <row r="123" spans="1:9">
      <c r="A123" s="37" t="s">
        <v>10</v>
      </c>
      <c r="B123" t="s">
        <v>41</v>
      </c>
      <c r="C123">
        <v>73.5</v>
      </c>
      <c r="D123">
        <v>102</v>
      </c>
      <c r="E123">
        <v>7.4815595363540499</v>
      </c>
      <c r="F123" t="s">
        <v>1</v>
      </c>
      <c r="G123" t="s">
        <v>2</v>
      </c>
      <c r="H123" t="s">
        <v>168</v>
      </c>
      <c r="I123" t="s">
        <v>38</v>
      </c>
    </row>
    <row r="124" spans="1:9">
      <c r="A124" s="6" t="s">
        <v>11</v>
      </c>
      <c r="B124" t="s">
        <v>41</v>
      </c>
      <c r="C124">
        <v>326.5</v>
      </c>
      <c r="D124">
        <v>104</v>
      </c>
      <c r="E124">
        <v>6.4483111566018394</v>
      </c>
      <c r="F124" t="s">
        <v>1</v>
      </c>
      <c r="G124" t="s">
        <v>2</v>
      </c>
      <c r="H124" t="s">
        <v>168</v>
      </c>
      <c r="I124" t="s">
        <v>38</v>
      </c>
    </row>
    <row r="125" spans="1:9">
      <c r="A125" s="7" t="s">
        <v>12</v>
      </c>
      <c r="B125" t="s">
        <v>41</v>
      </c>
      <c r="C125">
        <v>339.5</v>
      </c>
      <c r="D125">
        <v>102</v>
      </c>
      <c r="E125">
        <v>6.3607924921793471</v>
      </c>
      <c r="F125" t="s">
        <v>1</v>
      </c>
      <c r="G125" t="s">
        <v>2</v>
      </c>
      <c r="H125" t="s">
        <v>168</v>
      </c>
      <c r="I125" t="s">
        <v>38</v>
      </c>
    </row>
    <row r="126" spans="1:9">
      <c r="A126" s="5" t="s">
        <v>13</v>
      </c>
      <c r="B126" t="s">
        <v>47</v>
      </c>
      <c r="C126">
        <v>86</v>
      </c>
      <c r="D126">
        <v>83.1</v>
      </c>
      <c r="E126">
        <v>5.8598726114649606</v>
      </c>
      <c r="F126" t="s">
        <v>1</v>
      </c>
      <c r="G126" t="s">
        <v>2</v>
      </c>
      <c r="H126" t="s">
        <v>168</v>
      </c>
      <c r="I126" t="s">
        <v>38</v>
      </c>
    </row>
    <row r="127" spans="1:9">
      <c r="A127" s="6" t="s">
        <v>14</v>
      </c>
      <c r="B127" t="s">
        <v>47</v>
      </c>
      <c r="C127">
        <v>70.5</v>
      </c>
      <c r="D127">
        <v>84.2</v>
      </c>
      <c r="E127">
        <v>8.3655083655083651</v>
      </c>
      <c r="F127" t="s">
        <v>1</v>
      </c>
      <c r="G127" t="s">
        <v>2</v>
      </c>
      <c r="H127" t="s">
        <v>168</v>
      </c>
      <c r="I127" t="s">
        <v>38</v>
      </c>
    </row>
    <row r="128" spans="1:9">
      <c r="A128" s="6" t="s">
        <v>15</v>
      </c>
      <c r="B128" t="s">
        <v>47</v>
      </c>
      <c r="C128">
        <v>83</v>
      </c>
      <c r="D128">
        <v>82.9</v>
      </c>
      <c r="E128">
        <v>5.6050955414012806</v>
      </c>
      <c r="F128" t="s">
        <v>1</v>
      </c>
      <c r="G128" t="s">
        <v>2</v>
      </c>
      <c r="H128" t="s">
        <v>168</v>
      </c>
      <c r="I128" t="s">
        <v>38</v>
      </c>
    </row>
    <row r="129" spans="1:9">
      <c r="A129" s="6" t="s">
        <v>16</v>
      </c>
      <c r="B129" t="s">
        <v>47</v>
      </c>
      <c r="C129">
        <v>71.5</v>
      </c>
      <c r="D129">
        <v>85.1</v>
      </c>
      <c r="E129">
        <v>6.3749999999999929</v>
      </c>
      <c r="F129" t="s">
        <v>1</v>
      </c>
      <c r="G129" t="s">
        <v>2</v>
      </c>
      <c r="H129" t="s">
        <v>168</v>
      </c>
      <c r="I129" t="s">
        <v>38</v>
      </c>
    </row>
    <row r="130" spans="1:9">
      <c r="A130" s="38" t="s">
        <v>17</v>
      </c>
      <c r="B130" t="s">
        <v>47</v>
      </c>
      <c r="C130">
        <v>73.333333333333329</v>
      </c>
      <c r="D130">
        <v>87.6</v>
      </c>
      <c r="E130">
        <v>6.1818181818181754</v>
      </c>
      <c r="F130" t="s">
        <v>1</v>
      </c>
      <c r="G130" t="s">
        <v>2</v>
      </c>
      <c r="H130" t="s">
        <v>168</v>
      </c>
      <c r="I130" t="s">
        <v>38</v>
      </c>
    </row>
    <row r="131" spans="1:9">
      <c r="A131" s="7" t="s">
        <v>18</v>
      </c>
      <c r="B131" t="s">
        <v>47</v>
      </c>
      <c r="C131">
        <v>300</v>
      </c>
      <c r="D131">
        <v>95.4</v>
      </c>
      <c r="E131">
        <v>2.3605150214592303</v>
      </c>
      <c r="F131" t="s">
        <v>1</v>
      </c>
      <c r="G131" t="s">
        <v>2</v>
      </c>
      <c r="H131" t="s">
        <v>168</v>
      </c>
      <c r="I131" t="s">
        <v>38</v>
      </c>
    </row>
    <row r="132" spans="1:9">
      <c r="A132" s="37" t="s">
        <v>19</v>
      </c>
      <c r="B132" t="s">
        <v>47</v>
      </c>
      <c r="C132">
        <v>78.5</v>
      </c>
      <c r="D132">
        <v>95.9</v>
      </c>
      <c r="E132">
        <v>3.7878787878787881</v>
      </c>
      <c r="F132" t="s">
        <v>1</v>
      </c>
      <c r="G132" t="s">
        <v>2</v>
      </c>
      <c r="H132" t="s">
        <v>168</v>
      </c>
      <c r="I132" t="s">
        <v>38</v>
      </c>
    </row>
    <row r="133" spans="1:9">
      <c r="A133" s="6" t="s">
        <v>20</v>
      </c>
      <c r="B133" t="s">
        <v>47</v>
      </c>
      <c r="C133">
        <v>342.66666666666669</v>
      </c>
      <c r="D133">
        <v>102.2</v>
      </c>
      <c r="E133">
        <v>6.4583333333333366</v>
      </c>
      <c r="F133" t="s">
        <v>1</v>
      </c>
      <c r="G133" t="s">
        <v>2</v>
      </c>
      <c r="H133" t="s">
        <v>168</v>
      </c>
      <c r="I133" t="s">
        <v>38</v>
      </c>
    </row>
    <row r="134" spans="1:9">
      <c r="A134" s="7" t="s">
        <v>21</v>
      </c>
      <c r="B134" t="s">
        <v>47</v>
      </c>
      <c r="C134">
        <v>227.5</v>
      </c>
      <c r="D134">
        <v>109.6</v>
      </c>
      <c r="E134">
        <v>5.182341650671777</v>
      </c>
      <c r="F134" t="s">
        <v>1</v>
      </c>
      <c r="G134" t="s">
        <v>2</v>
      </c>
      <c r="H134" t="s">
        <v>168</v>
      </c>
      <c r="I134" t="s">
        <v>38</v>
      </c>
    </row>
    <row r="135" spans="1:9">
      <c r="A135" s="5" t="s">
        <v>3</v>
      </c>
      <c r="B135" t="s">
        <v>44</v>
      </c>
      <c r="D135">
        <v>101.3</v>
      </c>
      <c r="F135" t="s">
        <v>1</v>
      </c>
      <c r="G135" t="s">
        <v>34</v>
      </c>
    </row>
    <row r="136" spans="1:9">
      <c r="A136" s="6" t="s">
        <v>4</v>
      </c>
      <c r="B136" t="s">
        <v>44</v>
      </c>
      <c r="D136">
        <v>97</v>
      </c>
      <c r="F136" t="s">
        <v>1</v>
      </c>
      <c r="G136" t="s">
        <v>34</v>
      </c>
    </row>
    <row r="137" spans="1:9">
      <c r="A137" s="6" t="s">
        <v>5</v>
      </c>
      <c r="B137" t="s">
        <v>44</v>
      </c>
      <c r="D137">
        <v>101.3</v>
      </c>
      <c r="F137" t="s">
        <v>1</v>
      </c>
      <c r="G137" t="s">
        <v>34</v>
      </c>
    </row>
    <row r="138" spans="1:9">
      <c r="A138" s="36" t="s">
        <v>6</v>
      </c>
      <c r="B138" t="s">
        <v>44</v>
      </c>
      <c r="D138">
        <v>102.3</v>
      </c>
      <c r="F138" t="s">
        <v>1</v>
      </c>
      <c r="G138" t="s">
        <v>34</v>
      </c>
    </row>
    <row r="139" spans="1:9">
      <c r="A139" s="5" t="s">
        <v>7</v>
      </c>
      <c r="B139" t="s">
        <v>44</v>
      </c>
      <c r="D139">
        <v>106.2</v>
      </c>
      <c r="F139" t="s">
        <v>1</v>
      </c>
      <c r="G139" t="s">
        <v>34</v>
      </c>
    </row>
    <row r="140" spans="1:9">
      <c r="A140" s="6" t="s">
        <v>8</v>
      </c>
      <c r="B140" t="s">
        <v>44</v>
      </c>
      <c r="D140">
        <v>96.8</v>
      </c>
      <c r="F140" t="s">
        <v>1</v>
      </c>
      <c r="G140" t="s">
        <v>34</v>
      </c>
    </row>
    <row r="141" spans="1:9">
      <c r="A141" s="7" t="s">
        <v>9</v>
      </c>
      <c r="B141" t="s">
        <v>44</v>
      </c>
      <c r="D141">
        <v>103.2</v>
      </c>
      <c r="F141" t="s">
        <v>1</v>
      </c>
      <c r="G141" t="s">
        <v>34</v>
      </c>
    </row>
    <row r="142" spans="1:9">
      <c r="A142" s="37" t="s">
        <v>10</v>
      </c>
      <c r="B142" t="s">
        <v>44</v>
      </c>
      <c r="D142">
        <v>107.4</v>
      </c>
      <c r="F142" t="s">
        <v>1</v>
      </c>
      <c r="G142" t="s">
        <v>34</v>
      </c>
    </row>
    <row r="143" spans="1:9">
      <c r="A143" s="6" t="s">
        <v>11</v>
      </c>
      <c r="B143" t="s">
        <v>44</v>
      </c>
      <c r="D143">
        <v>106.1</v>
      </c>
      <c r="F143" t="s">
        <v>1</v>
      </c>
      <c r="G143" t="s">
        <v>34</v>
      </c>
    </row>
    <row r="144" spans="1:9">
      <c r="A144" s="7" t="s">
        <v>12</v>
      </c>
      <c r="B144" t="s">
        <v>44</v>
      </c>
      <c r="D144">
        <v>103.9</v>
      </c>
      <c r="F144" t="s">
        <v>1</v>
      </c>
      <c r="G144" t="s">
        <v>34</v>
      </c>
    </row>
    <row r="145" spans="1:10">
      <c r="A145" s="5" t="s">
        <v>13</v>
      </c>
      <c r="B145" t="s">
        <v>48</v>
      </c>
      <c r="D145">
        <v>86.2</v>
      </c>
      <c r="F145" t="s">
        <v>1</v>
      </c>
      <c r="G145" t="s">
        <v>34</v>
      </c>
    </row>
    <row r="146" spans="1:10">
      <c r="A146" s="6" t="s">
        <v>14</v>
      </c>
      <c r="B146" t="s">
        <v>48</v>
      </c>
      <c r="D146">
        <v>88.5</v>
      </c>
      <c r="F146" t="s">
        <v>1</v>
      </c>
      <c r="G146" t="s">
        <v>34</v>
      </c>
    </row>
    <row r="147" spans="1:10">
      <c r="A147" s="6" t="s">
        <v>15</v>
      </c>
      <c r="B147" t="s">
        <v>48</v>
      </c>
      <c r="D147">
        <v>85.7</v>
      </c>
      <c r="F147" t="s">
        <v>1</v>
      </c>
      <c r="G147" t="s">
        <v>34</v>
      </c>
    </row>
    <row r="148" spans="1:10">
      <c r="A148" s="6" t="s">
        <v>16</v>
      </c>
      <c r="B148" t="s">
        <v>48</v>
      </c>
      <c r="D148">
        <v>88.4</v>
      </c>
      <c r="F148" t="s">
        <v>1</v>
      </c>
      <c r="G148" t="s">
        <v>34</v>
      </c>
    </row>
    <row r="149" spans="1:10">
      <c r="A149" s="38" t="s">
        <v>17</v>
      </c>
      <c r="B149" t="s">
        <v>48</v>
      </c>
      <c r="D149">
        <v>91.7</v>
      </c>
      <c r="F149" t="s">
        <v>1</v>
      </c>
      <c r="G149" t="s">
        <v>34</v>
      </c>
    </row>
    <row r="150" spans="1:10">
      <c r="A150" s="7" t="s">
        <v>18</v>
      </c>
      <c r="B150" t="s">
        <v>48</v>
      </c>
      <c r="D150">
        <v>98.5</v>
      </c>
      <c r="F150" t="s">
        <v>1</v>
      </c>
      <c r="G150" t="s">
        <v>34</v>
      </c>
    </row>
    <row r="151" spans="1:10">
      <c r="A151" s="37" t="s">
        <v>19</v>
      </c>
      <c r="B151" t="s">
        <v>48</v>
      </c>
      <c r="F151" t="s">
        <v>1</v>
      </c>
      <c r="G151" t="s">
        <v>34</v>
      </c>
      <c r="J151" t="s">
        <v>158</v>
      </c>
    </row>
    <row r="152" spans="1:10">
      <c r="A152" s="6" t="s">
        <v>20</v>
      </c>
      <c r="B152" t="s">
        <v>48</v>
      </c>
      <c r="D152">
        <v>108</v>
      </c>
      <c r="F152" t="s">
        <v>1</v>
      </c>
      <c r="G152" t="s">
        <v>34</v>
      </c>
    </row>
    <row r="153" spans="1:10">
      <c r="A153" s="7" t="s">
        <v>21</v>
      </c>
      <c r="B153" t="s">
        <v>48</v>
      </c>
      <c r="D153">
        <v>114.3</v>
      </c>
      <c r="F153" t="s">
        <v>1</v>
      </c>
      <c r="G153" t="s">
        <v>34</v>
      </c>
    </row>
    <row r="154" spans="1:10">
      <c r="A154" s="5" t="s">
        <v>3</v>
      </c>
      <c r="B154" t="s">
        <v>45</v>
      </c>
      <c r="C154">
        <v>52.5</v>
      </c>
      <c r="D154">
        <v>94.9</v>
      </c>
      <c r="E154">
        <v>6.3178677196446111</v>
      </c>
      <c r="F154" t="s">
        <v>26</v>
      </c>
      <c r="G154" t="s">
        <v>2</v>
      </c>
      <c r="I154" t="s">
        <v>43</v>
      </c>
    </row>
    <row r="155" spans="1:10">
      <c r="A155" s="6" t="s">
        <v>4</v>
      </c>
      <c r="B155" t="s">
        <v>45</v>
      </c>
      <c r="C155">
        <v>40</v>
      </c>
      <c r="D155">
        <v>92.5</v>
      </c>
      <c r="E155">
        <v>4.6391752577319592</v>
      </c>
      <c r="F155" t="s">
        <v>26</v>
      </c>
      <c r="G155" t="s">
        <v>2</v>
      </c>
      <c r="I155" t="s">
        <v>43</v>
      </c>
    </row>
    <row r="156" spans="1:10">
      <c r="A156" s="6" t="s">
        <v>5</v>
      </c>
      <c r="B156" t="s">
        <v>45</v>
      </c>
      <c r="C156">
        <v>40</v>
      </c>
      <c r="D156">
        <v>96.8</v>
      </c>
      <c r="E156">
        <v>4.4422507403751235</v>
      </c>
      <c r="F156" t="s">
        <v>26</v>
      </c>
      <c r="G156" t="s">
        <v>2</v>
      </c>
      <c r="I156" t="s">
        <v>43</v>
      </c>
    </row>
    <row r="157" spans="1:10">
      <c r="A157" s="36" t="s">
        <v>6</v>
      </c>
      <c r="B157" t="s">
        <v>45</v>
      </c>
      <c r="C157">
        <v>64.5</v>
      </c>
      <c r="D157">
        <v>97.1</v>
      </c>
      <c r="E157">
        <v>5.0830889540566995</v>
      </c>
      <c r="F157" t="s">
        <v>26</v>
      </c>
      <c r="G157" t="s">
        <v>2</v>
      </c>
      <c r="I157" t="s">
        <v>43</v>
      </c>
    </row>
    <row r="158" spans="1:10">
      <c r="A158" s="5" t="s">
        <v>7</v>
      </c>
      <c r="B158" t="s">
        <v>45</v>
      </c>
      <c r="C158">
        <v>55</v>
      </c>
      <c r="D158">
        <v>100.5</v>
      </c>
      <c r="E158">
        <v>5.3672316384180814</v>
      </c>
      <c r="F158" t="s">
        <v>26</v>
      </c>
      <c r="G158" t="s">
        <v>2</v>
      </c>
      <c r="I158" t="s">
        <v>43</v>
      </c>
    </row>
    <row r="159" spans="1:10">
      <c r="A159" s="6" t="s">
        <v>8</v>
      </c>
      <c r="B159" t="s">
        <v>45</v>
      </c>
      <c r="C159">
        <v>67.5</v>
      </c>
      <c r="D159">
        <v>93</v>
      </c>
      <c r="E159">
        <v>3.9256198347107412</v>
      </c>
      <c r="F159" t="s">
        <v>26</v>
      </c>
      <c r="G159" t="s">
        <v>2</v>
      </c>
      <c r="I159" t="s">
        <v>43</v>
      </c>
    </row>
    <row r="160" spans="1:10">
      <c r="A160" s="7" t="s">
        <v>9</v>
      </c>
      <c r="B160" t="s">
        <v>45</v>
      </c>
      <c r="C160">
        <v>71</v>
      </c>
      <c r="D160">
        <v>99.5</v>
      </c>
      <c r="E160">
        <v>3.5852713178294602</v>
      </c>
      <c r="F160" t="s">
        <v>26</v>
      </c>
      <c r="G160" t="s">
        <v>2</v>
      </c>
      <c r="I160" t="s">
        <v>43</v>
      </c>
    </row>
    <row r="161" spans="1:10">
      <c r="A161" s="37" t="s">
        <v>10</v>
      </c>
      <c r="B161" t="s">
        <v>45</v>
      </c>
      <c r="C161">
        <v>41.5</v>
      </c>
      <c r="D161">
        <v>100.9</v>
      </c>
      <c r="E161">
        <v>6.0521415270018624</v>
      </c>
      <c r="F161" t="s">
        <v>26</v>
      </c>
      <c r="G161" t="s">
        <v>2</v>
      </c>
      <c r="I161" t="s">
        <v>43</v>
      </c>
    </row>
    <row r="162" spans="1:10">
      <c r="A162" s="6" t="s">
        <v>11</v>
      </c>
      <c r="B162" t="s">
        <v>45</v>
      </c>
      <c r="C162">
        <v>73.5</v>
      </c>
      <c r="D162">
        <v>99.6</v>
      </c>
      <c r="E162">
        <v>6.1262959472196048</v>
      </c>
      <c r="F162" t="s">
        <v>26</v>
      </c>
      <c r="G162" t="s">
        <v>2</v>
      </c>
      <c r="I162" t="s">
        <v>43</v>
      </c>
    </row>
    <row r="163" spans="1:10">
      <c r="A163" s="7" t="s">
        <v>12</v>
      </c>
      <c r="B163" t="s">
        <v>45</v>
      </c>
      <c r="C163">
        <v>50</v>
      </c>
      <c r="D163">
        <v>98.4</v>
      </c>
      <c r="E163">
        <v>5.2935514918190565</v>
      </c>
      <c r="F163" t="s">
        <v>26</v>
      </c>
      <c r="G163" t="s">
        <v>2</v>
      </c>
      <c r="I163" t="s">
        <v>43</v>
      </c>
    </row>
    <row r="164" spans="1:10">
      <c r="A164" s="5" t="s">
        <v>13</v>
      </c>
      <c r="B164" t="s">
        <v>49</v>
      </c>
      <c r="C164">
        <v>48.5</v>
      </c>
      <c r="D164">
        <v>81.8</v>
      </c>
      <c r="E164">
        <v>5.1044083526682202</v>
      </c>
      <c r="F164" t="s">
        <v>26</v>
      </c>
      <c r="G164" t="s">
        <v>2</v>
      </c>
      <c r="I164" t="s">
        <v>43</v>
      </c>
    </row>
    <row r="165" spans="1:10">
      <c r="A165" s="6" t="s">
        <v>14</v>
      </c>
      <c r="B165" t="s">
        <v>49</v>
      </c>
      <c r="C165">
        <v>51.5</v>
      </c>
      <c r="D165">
        <v>84.2</v>
      </c>
      <c r="E165">
        <v>4.8587570621468892</v>
      </c>
      <c r="F165" t="s">
        <v>26</v>
      </c>
      <c r="G165" t="s">
        <v>2</v>
      </c>
      <c r="I165" t="s">
        <v>43</v>
      </c>
    </row>
    <row r="166" spans="1:10">
      <c r="A166" s="6" t="s">
        <v>15</v>
      </c>
      <c r="B166" t="s">
        <v>49</v>
      </c>
      <c r="C166">
        <v>56.5</v>
      </c>
      <c r="D166">
        <v>82.1</v>
      </c>
      <c r="E166">
        <v>4.2007001166861242</v>
      </c>
      <c r="F166" t="s">
        <v>26</v>
      </c>
      <c r="G166" t="s">
        <v>2</v>
      </c>
      <c r="I166" t="s">
        <v>43</v>
      </c>
    </row>
    <row r="167" spans="1:10">
      <c r="A167" s="6" t="s">
        <v>16</v>
      </c>
      <c r="B167" t="s">
        <v>49</v>
      </c>
      <c r="C167">
        <v>62.5</v>
      </c>
      <c r="D167">
        <v>82.3</v>
      </c>
      <c r="E167">
        <v>6.900452488687792</v>
      </c>
      <c r="F167" t="s">
        <v>26</v>
      </c>
      <c r="G167" t="s">
        <v>2</v>
      </c>
      <c r="I167" t="s">
        <v>43</v>
      </c>
    </row>
    <row r="168" spans="1:10">
      <c r="A168" s="38" t="s">
        <v>17</v>
      </c>
      <c r="B168" t="s">
        <v>49</v>
      </c>
      <c r="C168">
        <v>55</v>
      </c>
      <c r="D168">
        <v>85.9</v>
      </c>
      <c r="E168">
        <v>6.3249727371864743</v>
      </c>
      <c r="F168" t="s">
        <v>26</v>
      </c>
      <c r="G168" t="s">
        <v>2</v>
      </c>
      <c r="I168" t="s">
        <v>43</v>
      </c>
    </row>
    <row r="169" spans="1:10">
      <c r="A169" s="7" t="s">
        <v>18</v>
      </c>
      <c r="B169" t="s">
        <v>49</v>
      </c>
      <c r="C169">
        <v>76.333333333333329</v>
      </c>
      <c r="D169">
        <v>93.6</v>
      </c>
      <c r="E169">
        <v>4.9746192893401071</v>
      </c>
      <c r="F169" t="s">
        <v>26</v>
      </c>
      <c r="G169" t="s">
        <v>2</v>
      </c>
      <c r="I169" t="s">
        <v>43</v>
      </c>
    </row>
    <row r="170" spans="1:10">
      <c r="A170" s="37" t="s">
        <v>19</v>
      </c>
      <c r="B170" t="s">
        <v>49</v>
      </c>
      <c r="F170" t="s">
        <v>26</v>
      </c>
      <c r="G170" t="s">
        <v>2</v>
      </c>
      <c r="I170" t="s">
        <v>43</v>
      </c>
      <c r="J170" t="s">
        <v>158</v>
      </c>
    </row>
    <row r="171" spans="1:10">
      <c r="A171" s="6" t="s">
        <v>20</v>
      </c>
      <c r="B171" t="s">
        <v>49</v>
      </c>
      <c r="C171">
        <v>44.5</v>
      </c>
      <c r="D171">
        <v>100.7</v>
      </c>
      <c r="E171">
        <v>6.7592592592592569</v>
      </c>
      <c r="F171" t="s">
        <v>26</v>
      </c>
      <c r="G171" t="s">
        <v>2</v>
      </c>
      <c r="I171" t="s">
        <v>43</v>
      </c>
    </row>
    <row r="172" spans="1:10">
      <c r="A172" s="7" t="s">
        <v>21</v>
      </c>
      <c r="B172" t="s">
        <v>49</v>
      </c>
      <c r="C172">
        <v>43.333333333333336</v>
      </c>
      <c r="D172">
        <v>107.9</v>
      </c>
      <c r="E172">
        <v>5.5993000874890564</v>
      </c>
      <c r="F172" t="s">
        <v>26</v>
      </c>
      <c r="G172" t="s">
        <v>2</v>
      </c>
      <c r="I172" t="s">
        <v>43</v>
      </c>
    </row>
    <row r="173" spans="1:10">
      <c r="A173" s="5" t="s">
        <v>3</v>
      </c>
      <c r="B173" t="s">
        <v>46</v>
      </c>
      <c r="C173">
        <v>206</v>
      </c>
      <c r="D173">
        <v>100.9</v>
      </c>
      <c r="E173">
        <v>2.8542303771661688</v>
      </c>
      <c r="F173" t="s">
        <v>1</v>
      </c>
      <c r="G173" t="s">
        <v>2</v>
      </c>
      <c r="H173" t="s">
        <v>169</v>
      </c>
      <c r="I173" t="s">
        <v>43</v>
      </c>
    </row>
    <row r="174" spans="1:10">
      <c r="A174" s="6" t="s">
        <v>4</v>
      </c>
      <c r="B174" t="s">
        <v>46</v>
      </c>
      <c r="C174">
        <v>326</v>
      </c>
      <c r="D174">
        <v>98.2</v>
      </c>
      <c r="E174">
        <v>5.1391862955032082</v>
      </c>
      <c r="F174" t="s">
        <v>1</v>
      </c>
      <c r="G174" t="s">
        <v>2</v>
      </c>
      <c r="H174" t="s">
        <v>169</v>
      </c>
      <c r="I174" t="s">
        <v>43</v>
      </c>
    </row>
    <row r="175" spans="1:10">
      <c r="A175" s="6" t="s">
        <v>5</v>
      </c>
      <c r="B175" t="s">
        <v>46</v>
      </c>
      <c r="C175">
        <v>139.5</v>
      </c>
      <c r="D175">
        <v>103</v>
      </c>
      <c r="E175">
        <v>3.7260825780463276</v>
      </c>
      <c r="F175" t="s">
        <v>1</v>
      </c>
      <c r="G175" t="s">
        <v>2</v>
      </c>
      <c r="H175" t="s">
        <v>169</v>
      </c>
      <c r="I175" t="s">
        <v>43</v>
      </c>
    </row>
    <row r="176" spans="1:10">
      <c r="A176" s="36" t="s">
        <v>6</v>
      </c>
      <c r="B176" t="s">
        <v>46</v>
      </c>
      <c r="C176">
        <v>78</v>
      </c>
      <c r="D176">
        <v>102.8</v>
      </c>
      <c r="E176">
        <v>4.5778229908443535</v>
      </c>
      <c r="F176" t="s">
        <v>1</v>
      </c>
      <c r="G176" t="s">
        <v>2</v>
      </c>
      <c r="H176" t="s">
        <v>169</v>
      </c>
      <c r="I176" t="s">
        <v>43</v>
      </c>
    </row>
    <row r="177" spans="1:10">
      <c r="A177" s="5" t="s">
        <v>7</v>
      </c>
      <c r="B177" t="s">
        <v>46</v>
      </c>
      <c r="C177">
        <v>205.5</v>
      </c>
      <c r="D177">
        <v>106.3</v>
      </c>
      <c r="E177">
        <v>3.9100684261974585</v>
      </c>
      <c r="F177" t="s">
        <v>1</v>
      </c>
      <c r="G177" t="s">
        <v>2</v>
      </c>
      <c r="H177" t="s">
        <v>169</v>
      </c>
      <c r="I177" t="s">
        <v>43</v>
      </c>
    </row>
    <row r="178" spans="1:10">
      <c r="A178" s="6" t="s">
        <v>8</v>
      </c>
      <c r="B178" t="s">
        <v>46</v>
      </c>
      <c r="C178">
        <v>367</v>
      </c>
      <c r="D178">
        <v>98.5</v>
      </c>
      <c r="E178">
        <v>3.3578174186778624</v>
      </c>
      <c r="F178" t="s">
        <v>1</v>
      </c>
      <c r="G178" t="s">
        <v>2</v>
      </c>
      <c r="H178" t="s">
        <v>169</v>
      </c>
      <c r="I178" t="s">
        <v>43</v>
      </c>
    </row>
    <row r="179" spans="1:10">
      <c r="A179" s="7" t="s">
        <v>9</v>
      </c>
      <c r="B179" t="s">
        <v>46</v>
      </c>
      <c r="C179">
        <v>349</v>
      </c>
      <c r="D179">
        <v>106.3</v>
      </c>
      <c r="E179">
        <v>7.2653884964682174</v>
      </c>
      <c r="F179" t="s">
        <v>1</v>
      </c>
      <c r="G179" t="s">
        <v>2</v>
      </c>
      <c r="H179" t="s">
        <v>169</v>
      </c>
      <c r="I179" t="s">
        <v>43</v>
      </c>
    </row>
    <row r="180" spans="1:10">
      <c r="A180" s="37" t="s">
        <v>10</v>
      </c>
      <c r="B180" t="s">
        <v>46</v>
      </c>
      <c r="C180">
        <v>45</v>
      </c>
      <c r="D180">
        <v>106</v>
      </c>
      <c r="E180">
        <v>3.9215686274509802</v>
      </c>
      <c r="F180" t="s">
        <v>1</v>
      </c>
      <c r="G180" t="s">
        <v>2</v>
      </c>
      <c r="H180" t="s">
        <v>169</v>
      </c>
      <c r="I180" t="s">
        <v>43</v>
      </c>
    </row>
    <row r="181" spans="1:10">
      <c r="A181" s="6" t="s">
        <v>11</v>
      </c>
      <c r="B181" t="s">
        <v>46</v>
      </c>
      <c r="C181">
        <v>321.5</v>
      </c>
      <c r="D181">
        <v>106.5</v>
      </c>
      <c r="E181">
        <v>2.4038461538461542</v>
      </c>
      <c r="F181" t="s">
        <v>1</v>
      </c>
      <c r="G181" t="s">
        <v>2</v>
      </c>
      <c r="H181" t="s">
        <v>169</v>
      </c>
      <c r="I181" t="s">
        <v>43</v>
      </c>
    </row>
    <row r="182" spans="1:10">
      <c r="A182" s="7" t="s">
        <v>12</v>
      </c>
      <c r="B182" t="s">
        <v>46</v>
      </c>
      <c r="C182">
        <v>330.5</v>
      </c>
      <c r="D182">
        <v>105.8</v>
      </c>
      <c r="E182">
        <v>3.7254901960784284</v>
      </c>
      <c r="F182" t="s">
        <v>1</v>
      </c>
      <c r="G182" t="s">
        <v>2</v>
      </c>
      <c r="H182" t="s">
        <v>169</v>
      </c>
      <c r="I182" t="s">
        <v>43</v>
      </c>
    </row>
    <row r="183" spans="1:10">
      <c r="A183" s="5" t="s">
        <v>13</v>
      </c>
      <c r="B183" t="s">
        <v>50</v>
      </c>
      <c r="C183">
        <v>71.5</v>
      </c>
      <c r="D183">
        <v>87.3</v>
      </c>
      <c r="E183">
        <v>5.0541516245487399</v>
      </c>
      <c r="F183" t="s">
        <v>1</v>
      </c>
      <c r="G183" t="s">
        <v>2</v>
      </c>
      <c r="H183" t="s">
        <v>169</v>
      </c>
      <c r="I183" t="s">
        <v>43</v>
      </c>
    </row>
    <row r="184" spans="1:10">
      <c r="A184" s="6" t="s">
        <v>14</v>
      </c>
      <c r="B184" t="s">
        <v>50</v>
      </c>
      <c r="C184">
        <v>59</v>
      </c>
      <c r="D184">
        <v>87.6</v>
      </c>
      <c r="E184">
        <v>4.0380047505938137</v>
      </c>
      <c r="F184" t="s">
        <v>1</v>
      </c>
      <c r="G184" t="s">
        <v>2</v>
      </c>
      <c r="H184" t="s">
        <v>169</v>
      </c>
      <c r="I184" t="s">
        <v>43</v>
      </c>
    </row>
    <row r="185" spans="1:10">
      <c r="A185" s="6" t="s">
        <v>15</v>
      </c>
      <c r="B185" t="s">
        <v>50</v>
      </c>
      <c r="C185">
        <v>69.5</v>
      </c>
      <c r="D185">
        <v>87.2</v>
      </c>
      <c r="E185">
        <v>5.186972255729791</v>
      </c>
      <c r="F185" t="s">
        <v>1</v>
      </c>
      <c r="G185" t="s">
        <v>2</v>
      </c>
      <c r="H185" t="s">
        <v>169</v>
      </c>
      <c r="I185" t="s">
        <v>43</v>
      </c>
    </row>
    <row r="186" spans="1:10">
      <c r="A186" s="6" t="s">
        <v>16</v>
      </c>
      <c r="B186" t="s">
        <v>50</v>
      </c>
      <c r="C186">
        <v>67.5</v>
      </c>
      <c r="D186">
        <v>89.5</v>
      </c>
      <c r="E186">
        <v>5.1703877790834376</v>
      </c>
      <c r="F186" t="s">
        <v>1</v>
      </c>
      <c r="G186" t="s">
        <v>2</v>
      </c>
      <c r="H186" t="s">
        <v>169</v>
      </c>
      <c r="I186" t="s">
        <v>43</v>
      </c>
    </row>
    <row r="187" spans="1:10">
      <c r="A187" s="38" t="s">
        <v>17</v>
      </c>
      <c r="B187" t="s">
        <v>50</v>
      </c>
      <c r="C187">
        <v>77</v>
      </c>
      <c r="D187">
        <v>90.9</v>
      </c>
      <c r="E187">
        <v>3.7671232876712457</v>
      </c>
      <c r="F187" t="s">
        <v>1</v>
      </c>
      <c r="G187" t="s">
        <v>2</v>
      </c>
      <c r="H187" t="s">
        <v>169</v>
      </c>
      <c r="I187" t="s">
        <v>43</v>
      </c>
    </row>
    <row r="188" spans="1:10">
      <c r="A188" s="7" t="s">
        <v>18</v>
      </c>
      <c r="B188" t="s">
        <v>50</v>
      </c>
      <c r="C188">
        <v>78.5</v>
      </c>
      <c r="D188">
        <v>93.1</v>
      </c>
      <c r="E188">
        <v>-2.4109014675052531</v>
      </c>
      <c r="F188" t="s">
        <v>1</v>
      </c>
      <c r="G188" t="s">
        <v>2</v>
      </c>
      <c r="H188" t="s">
        <v>169</v>
      </c>
      <c r="I188" t="s">
        <v>43</v>
      </c>
    </row>
    <row r="189" spans="1:10">
      <c r="A189" s="37" t="s">
        <v>19</v>
      </c>
      <c r="B189" t="s">
        <v>50</v>
      </c>
      <c r="F189" t="s">
        <v>1</v>
      </c>
      <c r="G189" t="s">
        <v>2</v>
      </c>
      <c r="H189" t="s">
        <v>169</v>
      </c>
      <c r="I189" t="s">
        <v>43</v>
      </c>
      <c r="J189" t="s">
        <v>158</v>
      </c>
    </row>
    <row r="190" spans="1:10">
      <c r="A190" s="6" t="s">
        <v>20</v>
      </c>
      <c r="B190" t="s">
        <v>50</v>
      </c>
      <c r="C190">
        <v>352</v>
      </c>
      <c r="D190">
        <v>107.8</v>
      </c>
      <c r="E190">
        <v>5.4794520547945149</v>
      </c>
      <c r="F190" t="s">
        <v>1</v>
      </c>
      <c r="G190" t="s">
        <v>2</v>
      </c>
      <c r="H190" t="s">
        <v>169</v>
      </c>
      <c r="I190" t="s">
        <v>43</v>
      </c>
    </row>
    <row r="191" spans="1:10">
      <c r="A191" s="7" t="s">
        <v>21</v>
      </c>
      <c r="B191" t="s">
        <v>50</v>
      </c>
      <c r="C191">
        <v>308</v>
      </c>
      <c r="D191">
        <v>116.6</v>
      </c>
      <c r="E191">
        <v>6.3868613138686134</v>
      </c>
      <c r="F191" t="s">
        <v>1</v>
      </c>
      <c r="G191" t="s">
        <v>2</v>
      </c>
      <c r="H191" t="s">
        <v>169</v>
      </c>
      <c r="I191" t="s">
        <v>43</v>
      </c>
    </row>
    <row r="192" spans="1:10">
      <c r="A192" s="5" t="s">
        <v>3</v>
      </c>
      <c r="B192" t="s">
        <v>53</v>
      </c>
      <c r="D192">
        <v>104.5</v>
      </c>
      <c r="F192" t="s">
        <v>33</v>
      </c>
      <c r="G192" t="s">
        <v>34</v>
      </c>
    </row>
    <row r="193" spans="1:10">
      <c r="A193" s="6" t="s">
        <v>4</v>
      </c>
      <c r="B193" t="s">
        <v>53</v>
      </c>
      <c r="D193">
        <v>98.1</v>
      </c>
      <c r="F193" t="s">
        <v>33</v>
      </c>
      <c r="G193" t="s">
        <v>34</v>
      </c>
    </row>
    <row r="194" spans="1:10">
      <c r="A194" s="6" t="s">
        <v>5</v>
      </c>
      <c r="B194" t="s">
        <v>53</v>
      </c>
      <c r="D194">
        <v>106.7</v>
      </c>
      <c r="F194" t="s">
        <v>33</v>
      </c>
      <c r="G194" t="s">
        <v>34</v>
      </c>
    </row>
    <row r="195" spans="1:10">
      <c r="A195" s="36" t="s">
        <v>6</v>
      </c>
      <c r="B195" t="s">
        <v>53</v>
      </c>
      <c r="D195">
        <v>105.7</v>
      </c>
      <c r="F195" t="s">
        <v>33</v>
      </c>
      <c r="G195" t="s">
        <v>34</v>
      </c>
    </row>
    <row r="196" spans="1:10">
      <c r="A196" s="5" t="s">
        <v>7</v>
      </c>
      <c r="B196" t="s">
        <v>53</v>
      </c>
      <c r="D196">
        <v>110.1</v>
      </c>
      <c r="F196" t="s">
        <v>33</v>
      </c>
      <c r="G196" t="s">
        <v>34</v>
      </c>
    </row>
    <row r="197" spans="1:10">
      <c r="A197" s="6" t="s">
        <v>8</v>
      </c>
      <c r="B197" t="s">
        <v>53</v>
      </c>
      <c r="D197">
        <v>102.3</v>
      </c>
      <c r="F197" t="s">
        <v>33</v>
      </c>
      <c r="G197" t="s">
        <v>34</v>
      </c>
    </row>
    <row r="198" spans="1:10">
      <c r="A198" s="7" t="s">
        <v>9</v>
      </c>
      <c r="B198" t="s">
        <v>53</v>
      </c>
      <c r="D198">
        <v>110.3</v>
      </c>
      <c r="F198" t="s">
        <v>33</v>
      </c>
      <c r="G198" t="s">
        <v>34</v>
      </c>
    </row>
    <row r="199" spans="1:10">
      <c r="A199" s="37" t="s">
        <v>10</v>
      </c>
      <c r="B199" t="s">
        <v>53</v>
      </c>
      <c r="D199">
        <v>109.9</v>
      </c>
      <c r="F199" t="s">
        <v>33</v>
      </c>
      <c r="G199" t="s">
        <v>34</v>
      </c>
    </row>
    <row r="200" spans="1:10">
      <c r="A200" s="6" t="s">
        <v>11</v>
      </c>
      <c r="B200" t="s">
        <v>53</v>
      </c>
      <c r="D200">
        <v>108.3</v>
      </c>
      <c r="F200" t="s">
        <v>33</v>
      </c>
      <c r="G200" t="s">
        <v>34</v>
      </c>
    </row>
    <row r="201" spans="1:10">
      <c r="A201" s="7" t="s">
        <v>12</v>
      </c>
      <c r="B201" t="s">
        <v>53</v>
      </c>
      <c r="D201">
        <v>107.4</v>
      </c>
      <c r="F201" t="s">
        <v>33</v>
      </c>
      <c r="G201" t="s">
        <v>34</v>
      </c>
    </row>
    <row r="202" spans="1:10">
      <c r="A202" s="5" t="s">
        <v>13</v>
      </c>
      <c r="B202" t="s">
        <v>55</v>
      </c>
      <c r="D202">
        <v>89</v>
      </c>
      <c r="F202" t="s">
        <v>33</v>
      </c>
      <c r="G202" t="s">
        <v>34</v>
      </c>
    </row>
    <row r="203" spans="1:10">
      <c r="A203" s="6" t="s">
        <v>14</v>
      </c>
      <c r="B203" t="s">
        <v>55</v>
      </c>
      <c r="D203">
        <v>89.5</v>
      </c>
      <c r="F203" t="s">
        <v>33</v>
      </c>
      <c r="G203" t="s">
        <v>34</v>
      </c>
    </row>
    <row r="204" spans="1:10">
      <c r="A204" s="6" t="s">
        <v>15</v>
      </c>
      <c r="B204" t="s">
        <v>55</v>
      </c>
      <c r="D204">
        <v>90.4</v>
      </c>
      <c r="F204" t="s">
        <v>33</v>
      </c>
      <c r="G204" t="s">
        <v>34</v>
      </c>
    </row>
    <row r="205" spans="1:10">
      <c r="A205" s="6" t="s">
        <v>16</v>
      </c>
      <c r="B205" t="s">
        <v>55</v>
      </c>
      <c r="D205">
        <v>93.4</v>
      </c>
      <c r="F205" t="s">
        <v>33</v>
      </c>
      <c r="G205" t="s">
        <v>34</v>
      </c>
    </row>
    <row r="206" spans="1:10">
      <c r="A206" s="38" t="s">
        <v>17</v>
      </c>
      <c r="B206" t="s">
        <v>55</v>
      </c>
      <c r="D206">
        <v>95</v>
      </c>
      <c r="F206" t="s">
        <v>33</v>
      </c>
      <c r="G206" t="s">
        <v>34</v>
      </c>
    </row>
    <row r="207" spans="1:10">
      <c r="A207" s="7" t="s">
        <v>18</v>
      </c>
      <c r="B207" t="s">
        <v>55</v>
      </c>
      <c r="D207">
        <v>97.4</v>
      </c>
      <c r="F207" t="s">
        <v>33</v>
      </c>
      <c r="G207" t="s">
        <v>34</v>
      </c>
    </row>
    <row r="208" spans="1:10">
      <c r="A208" s="37" t="s">
        <v>19</v>
      </c>
      <c r="B208" t="s">
        <v>55</v>
      </c>
      <c r="F208" t="s">
        <v>33</v>
      </c>
      <c r="G208" t="s">
        <v>34</v>
      </c>
      <c r="J208" t="s">
        <v>158</v>
      </c>
    </row>
    <row r="209" spans="1:9">
      <c r="A209" s="6" t="s">
        <v>20</v>
      </c>
      <c r="B209" t="s">
        <v>55</v>
      </c>
      <c r="D209">
        <v>109.5</v>
      </c>
      <c r="F209" t="s">
        <v>33</v>
      </c>
      <c r="G209" t="s">
        <v>34</v>
      </c>
    </row>
    <row r="210" spans="1:9">
      <c r="A210" s="7" t="s">
        <v>21</v>
      </c>
      <c r="B210" t="s">
        <v>55</v>
      </c>
      <c r="D210">
        <v>117.6</v>
      </c>
      <c r="F210" t="s">
        <v>33</v>
      </c>
      <c r="G210" t="s">
        <v>34</v>
      </c>
    </row>
    <row r="211" spans="1:9">
      <c r="A211" s="5" t="s">
        <v>3</v>
      </c>
      <c r="B211" t="s">
        <v>54</v>
      </c>
      <c r="C211">
        <v>50</v>
      </c>
      <c r="D211">
        <v>99.5</v>
      </c>
      <c r="E211">
        <v>1.3875123885034744</v>
      </c>
      <c r="F211" t="s">
        <v>26</v>
      </c>
      <c r="G211" t="s">
        <v>2</v>
      </c>
      <c r="H211" t="s">
        <v>164</v>
      </c>
      <c r="I211" t="s">
        <v>51</v>
      </c>
    </row>
    <row r="212" spans="1:9">
      <c r="A212" s="6" t="s">
        <v>4</v>
      </c>
      <c r="B212" t="s">
        <v>54</v>
      </c>
      <c r="C212">
        <v>34</v>
      </c>
      <c r="D212">
        <v>94.3</v>
      </c>
      <c r="E212">
        <v>3.9714867617107998</v>
      </c>
      <c r="F212" t="s">
        <v>26</v>
      </c>
      <c r="G212" t="s">
        <v>2</v>
      </c>
      <c r="H212" t="s">
        <v>164</v>
      </c>
      <c r="I212" t="s">
        <v>51</v>
      </c>
    </row>
    <row r="213" spans="1:9">
      <c r="A213" s="6" t="s">
        <v>5</v>
      </c>
      <c r="B213" t="s">
        <v>54</v>
      </c>
      <c r="C213">
        <v>38.5</v>
      </c>
      <c r="D213">
        <v>102.1</v>
      </c>
      <c r="E213">
        <v>0.8737864077669959</v>
      </c>
      <c r="F213" t="s">
        <v>26</v>
      </c>
      <c r="G213" t="s">
        <v>2</v>
      </c>
      <c r="H213" t="s">
        <v>164</v>
      </c>
      <c r="I213" t="s">
        <v>51</v>
      </c>
    </row>
    <row r="214" spans="1:9">
      <c r="A214" s="36" t="s">
        <v>6</v>
      </c>
      <c r="B214" t="s">
        <v>54</v>
      </c>
      <c r="C214">
        <v>63.5</v>
      </c>
      <c r="D214">
        <v>101</v>
      </c>
      <c r="E214">
        <v>1.7509727626459117</v>
      </c>
      <c r="F214" t="s">
        <v>26</v>
      </c>
      <c r="G214" t="s">
        <v>2</v>
      </c>
      <c r="H214" t="s">
        <v>164</v>
      </c>
      <c r="I214" t="s">
        <v>51</v>
      </c>
    </row>
    <row r="215" spans="1:9">
      <c r="A215" s="5" t="s">
        <v>7</v>
      </c>
      <c r="B215" t="s">
        <v>54</v>
      </c>
      <c r="C215">
        <v>46</v>
      </c>
      <c r="D215">
        <v>103.4</v>
      </c>
      <c r="E215">
        <v>2.7281279397930307</v>
      </c>
      <c r="F215" t="s">
        <v>26</v>
      </c>
      <c r="G215" t="s">
        <v>2</v>
      </c>
      <c r="H215" t="s">
        <v>164</v>
      </c>
      <c r="I215" t="s">
        <v>51</v>
      </c>
    </row>
    <row r="216" spans="1:9">
      <c r="A216" s="6" t="s">
        <v>8</v>
      </c>
      <c r="B216" t="s">
        <v>54</v>
      </c>
      <c r="C216">
        <v>61.5</v>
      </c>
      <c r="D216">
        <v>96.7</v>
      </c>
      <c r="E216">
        <v>1.8274111675126874</v>
      </c>
      <c r="F216" t="s">
        <v>26</v>
      </c>
      <c r="G216" t="s">
        <v>2</v>
      </c>
      <c r="H216" t="s">
        <v>164</v>
      </c>
      <c r="I216" t="s">
        <v>51</v>
      </c>
    </row>
    <row r="217" spans="1:9">
      <c r="A217" s="7" t="s">
        <v>9</v>
      </c>
      <c r="B217" t="s">
        <v>54</v>
      </c>
      <c r="C217">
        <v>50.5</v>
      </c>
      <c r="D217">
        <v>105.5</v>
      </c>
      <c r="E217">
        <v>0.752587017873939</v>
      </c>
      <c r="F217" t="s">
        <v>26</v>
      </c>
      <c r="G217" t="s">
        <v>2</v>
      </c>
      <c r="H217" t="s">
        <v>164</v>
      </c>
      <c r="I217" t="s">
        <v>51</v>
      </c>
    </row>
    <row r="218" spans="1:9">
      <c r="A218" s="37" t="s">
        <v>10</v>
      </c>
      <c r="B218" t="s">
        <v>54</v>
      </c>
      <c r="C218">
        <v>52</v>
      </c>
      <c r="D218">
        <v>104.7</v>
      </c>
      <c r="E218">
        <v>1.2264150943396199</v>
      </c>
      <c r="F218" t="s">
        <v>26</v>
      </c>
      <c r="G218" t="s">
        <v>2</v>
      </c>
      <c r="H218" t="s">
        <v>164</v>
      </c>
      <c r="I218" t="s">
        <v>51</v>
      </c>
    </row>
    <row r="219" spans="1:9">
      <c r="A219" s="6" t="s">
        <v>11</v>
      </c>
      <c r="B219" t="s">
        <v>54</v>
      </c>
      <c r="C219">
        <v>63.5</v>
      </c>
      <c r="D219">
        <v>102.9</v>
      </c>
      <c r="E219">
        <v>3.3802816901408397</v>
      </c>
      <c r="F219" t="s">
        <v>26</v>
      </c>
      <c r="G219" t="s">
        <v>2</v>
      </c>
      <c r="H219" t="s">
        <v>164</v>
      </c>
      <c r="I219" t="s">
        <v>51</v>
      </c>
    </row>
    <row r="220" spans="1:9">
      <c r="A220" s="7" t="s">
        <v>12</v>
      </c>
      <c r="B220" t="s">
        <v>54</v>
      </c>
      <c r="C220">
        <v>73.5</v>
      </c>
      <c r="D220">
        <v>99.9</v>
      </c>
      <c r="E220">
        <v>5.576559546313792</v>
      </c>
      <c r="F220" t="s">
        <v>26</v>
      </c>
      <c r="G220" t="s">
        <v>2</v>
      </c>
      <c r="H220" t="s">
        <v>164</v>
      </c>
      <c r="I220" t="s">
        <v>51</v>
      </c>
    </row>
    <row r="221" spans="1:9">
      <c r="A221" s="5" t="s">
        <v>13</v>
      </c>
      <c r="B221" t="s">
        <v>56</v>
      </c>
      <c r="C221">
        <v>63</v>
      </c>
      <c r="D221">
        <v>83.8</v>
      </c>
      <c r="E221">
        <v>4.0091638029782359</v>
      </c>
      <c r="F221" t="s">
        <v>26</v>
      </c>
      <c r="G221" t="s">
        <v>2</v>
      </c>
      <c r="H221" t="s">
        <v>164</v>
      </c>
      <c r="I221" t="s">
        <v>51</v>
      </c>
    </row>
    <row r="222" spans="1:9">
      <c r="A222" s="6" t="s">
        <v>14</v>
      </c>
      <c r="B222" t="s">
        <v>56</v>
      </c>
      <c r="C222">
        <v>60</v>
      </c>
      <c r="D222">
        <v>84.5</v>
      </c>
      <c r="E222">
        <v>3.5388127853881213</v>
      </c>
      <c r="F222" t="s">
        <v>26</v>
      </c>
      <c r="G222" t="s">
        <v>2</v>
      </c>
      <c r="H222" t="s">
        <v>164</v>
      </c>
      <c r="I222" t="s">
        <v>51</v>
      </c>
    </row>
    <row r="223" spans="1:9">
      <c r="A223" s="6" t="s">
        <v>15</v>
      </c>
      <c r="B223" t="s">
        <v>56</v>
      </c>
      <c r="C223">
        <v>56.5</v>
      </c>
      <c r="D223">
        <v>85.4</v>
      </c>
      <c r="E223">
        <v>2.0642201834862353</v>
      </c>
      <c r="F223" t="s">
        <v>26</v>
      </c>
      <c r="G223" t="s">
        <v>2</v>
      </c>
      <c r="H223" t="s">
        <v>164</v>
      </c>
      <c r="I223" t="s">
        <v>51</v>
      </c>
    </row>
    <row r="224" spans="1:9">
      <c r="A224" s="6" t="s">
        <v>16</v>
      </c>
      <c r="B224" t="s">
        <v>56</v>
      </c>
      <c r="C224">
        <v>54</v>
      </c>
      <c r="D224">
        <v>87.4</v>
      </c>
      <c r="E224">
        <v>2.3463687150837926</v>
      </c>
      <c r="F224" t="s">
        <v>26</v>
      </c>
      <c r="G224" t="s">
        <v>2</v>
      </c>
      <c r="H224" t="s">
        <v>164</v>
      </c>
      <c r="I224" t="s">
        <v>51</v>
      </c>
    </row>
    <row r="225" spans="1:10">
      <c r="A225" s="38" t="s">
        <v>17</v>
      </c>
      <c r="B225" t="s">
        <v>56</v>
      </c>
      <c r="C225">
        <v>58</v>
      </c>
      <c r="D225">
        <v>89.2</v>
      </c>
      <c r="E225">
        <v>1.8701870187018732</v>
      </c>
      <c r="F225" t="s">
        <v>26</v>
      </c>
      <c r="G225" t="s">
        <v>2</v>
      </c>
      <c r="H225" t="s">
        <v>164</v>
      </c>
      <c r="I225" t="s">
        <v>51</v>
      </c>
    </row>
    <row r="226" spans="1:10">
      <c r="A226" s="7" t="s">
        <v>18</v>
      </c>
      <c r="B226" t="s">
        <v>56</v>
      </c>
      <c r="C226">
        <v>63.333333333333336</v>
      </c>
      <c r="D226">
        <v>90.5</v>
      </c>
      <c r="E226">
        <v>2.7926960257787266</v>
      </c>
      <c r="F226" t="s">
        <v>26</v>
      </c>
      <c r="G226" t="s">
        <v>2</v>
      </c>
      <c r="H226" t="s">
        <v>164</v>
      </c>
      <c r="I226" t="s">
        <v>51</v>
      </c>
    </row>
    <row r="227" spans="1:10">
      <c r="A227" s="37" t="s">
        <v>19</v>
      </c>
      <c r="B227" t="s">
        <v>56</v>
      </c>
      <c r="F227" t="s">
        <v>26</v>
      </c>
      <c r="G227" t="s">
        <v>2</v>
      </c>
      <c r="H227" t="s">
        <v>164</v>
      </c>
      <c r="I227" t="s">
        <v>51</v>
      </c>
      <c r="J227" t="s">
        <v>158</v>
      </c>
    </row>
    <row r="228" spans="1:10">
      <c r="A228" s="6" t="s">
        <v>20</v>
      </c>
      <c r="B228" t="s">
        <v>56</v>
      </c>
      <c r="C228">
        <v>66.5</v>
      </c>
      <c r="D228">
        <v>102</v>
      </c>
      <c r="E228">
        <v>5.3803339517625206</v>
      </c>
      <c r="F228" t="s">
        <v>26</v>
      </c>
      <c r="G228" t="s">
        <v>2</v>
      </c>
      <c r="H228" t="s">
        <v>164</v>
      </c>
      <c r="I228" t="s">
        <v>51</v>
      </c>
    </row>
    <row r="229" spans="1:10">
      <c r="A229" s="7" t="s">
        <v>21</v>
      </c>
      <c r="B229" t="s">
        <v>56</v>
      </c>
      <c r="C229">
        <v>47</v>
      </c>
      <c r="D229">
        <v>111.9</v>
      </c>
      <c r="E229">
        <v>4.0308747855917568</v>
      </c>
      <c r="F229" t="s">
        <v>26</v>
      </c>
      <c r="G229" t="s">
        <v>2</v>
      </c>
      <c r="H229" t="s">
        <v>164</v>
      </c>
      <c r="I229" t="s">
        <v>51</v>
      </c>
    </row>
    <row r="230" spans="1:10">
      <c r="A230" s="5" t="s">
        <v>3</v>
      </c>
      <c r="B230" t="s">
        <v>57</v>
      </c>
      <c r="C230">
        <v>221</v>
      </c>
      <c r="D230">
        <v>104.4</v>
      </c>
      <c r="E230">
        <v>3.4687809712586719</v>
      </c>
      <c r="F230" t="s">
        <v>1</v>
      </c>
      <c r="G230" t="s">
        <v>2</v>
      </c>
      <c r="H230" t="s">
        <v>166</v>
      </c>
      <c r="I230" t="s">
        <v>51</v>
      </c>
    </row>
    <row r="231" spans="1:10">
      <c r="A231" s="6" t="s">
        <v>4</v>
      </c>
      <c r="B231" t="s">
        <v>57</v>
      </c>
      <c r="C231">
        <v>309</v>
      </c>
      <c r="D231">
        <v>98.8</v>
      </c>
      <c r="E231">
        <v>0.61099796334011636</v>
      </c>
      <c r="F231" t="s">
        <v>1</v>
      </c>
      <c r="G231" t="s">
        <v>2</v>
      </c>
      <c r="H231" t="s">
        <v>166</v>
      </c>
      <c r="I231" t="s">
        <v>51</v>
      </c>
    </row>
    <row r="232" spans="1:10">
      <c r="A232" s="6" t="s">
        <v>5</v>
      </c>
      <c r="B232" t="s">
        <v>57</v>
      </c>
      <c r="C232">
        <v>248.5</v>
      </c>
      <c r="D232">
        <v>107</v>
      </c>
      <c r="E232">
        <v>3.8834951456310676</v>
      </c>
      <c r="F232" t="s">
        <v>1</v>
      </c>
      <c r="G232" t="s">
        <v>2</v>
      </c>
      <c r="H232" t="s">
        <v>166</v>
      </c>
      <c r="I232" t="s">
        <v>51</v>
      </c>
    </row>
    <row r="233" spans="1:10">
      <c r="A233" s="36" t="s">
        <v>6</v>
      </c>
      <c r="B233" t="s">
        <v>57</v>
      </c>
      <c r="C233">
        <v>63</v>
      </c>
      <c r="D233">
        <v>105</v>
      </c>
      <c r="E233">
        <v>2.1400778210116758</v>
      </c>
      <c r="F233" t="s">
        <v>1</v>
      </c>
      <c r="G233" t="s">
        <v>2</v>
      </c>
      <c r="H233" t="s">
        <v>166</v>
      </c>
      <c r="I233" t="s">
        <v>51</v>
      </c>
    </row>
    <row r="234" spans="1:10">
      <c r="A234" s="5" t="s">
        <v>7</v>
      </c>
      <c r="B234" t="s">
        <v>57</v>
      </c>
      <c r="C234">
        <v>225.5</v>
      </c>
      <c r="D234">
        <v>108.3</v>
      </c>
      <c r="E234">
        <v>1.8814675446848543</v>
      </c>
      <c r="F234" t="s">
        <v>1</v>
      </c>
      <c r="G234" t="s">
        <v>2</v>
      </c>
      <c r="H234" t="s">
        <v>166</v>
      </c>
      <c r="I234" t="s">
        <v>51</v>
      </c>
    </row>
    <row r="235" spans="1:10">
      <c r="A235" s="6" t="s">
        <v>8</v>
      </c>
      <c r="B235" t="s">
        <v>57</v>
      </c>
      <c r="C235">
        <v>514</v>
      </c>
      <c r="D235">
        <v>103.2</v>
      </c>
      <c r="E235">
        <v>4.771573604060916</v>
      </c>
      <c r="F235" t="s">
        <v>1</v>
      </c>
      <c r="G235" t="s">
        <v>2</v>
      </c>
      <c r="H235" t="s">
        <v>166</v>
      </c>
      <c r="I235" t="s">
        <v>51</v>
      </c>
    </row>
    <row r="236" spans="1:10">
      <c r="A236" s="7" t="s">
        <v>9</v>
      </c>
      <c r="B236" t="s">
        <v>57</v>
      </c>
      <c r="C236">
        <v>391.5</v>
      </c>
      <c r="D236">
        <v>112.6</v>
      </c>
      <c r="E236">
        <v>5.9266227657572879</v>
      </c>
      <c r="F236" t="s">
        <v>1</v>
      </c>
      <c r="G236" t="s">
        <v>2</v>
      </c>
      <c r="H236" t="s">
        <v>166</v>
      </c>
      <c r="I236" t="s">
        <v>51</v>
      </c>
    </row>
    <row r="237" spans="1:10">
      <c r="A237" s="37" t="s">
        <v>10</v>
      </c>
      <c r="B237" t="s">
        <v>57</v>
      </c>
      <c r="C237">
        <v>61</v>
      </c>
      <c r="D237">
        <v>109.8</v>
      </c>
      <c r="E237">
        <v>3.5849056603773555</v>
      </c>
      <c r="F237" t="s">
        <v>1</v>
      </c>
      <c r="G237" t="s">
        <v>2</v>
      </c>
      <c r="H237" t="s">
        <v>166</v>
      </c>
      <c r="I237" t="s">
        <v>51</v>
      </c>
    </row>
    <row r="238" spans="1:10">
      <c r="A238" s="6" t="s">
        <v>11</v>
      </c>
      <c r="B238" t="s">
        <v>57</v>
      </c>
      <c r="C238">
        <v>384.5</v>
      </c>
      <c r="D238">
        <v>109.3</v>
      </c>
      <c r="E238">
        <v>2.6291079812206548</v>
      </c>
      <c r="F238" t="s">
        <v>1</v>
      </c>
      <c r="G238" t="s">
        <v>2</v>
      </c>
      <c r="H238" t="s">
        <v>166</v>
      </c>
      <c r="I238" t="s">
        <v>51</v>
      </c>
    </row>
    <row r="239" spans="1:10">
      <c r="A239" s="7" t="s">
        <v>12</v>
      </c>
      <c r="B239" t="s">
        <v>57</v>
      </c>
      <c r="C239">
        <v>413</v>
      </c>
      <c r="D239">
        <v>106.5</v>
      </c>
      <c r="E239">
        <v>0.66162570888469074</v>
      </c>
      <c r="F239" t="s">
        <v>1</v>
      </c>
      <c r="G239" t="s">
        <v>2</v>
      </c>
      <c r="H239" t="s">
        <v>166</v>
      </c>
      <c r="I239" t="s">
        <v>51</v>
      </c>
    </row>
    <row r="240" spans="1:10">
      <c r="A240" s="5" t="s">
        <v>13</v>
      </c>
      <c r="B240" t="s">
        <v>58</v>
      </c>
      <c r="C240">
        <v>78</v>
      </c>
      <c r="D240">
        <v>89.5</v>
      </c>
      <c r="E240">
        <v>2.5200458190148942</v>
      </c>
      <c r="F240" t="s">
        <v>1</v>
      </c>
      <c r="G240" t="s">
        <v>2</v>
      </c>
      <c r="H240" t="s">
        <v>166</v>
      </c>
      <c r="I240" t="s">
        <v>51</v>
      </c>
    </row>
    <row r="241" spans="1:10">
      <c r="A241" s="6" t="s">
        <v>14</v>
      </c>
      <c r="B241" t="s">
        <v>58</v>
      </c>
      <c r="C241">
        <v>58</v>
      </c>
      <c r="D241">
        <v>91</v>
      </c>
      <c r="E241">
        <v>3.8812785388127922</v>
      </c>
      <c r="F241" t="s">
        <v>1</v>
      </c>
      <c r="G241" t="s">
        <v>2</v>
      </c>
      <c r="H241" t="s">
        <v>166</v>
      </c>
      <c r="I241" t="s">
        <v>51</v>
      </c>
    </row>
    <row r="242" spans="1:10">
      <c r="A242" s="6" t="s">
        <v>15</v>
      </c>
      <c r="B242" t="s">
        <v>58</v>
      </c>
      <c r="C242">
        <v>65.5</v>
      </c>
      <c r="D242">
        <v>91.3</v>
      </c>
      <c r="E242">
        <v>4.7018348623853141</v>
      </c>
      <c r="F242" t="s">
        <v>1</v>
      </c>
      <c r="G242" t="s">
        <v>2</v>
      </c>
      <c r="H242" t="s">
        <v>166</v>
      </c>
      <c r="I242" t="s">
        <v>51</v>
      </c>
    </row>
    <row r="243" spans="1:10">
      <c r="A243" s="6" t="s">
        <v>16</v>
      </c>
      <c r="B243" t="s">
        <v>58</v>
      </c>
      <c r="C243">
        <v>98.333333333333329</v>
      </c>
      <c r="D243">
        <v>93.9</v>
      </c>
      <c r="E243">
        <v>4.9162011173184421</v>
      </c>
      <c r="F243" t="s">
        <v>1</v>
      </c>
      <c r="G243" t="s">
        <v>2</v>
      </c>
      <c r="H243" t="s">
        <v>166</v>
      </c>
      <c r="I243" t="s">
        <v>51</v>
      </c>
    </row>
    <row r="244" spans="1:10">
      <c r="A244" s="38" t="s">
        <v>17</v>
      </c>
      <c r="B244" t="s">
        <v>58</v>
      </c>
      <c r="C244">
        <v>68.5</v>
      </c>
      <c r="D244">
        <v>94.8</v>
      </c>
      <c r="E244">
        <v>4.2904290429042806</v>
      </c>
      <c r="F244" t="s">
        <v>1</v>
      </c>
      <c r="G244" t="s">
        <v>2</v>
      </c>
      <c r="H244" t="s">
        <v>166</v>
      </c>
      <c r="I244" t="s">
        <v>51</v>
      </c>
    </row>
    <row r="245" spans="1:10">
      <c r="A245" s="7" t="s">
        <v>18</v>
      </c>
      <c r="B245" t="s">
        <v>58</v>
      </c>
      <c r="C245">
        <v>295</v>
      </c>
      <c r="D245">
        <v>99.3</v>
      </c>
      <c r="E245">
        <v>6.6595059076262118</v>
      </c>
      <c r="F245" t="s">
        <v>1</v>
      </c>
      <c r="G245" t="s">
        <v>2</v>
      </c>
      <c r="H245" t="s">
        <v>166</v>
      </c>
      <c r="I245" t="s">
        <v>51</v>
      </c>
    </row>
    <row r="246" spans="1:10">
      <c r="A246" s="37" t="s">
        <v>19</v>
      </c>
      <c r="B246" t="s">
        <v>58</v>
      </c>
      <c r="F246" t="s">
        <v>1</v>
      </c>
      <c r="G246" t="s">
        <v>2</v>
      </c>
      <c r="H246" t="s">
        <v>166</v>
      </c>
      <c r="I246" t="s">
        <v>51</v>
      </c>
      <c r="J246" t="s">
        <v>158</v>
      </c>
    </row>
    <row r="247" spans="1:10">
      <c r="A247" s="6" t="s">
        <v>20</v>
      </c>
      <c r="B247" t="s">
        <v>58</v>
      </c>
      <c r="C247">
        <v>505.5</v>
      </c>
      <c r="D247">
        <v>109.7</v>
      </c>
      <c r="E247">
        <v>1.7625231910946251</v>
      </c>
      <c r="F247" t="s">
        <v>1</v>
      </c>
      <c r="G247" t="s">
        <v>2</v>
      </c>
      <c r="H247" t="s">
        <v>166</v>
      </c>
      <c r="I247" t="s">
        <v>51</v>
      </c>
    </row>
    <row r="248" spans="1:10">
      <c r="A248" s="7" t="s">
        <v>21</v>
      </c>
      <c r="B248" t="s">
        <v>58</v>
      </c>
      <c r="C248">
        <v>338.5</v>
      </c>
      <c r="D248">
        <v>112.9</v>
      </c>
      <c r="E248">
        <v>-3.1732418524871258</v>
      </c>
      <c r="F248" t="s">
        <v>1</v>
      </c>
      <c r="G248" t="s">
        <v>2</v>
      </c>
      <c r="H248" t="s">
        <v>166</v>
      </c>
      <c r="I248" t="s">
        <v>51</v>
      </c>
    </row>
    <row r="249" spans="1:10">
      <c r="A249" s="5" t="s">
        <v>3</v>
      </c>
      <c r="B249" t="s">
        <v>59</v>
      </c>
      <c r="D249">
        <v>105.1</v>
      </c>
      <c r="F249" t="s">
        <v>33</v>
      </c>
      <c r="G249" t="s">
        <v>34</v>
      </c>
    </row>
    <row r="250" spans="1:10">
      <c r="A250" s="6" t="s">
        <v>4</v>
      </c>
      <c r="B250" t="s">
        <v>59</v>
      </c>
      <c r="D250">
        <v>101.7</v>
      </c>
      <c r="F250" t="s">
        <v>33</v>
      </c>
      <c r="G250" t="s">
        <v>34</v>
      </c>
    </row>
    <row r="251" spans="1:10">
      <c r="A251" s="6" t="s">
        <v>5</v>
      </c>
      <c r="B251" t="s">
        <v>59</v>
      </c>
      <c r="D251">
        <v>109.1</v>
      </c>
      <c r="F251" t="s">
        <v>33</v>
      </c>
      <c r="G251" t="s">
        <v>34</v>
      </c>
    </row>
    <row r="252" spans="1:10">
      <c r="A252" s="36" t="s">
        <v>6</v>
      </c>
      <c r="B252" t="s">
        <v>59</v>
      </c>
      <c r="D252">
        <v>109.2</v>
      </c>
      <c r="F252" t="s">
        <v>33</v>
      </c>
      <c r="G252" t="s">
        <v>34</v>
      </c>
    </row>
    <row r="253" spans="1:10">
      <c r="A253" s="5" t="s">
        <v>7</v>
      </c>
      <c r="B253" t="s">
        <v>59</v>
      </c>
      <c r="D253">
        <v>110.4</v>
      </c>
      <c r="F253" t="s">
        <v>33</v>
      </c>
      <c r="G253" t="s">
        <v>34</v>
      </c>
    </row>
    <row r="254" spans="1:10">
      <c r="A254" s="6" t="s">
        <v>8</v>
      </c>
      <c r="B254" t="s">
        <v>59</v>
      </c>
      <c r="D254">
        <v>105.5</v>
      </c>
      <c r="F254" t="s">
        <v>33</v>
      </c>
      <c r="G254" t="s">
        <v>34</v>
      </c>
    </row>
    <row r="255" spans="1:10">
      <c r="A255" s="7" t="s">
        <v>9</v>
      </c>
      <c r="B255" t="s">
        <v>59</v>
      </c>
      <c r="D255">
        <v>112.1</v>
      </c>
      <c r="F255" t="s">
        <v>33</v>
      </c>
      <c r="G255" t="s">
        <v>34</v>
      </c>
    </row>
    <row r="256" spans="1:10">
      <c r="A256" s="37" t="s">
        <v>10</v>
      </c>
      <c r="B256" t="s">
        <v>59</v>
      </c>
      <c r="D256">
        <v>112.1</v>
      </c>
      <c r="F256" t="s">
        <v>33</v>
      </c>
      <c r="G256" t="s">
        <v>34</v>
      </c>
    </row>
    <row r="257" spans="1:10">
      <c r="A257" s="6" t="s">
        <v>11</v>
      </c>
      <c r="B257" t="s">
        <v>59</v>
      </c>
      <c r="D257">
        <v>113.2</v>
      </c>
      <c r="F257" t="s">
        <v>33</v>
      </c>
      <c r="G257" t="s">
        <v>34</v>
      </c>
    </row>
    <row r="258" spans="1:10">
      <c r="A258" s="7" t="s">
        <v>12</v>
      </c>
      <c r="B258" t="s">
        <v>59</v>
      </c>
      <c r="D258">
        <v>108.8</v>
      </c>
      <c r="F258" t="s">
        <v>33</v>
      </c>
      <c r="G258" t="s">
        <v>34</v>
      </c>
    </row>
    <row r="259" spans="1:10">
      <c r="A259" s="5" t="s">
        <v>13</v>
      </c>
      <c r="B259" t="s">
        <v>61</v>
      </c>
      <c r="D259">
        <v>92.4</v>
      </c>
      <c r="F259" t="s">
        <v>33</v>
      </c>
      <c r="G259" t="s">
        <v>34</v>
      </c>
    </row>
    <row r="260" spans="1:10">
      <c r="A260" s="6" t="s">
        <v>14</v>
      </c>
      <c r="B260" t="s">
        <v>61</v>
      </c>
      <c r="D260">
        <v>98.3</v>
      </c>
      <c r="F260" t="s">
        <v>33</v>
      </c>
      <c r="G260" t="s">
        <v>34</v>
      </c>
    </row>
    <row r="261" spans="1:10">
      <c r="A261" s="6" t="s">
        <v>15</v>
      </c>
      <c r="B261" t="s">
        <v>61</v>
      </c>
      <c r="D261">
        <v>94.5</v>
      </c>
      <c r="F261" t="s">
        <v>33</v>
      </c>
      <c r="G261" t="s">
        <v>34</v>
      </c>
    </row>
    <row r="262" spans="1:10">
      <c r="A262" s="6" t="s">
        <v>16</v>
      </c>
      <c r="B262" t="s">
        <v>61</v>
      </c>
      <c r="D262">
        <v>98</v>
      </c>
      <c r="F262" t="s">
        <v>33</v>
      </c>
      <c r="G262" t="s">
        <v>34</v>
      </c>
    </row>
    <row r="263" spans="1:10">
      <c r="A263" s="38" t="s">
        <v>17</v>
      </c>
      <c r="B263" t="s">
        <v>61</v>
      </c>
      <c r="D263">
        <v>98.3</v>
      </c>
      <c r="F263" t="s">
        <v>33</v>
      </c>
      <c r="G263" t="s">
        <v>34</v>
      </c>
    </row>
    <row r="264" spans="1:10">
      <c r="A264" s="7" t="s">
        <v>18</v>
      </c>
      <c r="B264" t="s">
        <v>61</v>
      </c>
      <c r="D264">
        <v>104.4</v>
      </c>
      <c r="F264" t="s">
        <v>33</v>
      </c>
      <c r="G264" t="s">
        <v>34</v>
      </c>
    </row>
    <row r="265" spans="1:10">
      <c r="A265" s="37" t="s">
        <v>19</v>
      </c>
      <c r="B265" t="s">
        <v>61</v>
      </c>
      <c r="F265" t="s">
        <v>33</v>
      </c>
      <c r="G265" t="s">
        <v>34</v>
      </c>
      <c r="J265" t="s">
        <v>158</v>
      </c>
    </row>
    <row r="266" spans="1:10">
      <c r="A266" s="6" t="s">
        <v>20</v>
      </c>
      <c r="B266" t="s">
        <v>61</v>
      </c>
      <c r="D266">
        <v>110.5</v>
      </c>
      <c r="F266" t="s">
        <v>33</v>
      </c>
      <c r="G266" t="s">
        <v>34</v>
      </c>
    </row>
    <row r="267" spans="1:10">
      <c r="A267" s="7" t="s">
        <v>21</v>
      </c>
      <c r="B267" t="s">
        <v>61</v>
      </c>
      <c r="D267">
        <v>121.3</v>
      </c>
      <c r="F267" t="s">
        <v>33</v>
      </c>
      <c r="G267" t="s">
        <v>34</v>
      </c>
    </row>
    <row r="268" spans="1:10">
      <c r="A268" s="5" t="s">
        <v>3</v>
      </c>
      <c r="B268" t="s">
        <v>60</v>
      </c>
      <c r="C268">
        <v>58.5</v>
      </c>
      <c r="D268">
        <v>100.9</v>
      </c>
      <c r="E268">
        <v>3.9961941008563167</v>
      </c>
      <c r="F268" t="s">
        <v>26</v>
      </c>
      <c r="G268" t="s">
        <v>2</v>
      </c>
      <c r="H268" t="s">
        <v>164</v>
      </c>
      <c r="I268" t="s">
        <v>52</v>
      </c>
    </row>
    <row r="269" spans="1:10">
      <c r="A269" s="6" t="s">
        <v>4</v>
      </c>
      <c r="B269" t="s">
        <v>60</v>
      </c>
      <c r="C269">
        <v>48</v>
      </c>
      <c r="D269">
        <v>97</v>
      </c>
      <c r="E269">
        <v>4.6214355948869255</v>
      </c>
      <c r="F269" t="s">
        <v>26</v>
      </c>
      <c r="G269" t="s">
        <v>2</v>
      </c>
      <c r="H269" t="s">
        <v>164</v>
      </c>
      <c r="I269" t="s">
        <v>52</v>
      </c>
    </row>
    <row r="270" spans="1:10">
      <c r="A270" s="6" t="s">
        <v>5</v>
      </c>
      <c r="B270" t="s">
        <v>60</v>
      </c>
      <c r="C270">
        <v>56.5</v>
      </c>
      <c r="D270">
        <v>105.4</v>
      </c>
      <c r="E270">
        <v>3.3913840513290459</v>
      </c>
      <c r="F270" t="s">
        <v>26</v>
      </c>
      <c r="G270" t="s">
        <v>2</v>
      </c>
      <c r="H270" t="s">
        <v>164</v>
      </c>
      <c r="I270" t="s">
        <v>52</v>
      </c>
    </row>
    <row r="271" spans="1:10">
      <c r="A271" s="36" t="s">
        <v>6</v>
      </c>
      <c r="B271" t="s">
        <v>60</v>
      </c>
      <c r="C271">
        <v>42</v>
      </c>
      <c r="D271">
        <v>105.1</v>
      </c>
      <c r="E271">
        <v>3.7545787545787621</v>
      </c>
      <c r="F271" t="s">
        <v>26</v>
      </c>
      <c r="G271" t="s">
        <v>2</v>
      </c>
      <c r="H271" t="s">
        <v>164</v>
      </c>
      <c r="I271" t="s">
        <v>52</v>
      </c>
    </row>
    <row r="272" spans="1:10">
      <c r="A272" s="5" t="s">
        <v>7</v>
      </c>
      <c r="B272" t="s">
        <v>60</v>
      </c>
      <c r="C272">
        <v>38.5</v>
      </c>
      <c r="D272">
        <v>106.6</v>
      </c>
      <c r="E272">
        <v>3.4420289855072568</v>
      </c>
      <c r="F272" t="s">
        <v>26</v>
      </c>
      <c r="G272" t="s">
        <v>2</v>
      </c>
      <c r="H272" t="s">
        <v>164</v>
      </c>
      <c r="I272" t="s">
        <v>52</v>
      </c>
    </row>
    <row r="273" spans="1:10">
      <c r="A273" s="6" t="s">
        <v>8</v>
      </c>
      <c r="B273" t="s">
        <v>60</v>
      </c>
      <c r="C273">
        <v>169</v>
      </c>
      <c r="D273">
        <v>98.7</v>
      </c>
      <c r="E273">
        <v>6.4454976303317508</v>
      </c>
      <c r="F273" t="s">
        <v>26</v>
      </c>
      <c r="G273" t="s">
        <v>2</v>
      </c>
      <c r="H273" t="s">
        <v>164</v>
      </c>
      <c r="I273" t="s">
        <v>52</v>
      </c>
    </row>
    <row r="274" spans="1:10">
      <c r="A274" s="7" t="s">
        <v>9</v>
      </c>
      <c r="B274" t="s">
        <v>60</v>
      </c>
      <c r="C274">
        <v>138</v>
      </c>
      <c r="D274">
        <v>107</v>
      </c>
      <c r="E274">
        <v>4.5495093666369266</v>
      </c>
      <c r="F274" t="s">
        <v>26</v>
      </c>
      <c r="G274" t="s">
        <v>2</v>
      </c>
      <c r="H274" t="s">
        <v>164</v>
      </c>
      <c r="I274" t="s">
        <v>52</v>
      </c>
    </row>
    <row r="275" spans="1:10">
      <c r="A275" s="37" t="s">
        <v>10</v>
      </c>
      <c r="B275" t="s">
        <v>60</v>
      </c>
      <c r="C275">
        <v>52</v>
      </c>
      <c r="D275">
        <v>107.2</v>
      </c>
      <c r="E275">
        <v>4.3710972346119457</v>
      </c>
      <c r="F275" t="s">
        <v>26</v>
      </c>
      <c r="G275" t="s">
        <v>2</v>
      </c>
      <c r="H275" t="s">
        <v>164</v>
      </c>
      <c r="I275" t="s">
        <v>52</v>
      </c>
    </row>
    <row r="276" spans="1:10">
      <c r="A276" s="6" t="s">
        <v>11</v>
      </c>
      <c r="B276" t="s">
        <v>60</v>
      </c>
      <c r="C276">
        <v>171</v>
      </c>
      <c r="D276">
        <v>105.1</v>
      </c>
      <c r="E276">
        <v>7.1554770318021284</v>
      </c>
      <c r="F276" t="s">
        <v>26</v>
      </c>
      <c r="G276" t="s">
        <v>2</v>
      </c>
      <c r="H276" t="s">
        <v>164</v>
      </c>
      <c r="I276" t="s">
        <v>52</v>
      </c>
    </row>
    <row r="277" spans="1:10">
      <c r="A277" s="7" t="s">
        <v>12</v>
      </c>
      <c r="B277" t="s">
        <v>60</v>
      </c>
      <c r="C277">
        <v>62</v>
      </c>
      <c r="D277">
        <v>100</v>
      </c>
      <c r="E277">
        <v>8.088235294117645</v>
      </c>
      <c r="F277" t="s">
        <v>26</v>
      </c>
      <c r="G277" t="s">
        <v>2</v>
      </c>
      <c r="H277" t="s">
        <v>164</v>
      </c>
      <c r="I277" t="s">
        <v>52</v>
      </c>
    </row>
    <row r="278" spans="1:10">
      <c r="A278" s="5" t="s">
        <v>13</v>
      </c>
      <c r="B278" t="s">
        <v>62</v>
      </c>
      <c r="C278">
        <v>72</v>
      </c>
      <c r="D278">
        <v>88</v>
      </c>
      <c r="E278">
        <v>4.7619047619047681</v>
      </c>
      <c r="F278" t="s">
        <v>26</v>
      </c>
      <c r="G278" t="s">
        <v>2</v>
      </c>
      <c r="H278" t="s">
        <v>164</v>
      </c>
      <c r="I278" t="s">
        <v>52</v>
      </c>
    </row>
    <row r="279" spans="1:10">
      <c r="A279" s="6" t="s">
        <v>14</v>
      </c>
      <c r="B279" t="s">
        <v>62</v>
      </c>
      <c r="C279">
        <v>59.5</v>
      </c>
      <c r="D279">
        <v>94.4</v>
      </c>
      <c r="E279">
        <v>3.9674465920650985</v>
      </c>
      <c r="F279" t="s">
        <v>26</v>
      </c>
      <c r="G279" t="s">
        <v>2</v>
      </c>
      <c r="H279" t="s">
        <v>164</v>
      </c>
      <c r="I279" t="s">
        <v>52</v>
      </c>
    </row>
    <row r="280" spans="1:10">
      <c r="A280" s="6" t="s">
        <v>15</v>
      </c>
      <c r="B280" t="s">
        <v>62</v>
      </c>
      <c r="C280">
        <v>50</v>
      </c>
      <c r="D280">
        <v>89.4</v>
      </c>
      <c r="E280">
        <v>5.396825396825391</v>
      </c>
      <c r="F280" t="s">
        <v>26</v>
      </c>
      <c r="G280" t="s">
        <v>2</v>
      </c>
      <c r="H280" t="s">
        <v>164</v>
      </c>
      <c r="I280" t="s">
        <v>52</v>
      </c>
    </row>
    <row r="281" spans="1:10">
      <c r="A281" s="6" t="s">
        <v>16</v>
      </c>
      <c r="B281" t="s">
        <v>62</v>
      </c>
      <c r="C281">
        <v>48</v>
      </c>
      <c r="D281">
        <v>91.6</v>
      </c>
      <c r="E281">
        <v>6.5306122448979655</v>
      </c>
      <c r="F281" t="s">
        <v>26</v>
      </c>
      <c r="G281" t="s">
        <v>2</v>
      </c>
      <c r="H281" t="s">
        <v>164</v>
      </c>
      <c r="I281" t="s">
        <v>52</v>
      </c>
    </row>
    <row r="282" spans="1:10">
      <c r="A282" s="38" t="s">
        <v>17</v>
      </c>
      <c r="B282" t="s">
        <v>62</v>
      </c>
      <c r="C282">
        <v>43</v>
      </c>
      <c r="D282">
        <v>95.6</v>
      </c>
      <c r="E282">
        <v>2.7466937945066152</v>
      </c>
      <c r="F282" t="s">
        <v>26</v>
      </c>
      <c r="G282" t="s">
        <v>2</v>
      </c>
      <c r="H282" t="s">
        <v>164</v>
      </c>
      <c r="I282" t="s">
        <v>52</v>
      </c>
    </row>
    <row r="283" spans="1:10">
      <c r="A283" s="7" t="s">
        <v>18</v>
      </c>
      <c r="B283" t="s">
        <v>62</v>
      </c>
      <c r="C283">
        <v>58.5</v>
      </c>
      <c r="D283">
        <v>98.8</v>
      </c>
      <c r="E283">
        <v>5.3639846743295099</v>
      </c>
      <c r="F283" t="s">
        <v>26</v>
      </c>
      <c r="G283" t="s">
        <v>2</v>
      </c>
      <c r="H283" t="s">
        <v>164</v>
      </c>
      <c r="I283" t="s">
        <v>52</v>
      </c>
    </row>
    <row r="284" spans="1:10">
      <c r="A284" s="37" t="s">
        <v>19</v>
      </c>
      <c r="B284" t="s">
        <v>62</v>
      </c>
      <c r="F284" t="s">
        <v>26</v>
      </c>
      <c r="G284" t="s">
        <v>2</v>
      </c>
      <c r="H284" t="s">
        <v>164</v>
      </c>
      <c r="I284" t="s">
        <v>52</v>
      </c>
      <c r="J284" t="s">
        <v>158</v>
      </c>
    </row>
    <row r="285" spans="1:10">
      <c r="A285" s="6" t="s">
        <v>20</v>
      </c>
      <c r="B285" t="s">
        <v>62</v>
      </c>
      <c r="C285">
        <v>64.5</v>
      </c>
      <c r="D285">
        <v>104</v>
      </c>
      <c r="E285">
        <v>5.8823529411764701</v>
      </c>
      <c r="F285" t="s">
        <v>26</v>
      </c>
      <c r="G285" t="s">
        <v>2</v>
      </c>
      <c r="H285" t="s">
        <v>164</v>
      </c>
      <c r="I285" t="s">
        <v>52</v>
      </c>
    </row>
    <row r="286" spans="1:10">
      <c r="A286" s="7" t="s">
        <v>21</v>
      </c>
      <c r="B286" t="s">
        <v>62</v>
      </c>
      <c r="C286">
        <v>48.5</v>
      </c>
      <c r="D286">
        <v>113.8</v>
      </c>
      <c r="E286">
        <v>6.1830173124484755</v>
      </c>
      <c r="F286" t="s">
        <v>26</v>
      </c>
      <c r="G286" t="s">
        <v>2</v>
      </c>
      <c r="H286" t="s">
        <v>164</v>
      </c>
      <c r="I286" t="s">
        <v>52</v>
      </c>
    </row>
    <row r="287" spans="1:10">
      <c r="A287" s="5" t="s">
        <v>3</v>
      </c>
      <c r="B287" t="s">
        <v>63</v>
      </c>
      <c r="C287">
        <v>193</v>
      </c>
      <c r="D287">
        <v>104.6</v>
      </c>
      <c r="F287" t="s">
        <v>135</v>
      </c>
      <c r="G287" t="s">
        <v>2</v>
      </c>
      <c r="H287" t="s">
        <v>166</v>
      </c>
      <c r="I287" t="s">
        <v>52</v>
      </c>
    </row>
    <row r="288" spans="1:10">
      <c r="A288" s="6" t="s">
        <v>4</v>
      </c>
      <c r="B288" t="s">
        <v>63</v>
      </c>
      <c r="C288">
        <v>370.5</v>
      </c>
      <c r="D288">
        <v>100.4</v>
      </c>
      <c r="F288" t="s">
        <v>135</v>
      </c>
      <c r="G288" t="s">
        <v>2</v>
      </c>
      <c r="H288" t="s">
        <v>166</v>
      </c>
      <c r="I288" t="s">
        <v>52</v>
      </c>
    </row>
    <row r="289" spans="1:10">
      <c r="A289" s="6" t="s">
        <v>5</v>
      </c>
      <c r="B289" t="s">
        <v>63</v>
      </c>
      <c r="C289">
        <v>90.333333333333329</v>
      </c>
      <c r="D289">
        <v>106.9</v>
      </c>
      <c r="F289" t="s">
        <v>135</v>
      </c>
      <c r="G289" t="s">
        <v>2</v>
      </c>
      <c r="H289" t="s">
        <v>166</v>
      </c>
      <c r="I289" t="s">
        <v>52</v>
      </c>
    </row>
    <row r="290" spans="1:10">
      <c r="A290" s="36" t="s">
        <v>6</v>
      </c>
      <c r="B290" t="s">
        <v>63</v>
      </c>
      <c r="F290" t="s">
        <v>135</v>
      </c>
      <c r="G290" t="s">
        <v>2</v>
      </c>
      <c r="H290" t="s">
        <v>166</v>
      </c>
      <c r="I290" t="s">
        <v>52</v>
      </c>
      <c r="J290" t="s">
        <v>132</v>
      </c>
    </row>
    <row r="291" spans="1:10">
      <c r="A291" s="5" t="s">
        <v>7</v>
      </c>
      <c r="B291" t="s">
        <v>63</v>
      </c>
      <c r="C291">
        <v>139.5</v>
      </c>
      <c r="D291">
        <v>108.6</v>
      </c>
      <c r="F291" t="s">
        <v>135</v>
      </c>
      <c r="G291" t="s">
        <v>2</v>
      </c>
      <c r="H291" t="s">
        <v>166</v>
      </c>
      <c r="I291" t="s">
        <v>52</v>
      </c>
    </row>
    <row r="292" spans="1:10">
      <c r="A292" s="6" t="s">
        <v>8</v>
      </c>
      <c r="B292" t="s">
        <v>63</v>
      </c>
      <c r="C292">
        <v>509</v>
      </c>
      <c r="D292">
        <v>101.8</v>
      </c>
      <c r="F292" t="s">
        <v>135</v>
      </c>
      <c r="G292" t="s">
        <v>2</v>
      </c>
      <c r="H292" t="s">
        <v>166</v>
      </c>
      <c r="I292" t="s">
        <v>52</v>
      </c>
    </row>
    <row r="293" spans="1:10">
      <c r="A293" s="7" t="s">
        <v>9</v>
      </c>
      <c r="B293" t="s">
        <v>63</v>
      </c>
      <c r="C293">
        <v>435.5</v>
      </c>
      <c r="D293">
        <v>110.7</v>
      </c>
      <c r="F293" t="s">
        <v>135</v>
      </c>
      <c r="G293" t="s">
        <v>2</v>
      </c>
      <c r="H293" t="s">
        <v>166</v>
      </c>
      <c r="I293" t="s">
        <v>52</v>
      </c>
    </row>
    <row r="294" spans="1:10">
      <c r="A294" s="37" t="s">
        <v>10</v>
      </c>
      <c r="B294" t="s">
        <v>63</v>
      </c>
      <c r="F294" t="s">
        <v>135</v>
      </c>
      <c r="G294" t="s">
        <v>2</v>
      </c>
      <c r="H294" t="s">
        <v>166</v>
      </c>
      <c r="I294" t="s">
        <v>52</v>
      </c>
      <c r="J294" t="s">
        <v>132</v>
      </c>
    </row>
    <row r="295" spans="1:10">
      <c r="A295" s="6" t="s">
        <v>11</v>
      </c>
      <c r="B295" t="s">
        <v>63</v>
      </c>
      <c r="C295">
        <v>600</v>
      </c>
      <c r="D295">
        <v>109.2</v>
      </c>
      <c r="F295" t="s">
        <v>135</v>
      </c>
      <c r="G295" t="s">
        <v>2</v>
      </c>
      <c r="H295" t="s">
        <v>166</v>
      </c>
      <c r="I295" t="s">
        <v>52</v>
      </c>
    </row>
    <row r="296" spans="1:10">
      <c r="A296" s="7" t="s">
        <v>12</v>
      </c>
      <c r="B296" t="s">
        <v>63</v>
      </c>
      <c r="C296">
        <v>537.5</v>
      </c>
      <c r="D296">
        <v>105.5</v>
      </c>
      <c r="F296" t="s">
        <v>135</v>
      </c>
      <c r="G296" t="s">
        <v>2</v>
      </c>
      <c r="H296" t="s">
        <v>166</v>
      </c>
      <c r="I296" t="s">
        <v>52</v>
      </c>
    </row>
    <row r="297" spans="1:10">
      <c r="A297" s="5" t="s">
        <v>13</v>
      </c>
      <c r="B297" t="s">
        <v>64</v>
      </c>
      <c r="C297">
        <v>68</v>
      </c>
      <c r="D297">
        <v>89.6</v>
      </c>
      <c r="F297" t="s">
        <v>135</v>
      </c>
      <c r="G297" t="s">
        <v>2</v>
      </c>
      <c r="H297" t="s">
        <v>166</v>
      </c>
      <c r="I297" t="s">
        <v>52</v>
      </c>
    </row>
    <row r="298" spans="1:10">
      <c r="A298" s="6" t="s">
        <v>14</v>
      </c>
      <c r="B298" t="s">
        <v>64</v>
      </c>
      <c r="C298">
        <v>44</v>
      </c>
      <c r="D298">
        <v>97.5</v>
      </c>
      <c r="F298" t="s">
        <v>135</v>
      </c>
      <c r="G298" t="s">
        <v>2</v>
      </c>
      <c r="H298" t="s">
        <v>166</v>
      </c>
      <c r="I298" t="s">
        <v>52</v>
      </c>
    </row>
    <row r="299" spans="1:10">
      <c r="A299" s="6" t="s">
        <v>15</v>
      </c>
      <c r="B299" t="s">
        <v>64</v>
      </c>
      <c r="C299">
        <v>65</v>
      </c>
      <c r="D299">
        <v>92.3</v>
      </c>
      <c r="F299" t="s">
        <v>135</v>
      </c>
      <c r="G299" t="s">
        <v>2</v>
      </c>
      <c r="H299" t="s">
        <v>166</v>
      </c>
      <c r="I299" t="s">
        <v>52</v>
      </c>
    </row>
    <row r="300" spans="1:10">
      <c r="A300" s="6" t="s">
        <v>16</v>
      </c>
      <c r="B300" t="s">
        <v>64</v>
      </c>
      <c r="C300">
        <v>70</v>
      </c>
      <c r="D300">
        <v>94.4</v>
      </c>
      <c r="F300" t="s">
        <v>135</v>
      </c>
      <c r="G300" t="s">
        <v>2</v>
      </c>
      <c r="H300" t="s">
        <v>166</v>
      </c>
      <c r="I300" t="s">
        <v>52</v>
      </c>
    </row>
    <row r="301" spans="1:10">
      <c r="A301" s="38" t="s">
        <v>17</v>
      </c>
      <c r="B301" t="s">
        <v>64</v>
      </c>
      <c r="C301">
        <v>61.5</v>
      </c>
      <c r="D301">
        <v>94.8</v>
      </c>
      <c r="F301" t="s">
        <v>135</v>
      </c>
      <c r="G301" t="s">
        <v>2</v>
      </c>
      <c r="H301" t="s">
        <v>166</v>
      </c>
      <c r="I301" t="s">
        <v>52</v>
      </c>
    </row>
    <row r="302" spans="1:10">
      <c r="A302" s="7" t="s">
        <v>18</v>
      </c>
      <c r="B302" t="s">
        <v>64</v>
      </c>
      <c r="C302">
        <v>95.5</v>
      </c>
      <c r="D302">
        <v>100.6</v>
      </c>
      <c r="F302" t="s">
        <v>135</v>
      </c>
      <c r="G302" t="s">
        <v>2</v>
      </c>
      <c r="H302" t="s">
        <v>166</v>
      </c>
      <c r="I302" t="s">
        <v>52</v>
      </c>
    </row>
    <row r="303" spans="1:10">
      <c r="A303" s="37" t="s">
        <v>19</v>
      </c>
      <c r="B303" t="s">
        <v>64</v>
      </c>
      <c r="F303" t="s">
        <v>135</v>
      </c>
      <c r="G303" t="s">
        <v>2</v>
      </c>
      <c r="H303" t="s">
        <v>166</v>
      </c>
      <c r="I303" t="s">
        <v>52</v>
      </c>
      <c r="J303" t="s">
        <v>158</v>
      </c>
    </row>
    <row r="304" spans="1:10">
      <c r="A304" s="6" t="s">
        <v>20</v>
      </c>
      <c r="B304" t="s">
        <v>64</v>
      </c>
      <c r="F304" t="s">
        <v>135</v>
      </c>
      <c r="G304" t="s">
        <v>2</v>
      </c>
      <c r="H304" t="s">
        <v>166</v>
      </c>
      <c r="I304" t="s">
        <v>52</v>
      </c>
      <c r="J304" t="s">
        <v>148</v>
      </c>
    </row>
    <row r="305" spans="1:10">
      <c r="A305" s="7" t="s">
        <v>21</v>
      </c>
      <c r="B305" t="s">
        <v>64</v>
      </c>
      <c r="F305" t="s">
        <v>135</v>
      </c>
      <c r="G305" t="s">
        <v>2</v>
      </c>
      <c r="H305" t="s">
        <v>166</v>
      </c>
      <c r="I305" t="s">
        <v>52</v>
      </c>
      <c r="J305" t="s">
        <v>148</v>
      </c>
    </row>
  </sheetData>
  <phoneticPr fontId="8" type="noConversion"/>
  <conditionalFormatting sqref="D2: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5"/>
  <cols>
    <col min="3" max="3" width="10.8320312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155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153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152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154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152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153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154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152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153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154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152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151</v>
      </c>
      <c r="G13" t="s">
        <v>153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152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153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154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151</v>
      </c>
      <c r="G17" t="s">
        <v>154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31" workbookViewId="0">
      <selection activeCell="A49" sqref="A49:XFD49"/>
    </sheetView>
  </sheetViews>
  <sheetFormatPr defaultColWidth="11" defaultRowHeight="15.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zoomScale="75" zoomScaleNormal="75" workbookViewId="0">
      <selection activeCell="P40" sqref="P40"/>
    </sheetView>
  </sheetViews>
  <sheetFormatPr defaultColWidth="11" defaultRowHeight="15.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5"/>
  <cols>
    <col min="2" max="2" width="22.8320312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BW57"/>
  <sheetViews>
    <sheetView topLeftCell="A16" zoomScale="91" workbookViewId="0">
      <selection activeCell="A35" sqref="A35:XFD57"/>
    </sheetView>
  </sheetViews>
  <sheetFormatPr defaultColWidth="11" defaultRowHeight="15.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  <row r="35" spans="1:75">
      <c r="C35" t="s">
        <v>35</v>
      </c>
      <c r="D35" t="s">
        <v>35</v>
      </c>
      <c r="H35" s="53"/>
      <c r="I35" s="53" t="s">
        <v>37</v>
      </c>
      <c r="J35" s="53" t="s">
        <v>37</v>
      </c>
      <c r="K35" s="53"/>
      <c r="L35" s="53"/>
      <c r="M35" s="53" t="s">
        <v>37</v>
      </c>
      <c r="N35" s="53" t="s">
        <v>37</v>
      </c>
      <c r="O35" s="53" t="s">
        <v>69</v>
      </c>
      <c r="P35" s="53"/>
      <c r="Q35" s="53"/>
      <c r="R35" s="53"/>
      <c r="S35" s="53"/>
      <c r="T35" s="53" t="s">
        <v>38</v>
      </c>
      <c r="U35" s="53" t="s">
        <v>38</v>
      </c>
      <c r="V35" s="53"/>
      <c r="W35" s="53"/>
      <c r="X35" s="53" t="s">
        <v>38</v>
      </c>
      <c r="Y35" s="53" t="s">
        <v>38</v>
      </c>
      <c r="Z35" s="53" t="s">
        <v>68</v>
      </c>
      <c r="AA35" s="53"/>
      <c r="AB35" s="53"/>
      <c r="AC35" s="53"/>
      <c r="AD35" s="53"/>
      <c r="AE35" s="53" t="s">
        <v>43</v>
      </c>
      <c r="AF35" s="53" t="s">
        <v>43</v>
      </c>
      <c r="AG35" s="53"/>
      <c r="AH35" s="53"/>
      <c r="AI35" s="53" t="s">
        <v>43</v>
      </c>
      <c r="AJ35" s="53" t="s">
        <v>43</v>
      </c>
      <c r="AK35" s="53" t="s">
        <v>81</v>
      </c>
      <c r="AL35" s="53"/>
      <c r="AM35" s="53"/>
      <c r="AN35" s="53"/>
      <c r="AO35" s="53"/>
      <c r="AP35" s="53" t="s">
        <v>51</v>
      </c>
      <c r="AQ35" s="53" t="s">
        <v>51</v>
      </c>
      <c r="AR35" s="53"/>
      <c r="AS35" s="53"/>
      <c r="AT35" s="53" t="s">
        <v>51</v>
      </c>
      <c r="AU35" s="53" t="s">
        <v>51</v>
      </c>
      <c r="AV35" s="53"/>
      <c r="AW35" s="53"/>
      <c r="AX35" s="53"/>
      <c r="AY35" s="53"/>
      <c r="AZ35" s="53"/>
      <c r="BA35" s="53" t="s">
        <v>52</v>
      </c>
      <c r="BB35" s="53" t="s">
        <v>52</v>
      </c>
      <c r="BC35" s="53"/>
      <c r="BE35" t="s">
        <v>52</v>
      </c>
      <c r="BF35" t="s">
        <v>52</v>
      </c>
    </row>
    <row r="36" spans="1:75">
      <c r="B36" t="s">
        <v>0</v>
      </c>
      <c r="C36" t="s">
        <v>1</v>
      </c>
      <c r="D36" s="3" t="s">
        <v>2</v>
      </c>
      <c r="E36" s="53" t="s">
        <v>0</v>
      </c>
      <c r="F36" s="53" t="s">
        <v>33</v>
      </c>
      <c r="G36" s="53" t="s">
        <v>34</v>
      </c>
      <c r="H36" s="53" t="s">
        <v>0</v>
      </c>
      <c r="I36" s="53" t="s">
        <v>26</v>
      </c>
      <c r="J36" s="53" t="s">
        <v>2</v>
      </c>
      <c r="K36" s="53" t="s">
        <v>23</v>
      </c>
      <c r="L36" s="53" t="s">
        <v>0</v>
      </c>
      <c r="M36" s="53" t="s">
        <v>1</v>
      </c>
      <c r="N36" s="53" t="s">
        <v>2</v>
      </c>
      <c r="O36" s="53" t="s">
        <v>67</v>
      </c>
      <c r="P36" s="53" t="s">
        <v>0</v>
      </c>
      <c r="Q36" s="53" t="s">
        <v>33</v>
      </c>
      <c r="R36" s="53" t="s">
        <v>34</v>
      </c>
      <c r="S36" s="53" t="s">
        <v>0</v>
      </c>
      <c r="T36" s="53" t="s">
        <v>26</v>
      </c>
      <c r="U36" s="53" t="s">
        <v>2</v>
      </c>
      <c r="V36" s="53" t="s">
        <v>23</v>
      </c>
      <c r="W36" s="53" t="s">
        <v>0</v>
      </c>
      <c r="X36" s="53" t="s">
        <v>1</v>
      </c>
      <c r="Y36" s="53" t="s">
        <v>2</v>
      </c>
      <c r="Z36" s="53" t="s">
        <v>42</v>
      </c>
      <c r="AA36" s="53" t="s">
        <v>0</v>
      </c>
      <c r="AB36" s="53" t="s">
        <v>33</v>
      </c>
      <c r="AC36" s="53" t="s">
        <v>34</v>
      </c>
      <c r="AD36" s="53" t="s">
        <v>0</v>
      </c>
      <c r="AE36" s="53" t="s">
        <v>26</v>
      </c>
      <c r="AF36" s="53" t="s">
        <v>2</v>
      </c>
      <c r="AG36" s="53" t="s">
        <v>23</v>
      </c>
      <c r="AH36" s="53" t="s">
        <v>0</v>
      </c>
      <c r="AI36" s="53" t="s">
        <v>1</v>
      </c>
      <c r="AJ36" s="53" t="s">
        <v>2</v>
      </c>
      <c r="AK36" s="53" t="s">
        <v>42</v>
      </c>
      <c r="AL36" s="53" t="s">
        <v>0</v>
      </c>
      <c r="AM36" s="53" t="s">
        <v>33</v>
      </c>
      <c r="AN36" s="53" t="s">
        <v>34</v>
      </c>
      <c r="AO36" s="53" t="s">
        <v>0</v>
      </c>
      <c r="AP36" s="53" t="s">
        <v>26</v>
      </c>
      <c r="AQ36" s="53" t="s">
        <v>2</v>
      </c>
      <c r="AR36" s="53" t="s">
        <v>23</v>
      </c>
      <c r="AS36" s="53" t="s">
        <v>0</v>
      </c>
      <c r="AT36" s="53" t="s">
        <v>1</v>
      </c>
      <c r="AU36" s="53" t="s">
        <v>2</v>
      </c>
      <c r="AV36" s="53" t="s">
        <v>42</v>
      </c>
      <c r="AW36" s="53" t="s">
        <v>0</v>
      </c>
      <c r="AX36" s="53" t="s">
        <v>33</v>
      </c>
      <c r="AY36" s="53" t="s">
        <v>34</v>
      </c>
      <c r="AZ36" s="53" t="s">
        <v>0</v>
      </c>
      <c r="BA36" s="53" t="s">
        <v>26</v>
      </c>
      <c r="BB36" s="53" t="s">
        <v>2</v>
      </c>
      <c r="BC36" s="53" t="s">
        <v>23</v>
      </c>
      <c r="BD36" t="s">
        <v>0</v>
      </c>
      <c r="BE36" t="s">
        <v>135</v>
      </c>
      <c r="BF36" t="s">
        <v>2</v>
      </c>
      <c r="BG36" t="s">
        <v>42</v>
      </c>
    </row>
    <row r="37" spans="1:75">
      <c r="A37" s="5" t="s">
        <v>3</v>
      </c>
      <c r="B37" s="8" t="s">
        <v>65</v>
      </c>
      <c r="C37" s="4">
        <v>71</v>
      </c>
      <c r="D37" s="9">
        <v>53.7</v>
      </c>
      <c r="E37" s="53" t="s">
        <v>22</v>
      </c>
      <c r="F37" s="54">
        <f>(236+274)/2</f>
        <v>255</v>
      </c>
      <c r="G37" s="53">
        <v>90.2</v>
      </c>
      <c r="H37" s="53" t="s">
        <v>28</v>
      </c>
      <c r="I37" s="53">
        <f>(40+42)/2</f>
        <v>41</v>
      </c>
      <c r="J37" s="53">
        <v>85.4</v>
      </c>
      <c r="K37" s="53">
        <f t="shared" ref="K37:K55" si="5">(G37-J37)/G37*100</f>
        <v>5.321507760532147</v>
      </c>
      <c r="L37" s="53" t="s">
        <v>24</v>
      </c>
      <c r="M37" s="54">
        <f>(214+236)/2</f>
        <v>225</v>
      </c>
      <c r="N37" s="53">
        <v>92.6</v>
      </c>
      <c r="O37" s="53">
        <f t="shared" ref="O37:O55" si="6">(N37-D37)/D37*100</f>
        <v>72.439478584729969</v>
      </c>
      <c r="P37" s="53" t="s">
        <v>25</v>
      </c>
      <c r="Q37" s="53"/>
      <c r="R37" s="53">
        <v>96</v>
      </c>
      <c r="S37" s="53" t="s">
        <v>30</v>
      </c>
      <c r="T37" s="53">
        <f>(47+49)/2</f>
        <v>48</v>
      </c>
      <c r="U37" s="53">
        <v>90.9</v>
      </c>
      <c r="V37" s="53">
        <f t="shared" ref="V37:V55" si="7">(R37-U37)/R37*100</f>
        <v>5.3124999999999947</v>
      </c>
      <c r="W37" s="53" t="s">
        <v>41</v>
      </c>
      <c r="X37" s="53">
        <f>(82+84)/2</f>
        <v>83</v>
      </c>
      <c r="Y37" s="53">
        <v>98.1</v>
      </c>
      <c r="Z37" s="53">
        <f t="shared" ref="Z37:Z55" si="8">(Y37-N37)/N37*100</f>
        <v>5.9395248380129591</v>
      </c>
      <c r="AA37" s="53" t="s">
        <v>44</v>
      </c>
      <c r="AB37" s="53"/>
      <c r="AC37" s="53">
        <v>101.3</v>
      </c>
      <c r="AD37" s="53" t="s">
        <v>45</v>
      </c>
      <c r="AE37" s="53">
        <f>(46+59)/2</f>
        <v>52.5</v>
      </c>
      <c r="AF37" s="53">
        <v>94.9</v>
      </c>
      <c r="AG37" s="53">
        <f t="shared" ref="AG37:AG52" si="9">(AC37-AF37)/AC37*100</f>
        <v>6.3178677196446111</v>
      </c>
      <c r="AH37" s="53" t="s">
        <v>46</v>
      </c>
      <c r="AI37" s="54">
        <f>(203+209)/2</f>
        <v>206</v>
      </c>
      <c r="AJ37" s="53">
        <v>100.9</v>
      </c>
      <c r="AK37" s="53">
        <f t="shared" ref="AK37:AK52" si="10">(AJ37-Y37)/Y37*100</f>
        <v>2.8542303771661688</v>
      </c>
      <c r="AL37" s="53" t="s">
        <v>53</v>
      </c>
      <c r="AM37" s="53"/>
      <c r="AN37" s="53">
        <v>104.5</v>
      </c>
      <c r="AO37" s="53" t="s">
        <v>54</v>
      </c>
      <c r="AP37" s="53">
        <f>(52+48)/2</f>
        <v>50</v>
      </c>
      <c r="AQ37" s="53">
        <v>99.5</v>
      </c>
      <c r="AR37" s="53">
        <f t="shared" ref="AR37:AR52" si="11">(AJ37-AQ37)/AJ37*100</f>
        <v>1.3875123885034744</v>
      </c>
      <c r="AS37" s="53" t="s">
        <v>57</v>
      </c>
      <c r="AT37" s="54">
        <f>(210+232)/2</f>
        <v>221</v>
      </c>
      <c r="AU37" s="53">
        <v>104.4</v>
      </c>
      <c r="AV37" s="53">
        <f t="shared" ref="AV37:AV52" si="12">(AU37-AJ37)/AJ37*100</f>
        <v>3.4687809712586719</v>
      </c>
      <c r="AW37" s="53" t="s">
        <v>59</v>
      </c>
      <c r="AX37" s="53"/>
      <c r="AY37" s="53">
        <v>105.1</v>
      </c>
      <c r="AZ37" s="53" t="s">
        <v>60</v>
      </c>
      <c r="BA37" s="53">
        <f>(60+57)/2</f>
        <v>58.5</v>
      </c>
      <c r="BB37" s="53">
        <v>100.9</v>
      </c>
      <c r="BC37" s="53">
        <f t="shared" ref="BC37:BC52" si="13">(AY37-BB37)/AY37*100</f>
        <v>3.9961941008563167</v>
      </c>
      <c r="BD37" t="s">
        <v>63</v>
      </c>
      <c r="BE37" s="32">
        <f>(206+180)/2</f>
        <v>193</v>
      </c>
      <c r="BF37">
        <v>104.6</v>
      </c>
      <c r="BL37" s="12"/>
      <c r="BM37" s="12"/>
      <c r="BN37" s="12"/>
      <c r="BQ37" s="12"/>
    </row>
    <row r="38" spans="1:75">
      <c r="A38" s="6" t="s">
        <v>4</v>
      </c>
      <c r="B38" s="8" t="s">
        <v>65</v>
      </c>
      <c r="C38" s="4">
        <v>73</v>
      </c>
      <c r="D38" s="9">
        <v>52.1</v>
      </c>
      <c r="E38" s="53" t="s">
        <v>22</v>
      </c>
      <c r="F38" s="54">
        <f>(207+227)/2</f>
        <v>217</v>
      </c>
      <c r="G38" s="53">
        <v>85.9</v>
      </c>
      <c r="H38" s="53" t="s">
        <v>28</v>
      </c>
      <c r="I38" s="53">
        <f>(43+43)/2</f>
        <v>43</v>
      </c>
      <c r="J38" s="53">
        <v>82.5</v>
      </c>
      <c r="K38" s="53">
        <f t="shared" si="5"/>
        <v>3.9580908032596103</v>
      </c>
      <c r="L38" s="53" t="s">
        <v>24</v>
      </c>
      <c r="M38" s="54">
        <f>(279+251)/2</f>
        <v>265</v>
      </c>
      <c r="N38" s="53">
        <v>88.9</v>
      </c>
      <c r="O38" s="53">
        <f t="shared" si="6"/>
        <v>70.633397312859898</v>
      </c>
      <c r="P38" s="53" t="s">
        <v>25</v>
      </c>
      <c r="Q38" s="53"/>
      <c r="R38" s="53">
        <v>90.7</v>
      </c>
      <c r="S38" s="53" t="s">
        <v>30</v>
      </c>
      <c r="T38" s="53">
        <f>(44+44)/2</f>
        <v>44</v>
      </c>
      <c r="U38" s="53">
        <v>86.7</v>
      </c>
      <c r="V38" s="53">
        <f t="shared" si="7"/>
        <v>4.4101433296582133</v>
      </c>
      <c r="W38" s="53" t="s">
        <v>41</v>
      </c>
      <c r="X38" s="54">
        <f>(269+310)/2</f>
        <v>289.5</v>
      </c>
      <c r="Y38" s="53">
        <v>93.4</v>
      </c>
      <c r="Z38" s="53">
        <f t="shared" si="8"/>
        <v>5.0618672665916753</v>
      </c>
      <c r="AA38" s="53" t="s">
        <v>44</v>
      </c>
      <c r="AB38" s="53"/>
      <c r="AC38" s="53">
        <v>97</v>
      </c>
      <c r="AD38" s="53" t="s">
        <v>45</v>
      </c>
      <c r="AE38" s="53">
        <f>(36+44)/2</f>
        <v>40</v>
      </c>
      <c r="AF38" s="53">
        <v>92.5</v>
      </c>
      <c r="AG38" s="53">
        <f t="shared" si="9"/>
        <v>4.6391752577319592</v>
      </c>
      <c r="AH38" s="53" t="s">
        <v>46</v>
      </c>
      <c r="AI38" s="54">
        <f>(314+338)/2</f>
        <v>326</v>
      </c>
      <c r="AJ38" s="53">
        <v>98.2</v>
      </c>
      <c r="AK38" s="53">
        <f t="shared" si="10"/>
        <v>5.1391862955032082</v>
      </c>
      <c r="AL38" s="53" t="s">
        <v>53</v>
      </c>
      <c r="AM38" s="53"/>
      <c r="AN38" s="53">
        <v>98.1</v>
      </c>
      <c r="AO38" s="53" t="s">
        <v>54</v>
      </c>
      <c r="AP38" s="53">
        <f>(36+32)/2</f>
        <v>34</v>
      </c>
      <c r="AQ38" s="53">
        <v>94.3</v>
      </c>
      <c r="AR38" s="53">
        <f t="shared" si="11"/>
        <v>3.9714867617107998</v>
      </c>
      <c r="AS38" s="53" t="s">
        <v>57</v>
      </c>
      <c r="AT38" s="54">
        <f>(295+323)/2</f>
        <v>309</v>
      </c>
      <c r="AU38" s="53">
        <v>98.8</v>
      </c>
      <c r="AV38" s="53">
        <f t="shared" si="12"/>
        <v>0.61099796334011636</v>
      </c>
      <c r="AW38" s="53" t="s">
        <v>59</v>
      </c>
      <c r="AX38" s="53"/>
      <c r="AY38" s="53">
        <v>101.7</v>
      </c>
      <c r="AZ38" s="53" t="s">
        <v>60</v>
      </c>
      <c r="BA38" s="53">
        <f>(42+54)/2</f>
        <v>48</v>
      </c>
      <c r="BB38" s="53">
        <v>97</v>
      </c>
      <c r="BC38" s="53">
        <f t="shared" si="13"/>
        <v>4.6214355948869255</v>
      </c>
      <c r="BD38" t="s">
        <v>63</v>
      </c>
      <c r="BE38" s="1">
        <f>(335+406)/2</f>
        <v>370.5</v>
      </c>
      <c r="BF38">
        <v>100.4</v>
      </c>
      <c r="BL38" s="1"/>
    </row>
    <row r="39" spans="1:75">
      <c r="A39" s="6" t="s">
        <v>5</v>
      </c>
      <c r="B39" s="8" t="s">
        <v>65</v>
      </c>
      <c r="C39" s="4">
        <v>78</v>
      </c>
      <c r="D39" s="9">
        <v>51.3</v>
      </c>
      <c r="E39" s="53" t="s">
        <v>22</v>
      </c>
      <c r="F39" s="54">
        <f>(322+320)/2</f>
        <v>321</v>
      </c>
      <c r="G39" s="53">
        <v>91.2</v>
      </c>
      <c r="H39" s="53" t="s">
        <v>28</v>
      </c>
      <c r="I39" s="53">
        <f>(60+52+45)/3</f>
        <v>52.333333333333336</v>
      </c>
      <c r="J39" s="53">
        <v>86.7</v>
      </c>
      <c r="K39" s="53">
        <f t="shared" si="5"/>
        <v>4.9342105263157894</v>
      </c>
      <c r="L39" s="53" t="s">
        <v>24</v>
      </c>
      <c r="M39" s="54">
        <f>(249+264)/2</f>
        <v>256.5</v>
      </c>
      <c r="N39" s="53">
        <v>93.5</v>
      </c>
      <c r="O39" s="53">
        <f t="shared" si="6"/>
        <v>82.261208576998058</v>
      </c>
      <c r="P39" s="53" t="s">
        <v>25</v>
      </c>
      <c r="Q39" s="53"/>
      <c r="R39" s="53">
        <v>96.1</v>
      </c>
      <c r="S39" s="53" t="s">
        <v>30</v>
      </c>
      <c r="T39" s="53">
        <f>(47+49)/2</f>
        <v>48</v>
      </c>
      <c r="U39" s="53">
        <v>91.9</v>
      </c>
      <c r="V39" s="53">
        <f t="shared" si="7"/>
        <v>4.3704474505723088</v>
      </c>
      <c r="W39" s="53" t="s">
        <v>41</v>
      </c>
      <c r="X39" s="54">
        <f>(266+235)/2</f>
        <v>250.5</v>
      </c>
      <c r="Y39" s="53">
        <v>99.3</v>
      </c>
      <c r="Z39" s="53">
        <f t="shared" si="8"/>
        <v>6.203208556149729</v>
      </c>
      <c r="AA39" s="53" t="s">
        <v>44</v>
      </c>
      <c r="AB39" s="53"/>
      <c r="AC39" s="53">
        <v>101.3</v>
      </c>
      <c r="AD39" s="53" t="s">
        <v>45</v>
      </c>
      <c r="AE39" s="53">
        <f>(40+40)/2</f>
        <v>40</v>
      </c>
      <c r="AF39" s="53">
        <v>96.8</v>
      </c>
      <c r="AG39" s="53">
        <f t="shared" si="9"/>
        <v>4.4422507403751235</v>
      </c>
      <c r="AH39" s="53" t="s">
        <v>46</v>
      </c>
      <c r="AI39" s="55">
        <f>(137+142)/2</f>
        <v>139.5</v>
      </c>
      <c r="AJ39" s="53">
        <v>103</v>
      </c>
      <c r="AK39" s="53">
        <f t="shared" si="10"/>
        <v>3.7260825780463276</v>
      </c>
      <c r="AL39" s="53" t="s">
        <v>53</v>
      </c>
      <c r="AM39" s="53"/>
      <c r="AN39" s="53">
        <v>106.7</v>
      </c>
      <c r="AO39" s="53" t="s">
        <v>54</v>
      </c>
      <c r="AP39" s="53">
        <f>(41+36)/2</f>
        <v>38.5</v>
      </c>
      <c r="AQ39" s="53">
        <v>102.1</v>
      </c>
      <c r="AR39" s="53">
        <f t="shared" si="11"/>
        <v>0.8737864077669959</v>
      </c>
      <c r="AS39" s="53" t="s">
        <v>57</v>
      </c>
      <c r="AT39" s="54">
        <f>(248+249)/2</f>
        <v>248.5</v>
      </c>
      <c r="AU39" s="53">
        <v>107</v>
      </c>
      <c r="AV39" s="53">
        <f t="shared" si="12"/>
        <v>3.8834951456310676</v>
      </c>
      <c r="AW39" s="53" t="s">
        <v>59</v>
      </c>
      <c r="AX39" s="53"/>
      <c r="AY39" s="53">
        <v>109.1</v>
      </c>
      <c r="AZ39" s="53" t="s">
        <v>60</v>
      </c>
      <c r="BA39" s="53">
        <f>(55+58)/2</f>
        <v>56.5</v>
      </c>
      <c r="BB39" s="53">
        <v>105.4</v>
      </c>
      <c r="BC39" s="53">
        <f t="shared" si="13"/>
        <v>3.3913840513290459</v>
      </c>
      <c r="BD39" t="s">
        <v>63</v>
      </c>
      <c r="BE39">
        <f>(91+107+76+81+86+101)/6</f>
        <v>90.333333333333329</v>
      </c>
      <c r="BF39">
        <v>106.9</v>
      </c>
      <c r="BL39" s="1"/>
    </row>
    <row r="40" spans="1:75">
      <c r="A40" s="36" t="s">
        <v>6</v>
      </c>
      <c r="B40" s="40" t="s">
        <v>65</v>
      </c>
      <c r="C40" s="41">
        <v>73</v>
      </c>
      <c r="D40" s="42">
        <v>49.6</v>
      </c>
      <c r="E40" s="53" t="s">
        <v>22</v>
      </c>
      <c r="F40" s="53">
        <f>(110+73)/2</f>
        <v>91.5</v>
      </c>
      <c r="G40" s="53">
        <v>89</v>
      </c>
      <c r="H40" s="53" t="s">
        <v>28</v>
      </c>
      <c r="I40" s="53">
        <f>(40+42)/2</f>
        <v>41</v>
      </c>
      <c r="J40" s="53">
        <v>85.2</v>
      </c>
      <c r="K40" s="53">
        <f t="shared" si="5"/>
        <v>4.2696629213483117</v>
      </c>
      <c r="L40" s="53" t="s">
        <v>24</v>
      </c>
      <c r="M40" s="53">
        <f>(58+68)/2</f>
        <v>63</v>
      </c>
      <c r="N40" s="53">
        <v>91.9</v>
      </c>
      <c r="O40" s="53">
        <f t="shared" si="6"/>
        <v>85.282258064516142</v>
      </c>
      <c r="P40" s="53" t="s">
        <v>25</v>
      </c>
      <c r="Q40" s="53"/>
      <c r="R40" s="53">
        <v>96.7</v>
      </c>
      <c r="S40" s="53" t="s">
        <v>30</v>
      </c>
      <c r="T40" s="53">
        <f>(52+48)/2</f>
        <v>50</v>
      </c>
      <c r="U40" s="53">
        <v>92.5</v>
      </c>
      <c r="V40" s="53">
        <f t="shared" si="7"/>
        <v>4.3433298862461251</v>
      </c>
      <c r="W40" s="53" t="s">
        <v>41</v>
      </c>
      <c r="X40" s="53">
        <f>(45+48)/2</f>
        <v>46.5</v>
      </c>
      <c r="Y40" s="53">
        <v>98.3</v>
      </c>
      <c r="Z40" s="53">
        <f t="shared" si="8"/>
        <v>6.9640914036996637</v>
      </c>
      <c r="AA40" s="53" t="s">
        <v>44</v>
      </c>
      <c r="AB40" s="53"/>
      <c r="AC40" s="53">
        <v>102.3</v>
      </c>
      <c r="AD40" s="53" t="s">
        <v>45</v>
      </c>
      <c r="AE40" s="53">
        <f>(63+66)/2</f>
        <v>64.5</v>
      </c>
      <c r="AF40" s="53">
        <v>97.1</v>
      </c>
      <c r="AG40" s="53">
        <f t="shared" si="9"/>
        <v>5.0830889540566995</v>
      </c>
      <c r="AH40" s="53" t="s">
        <v>46</v>
      </c>
      <c r="AI40" s="53">
        <f>(75+81)/2</f>
        <v>78</v>
      </c>
      <c r="AJ40" s="53">
        <v>102.8</v>
      </c>
      <c r="AK40" s="53">
        <f t="shared" si="10"/>
        <v>4.5778229908443535</v>
      </c>
      <c r="AL40" s="53" t="s">
        <v>53</v>
      </c>
      <c r="AM40" s="53"/>
      <c r="AN40" s="53">
        <v>105.7</v>
      </c>
      <c r="AO40" s="53" t="s">
        <v>54</v>
      </c>
      <c r="AP40" s="53">
        <f>(68+59)/2</f>
        <v>63.5</v>
      </c>
      <c r="AQ40" s="53">
        <v>101</v>
      </c>
      <c r="AR40" s="53">
        <f t="shared" si="11"/>
        <v>1.7509727626459117</v>
      </c>
      <c r="AS40" s="53" t="s">
        <v>57</v>
      </c>
      <c r="AT40" s="53">
        <f>(59+67)/2</f>
        <v>63</v>
      </c>
      <c r="AU40" s="53">
        <v>105</v>
      </c>
      <c r="AV40" s="53">
        <f t="shared" si="12"/>
        <v>2.1400778210116758</v>
      </c>
      <c r="AW40" s="53" t="s">
        <v>59</v>
      </c>
      <c r="AX40" s="53"/>
      <c r="AY40" s="53">
        <v>109.2</v>
      </c>
      <c r="AZ40" s="53" t="s">
        <v>60</v>
      </c>
      <c r="BA40" s="53">
        <f>(41+43)/2</f>
        <v>42</v>
      </c>
      <c r="BB40" s="53">
        <v>105.1</v>
      </c>
      <c r="BC40" s="53">
        <f t="shared" si="13"/>
        <v>3.7545787545787621</v>
      </c>
      <c r="BD40" s="43" t="s">
        <v>63</v>
      </c>
      <c r="BE40" s="43"/>
      <c r="BF40" s="43"/>
      <c r="BG40" s="43"/>
      <c r="BH40" s="43"/>
      <c r="BL40" s="1"/>
    </row>
    <row r="41" spans="1:75">
      <c r="A41" s="5" t="s">
        <v>7</v>
      </c>
      <c r="B41" s="8" t="s">
        <v>65</v>
      </c>
      <c r="C41" s="4">
        <v>70</v>
      </c>
      <c r="D41" s="9">
        <v>55.8</v>
      </c>
      <c r="E41" s="53" t="s">
        <v>22</v>
      </c>
      <c r="F41" s="54">
        <f>(339+384)/2</f>
        <v>361.5</v>
      </c>
      <c r="G41" s="53">
        <v>96.7</v>
      </c>
      <c r="H41" s="53" t="s">
        <v>28</v>
      </c>
      <c r="I41" s="54">
        <f>(160+195+159)/3</f>
        <v>171.33333333333334</v>
      </c>
      <c r="J41" s="53">
        <v>93.2</v>
      </c>
      <c r="K41" s="53">
        <f t="shared" si="5"/>
        <v>3.6194415718717683</v>
      </c>
      <c r="L41" s="53" t="s">
        <v>24</v>
      </c>
      <c r="M41" s="54">
        <f>(249+216)/2</f>
        <v>232.5</v>
      </c>
      <c r="N41" s="53">
        <v>95.7</v>
      </c>
      <c r="O41" s="53">
        <f t="shared" si="6"/>
        <v>71.505376344086031</v>
      </c>
      <c r="P41" s="53" t="s">
        <v>25</v>
      </c>
      <c r="Q41" s="53"/>
      <c r="R41" s="53">
        <v>98.7</v>
      </c>
      <c r="S41" s="53" t="s">
        <v>30</v>
      </c>
      <c r="T41" s="53">
        <f>(48+55)/2</f>
        <v>51.5</v>
      </c>
      <c r="U41" s="53">
        <v>95.6</v>
      </c>
      <c r="V41" s="53">
        <f t="shared" si="7"/>
        <v>3.140830800405277</v>
      </c>
      <c r="W41" s="53" t="s">
        <v>41</v>
      </c>
      <c r="X41" s="54">
        <f>(203+204)/2</f>
        <v>203.5</v>
      </c>
      <c r="Y41" s="53">
        <v>102.3</v>
      </c>
      <c r="Z41" s="53">
        <f t="shared" si="8"/>
        <v>6.8965517241379253</v>
      </c>
      <c r="AA41" s="53" t="s">
        <v>44</v>
      </c>
      <c r="AB41" s="53"/>
      <c r="AC41" s="53">
        <v>106.2</v>
      </c>
      <c r="AD41" s="53" t="s">
        <v>45</v>
      </c>
      <c r="AE41" s="53">
        <f>(53+57)/2</f>
        <v>55</v>
      </c>
      <c r="AF41" s="53">
        <v>100.5</v>
      </c>
      <c r="AG41" s="53">
        <f t="shared" si="9"/>
        <v>5.3672316384180814</v>
      </c>
      <c r="AH41" s="53" t="s">
        <v>46</v>
      </c>
      <c r="AI41" s="54">
        <f>(209+202)/2</f>
        <v>205.5</v>
      </c>
      <c r="AJ41" s="53">
        <v>106.3</v>
      </c>
      <c r="AK41" s="53">
        <f t="shared" si="10"/>
        <v>3.9100684261974585</v>
      </c>
      <c r="AL41" s="53" t="s">
        <v>53</v>
      </c>
      <c r="AM41" s="53"/>
      <c r="AN41" s="53">
        <v>110.1</v>
      </c>
      <c r="AO41" s="53" t="s">
        <v>54</v>
      </c>
      <c r="AP41" s="53">
        <f>(45+47)/2</f>
        <v>46</v>
      </c>
      <c r="AQ41" s="53">
        <v>103.4</v>
      </c>
      <c r="AR41" s="53">
        <f t="shared" si="11"/>
        <v>2.7281279397930307</v>
      </c>
      <c r="AS41" s="53" t="s">
        <v>57</v>
      </c>
      <c r="AT41" s="54">
        <f>(219+232)/2</f>
        <v>225.5</v>
      </c>
      <c r="AU41" s="53">
        <v>108.3</v>
      </c>
      <c r="AV41" s="53">
        <f t="shared" si="12"/>
        <v>1.8814675446848543</v>
      </c>
      <c r="AW41" s="53" t="s">
        <v>59</v>
      </c>
      <c r="AX41" s="53"/>
      <c r="AY41" s="53">
        <v>110.4</v>
      </c>
      <c r="AZ41" s="53" t="s">
        <v>60</v>
      </c>
      <c r="BA41" s="53">
        <f>(37+40)/2</f>
        <v>38.5</v>
      </c>
      <c r="BB41" s="53">
        <v>106.6</v>
      </c>
      <c r="BC41" s="53">
        <f t="shared" si="13"/>
        <v>3.4420289855072568</v>
      </c>
      <c r="BD41" t="s">
        <v>63</v>
      </c>
      <c r="BE41" s="32">
        <f>(180+99)/2</f>
        <v>139.5</v>
      </c>
      <c r="BF41">
        <v>108.6</v>
      </c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>
      <c r="A42" s="6" t="s">
        <v>8</v>
      </c>
      <c r="B42" s="8" t="s">
        <v>65</v>
      </c>
      <c r="C42" s="4">
        <v>69</v>
      </c>
      <c r="D42" s="9">
        <v>56.3</v>
      </c>
      <c r="E42" s="53" t="s">
        <v>22</v>
      </c>
      <c r="F42" s="54">
        <f>(386+467)/2</f>
        <v>426.5</v>
      </c>
      <c r="G42" s="53">
        <v>90.9</v>
      </c>
      <c r="H42" s="53" t="s">
        <v>28</v>
      </c>
      <c r="I42" s="55">
        <f>(75+83+55+96)/4</f>
        <v>77.25</v>
      </c>
      <c r="J42" s="53">
        <v>86.7</v>
      </c>
      <c r="K42" s="53">
        <f t="shared" si="5"/>
        <v>4.620462046204624</v>
      </c>
      <c r="L42" s="53" t="s">
        <v>24</v>
      </c>
      <c r="M42" s="54">
        <f>(417+349)/2</f>
        <v>383</v>
      </c>
      <c r="N42" s="53">
        <v>91.7</v>
      </c>
      <c r="O42" s="53">
        <f t="shared" si="6"/>
        <v>62.877442273534648</v>
      </c>
      <c r="P42" s="53" t="s">
        <v>25</v>
      </c>
      <c r="Q42" s="53"/>
      <c r="R42" s="53">
        <v>93.2</v>
      </c>
      <c r="S42" s="53" t="s">
        <v>30</v>
      </c>
      <c r="T42" s="55">
        <f>(95+115)/2</f>
        <v>105</v>
      </c>
      <c r="U42" s="53">
        <v>89.4</v>
      </c>
      <c r="V42" s="53">
        <f t="shared" si="7"/>
        <v>4.0772532188841168</v>
      </c>
      <c r="W42" s="53" t="s">
        <v>41</v>
      </c>
      <c r="X42" s="54">
        <f>(406+372)/2</f>
        <v>389</v>
      </c>
      <c r="Y42" s="53">
        <v>95.3</v>
      </c>
      <c r="Z42" s="53">
        <f t="shared" si="8"/>
        <v>3.9258451472191869</v>
      </c>
      <c r="AA42" s="53" t="s">
        <v>44</v>
      </c>
      <c r="AB42" s="53"/>
      <c r="AC42" s="53">
        <v>96.8</v>
      </c>
      <c r="AD42" s="53" t="s">
        <v>45</v>
      </c>
      <c r="AE42" s="53">
        <f>(63+72)/2</f>
        <v>67.5</v>
      </c>
      <c r="AF42" s="53">
        <v>93</v>
      </c>
      <c r="AG42" s="53">
        <f t="shared" si="9"/>
        <v>3.9256198347107412</v>
      </c>
      <c r="AH42" s="53" t="s">
        <v>46</v>
      </c>
      <c r="AI42" s="54">
        <f>(351+383)/2</f>
        <v>367</v>
      </c>
      <c r="AJ42" s="53">
        <v>98.5</v>
      </c>
      <c r="AK42" s="53">
        <f t="shared" si="10"/>
        <v>3.3578174186778624</v>
      </c>
      <c r="AL42" s="53" t="s">
        <v>53</v>
      </c>
      <c r="AM42" s="53"/>
      <c r="AN42" s="53">
        <v>102.3</v>
      </c>
      <c r="AO42" s="53" t="s">
        <v>54</v>
      </c>
      <c r="AP42" s="53">
        <f>(60+63)/2</f>
        <v>61.5</v>
      </c>
      <c r="AQ42" s="53">
        <v>96.7</v>
      </c>
      <c r="AR42" s="53">
        <f t="shared" si="11"/>
        <v>1.8274111675126874</v>
      </c>
      <c r="AS42" s="53" t="s">
        <v>57</v>
      </c>
      <c r="AT42" s="56">
        <f>(487+541)/2</f>
        <v>514</v>
      </c>
      <c r="AU42" s="53">
        <v>103.2</v>
      </c>
      <c r="AV42" s="53">
        <f t="shared" si="12"/>
        <v>4.771573604060916</v>
      </c>
      <c r="AW42" s="53" t="s">
        <v>59</v>
      </c>
      <c r="AX42" s="53"/>
      <c r="AY42" s="53">
        <v>105.5</v>
      </c>
      <c r="AZ42" s="53" t="s">
        <v>60</v>
      </c>
      <c r="BA42" s="54">
        <f>(183+155)/2</f>
        <v>169</v>
      </c>
      <c r="BB42" s="53">
        <v>98.7</v>
      </c>
      <c r="BC42" s="53">
        <f t="shared" si="13"/>
        <v>6.4454976303317508</v>
      </c>
      <c r="BD42" t="s">
        <v>63</v>
      </c>
      <c r="BE42" s="1">
        <f>(451+560+516)/3</f>
        <v>509</v>
      </c>
      <c r="BF42">
        <v>101.8</v>
      </c>
      <c r="BL42" s="1"/>
    </row>
    <row r="43" spans="1:75">
      <c r="A43" s="7" t="s">
        <v>9</v>
      </c>
      <c r="B43" s="8" t="s">
        <v>65</v>
      </c>
      <c r="C43" s="4">
        <v>96</v>
      </c>
      <c r="D43" s="9">
        <v>60.7</v>
      </c>
      <c r="E43" s="53" t="s">
        <v>22</v>
      </c>
      <c r="F43" s="54">
        <f>(412+287+309+293)/4</f>
        <v>325.25</v>
      </c>
      <c r="G43" s="53">
        <v>95.2</v>
      </c>
      <c r="H43" s="53" t="s">
        <v>28</v>
      </c>
      <c r="I43" s="54">
        <f>(145+208+170)/3</f>
        <v>174.33333333333334</v>
      </c>
      <c r="J43" s="53">
        <v>93.1</v>
      </c>
      <c r="K43" s="53">
        <f t="shared" si="5"/>
        <v>2.2058823529411855</v>
      </c>
      <c r="L43" s="53" t="s">
        <v>24</v>
      </c>
      <c r="M43" s="54">
        <f>(510+348+305)/3</f>
        <v>387.66666666666669</v>
      </c>
      <c r="N43" s="53">
        <v>95.4</v>
      </c>
      <c r="O43" s="53">
        <f t="shared" si="6"/>
        <v>57.166392092256999</v>
      </c>
      <c r="P43" s="53" t="s">
        <v>25</v>
      </c>
      <c r="Q43" s="53"/>
      <c r="R43" s="53">
        <v>100.7</v>
      </c>
      <c r="S43" s="53" t="s">
        <v>30</v>
      </c>
      <c r="T43" s="55">
        <f>(72+85)/2</f>
        <v>78.5</v>
      </c>
      <c r="U43" s="53">
        <v>94.9</v>
      </c>
      <c r="V43" s="53">
        <f t="shared" si="7"/>
        <v>5.7596822244289942</v>
      </c>
      <c r="W43" s="53" t="s">
        <v>41</v>
      </c>
      <c r="X43" s="54">
        <f>(288+274)/2</f>
        <v>281</v>
      </c>
      <c r="Y43" s="53">
        <v>99.1</v>
      </c>
      <c r="Z43" s="53">
        <f t="shared" si="8"/>
        <v>3.8784067085953757</v>
      </c>
      <c r="AA43" s="53" t="s">
        <v>44</v>
      </c>
      <c r="AB43" s="53"/>
      <c r="AC43" s="53">
        <v>103.2</v>
      </c>
      <c r="AD43" s="53" t="s">
        <v>45</v>
      </c>
      <c r="AE43" s="53">
        <f>(55+87)/2</f>
        <v>71</v>
      </c>
      <c r="AF43" s="53">
        <v>99.5</v>
      </c>
      <c r="AG43" s="53">
        <f t="shared" si="9"/>
        <v>3.5852713178294602</v>
      </c>
      <c r="AH43" s="53" t="s">
        <v>46</v>
      </c>
      <c r="AI43" s="54">
        <f>(375+323)/2</f>
        <v>349</v>
      </c>
      <c r="AJ43" s="53">
        <v>106.3</v>
      </c>
      <c r="AK43" s="53">
        <f t="shared" si="10"/>
        <v>7.2653884964682174</v>
      </c>
      <c r="AL43" s="53" t="s">
        <v>53</v>
      </c>
      <c r="AM43" s="53"/>
      <c r="AN43" s="53">
        <v>110.3</v>
      </c>
      <c r="AO43" s="53" t="s">
        <v>54</v>
      </c>
      <c r="AP43" s="53">
        <f>(43+58)/2</f>
        <v>50.5</v>
      </c>
      <c r="AQ43" s="53">
        <v>105.5</v>
      </c>
      <c r="AR43" s="53">
        <f t="shared" si="11"/>
        <v>0.752587017873939</v>
      </c>
      <c r="AS43" s="53" t="s">
        <v>57</v>
      </c>
      <c r="AT43" s="54">
        <f>(367+416)/2</f>
        <v>391.5</v>
      </c>
      <c r="AU43" s="53">
        <v>112.6</v>
      </c>
      <c r="AV43" s="53">
        <f t="shared" si="12"/>
        <v>5.9266227657572879</v>
      </c>
      <c r="AW43" s="53" t="s">
        <v>59</v>
      </c>
      <c r="AX43" s="53"/>
      <c r="AY43" s="53">
        <v>112.1</v>
      </c>
      <c r="AZ43" s="53" t="s">
        <v>60</v>
      </c>
      <c r="BA43" s="54">
        <f>(150+126)/2</f>
        <v>138</v>
      </c>
      <c r="BB43" s="53">
        <v>107</v>
      </c>
      <c r="BC43" s="53">
        <f t="shared" si="13"/>
        <v>4.5495093666369266</v>
      </c>
      <c r="BD43" t="s">
        <v>63</v>
      </c>
      <c r="BE43" s="1">
        <f>(441+430)/2</f>
        <v>435.5</v>
      </c>
      <c r="BF43">
        <v>110.7</v>
      </c>
      <c r="BJ43" s="1"/>
      <c r="BK43" s="1"/>
      <c r="BN43" s="35"/>
      <c r="BU43" s="1"/>
      <c r="BV43" s="1"/>
    </row>
    <row r="44" spans="1:75">
      <c r="A44" s="37" t="s">
        <v>10</v>
      </c>
      <c r="B44" s="40" t="s">
        <v>65</v>
      </c>
      <c r="C44" s="41">
        <v>57</v>
      </c>
      <c r="D44" s="42">
        <v>48.7</v>
      </c>
      <c r="E44" s="53" t="s">
        <v>22</v>
      </c>
      <c r="F44" s="54">
        <f>(261+212)/2</f>
        <v>236.5</v>
      </c>
      <c r="G44" s="53">
        <v>91.4</v>
      </c>
      <c r="H44" s="53" t="s">
        <v>28</v>
      </c>
      <c r="I44" s="53">
        <f>(61+41+50+49)/4</f>
        <v>50.25</v>
      </c>
      <c r="J44" s="53">
        <v>87.3</v>
      </c>
      <c r="K44" s="53">
        <f t="shared" si="5"/>
        <v>4.4857768052516507</v>
      </c>
      <c r="L44" s="53" t="s">
        <v>24</v>
      </c>
      <c r="M44" s="55">
        <f>(115+114+123)/3</f>
        <v>117.33333333333333</v>
      </c>
      <c r="N44" s="53">
        <v>94.9</v>
      </c>
      <c r="O44" s="53">
        <f t="shared" si="6"/>
        <v>94.866529774127301</v>
      </c>
      <c r="P44" s="53" t="s">
        <v>25</v>
      </c>
      <c r="Q44" s="53"/>
      <c r="R44" s="53">
        <v>101</v>
      </c>
      <c r="S44" s="53" t="s">
        <v>30</v>
      </c>
      <c r="T44" s="53">
        <f>(57+56)/2</f>
        <v>56.5</v>
      </c>
      <c r="U44" s="53">
        <v>93.7</v>
      </c>
      <c r="V44" s="53">
        <f t="shared" si="7"/>
        <v>7.2277227722772244</v>
      </c>
      <c r="W44" s="53" t="s">
        <v>41</v>
      </c>
      <c r="X44" s="53">
        <f>(68+79)/2</f>
        <v>73.5</v>
      </c>
      <c r="Y44" s="53">
        <v>102</v>
      </c>
      <c r="Z44" s="53">
        <f t="shared" si="8"/>
        <v>7.4815595363540499</v>
      </c>
      <c r="AA44" s="53" t="s">
        <v>44</v>
      </c>
      <c r="AB44" s="53"/>
      <c r="AC44" s="53">
        <v>107.4</v>
      </c>
      <c r="AD44" s="53" t="s">
        <v>45</v>
      </c>
      <c r="AE44" s="53">
        <f>(38+45)/2</f>
        <v>41.5</v>
      </c>
      <c r="AF44" s="53">
        <v>100.9</v>
      </c>
      <c r="AG44" s="53">
        <f t="shared" si="9"/>
        <v>6.0521415270018624</v>
      </c>
      <c r="AH44" s="53" t="s">
        <v>46</v>
      </c>
      <c r="AI44" s="53">
        <f>(47+43)/2</f>
        <v>45</v>
      </c>
      <c r="AJ44" s="53">
        <v>106</v>
      </c>
      <c r="AK44" s="53">
        <f t="shared" si="10"/>
        <v>3.9215686274509802</v>
      </c>
      <c r="AL44" s="53" t="s">
        <v>53</v>
      </c>
      <c r="AM44" s="53"/>
      <c r="AN44" s="53">
        <v>109.9</v>
      </c>
      <c r="AO44" s="53" t="s">
        <v>54</v>
      </c>
      <c r="AP44" s="53">
        <f>(58+46)/2</f>
        <v>52</v>
      </c>
      <c r="AQ44" s="53">
        <v>104.7</v>
      </c>
      <c r="AR44" s="53">
        <f t="shared" si="11"/>
        <v>1.2264150943396199</v>
      </c>
      <c r="AS44" s="53" t="s">
        <v>57</v>
      </c>
      <c r="AT44" s="53">
        <f>(59+63)/2</f>
        <v>61</v>
      </c>
      <c r="AU44" s="53">
        <v>109.8</v>
      </c>
      <c r="AV44" s="53">
        <f t="shared" si="12"/>
        <v>3.5849056603773555</v>
      </c>
      <c r="AW44" s="53" t="s">
        <v>59</v>
      </c>
      <c r="AX44" s="53"/>
      <c r="AY44" s="53">
        <v>112.1</v>
      </c>
      <c r="AZ44" s="53" t="s">
        <v>60</v>
      </c>
      <c r="BA44" s="53">
        <f>(46+58)/2</f>
        <v>52</v>
      </c>
      <c r="BB44" s="53">
        <v>107.2</v>
      </c>
      <c r="BC44" s="53">
        <f t="shared" si="13"/>
        <v>4.3710972346119457</v>
      </c>
      <c r="BD44" s="43" t="s">
        <v>63</v>
      </c>
      <c r="BE44" s="43"/>
      <c r="BF44" s="43"/>
      <c r="BG44" s="43"/>
      <c r="BH44" s="43"/>
      <c r="BL44" s="1"/>
      <c r="BU44" s="1"/>
    </row>
    <row r="45" spans="1:75">
      <c r="A45" s="6" t="s">
        <v>11</v>
      </c>
      <c r="B45" s="8" t="s">
        <v>65</v>
      </c>
      <c r="C45" s="4">
        <v>79</v>
      </c>
      <c r="D45" s="9">
        <v>56.2</v>
      </c>
      <c r="E45" s="53" t="s">
        <v>22</v>
      </c>
      <c r="F45" s="54">
        <f>(431+503)/2</f>
        <v>467</v>
      </c>
      <c r="G45" s="53">
        <v>95.8</v>
      </c>
      <c r="H45" s="53" t="s">
        <v>28</v>
      </c>
      <c r="I45" s="53">
        <f>(43+61+67)/3</f>
        <v>57</v>
      </c>
      <c r="J45" s="53">
        <v>90.6</v>
      </c>
      <c r="K45" s="53">
        <f t="shared" si="5"/>
        <v>5.427974947807936</v>
      </c>
      <c r="L45" s="53" t="s">
        <v>24</v>
      </c>
      <c r="M45" s="54">
        <f>(273+341+278)/3</f>
        <v>297.33333333333331</v>
      </c>
      <c r="N45" s="53">
        <v>97.7</v>
      </c>
      <c r="O45" s="53">
        <f t="shared" si="6"/>
        <v>73.843416370106766</v>
      </c>
      <c r="P45" s="53" t="s">
        <v>25</v>
      </c>
      <c r="Q45" s="53"/>
      <c r="R45" s="53">
        <v>100.1</v>
      </c>
      <c r="S45" s="53" t="s">
        <v>30</v>
      </c>
      <c r="T45" s="53">
        <f>(58+74+67+68)/4</f>
        <v>66.75</v>
      </c>
      <c r="U45" s="53">
        <v>95.1</v>
      </c>
      <c r="V45" s="53">
        <f t="shared" si="7"/>
        <v>4.9950049950049955</v>
      </c>
      <c r="W45" s="53" t="s">
        <v>41</v>
      </c>
      <c r="X45" s="54">
        <f>(318+335)/2</f>
        <v>326.5</v>
      </c>
      <c r="Y45" s="53">
        <v>104</v>
      </c>
      <c r="Z45" s="53">
        <f t="shared" si="8"/>
        <v>6.4483111566018394</v>
      </c>
      <c r="AA45" s="53" t="s">
        <v>44</v>
      </c>
      <c r="AB45" s="53"/>
      <c r="AC45" s="53">
        <v>106.1</v>
      </c>
      <c r="AD45" s="53" t="s">
        <v>45</v>
      </c>
      <c r="AE45" s="53">
        <f>(78+69)/2</f>
        <v>73.5</v>
      </c>
      <c r="AF45" s="53">
        <v>99.6</v>
      </c>
      <c r="AG45" s="53">
        <f t="shared" si="9"/>
        <v>6.1262959472196048</v>
      </c>
      <c r="AH45" s="53" t="s">
        <v>46</v>
      </c>
      <c r="AI45" s="54">
        <f>(307+336)/2</f>
        <v>321.5</v>
      </c>
      <c r="AJ45" s="53">
        <v>106.5</v>
      </c>
      <c r="AK45" s="53">
        <f t="shared" si="10"/>
        <v>2.4038461538461542</v>
      </c>
      <c r="AL45" s="53" t="s">
        <v>53</v>
      </c>
      <c r="AM45" s="53"/>
      <c r="AN45" s="53">
        <v>108.3</v>
      </c>
      <c r="AO45" s="53" t="s">
        <v>54</v>
      </c>
      <c r="AP45" s="53">
        <f>(65+62)/2</f>
        <v>63.5</v>
      </c>
      <c r="AQ45" s="53">
        <v>102.9</v>
      </c>
      <c r="AR45" s="53">
        <f t="shared" si="11"/>
        <v>3.3802816901408397</v>
      </c>
      <c r="AS45" s="53" t="s">
        <v>57</v>
      </c>
      <c r="AT45" s="54">
        <f>(378+391)/2</f>
        <v>384.5</v>
      </c>
      <c r="AU45" s="53">
        <v>109.3</v>
      </c>
      <c r="AV45" s="53">
        <f t="shared" si="12"/>
        <v>2.6291079812206548</v>
      </c>
      <c r="AW45" s="53" t="s">
        <v>59</v>
      </c>
      <c r="AX45" s="53"/>
      <c r="AY45" s="53">
        <v>113.2</v>
      </c>
      <c r="AZ45" s="53" t="s">
        <v>60</v>
      </c>
      <c r="BA45" s="54">
        <f>(163+179)/2</f>
        <v>171</v>
      </c>
      <c r="BB45" s="53">
        <v>105.1</v>
      </c>
      <c r="BC45" s="53">
        <f t="shared" si="13"/>
        <v>7.1554770318021284</v>
      </c>
      <c r="BD45" t="s">
        <v>63</v>
      </c>
      <c r="BE45" s="1">
        <f>(600+600)/2</f>
        <v>600</v>
      </c>
      <c r="BF45">
        <v>109.2</v>
      </c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>
      <c r="A46" s="7" t="s">
        <v>12</v>
      </c>
      <c r="B46" s="8" t="s">
        <v>65</v>
      </c>
      <c r="C46" s="4">
        <v>90</v>
      </c>
      <c r="D46" s="9">
        <v>54.1</v>
      </c>
      <c r="E46" s="53" t="s">
        <v>22</v>
      </c>
      <c r="F46" s="54">
        <f>(310+404)/2</f>
        <v>357</v>
      </c>
      <c r="G46" s="53">
        <v>94.5</v>
      </c>
      <c r="H46" s="53" t="s">
        <v>28</v>
      </c>
      <c r="I46" s="53">
        <f>(51+67)/2</f>
        <v>59</v>
      </c>
      <c r="J46" s="53">
        <v>89.6</v>
      </c>
      <c r="K46" s="53">
        <f t="shared" si="5"/>
        <v>5.1851851851851913</v>
      </c>
      <c r="L46" s="53" t="s">
        <v>24</v>
      </c>
      <c r="M46" s="54">
        <f>(287+257)/2</f>
        <v>272</v>
      </c>
      <c r="N46" s="53">
        <v>95.9</v>
      </c>
      <c r="O46" s="53">
        <f t="shared" si="6"/>
        <v>77.264325323475049</v>
      </c>
      <c r="P46" s="53" t="s">
        <v>25</v>
      </c>
      <c r="Q46" s="53"/>
      <c r="R46" s="53">
        <v>99.7</v>
      </c>
      <c r="S46" s="53" t="s">
        <v>30</v>
      </c>
      <c r="T46" s="53">
        <f>(60+47+53)/3</f>
        <v>53.333333333333336</v>
      </c>
      <c r="U46" s="53">
        <v>93.8</v>
      </c>
      <c r="V46" s="53">
        <f t="shared" si="7"/>
        <v>5.9177532597793441</v>
      </c>
      <c r="W46" s="53" t="s">
        <v>41</v>
      </c>
      <c r="X46" s="54">
        <f>(329+350)/2</f>
        <v>339.5</v>
      </c>
      <c r="Y46" s="53">
        <v>102</v>
      </c>
      <c r="Z46" s="53">
        <f t="shared" si="8"/>
        <v>6.3607924921793471</v>
      </c>
      <c r="AA46" s="53" t="s">
        <v>44</v>
      </c>
      <c r="AB46" s="53"/>
      <c r="AC46" s="53">
        <v>103.9</v>
      </c>
      <c r="AD46" s="53" t="s">
        <v>45</v>
      </c>
      <c r="AE46" s="53">
        <f>(42+58)/2</f>
        <v>50</v>
      </c>
      <c r="AF46" s="53">
        <v>98.4</v>
      </c>
      <c r="AG46" s="53">
        <f t="shared" si="9"/>
        <v>5.2935514918190565</v>
      </c>
      <c r="AH46" s="53" t="s">
        <v>46</v>
      </c>
      <c r="AI46" s="54">
        <f>(320+341)/2</f>
        <v>330.5</v>
      </c>
      <c r="AJ46" s="53">
        <v>105.8</v>
      </c>
      <c r="AK46" s="53">
        <f t="shared" si="10"/>
        <v>3.7254901960784284</v>
      </c>
      <c r="AL46" s="53" t="s">
        <v>53</v>
      </c>
      <c r="AM46" s="53"/>
      <c r="AN46" s="53">
        <v>107.4</v>
      </c>
      <c r="AO46" s="53" t="s">
        <v>54</v>
      </c>
      <c r="AP46" s="53">
        <f>(55+90+71+78)/4</f>
        <v>73.5</v>
      </c>
      <c r="AQ46" s="53">
        <v>99.9</v>
      </c>
      <c r="AR46" s="53">
        <f t="shared" si="11"/>
        <v>5.576559546313792</v>
      </c>
      <c r="AS46" s="53" t="s">
        <v>57</v>
      </c>
      <c r="AT46" s="56">
        <f>(414+412)/2</f>
        <v>413</v>
      </c>
      <c r="AU46" s="53">
        <v>106.5</v>
      </c>
      <c r="AV46" s="53">
        <f t="shared" si="12"/>
        <v>0.66162570888469074</v>
      </c>
      <c r="AW46" s="53" t="s">
        <v>59</v>
      </c>
      <c r="AX46" s="53"/>
      <c r="AY46" s="53">
        <v>108.8</v>
      </c>
      <c r="AZ46" s="53" t="s">
        <v>60</v>
      </c>
      <c r="BA46" s="53">
        <f>(57+67)/2</f>
        <v>62</v>
      </c>
      <c r="BB46" s="53">
        <v>100</v>
      </c>
      <c r="BC46" s="53">
        <f t="shared" si="13"/>
        <v>8.088235294117645</v>
      </c>
      <c r="BD46" t="s">
        <v>63</v>
      </c>
      <c r="BE46" s="1">
        <f>(529+546)/2</f>
        <v>537.5</v>
      </c>
      <c r="BF46">
        <v>105.5</v>
      </c>
      <c r="BK46" s="1"/>
      <c r="BU46" s="1"/>
    </row>
    <row r="47" spans="1:75">
      <c r="A47" s="5" t="s">
        <v>13</v>
      </c>
      <c r="B47" s="8" t="s">
        <v>66</v>
      </c>
      <c r="C47" s="4">
        <v>84</v>
      </c>
      <c r="D47" s="9">
        <v>41.1</v>
      </c>
      <c r="E47" s="53" t="s">
        <v>27</v>
      </c>
      <c r="F47" s="53">
        <f>(85+87)/2</f>
        <v>86</v>
      </c>
      <c r="G47" s="53">
        <v>76.099999999999994</v>
      </c>
      <c r="H47" s="53" t="s">
        <v>29</v>
      </c>
      <c r="I47" s="53">
        <f>(52+55+53)/3</f>
        <v>53.333333333333336</v>
      </c>
      <c r="J47" s="53">
        <v>70.900000000000006</v>
      </c>
      <c r="K47" s="53">
        <f t="shared" si="5"/>
        <v>6.8331143232588554</v>
      </c>
      <c r="L47" s="53" t="s">
        <v>36</v>
      </c>
      <c r="M47" s="55">
        <f>(111+106)/2</f>
        <v>108.5</v>
      </c>
      <c r="N47" s="53">
        <v>78.5</v>
      </c>
      <c r="O47" s="53">
        <f t="shared" si="6"/>
        <v>90.99756690997566</v>
      </c>
      <c r="P47" s="53" t="s">
        <v>39</v>
      </c>
      <c r="Q47" s="53"/>
      <c r="R47" s="53">
        <v>81.2</v>
      </c>
      <c r="S47" s="53" t="s">
        <v>40</v>
      </c>
      <c r="T47" s="53">
        <f>(63+63)/2</f>
        <v>63</v>
      </c>
      <c r="U47" s="53">
        <v>75.8</v>
      </c>
      <c r="V47" s="53">
        <f t="shared" si="7"/>
        <v>6.650246305418726</v>
      </c>
      <c r="W47" s="53" t="s">
        <v>47</v>
      </c>
      <c r="X47" s="53">
        <f>(93+78+87)/3</f>
        <v>86</v>
      </c>
      <c r="Y47" s="53">
        <v>83.1</v>
      </c>
      <c r="Z47" s="53">
        <f t="shared" si="8"/>
        <v>5.8598726114649606</v>
      </c>
      <c r="AA47" s="53" t="s">
        <v>48</v>
      </c>
      <c r="AB47" s="53"/>
      <c r="AC47" s="53">
        <v>86.2</v>
      </c>
      <c r="AD47" s="53" t="s">
        <v>49</v>
      </c>
      <c r="AE47" s="53">
        <f>(48+49)/2</f>
        <v>48.5</v>
      </c>
      <c r="AF47" s="53">
        <v>81.8</v>
      </c>
      <c r="AG47" s="53">
        <f t="shared" si="9"/>
        <v>5.1044083526682202</v>
      </c>
      <c r="AH47" s="53" t="s">
        <v>50</v>
      </c>
      <c r="AI47" s="53">
        <f>(71+72)/2</f>
        <v>71.5</v>
      </c>
      <c r="AJ47" s="53">
        <v>87.3</v>
      </c>
      <c r="AK47" s="53">
        <f t="shared" si="10"/>
        <v>5.0541516245487399</v>
      </c>
      <c r="AL47" s="53" t="s">
        <v>55</v>
      </c>
      <c r="AM47" s="53"/>
      <c r="AN47" s="53">
        <v>89</v>
      </c>
      <c r="AO47" s="53" t="s">
        <v>56</v>
      </c>
      <c r="AP47" s="53">
        <f>(57+69)/2</f>
        <v>63</v>
      </c>
      <c r="AQ47" s="53">
        <v>83.8</v>
      </c>
      <c r="AR47" s="53">
        <f t="shared" si="11"/>
        <v>4.0091638029782359</v>
      </c>
      <c r="AS47" s="53" t="s">
        <v>58</v>
      </c>
      <c r="AT47" s="53">
        <f>(74+82)/2</f>
        <v>78</v>
      </c>
      <c r="AU47" s="53">
        <v>89.5</v>
      </c>
      <c r="AV47" s="53">
        <f t="shared" si="12"/>
        <v>2.5200458190148942</v>
      </c>
      <c r="AW47" s="53" t="s">
        <v>61</v>
      </c>
      <c r="AX47" s="53"/>
      <c r="AY47" s="53">
        <v>92.4</v>
      </c>
      <c r="AZ47" s="53" t="s">
        <v>62</v>
      </c>
      <c r="BA47" s="53">
        <f>(75+69)/2</f>
        <v>72</v>
      </c>
      <c r="BB47" s="53">
        <v>88</v>
      </c>
      <c r="BC47" s="53">
        <f t="shared" si="13"/>
        <v>4.7619047619047681</v>
      </c>
      <c r="BD47" t="s">
        <v>64</v>
      </c>
      <c r="BE47">
        <f>(66+70)/2</f>
        <v>68</v>
      </c>
      <c r="BF47">
        <v>89.6</v>
      </c>
      <c r="BJ47" s="1"/>
      <c r="BK47" s="1"/>
      <c r="BU47" s="1"/>
      <c r="BV47" s="1"/>
    </row>
    <row r="48" spans="1:75">
      <c r="A48" s="6" t="s">
        <v>14</v>
      </c>
      <c r="B48" s="8" t="s">
        <v>66</v>
      </c>
      <c r="C48" s="4">
        <v>75</v>
      </c>
      <c r="D48" s="9">
        <v>39.4</v>
      </c>
      <c r="E48" s="53" t="s">
        <v>27</v>
      </c>
      <c r="F48" s="53">
        <f>(86+79)/2</f>
        <v>82.5</v>
      </c>
      <c r="G48" s="53">
        <v>73.2</v>
      </c>
      <c r="H48" s="53" t="s">
        <v>29</v>
      </c>
      <c r="I48" s="53">
        <f>(46+46)/2</f>
        <v>46</v>
      </c>
      <c r="J48" s="53">
        <v>69.7</v>
      </c>
      <c r="K48" s="53">
        <f t="shared" si="5"/>
        <v>4.7814207650273222</v>
      </c>
      <c r="L48" s="53" t="s">
        <v>36</v>
      </c>
      <c r="M48" s="53">
        <f>(84+68)/2</f>
        <v>76</v>
      </c>
      <c r="N48" s="53">
        <v>77.7</v>
      </c>
      <c r="O48" s="53">
        <f t="shared" si="6"/>
        <v>97.20812182741119</v>
      </c>
      <c r="P48" s="53" t="s">
        <v>39</v>
      </c>
      <c r="Q48" s="53"/>
      <c r="R48" s="53">
        <v>80.2</v>
      </c>
      <c r="S48" s="53" t="s">
        <v>40</v>
      </c>
      <c r="T48" s="53">
        <f>(65+62)/2</f>
        <v>63.5</v>
      </c>
      <c r="U48" s="53">
        <v>75.099999999999994</v>
      </c>
      <c r="V48" s="53">
        <f t="shared" si="7"/>
        <v>6.3591022443890379</v>
      </c>
      <c r="W48" s="53" t="s">
        <v>47</v>
      </c>
      <c r="X48" s="53">
        <f>(70+71)/2</f>
        <v>70.5</v>
      </c>
      <c r="Y48" s="53">
        <v>84.2</v>
      </c>
      <c r="Z48" s="53">
        <f t="shared" si="8"/>
        <v>8.3655083655083651</v>
      </c>
      <c r="AA48" s="53" t="s">
        <v>48</v>
      </c>
      <c r="AB48" s="53"/>
      <c r="AC48" s="53">
        <v>88.5</v>
      </c>
      <c r="AD48" s="53" t="s">
        <v>49</v>
      </c>
      <c r="AE48" s="53">
        <f>(49+54)/2</f>
        <v>51.5</v>
      </c>
      <c r="AF48" s="53">
        <v>84.2</v>
      </c>
      <c r="AG48" s="53">
        <f t="shared" si="9"/>
        <v>4.8587570621468892</v>
      </c>
      <c r="AH48" s="53" t="s">
        <v>50</v>
      </c>
      <c r="AI48" s="53">
        <f>(55+63)/2</f>
        <v>59</v>
      </c>
      <c r="AJ48" s="53">
        <v>87.6</v>
      </c>
      <c r="AK48" s="53">
        <f t="shared" si="10"/>
        <v>4.0380047505938137</v>
      </c>
      <c r="AL48" s="53" t="s">
        <v>55</v>
      </c>
      <c r="AM48" s="53"/>
      <c r="AN48" s="53">
        <v>89.5</v>
      </c>
      <c r="AO48" s="53" t="s">
        <v>56</v>
      </c>
      <c r="AP48" s="53">
        <f>(76+52+52)/3</f>
        <v>60</v>
      </c>
      <c r="AQ48" s="53">
        <v>84.5</v>
      </c>
      <c r="AR48" s="53">
        <f t="shared" si="11"/>
        <v>3.5388127853881213</v>
      </c>
      <c r="AS48" s="53" t="s">
        <v>58</v>
      </c>
      <c r="AT48" s="53">
        <f>(52+64)/2</f>
        <v>58</v>
      </c>
      <c r="AU48" s="53">
        <v>91</v>
      </c>
      <c r="AV48" s="53">
        <f t="shared" si="12"/>
        <v>3.8812785388127922</v>
      </c>
      <c r="AW48" s="53" t="s">
        <v>61</v>
      </c>
      <c r="AX48" s="53"/>
      <c r="AY48" s="53">
        <v>98.3</v>
      </c>
      <c r="AZ48" s="53" t="s">
        <v>62</v>
      </c>
      <c r="BA48" s="53">
        <f>(59+60)/2</f>
        <v>59.5</v>
      </c>
      <c r="BB48" s="53">
        <v>94.4</v>
      </c>
      <c r="BC48" s="53">
        <f t="shared" si="13"/>
        <v>3.9674465920650985</v>
      </c>
      <c r="BD48" t="s">
        <v>64</v>
      </c>
      <c r="BE48">
        <f>(38+50)/2</f>
        <v>44</v>
      </c>
      <c r="BF48">
        <v>97.5</v>
      </c>
      <c r="BU48" s="1"/>
    </row>
    <row r="49" spans="1:75">
      <c r="A49" s="6" t="s">
        <v>15</v>
      </c>
      <c r="B49" s="8" t="s">
        <v>66</v>
      </c>
      <c r="C49" s="4">
        <v>72</v>
      </c>
      <c r="D49" s="9">
        <v>41.3</v>
      </c>
      <c r="E49" s="53" t="s">
        <v>27</v>
      </c>
      <c r="F49" s="53">
        <f>(66+88)/2</f>
        <v>77</v>
      </c>
      <c r="G49" s="53">
        <v>75.599999999999994</v>
      </c>
      <c r="H49" s="53" t="s">
        <v>29</v>
      </c>
      <c r="I49" s="53">
        <f>(43+51)/2</f>
        <v>47</v>
      </c>
      <c r="J49" s="53">
        <v>71.400000000000006</v>
      </c>
      <c r="K49" s="53">
        <f t="shared" si="5"/>
        <v>5.5555555555555403</v>
      </c>
      <c r="L49" s="53" t="s">
        <v>36</v>
      </c>
      <c r="M49" s="53">
        <f>(76+88)/2</f>
        <v>82</v>
      </c>
      <c r="N49" s="53">
        <v>78.5</v>
      </c>
      <c r="O49" s="53">
        <f t="shared" si="6"/>
        <v>90.072639225181618</v>
      </c>
      <c r="P49" s="53" t="s">
        <v>39</v>
      </c>
      <c r="Q49" s="53"/>
      <c r="R49" s="53">
        <v>81</v>
      </c>
      <c r="S49" s="53" t="s">
        <v>40</v>
      </c>
      <c r="T49" s="53">
        <f>(65+63)/2</f>
        <v>64</v>
      </c>
      <c r="U49" s="53">
        <v>75.599999999999994</v>
      </c>
      <c r="V49" s="53">
        <f t="shared" si="7"/>
        <v>6.6666666666666732</v>
      </c>
      <c r="W49" s="53" t="s">
        <v>47</v>
      </c>
      <c r="X49" s="53">
        <f>(80+86)/2</f>
        <v>83</v>
      </c>
      <c r="Y49" s="53">
        <v>82.9</v>
      </c>
      <c r="Z49" s="53">
        <f t="shared" si="8"/>
        <v>5.6050955414012806</v>
      </c>
      <c r="AA49" s="53" t="s">
        <v>48</v>
      </c>
      <c r="AB49" s="53"/>
      <c r="AC49" s="53">
        <v>85.7</v>
      </c>
      <c r="AD49" s="53" t="s">
        <v>49</v>
      </c>
      <c r="AE49" s="53">
        <f>(56+57)/2</f>
        <v>56.5</v>
      </c>
      <c r="AF49" s="53">
        <v>82.1</v>
      </c>
      <c r="AG49" s="53">
        <f t="shared" si="9"/>
        <v>4.2007001166861242</v>
      </c>
      <c r="AH49" s="53" t="s">
        <v>50</v>
      </c>
      <c r="AI49" s="53">
        <f>(73+66)/2</f>
        <v>69.5</v>
      </c>
      <c r="AJ49" s="53">
        <v>87.2</v>
      </c>
      <c r="AK49" s="53">
        <f t="shared" si="10"/>
        <v>5.186972255729791</v>
      </c>
      <c r="AL49" s="53" t="s">
        <v>55</v>
      </c>
      <c r="AM49" s="53"/>
      <c r="AN49" s="53">
        <v>90.4</v>
      </c>
      <c r="AO49" s="53" t="s">
        <v>56</v>
      </c>
      <c r="AP49" s="53">
        <f>(55+58)/2</f>
        <v>56.5</v>
      </c>
      <c r="AQ49" s="53">
        <v>85.4</v>
      </c>
      <c r="AR49" s="53">
        <f t="shared" si="11"/>
        <v>2.0642201834862353</v>
      </c>
      <c r="AS49" s="53" t="s">
        <v>58</v>
      </c>
      <c r="AT49" s="53">
        <f>(61+70)/2</f>
        <v>65.5</v>
      </c>
      <c r="AU49" s="53">
        <v>91.3</v>
      </c>
      <c r="AV49" s="53">
        <f t="shared" si="12"/>
        <v>4.7018348623853141</v>
      </c>
      <c r="AW49" s="53" t="s">
        <v>61</v>
      </c>
      <c r="AX49" s="53"/>
      <c r="AY49" s="53">
        <v>94.5</v>
      </c>
      <c r="AZ49" s="53" t="s">
        <v>62</v>
      </c>
      <c r="BA49" s="53">
        <f>(48+52)/2</f>
        <v>50</v>
      </c>
      <c r="BB49" s="53">
        <v>89.4</v>
      </c>
      <c r="BC49" s="53">
        <f t="shared" si="13"/>
        <v>5.396825396825391</v>
      </c>
      <c r="BD49" t="s">
        <v>64</v>
      </c>
      <c r="BE49">
        <f>(63+67)/2</f>
        <v>65</v>
      </c>
      <c r="BF49">
        <v>92.3</v>
      </c>
      <c r="BU49" s="1"/>
    </row>
    <row r="50" spans="1:75">
      <c r="A50" s="6" t="s">
        <v>16</v>
      </c>
      <c r="B50" s="8" t="s">
        <v>66</v>
      </c>
      <c r="C50" s="4">
        <v>78</v>
      </c>
      <c r="D50" s="9">
        <v>40.200000000000003</v>
      </c>
      <c r="E50" s="53" t="s">
        <v>27</v>
      </c>
      <c r="F50" s="55">
        <f>(184+231+180)/3</f>
        <v>198.33333333333334</v>
      </c>
      <c r="G50" s="53">
        <v>76.7</v>
      </c>
      <c r="H50" s="53" t="s">
        <v>29</v>
      </c>
      <c r="I50" s="53">
        <f>(44+55)/2</f>
        <v>49.5</v>
      </c>
      <c r="J50" s="53">
        <v>73.5</v>
      </c>
      <c r="K50" s="53">
        <f t="shared" si="5"/>
        <v>4.1720990873533284</v>
      </c>
      <c r="L50" s="53" t="s">
        <v>36</v>
      </c>
      <c r="M50" s="55">
        <f>(193+173)/2</f>
        <v>183</v>
      </c>
      <c r="N50" s="53">
        <v>80</v>
      </c>
      <c r="O50" s="53">
        <f t="shared" si="6"/>
        <v>99.004975124378092</v>
      </c>
      <c r="P50" s="53" t="s">
        <v>39</v>
      </c>
      <c r="Q50" s="53"/>
      <c r="R50" s="53">
        <v>82.9</v>
      </c>
      <c r="S50" s="53" t="s">
        <v>40</v>
      </c>
      <c r="T50" s="53">
        <f>(56+67)/2</f>
        <v>61.5</v>
      </c>
      <c r="U50" s="53">
        <v>78.2</v>
      </c>
      <c r="V50" s="53">
        <f t="shared" si="7"/>
        <v>5.6694813027744306</v>
      </c>
      <c r="W50" s="53" t="s">
        <v>47</v>
      </c>
      <c r="X50" s="53">
        <f>(68+75)/2</f>
        <v>71.5</v>
      </c>
      <c r="Y50" s="53">
        <v>85.1</v>
      </c>
      <c r="Z50" s="53">
        <f t="shared" si="8"/>
        <v>6.3749999999999929</v>
      </c>
      <c r="AA50" s="53" t="s">
        <v>48</v>
      </c>
      <c r="AB50" s="53"/>
      <c r="AC50" s="53">
        <v>88.4</v>
      </c>
      <c r="AD50" s="53" t="s">
        <v>49</v>
      </c>
      <c r="AE50" s="53">
        <f>(63+62)/2</f>
        <v>62.5</v>
      </c>
      <c r="AF50" s="53">
        <v>82.3</v>
      </c>
      <c r="AG50" s="53">
        <f t="shared" si="9"/>
        <v>6.900452488687792</v>
      </c>
      <c r="AH50" s="53" t="s">
        <v>50</v>
      </c>
      <c r="AI50" s="53">
        <f>(69+66)/2</f>
        <v>67.5</v>
      </c>
      <c r="AJ50" s="53">
        <v>89.5</v>
      </c>
      <c r="AK50" s="53">
        <f t="shared" si="10"/>
        <v>5.1703877790834376</v>
      </c>
      <c r="AL50" s="53" t="s">
        <v>55</v>
      </c>
      <c r="AM50" s="53"/>
      <c r="AN50" s="53">
        <v>93.4</v>
      </c>
      <c r="AO50" s="53" t="s">
        <v>56</v>
      </c>
      <c r="AP50" s="53">
        <f>(48+60)/2</f>
        <v>54</v>
      </c>
      <c r="AQ50" s="53">
        <v>87.4</v>
      </c>
      <c r="AR50" s="53">
        <f t="shared" si="11"/>
        <v>2.3463687150837926</v>
      </c>
      <c r="AS50" s="53" t="s">
        <v>58</v>
      </c>
      <c r="AT50" s="53">
        <f>(97+128+70)/3</f>
        <v>98.333333333333329</v>
      </c>
      <c r="AU50" s="53">
        <v>93.9</v>
      </c>
      <c r="AV50" s="53">
        <f t="shared" si="12"/>
        <v>4.9162011173184421</v>
      </c>
      <c r="AW50" s="53" t="s">
        <v>61</v>
      </c>
      <c r="AX50" s="53"/>
      <c r="AY50" s="53">
        <v>98</v>
      </c>
      <c r="AZ50" s="53" t="s">
        <v>62</v>
      </c>
      <c r="BA50" s="53">
        <f>(50+46)/2</f>
        <v>48</v>
      </c>
      <c r="BB50" s="53">
        <v>91.6</v>
      </c>
      <c r="BC50" s="53">
        <f t="shared" si="13"/>
        <v>6.5306122448979655</v>
      </c>
      <c r="BD50" t="s">
        <v>64</v>
      </c>
      <c r="BE50">
        <f>(68+72)/2</f>
        <v>70</v>
      </c>
      <c r="BF50">
        <v>94.4</v>
      </c>
      <c r="BV50" s="1"/>
    </row>
    <row r="51" spans="1:75">
      <c r="A51" s="38" t="s">
        <v>17</v>
      </c>
      <c r="B51" s="40" t="s">
        <v>66</v>
      </c>
      <c r="C51" s="41">
        <v>81</v>
      </c>
      <c r="D51" s="42">
        <v>42.7</v>
      </c>
      <c r="E51" s="53" t="s">
        <v>27</v>
      </c>
      <c r="F51" s="53">
        <f>(91+96)/2</f>
        <v>93.5</v>
      </c>
      <c r="G51" s="53">
        <v>79.400000000000006</v>
      </c>
      <c r="H51" s="53" t="s">
        <v>29</v>
      </c>
      <c r="I51" s="53">
        <f>(45+57)/2</f>
        <v>51</v>
      </c>
      <c r="J51" s="53">
        <v>76.599999999999994</v>
      </c>
      <c r="K51" s="53">
        <f t="shared" si="5"/>
        <v>3.5264483627204171</v>
      </c>
      <c r="L51" s="53" t="s">
        <v>36</v>
      </c>
      <c r="M51" s="53">
        <f>(80+88)/2</f>
        <v>84</v>
      </c>
      <c r="N51" s="53">
        <v>82.5</v>
      </c>
      <c r="O51" s="53">
        <f t="shared" si="6"/>
        <v>93.208430913348934</v>
      </c>
      <c r="P51" s="53" t="s">
        <v>39</v>
      </c>
      <c r="Q51" s="53"/>
      <c r="R51" s="53">
        <v>85.4</v>
      </c>
      <c r="S51" s="53" t="s">
        <v>40</v>
      </c>
      <c r="T51" s="53">
        <f>(59+62)/2</f>
        <v>60.5</v>
      </c>
      <c r="U51" s="53">
        <v>81.599999999999994</v>
      </c>
      <c r="V51" s="53">
        <f t="shared" si="7"/>
        <v>4.4496487119438068</v>
      </c>
      <c r="W51" s="53" t="s">
        <v>47</v>
      </c>
      <c r="X51" s="53">
        <f>(74+70+76)/3</f>
        <v>73.333333333333329</v>
      </c>
      <c r="Y51" s="53">
        <v>87.6</v>
      </c>
      <c r="Z51" s="53">
        <f t="shared" si="8"/>
        <v>6.1818181818181754</v>
      </c>
      <c r="AA51" s="53" t="s">
        <v>48</v>
      </c>
      <c r="AB51" s="53"/>
      <c r="AC51" s="53">
        <v>91.7</v>
      </c>
      <c r="AD51" s="53" t="s">
        <v>49</v>
      </c>
      <c r="AE51" s="53">
        <f>(54+56)/2</f>
        <v>55</v>
      </c>
      <c r="AF51" s="53">
        <v>85.9</v>
      </c>
      <c r="AG51" s="53">
        <f t="shared" si="9"/>
        <v>6.3249727371864743</v>
      </c>
      <c r="AH51" s="53" t="s">
        <v>50</v>
      </c>
      <c r="AI51" s="53">
        <f>(78+76)/2</f>
        <v>77</v>
      </c>
      <c r="AJ51" s="53">
        <v>90.9</v>
      </c>
      <c r="AK51" s="53">
        <f t="shared" si="10"/>
        <v>3.7671232876712457</v>
      </c>
      <c r="AL51" s="53" t="s">
        <v>55</v>
      </c>
      <c r="AM51" s="53"/>
      <c r="AN51" s="53">
        <v>95</v>
      </c>
      <c r="AO51" s="53" t="s">
        <v>56</v>
      </c>
      <c r="AP51" s="53">
        <f>(58+58)/2</f>
        <v>58</v>
      </c>
      <c r="AQ51" s="53">
        <v>89.2</v>
      </c>
      <c r="AR51" s="53">
        <f t="shared" si="11"/>
        <v>1.8701870187018732</v>
      </c>
      <c r="AS51" s="53" t="s">
        <v>58</v>
      </c>
      <c r="AT51" s="53">
        <f>(66+71)/2</f>
        <v>68.5</v>
      </c>
      <c r="AU51" s="53">
        <v>94.8</v>
      </c>
      <c r="AV51" s="53">
        <f t="shared" si="12"/>
        <v>4.2904290429042806</v>
      </c>
      <c r="AW51" s="53" t="s">
        <v>61</v>
      </c>
      <c r="AX51" s="53"/>
      <c r="AY51" s="53">
        <v>98.3</v>
      </c>
      <c r="AZ51" s="53" t="s">
        <v>62</v>
      </c>
      <c r="BA51" s="53">
        <f>(44+42)/2</f>
        <v>43</v>
      </c>
      <c r="BB51" s="53">
        <v>95.6</v>
      </c>
      <c r="BC51" s="53">
        <f t="shared" si="13"/>
        <v>2.7466937945066152</v>
      </c>
      <c r="BD51" s="43" t="s">
        <v>64</v>
      </c>
      <c r="BE51" s="43">
        <f>(49+74)/2</f>
        <v>61.5</v>
      </c>
      <c r="BF51" s="43">
        <v>94.8</v>
      </c>
      <c r="BG51" s="43"/>
      <c r="BH51" s="43"/>
    </row>
    <row r="52" spans="1:75">
      <c r="A52" s="7" t="s">
        <v>18</v>
      </c>
      <c r="B52" s="8" t="s">
        <v>66</v>
      </c>
      <c r="C52" s="4">
        <v>70</v>
      </c>
      <c r="D52" s="9">
        <v>45.1</v>
      </c>
      <c r="E52" s="53" t="s">
        <v>27</v>
      </c>
      <c r="F52" s="55">
        <f>(160+150)/2</f>
        <v>155</v>
      </c>
      <c r="G52" s="53">
        <v>86.5</v>
      </c>
      <c r="H52" s="53" t="s">
        <v>29</v>
      </c>
      <c r="I52" s="53">
        <f>(39+40)/2</f>
        <v>39.5</v>
      </c>
      <c r="J52" s="53">
        <v>83</v>
      </c>
      <c r="K52" s="53">
        <f t="shared" si="5"/>
        <v>4.0462427745664744</v>
      </c>
      <c r="L52" s="53" t="s">
        <v>36</v>
      </c>
      <c r="M52" s="54">
        <f>(207+201)/2</f>
        <v>204</v>
      </c>
      <c r="N52" s="53">
        <v>93.2</v>
      </c>
      <c r="O52" s="53">
        <f t="shared" si="6"/>
        <v>106.65188470066518</v>
      </c>
      <c r="P52" s="53" t="s">
        <v>39</v>
      </c>
      <c r="Q52" s="53"/>
      <c r="R52" s="53">
        <v>94.7</v>
      </c>
      <c r="S52" s="53" t="s">
        <v>40</v>
      </c>
      <c r="T52" s="53">
        <f>(60+50)/2</f>
        <v>55</v>
      </c>
      <c r="U52" s="53">
        <v>88.5</v>
      </c>
      <c r="V52" s="53">
        <f t="shared" si="7"/>
        <v>6.5469904963041214</v>
      </c>
      <c r="W52" s="53" t="s">
        <v>47</v>
      </c>
      <c r="X52" s="54">
        <f>(297+303)/2</f>
        <v>300</v>
      </c>
      <c r="Y52" s="53">
        <v>95.4</v>
      </c>
      <c r="Z52" s="53">
        <f t="shared" si="8"/>
        <v>2.3605150214592303</v>
      </c>
      <c r="AA52" s="53" t="s">
        <v>48</v>
      </c>
      <c r="AB52" s="53"/>
      <c r="AC52" s="53">
        <v>98.5</v>
      </c>
      <c r="AD52" s="53" t="s">
        <v>49</v>
      </c>
      <c r="AE52" s="55">
        <f>(79+69+81)/3</f>
        <v>76.333333333333329</v>
      </c>
      <c r="AF52" s="53">
        <v>93.6</v>
      </c>
      <c r="AG52" s="53">
        <f t="shared" si="9"/>
        <v>4.9746192893401071</v>
      </c>
      <c r="AH52" s="53" t="s">
        <v>50</v>
      </c>
      <c r="AI52" s="53">
        <f>(75+82)/2</f>
        <v>78.5</v>
      </c>
      <c r="AJ52" s="53">
        <v>93.1</v>
      </c>
      <c r="AK52" s="53">
        <f t="shared" si="10"/>
        <v>-2.4109014675052531</v>
      </c>
      <c r="AL52" s="53" t="s">
        <v>55</v>
      </c>
      <c r="AM52" s="53"/>
      <c r="AN52" s="53">
        <v>97.4</v>
      </c>
      <c r="AO52" s="53" t="s">
        <v>56</v>
      </c>
      <c r="AP52" s="53">
        <f>(64+77+49)/3</f>
        <v>63.333333333333336</v>
      </c>
      <c r="AQ52" s="53">
        <v>90.5</v>
      </c>
      <c r="AR52" s="53">
        <f t="shared" si="11"/>
        <v>2.7926960257787266</v>
      </c>
      <c r="AS52" s="53" t="s">
        <v>58</v>
      </c>
      <c r="AT52" s="54">
        <f>(292+298)/2</f>
        <v>295</v>
      </c>
      <c r="AU52" s="53">
        <v>99.3</v>
      </c>
      <c r="AV52" s="53">
        <f t="shared" si="12"/>
        <v>6.6595059076262118</v>
      </c>
      <c r="AW52" s="53" t="s">
        <v>61</v>
      </c>
      <c r="AX52" s="53"/>
      <c r="AY52" s="53">
        <v>104.4</v>
      </c>
      <c r="AZ52" s="53" t="s">
        <v>62</v>
      </c>
      <c r="BA52" s="53">
        <f>(65+52)/2</f>
        <v>58.5</v>
      </c>
      <c r="BB52" s="53">
        <v>98.8</v>
      </c>
      <c r="BC52" s="53">
        <f t="shared" si="13"/>
        <v>5.3639846743295099</v>
      </c>
      <c r="BD52" t="s">
        <v>64</v>
      </c>
      <c r="BE52">
        <f>(89+102)/2</f>
        <v>95.5</v>
      </c>
      <c r="BF52">
        <v>100.6</v>
      </c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>
      <c r="A53" s="37" t="s">
        <v>19</v>
      </c>
      <c r="B53" s="40" t="s">
        <v>66</v>
      </c>
      <c r="C53" s="41">
        <v>58</v>
      </c>
      <c r="D53" s="42">
        <v>41.2</v>
      </c>
      <c r="E53" s="53" t="s">
        <v>27</v>
      </c>
      <c r="F53" s="53">
        <f>(67+74)/2</f>
        <v>70.5</v>
      </c>
      <c r="G53" s="53">
        <v>89.7</v>
      </c>
      <c r="H53" s="53" t="s">
        <v>29</v>
      </c>
      <c r="I53" s="53">
        <f>(61+64+59)/3</f>
        <v>61.333333333333336</v>
      </c>
      <c r="J53" s="53">
        <v>85</v>
      </c>
      <c r="K53" s="53">
        <f t="shared" si="5"/>
        <v>5.2396878483835039</v>
      </c>
      <c r="L53" s="53" t="s">
        <v>36</v>
      </c>
      <c r="M53" s="53">
        <f>(74+51)/2</f>
        <v>62.5</v>
      </c>
      <c r="N53" s="53">
        <v>92.4</v>
      </c>
      <c r="O53" s="53">
        <f t="shared" si="6"/>
        <v>124.27184466019416</v>
      </c>
      <c r="P53" s="53" t="s">
        <v>39</v>
      </c>
      <c r="Q53" s="53"/>
      <c r="R53" s="53">
        <v>94.2</v>
      </c>
      <c r="S53" s="53" t="s">
        <v>40</v>
      </c>
      <c r="T53" s="53">
        <f>(58+58)/2</f>
        <v>58</v>
      </c>
      <c r="U53" s="53">
        <v>89.4</v>
      </c>
      <c r="V53" s="53">
        <f t="shared" si="7"/>
        <v>5.0955414012738824</v>
      </c>
      <c r="W53" s="53" t="s">
        <v>47</v>
      </c>
      <c r="X53" s="53">
        <f>(82+75)/2</f>
        <v>78.5</v>
      </c>
      <c r="Y53" s="53">
        <v>95.9</v>
      </c>
      <c r="Z53" s="53">
        <f t="shared" si="8"/>
        <v>3.7878787878787881</v>
      </c>
      <c r="AA53" s="53" t="s">
        <v>48</v>
      </c>
      <c r="AB53" s="53"/>
      <c r="AC53" s="53" t="s">
        <v>137</v>
      </c>
      <c r="AD53" s="53" t="s">
        <v>49</v>
      </c>
      <c r="AE53" s="53"/>
      <c r="AF53" s="53"/>
      <c r="AG53" s="53"/>
      <c r="AH53" s="53" t="s">
        <v>50</v>
      </c>
      <c r="AI53" s="53"/>
      <c r="AJ53" s="53"/>
      <c r="AK53" s="53"/>
      <c r="AL53" s="53" t="s">
        <v>55</v>
      </c>
      <c r="AM53" s="53"/>
      <c r="AN53" s="53"/>
      <c r="AO53" s="53" t="s">
        <v>56</v>
      </c>
      <c r="AP53" s="53"/>
      <c r="AQ53" s="53"/>
      <c r="AR53" s="53"/>
      <c r="AS53" s="53" t="s">
        <v>58</v>
      </c>
      <c r="AT53" s="53"/>
      <c r="AU53" s="53"/>
      <c r="AV53" s="53"/>
      <c r="AW53" s="53" t="s">
        <v>61</v>
      </c>
      <c r="AX53" s="53"/>
      <c r="AY53" s="53"/>
      <c r="AZ53" s="53" t="s">
        <v>62</v>
      </c>
      <c r="BA53" s="53"/>
      <c r="BB53" s="53"/>
      <c r="BC53" s="53"/>
      <c r="BD53" s="43" t="s">
        <v>64</v>
      </c>
      <c r="BE53" s="43"/>
      <c r="BF53" s="43"/>
      <c r="BG53" s="43"/>
      <c r="BH53" s="43"/>
    </row>
    <row r="54" spans="1:75">
      <c r="A54" s="6" t="s">
        <v>20</v>
      </c>
      <c r="B54" s="8" t="s">
        <v>66</v>
      </c>
      <c r="C54" s="4">
        <v>73</v>
      </c>
      <c r="D54" s="9">
        <v>41</v>
      </c>
      <c r="E54" s="53" t="s">
        <v>27</v>
      </c>
      <c r="F54" s="54">
        <f>(412+373)/2</f>
        <v>392.5</v>
      </c>
      <c r="G54" s="53">
        <v>93.1</v>
      </c>
      <c r="H54" s="53" t="s">
        <v>29</v>
      </c>
      <c r="I54" s="53">
        <f>(33+58+40+32)/4</f>
        <v>40.75</v>
      </c>
      <c r="J54" s="53">
        <v>88.2</v>
      </c>
      <c r="K54" s="53">
        <f t="shared" si="5"/>
        <v>5.2631578947368336</v>
      </c>
      <c r="L54" s="53" t="s">
        <v>36</v>
      </c>
      <c r="M54" s="54">
        <f>(416+503)/2</f>
        <v>459.5</v>
      </c>
      <c r="N54" s="53">
        <v>96</v>
      </c>
      <c r="O54" s="53">
        <f t="shared" si="6"/>
        <v>134.14634146341464</v>
      </c>
      <c r="P54" s="53" t="s">
        <v>39</v>
      </c>
      <c r="Q54" s="53"/>
      <c r="R54" s="53">
        <v>98.7</v>
      </c>
      <c r="S54" s="53" t="s">
        <v>40</v>
      </c>
      <c r="T54" s="53">
        <f>(43+43)/2</f>
        <v>43</v>
      </c>
      <c r="U54" s="53">
        <v>92.4</v>
      </c>
      <c r="V54" s="53">
        <f t="shared" si="7"/>
        <v>6.3829787234042517</v>
      </c>
      <c r="W54" s="53" t="s">
        <v>47</v>
      </c>
      <c r="X54" s="54">
        <f>(264+443+321)/3</f>
        <v>342.66666666666669</v>
      </c>
      <c r="Y54" s="53">
        <v>102.2</v>
      </c>
      <c r="Z54" s="53">
        <f t="shared" si="8"/>
        <v>6.4583333333333366</v>
      </c>
      <c r="AA54" s="53" t="s">
        <v>48</v>
      </c>
      <c r="AB54" s="53"/>
      <c r="AC54" s="53">
        <v>108</v>
      </c>
      <c r="AD54" s="53" t="s">
        <v>49</v>
      </c>
      <c r="AE54" s="53">
        <f>(49+40)/2</f>
        <v>44.5</v>
      </c>
      <c r="AF54" s="53">
        <v>100.7</v>
      </c>
      <c r="AG54" s="53">
        <f>(AC54-AF54)/AC54*100</f>
        <v>6.7592592592592569</v>
      </c>
      <c r="AH54" s="53" t="s">
        <v>50</v>
      </c>
      <c r="AI54" s="54">
        <f>(321+383)/2</f>
        <v>352</v>
      </c>
      <c r="AJ54" s="53">
        <v>107.8</v>
      </c>
      <c r="AK54" s="53">
        <f>(AJ54-Y54)/Y54*100</f>
        <v>5.4794520547945149</v>
      </c>
      <c r="AL54" s="53" t="s">
        <v>55</v>
      </c>
      <c r="AM54" s="53"/>
      <c r="AN54" s="53">
        <v>109.5</v>
      </c>
      <c r="AO54" s="53" t="s">
        <v>56</v>
      </c>
      <c r="AP54" s="53">
        <f>(66+73+58+69)/4</f>
        <v>66.5</v>
      </c>
      <c r="AQ54" s="53">
        <v>102</v>
      </c>
      <c r="AR54" s="53">
        <f>(AJ54-AQ54)/AJ54*100</f>
        <v>5.3803339517625206</v>
      </c>
      <c r="AS54" s="53" t="s">
        <v>58</v>
      </c>
      <c r="AT54" s="56">
        <f>(443+568)/2</f>
        <v>505.5</v>
      </c>
      <c r="AU54" s="53">
        <v>109.7</v>
      </c>
      <c r="AV54" s="53">
        <f>(AU54-AJ54)/AJ54*100</f>
        <v>1.7625231910946251</v>
      </c>
      <c r="AW54" s="53" t="s">
        <v>61</v>
      </c>
      <c r="AX54" s="53"/>
      <c r="AY54" s="53">
        <v>110.5</v>
      </c>
      <c r="AZ54" s="53" t="s">
        <v>62</v>
      </c>
      <c r="BA54" s="53">
        <f>(63+66)/2</f>
        <v>64.5</v>
      </c>
      <c r="BB54" s="53">
        <v>104</v>
      </c>
      <c r="BC54" s="53">
        <f>(AY54-BB54)/AY54*100</f>
        <v>5.8823529411764701</v>
      </c>
      <c r="BD54" t="s">
        <v>64</v>
      </c>
      <c r="BE54" t="s">
        <v>148</v>
      </c>
      <c r="BF54" t="s">
        <v>148</v>
      </c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>
      <c r="A55" s="7" t="s">
        <v>21</v>
      </c>
      <c r="B55" s="8" t="s">
        <v>66</v>
      </c>
      <c r="C55" s="4">
        <v>77</v>
      </c>
      <c r="D55" s="9">
        <v>48</v>
      </c>
      <c r="E55" s="53" t="s">
        <v>27</v>
      </c>
      <c r="F55" s="54">
        <f>(266+237)/2</f>
        <v>251.5</v>
      </c>
      <c r="G55" s="53">
        <v>98.2</v>
      </c>
      <c r="H55" s="53" t="s">
        <v>29</v>
      </c>
      <c r="I55" s="53">
        <f>(31+54+33)/3</f>
        <v>39.333333333333336</v>
      </c>
      <c r="J55" s="53">
        <v>95</v>
      </c>
      <c r="K55" s="53">
        <f t="shared" si="5"/>
        <v>3.2586558044806542</v>
      </c>
      <c r="L55" s="53" t="s">
        <v>36</v>
      </c>
      <c r="M55" s="54">
        <f>(277+322)/2</f>
        <v>299.5</v>
      </c>
      <c r="N55" s="53">
        <v>104.2</v>
      </c>
      <c r="O55" s="53">
        <f t="shared" si="6"/>
        <v>117.08333333333334</v>
      </c>
      <c r="P55" s="53" t="s">
        <v>39</v>
      </c>
      <c r="Q55" s="53"/>
      <c r="R55" s="53">
        <v>105.5</v>
      </c>
      <c r="S55" s="53" t="s">
        <v>40</v>
      </c>
      <c r="T55" s="53">
        <f>(38+44)/2</f>
        <v>41</v>
      </c>
      <c r="U55" s="53">
        <v>99</v>
      </c>
      <c r="V55" s="53">
        <f t="shared" si="7"/>
        <v>6.1611374407582939</v>
      </c>
      <c r="W55" s="53" t="s">
        <v>47</v>
      </c>
      <c r="X55" s="54">
        <f>(224+231)/2</f>
        <v>227.5</v>
      </c>
      <c r="Y55" s="53">
        <v>109.6</v>
      </c>
      <c r="Z55" s="53">
        <f t="shared" si="8"/>
        <v>5.182341650671777</v>
      </c>
      <c r="AA55" s="53" t="s">
        <v>48</v>
      </c>
      <c r="AB55" s="53"/>
      <c r="AC55" s="53">
        <v>114.3</v>
      </c>
      <c r="AD55" s="53" t="s">
        <v>49</v>
      </c>
      <c r="AE55" s="53">
        <f>(38+49+43)/3</f>
        <v>43.333333333333336</v>
      </c>
      <c r="AF55" s="53">
        <v>107.9</v>
      </c>
      <c r="AG55" s="53">
        <f>(AC55-AF55)/AC55*100</f>
        <v>5.5993000874890564</v>
      </c>
      <c r="AH55" s="53" t="s">
        <v>50</v>
      </c>
      <c r="AI55" s="54">
        <f>(272+344)/2</f>
        <v>308</v>
      </c>
      <c r="AJ55" s="53">
        <v>116.6</v>
      </c>
      <c r="AK55" s="53">
        <f>(AJ55-Y55)/Y55*100</f>
        <v>6.3868613138686134</v>
      </c>
      <c r="AL55" s="53" t="s">
        <v>55</v>
      </c>
      <c r="AM55" s="53"/>
      <c r="AN55" s="53">
        <v>117.6</v>
      </c>
      <c r="AO55" s="53" t="s">
        <v>56</v>
      </c>
      <c r="AP55" s="53">
        <f>(37+57)/2</f>
        <v>47</v>
      </c>
      <c r="AQ55" s="53">
        <v>111.9</v>
      </c>
      <c r="AR55" s="53">
        <f>(AJ55-AQ55)/AJ55*100</f>
        <v>4.0308747855917568</v>
      </c>
      <c r="AS55" s="53" t="s">
        <v>58</v>
      </c>
      <c r="AT55" s="54">
        <f>(309+368)/2</f>
        <v>338.5</v>
      </c>
      <c r="AU55" s="53">
        <v>112.9</v>
      </c>
      <c r="AV55" s="53">
        <f>(AU55-AJ55)/AJ55*100</f>
        <v>-3.1732418524871258</v>
      </c>
      <c r="AW55" s="53" t="s">
        <v>61</v>
      </c>
      <c r="AX55" s="53"/>
      <c r="AY55" s="53">
        <v>121.3</v>
      </c>
      <c r="AZ55" s="53" t="s">
        <v>62</v>
      </c>
      <c r="BA55" s="53">
        <f>(52+45)/2</f>
        <v>48.5</v>
      </c>
      <c r="BB55" s="53">
        <v>113.8</v>
      </c>
      <c r="BC55" s="53">
        <f>(AY55-BB55)/AY55*100</f>
        <v>6.1830173124484755</v>
      </c>
      <c r="BD55" t="s">
        <v>64</v>
      </c>
      <c r="BE55" t="s">
        <v>148</v>
      </c>
      <c r="BF55" t="s">
        <v>148</v>
      </c>
      <c r="BL55" s="1"/>
      <c r="BV55" s="1"/>
    </row>
    <row r="56" spans="1:75">
      <c r="A56" s="16"/>
      <c r="B56" s="8"/>
      <c r="C56" s="4"/>
      <c r="D56" s="9"/>
      <c r="E56" s="53"/>
      <c r="F56" s="54"/>
      <c r="G56" s="53"/>
      <c r="H56" s="53"/>
      <c r="I56" s="53"/>
      <c r="J56" s="53"/>
      <c r="K56" s="53"/>
      <c r="L56" s="53"/>
      <c r="M56" s="5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4"/>
      <c r="AU56" s="53"/>
      <c r="AV56" s="53"/>
      <c r="AW56" s="53"/>
      <c r="AX56" s="53"/>
      <c r="AY56" s="53"/>
      <c r="AZ56" s="53"/>
      <c r="BA56" s="53"/>
      <c r="BB56" s="53"/>
      <c r="BC56" s="53"/>
      <c r="BL56" s="1"/>
      <c r="BV56" s="1"/>
    </row>
    <row r="57" spans="1:75">
      <c r="A57" s="16"/>
      <c r="B57" s="8"/>
      <c r="C57" s="4"/>
      <c r="D57" s="9"/>
      <c r="E57" s="53"/>
      <c r="F57" s="54"/>
      <c r="G57" s="53"/>
      <c r="H57" s="53"/>
      <c r="I57" s="53"/>
      <c r="J57" s="53"/>
      <c r="K57" s="53"/>
      <c r="L57" s="53"/>
      <c r="M57" s="5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4"/>
      <c r="AU57" s="53"/>
      <c r="AV57" s="53"/>
      <c r="AW57" s="53"/>
      <c r="AX57" s="53"/>
      <c r="AY57" s="53"/>
      <c r="AZ57" s="53"/>
      <c r="BA57" s="53"/>
      <c r="BB57" s="53"/>
      <c r="BC57" s="53"/>
      <c r="BL57" s="1"/>
      <c r="BV57" s="1"/>
    </row>
  </sheetData>
  <conditionalFormatting sqref="BN38:BN47">
    <cfRule type="colorScale" priority="1">
      <colorScale>
        <cfvo type="min"/>
        <cfvo type="max"/>
        <color rgb="FFFCFCFF"/>
        <color rgb="FFF8696B"/>
      </colorScale>
    </cfRule>
  </conditionalFormatting>
  <conditionalFormatting sqref="D37:D57">
    <cfRule type="colorScale" priority="2">
      <colorScale>
        <cfvo type="min"/>
        <cfvo type="max"/>
        <color rgb="FFFCFCFF"/>
        <color rgb="FFF8696B"/>
      </colorScale>
    </cfRule>
  </conditionalFormatting>
  <conditionalFormatting sqref="BQ38:BQ57">
    <cfRule type="colorScale" priority="3">
      <colorScale>
        <cfvo type="min"/>
        <cfvo type="max"/>
        <color rgb="FFF8696B"/>
        <color rgb="FFFCFCFF"/>
      </colorScale>
    </cfRule>
  </conditionalFormatting>
  <conditionalFormatting sqref="BS38:BS57">
    <cfRule type="colorScale" priority="4">
      <colorScale>
        <cfvo type="min"/>
        <cfvo type="max"/>
        <color rgb="FFF8696B"/>
        <color rgb="FFFCFCFF"/>
      </colorScale>
    </cfRule>
  </conditionalFormatting>
  <conditionalFormatting sqref="BT38:BT57">
    <cfRule type="colorScale" priority="5">
      <colorScale>
        <cfvo type="min"/>
        <cfvo type="max"/>
        <color rgb="FFF8696B"/>
        <color rgb="FFFCFCFF"/>
      </colorScale>
    </cfRule>
  </conditionalFormatting>
  <conditionalFormatting sqref="BN38:BN5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 phenotypes</vt:lpstr>
      <vt:lpstr>Raw Data</vt:lpstr>
      <vt:lpstr>cleaned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2021-03-29T20:00:13Z</dcterms:created>
  <dcterms:modified xsi:type="dcterms:W3CDTF">2022-02-23T23:27:37Z</dcterms:modified>
</cp:coreProperties>
</file>