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13_ncr:1_{8655DC61-D7AB-452B-A293-28C8A71558BF}" xr6:coauthVersionLast="47" xr6:coauthVersionMax="47" xr10:uidLastSave="{00000000-0000-0000-0000-000000000000}"/>
  <bookViews>
    <workbookView xWindow="-110" yWindow="-110" windowWidth="38620" windowHeight="21220" xr2:uid="{87571669-A643-2249-ABB6-ECE73F21B5C4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4" i="2" l="1"/>
  <c r="N14" i="2"/>
  <c r="M14" i="2"/>
  <c r="L14" i="2"/>
  <c r="K14" i="2"/>
  <c r="J14" i="2"/>
  <c r="I14" i="2"/>
  <c r="H14" i="2"/>
  <c r="G14" i="2"/>
  <c r="F14" i="2"/>
  <c r="E14" i="2"/>
  <c r="D14" i="2"/>
  <c r="C14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O9" i="2"/>
  <c r="N9" i="2"/>
  <c r="M9" i="2"/>
  <c r="L9" i="2"/>
  <c r="K9" i="2"/>
  <c r="J9" i="2"/>
  <c r="I9" i="2"/>
  <c r="H9" i="2"/>
  <c r="G9" i="2"/>
  <c r="F9" i="2"/>
  <c r="E9" i="2"/>
  <c r="D9" i="2"/>
  <c r="C9" i="2"/>
  <c r="O8" i="2"/>
  <c r="N8" i="2"/>
  <c r="M8" i="2"/>
  <c r="L8" i="2"/>
  <c r="K8" i="2"/>
  <c r="J8" i="2"/>
  <c r="I8" i="2"/>
  <c r="H8" i="2"/>
  <c r="G8" i="2"/>
  <c r="F8" i="2"/>
  <c r="E8" i="2"/>
  <c r="D8" i="2"/>
  <c r="C8" i="2"/>
  <c r="O7" i="2"/>
  <c r="N7" i="2"/>
  <c r="M7" i="2"/>
  <c r="L7" i="2"/>
  <c r="K7" i="2"/>
  <c r="J7" i="2"/>
  <c r="I7" i="2"/>
  <c r="H7" i="2"/>
  <c r="G7" i="2"/>
  <c r="F7" i="2"/>
  <c r="E7" i="2"/>
  <c r="D7" i="2"/>
  <c r="C7" i="2"/>
  <c r="O6" i="2"/>
  <c r="N6" i="2"/>
  <c r="M6" i="2"/>
  <c r="L6" i="2"/>
  <c r="K6" i="2"/>
  <c r="J6" i="2"/>
  <c r="I6" i="2"/>
  <c r="H6" i="2"/>
  <c r="G6" i="2"/>
  <c r="F6" i="2"/>
  <c r="E6" i="2"/>
  <c r="D6" i="2"/>
  <c r="C6" i="2"/>
  <c r="O5" i="2"/>
  <c r="N5" i="2"/>
  <c r="M5" i="2"/>
  <c r="L5" i="2"/>
  <c r="K5" i="2"/>
  <c r="J5" i="2"/>
  <c r="I5" i="2"/>
  <c r="H5" i="2"/>
  <c r="G5" i="2"/>
  <c r="F5" i="2"/>
  <c r="E5" i="2"/>
  <c r="D5" i="2"/>
  <c r="C5" i="2"/>
  <c r="O4" i="2"/>
  <c r="N4" i="2"/>
  <c r="M4" i="2"/>
  <c r="L4" i="2"/>
  <c r="K4" i="2"/>
  <c r="J4" i="2"/>
  <c r="I4" i="2"/>
  <c r="H4" i="2"/>
  <c r="G4" i="2"/>
  <c r="F4" i="2"/>
  <c r="E4" i="2"/>
  <c r="D4" i="2"/>
  <c r="C4" i="2"/>
  <c r="O3" i="2"/>
  <c r="N3" i="2"/>
  <c r="M3" i="2"/>
  <c r="L3" i="2"/>
  <c r="K3" i="2"/>
  <c r="J3" i="2"/>
  <c r="I3" i="2"/>
  <c r="H3" i="2"/>
  <c r="G3" i="2"/>
  <c r="F3" i="2"/>
  <c r="E3" i="2"/>
  <c r="D3" i="2"/>
  <c r="C3" i="2"/>
  <c r="O2" i="2"/>
  <c r="N2" i="2"/>
  <c r="M2" i="2"/>
  <c r="L2" i="2"/>
  <c r="K2" i="2"/>
  <c r="J2" i="2"/>
  <c r="I2" i="2"/>
  <c r="H2" i="2"/>
  <c r="G2" i="2"/>
  <c r="F2" i="2"/>
  <c r="E2" i="2"/>
  <c r="D2" i="2"/>
  <c r="C2" i="2"/>
  <c r="O14" i="1"/>
  <c r="O13" i="1"/>
  <c r="O12" i="1"/>
  <c r="O11" i="1"/>
  <c r="O10" i="1"/>
  <c r="O9" i="1"/>
  <c r="O8" i="1"/>
  <c r="O7" i="1"/>
  <c r="O6" i="1"/>
  <c r="O5" i="1"/>
  <c r="O4" i="1"/>
  <c r="O3" i="1"/>
  <c r="O2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G14" i="1"/>
  <c r="G13" i="1"/>
  <c r="G12" i="1"/>
  <c r="G11" i="1"/>
  <c r="G10" i="1"/>
  <c r="G9" i="1"/>
  <c r="G8" i="1"/>
  <c r="G7" i="1"/>
  <c r="G6" i="1"/>
  <c r="G3" i="1"/>
  <c r="G5" i="1"/>
  <c r="G4" i="1"/>
  <c r="G2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8" i="1"/>
  <c r="C9" i="1"/>
  <c r="C10" i="1"/>
  <c r="C11" i="1"/>
  <c r="C12" i="1"/>
  <c r="C13" i="1"/>
  <c r="C14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<sst xmlns="http://schemas.openxmlformats.org/spreadsheetml/2006/main" count="114" uniqueCount="49">
  <si>
    <t>Nile rat ID</t>
  </si>
  <si>
    <t>T1772F</t>
  </si>
  <si>
    <t>T1771F</t>
  </si>
  <si>
    <t>T1767M</t>
  </si>
  <si>
    <t>T1735M</t>
  </si>
  <si>
    <t>T1748F</t>
  </si>
  <si>
    <t>T1792M</t>
  </si>
  <si>
    <t>T1768M</t>
  </si>
  <si>
    <t>T1757M</t>
  </si>
  <si>
    <t>T1680M</t>
  </si>
  <si>
    <t>T1669F</t>
  </si>
  <si>
    <t>T1666M</t>
  </si>
  <si>
    <t>T1664F</t>
  </si>
  <si>
    <t>T1662F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</si>
  <si>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</si>
  <si>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</si>
  <si>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</si>
  <si>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</si>
  <si>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</si>
  <si>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</si>
  <si>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</si>
  <si>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</si>
  <si>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</si>
  <si>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</si>
  <si>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</si>
  <si>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</si>
  <si>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</si>
  <si>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Time of collection</t>
  </si>
  <si>
    <t>10:16-10:51am</t>
  </si>
  <si>
    <t>11:10-11:46am</t>
  </si>
  <si>
    <t>12:05-12:37pm</t>
  </si>
  <si>
    <t>1:00-1:32pm</t>
  </si>
  <si>
    <t>2:00-2:35pm</t>
  </si>
  <si>
    <t>3:00-3:30pm</t>
  </si>
  <si>
    <t>4:06-4:36pm</t>
  </si>
  <si>
    <t>5:00-5:37pm</t>
  </si>
  <si>
    <t>6:00-6:34pm</t>
  </si>
  <si>
    <t>7:00-7:30pm</t>
  </si>
  <si>
    <t>8:00-8:38pm</t>
  </si>
  <si>
    <t>9:00-9:34pm</t>
  </si>
  <si>
    <t>10:00-10:37pm</t>
  </si>
  <si>
    <t>10am weight</t>
  </si>
  <si>
    <t>10pm weight</t>
  </si>
  <si>
    <t>animal</t>
  </si>
  <si>
    <t>sex</t>
  </si>
  <si>
    <t>F</t>
  </si>
  <si>
    <t>M</t>
  </si>
  <si>
    <t>weight 10am</t>
  </si>
  <si>
    <t>weight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</si>
</sst>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8814-81E8-1B46-A5E4-F12AD0877C87}">
  <dimension ref="A1:Q14"/>
  <sheetViews>
    <sheetView tabSelected="1" workbookViewId="0">
      <selection activeCell="I28" sqref="I28"/>
    </sheetView>
  </sheetViews>
  <sheetFormatPr defaultColWidth="10.6640625" defaultRowHeight="15.5" x14ac:dyDescent="0.35"/>
  <cols>
    <col min="3" max="5" width="13.5" bestFit="1" customWidth="1"/>
    <col min="6" max="7" width="12.1640625" bestFit="1" customWidth="1"/>
  </cols>
  <sheetData>
    <row r="1" spans="1:17" x14ac:dyDescent="0.35">
      <c r="A1" t="s">
        <v>43</v>
      </c>
      <c r="B1" t="s">
        <v>44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47</v>
      </c>
      <c r="Q1" t="s">
        <v>48</v>
      </c>
    </row>
    <row r="2" spans="1:17" x14ac:dyDescent="0.35">
      <c r="A2" t="s">
        <v>1</v>
      </c>
      <c r="B2" t="s">
        <v>45</v>
      </c>
      <c r="C2" s="1">
        <f>(285+339+266)/3</f>
        <v>296.66666666666669</v>
      </c>
      <c r="D2">
        <f>(295+285)/2</f>
        <v>290</v>
      </c>
      <c r="E2">
        <f>(339+362)/2</f>
        <v>350.5</v>
      </c>
      <c r="F2">
        <f>(286+277)/2</f>
        <v>281.5</v>
      </c>
      <c r="G2">
        <f>(283+294)/2</f>
        <v>288.5</v>
      </c>
      <c r="H2">
        <f>(344+359)/2</f>
        <v>351.5</v>
      </c>
      <c r="I2">
        <f>(299+292)/2</f>
        <v>295.5</v>
      </c>
      <c r="J2">
        <f>(375+326)/2</f>
        <v>350.5</v>
      </c>
      <c r="K2">
        <f>(261+246)/2</f>
        <v>253.5</v>
      </c>
      <c r="L2">
        <f>(256+319)/2</f>
        <v>287.5</v>
      </c>
      <c r="M2">
        <f>(268+237)/2</f>
        <v>252.5</v>
      </c>
      <c r="N2">
        <f>(241+299+265)/3</f>
        <v>268.33333333333331</v>
      </c>
      <c r="O2">
        <f>(218+219)/2</f>
        <v>218.5</v>
      </c>
      <c r="P2">
        <v>111.6</v>
      </c>
      <c r="Q2">
        <v>110.2</v>
      </c>
    </row>
    <row r="3" spans="1:17" x14ac:dyDescent="0.35">
      <c r="A3" t="s">
        <v>2</v>
      </c>
      <c r="B3" t="s">
        <v>45</v>
      </c>
      <c r="C3">
        <f>(258+259)/2</f>
        <v>258.5</v>
      </c>
      <c r="D3">
        <f>(199+186)/2</f>
        <v>192.5</v>
      </c>
      <c r="E3">
        <f>(210+210)/2</f>
        <v>210</v>
      </c>
      <c r="F3">
        <f>(186+170)/2</f>
        <v>178</v>
      </c>
      <c r="G3">
        <f>(167+175)/2</f>
        <v>171</v>
      </c>
      <c r="H3">
        <f>(147+150)/2</f>
        <v>148.5</v>
      </c>
      <c r="I3">
        <f>(154+154)/2</f>
        <v>154</v>
      </c>
      <c r="J3">
        <f>(183+219)/2</f>
        <v>201</v>
      </c>
      <c r="K3">
        <f>(214+213)/2</f>
        <v>213.5</v>
      </c>
      <c r="L3">
        <f>(257+266)/2</f>
        <v>261.5</v>
      </c>
      <c r="M3">
        <f>(216+287+251+218)/4</f>
        <v>243</v>
      </c>
      <c r="N3">
        <f>(236+175+169)/3</f>
        <v>193.33333333333334</v>
      </c>
      <c r="O3">
        <f>(211+221)/2</f>
        <v>216</v>
      </c>
      <c r="P3">
        <v>127.9</v>
      </c>
      <c r="Q3">
        <v>127.8</v>
      </c>
    </row>
    <row r="4" spans="1:17" x14ac:dyDescent="0.35">
      <c r="A4" t="s">
        <v>3</v>
      </c>
      <c r="B4" t="s">
        <v>46</v>
      </c>
      <c r="C4" s="1">
        <f>(321+270+284)/3</f>
        <v>291.66666666666669</v>
      </c>
      <c r="D4">
        <f>(253+251)/2</f>
        <v>252</v>
      </c>
      <c r="E4">
        <f>(156+154)/2</f>
        <v>155</v>
      </c>
      <c r="F4">
        <f>(137+153)/2</f>
        <v>145</v>
      </c>
      <c r="G4">
        <f>(166+164)/2</f>
        <v>165</v>
      </c>
      <c r="H4">
        <f>(189+179)/2</f>
        <v>184</v>
      </c>
      <c r="I4">
        <f>(241+275)/2</f>
        <v>258</v>
      </c>
      <c r="J4">
        <f>(223+235)/2</f>
        <v>229</v>
      </c>
      <c r="K4">
        <f>(261+236)/2</f>
        <v>248.5</v>
      </c>
      <c r="L4">
        <f>(255+211)/2</f>
        <v>233</v>
      </c>
      <c r="M4">
        <f>(204+237)/2</f>
        <v>220.5</v>
      </c>
      <c r="N4">
        <f>(236+205)/2</f>
        <v>220.5</v>
      </c>
      <c r="O4">
        <f>(227+225)/2</f>
        <v>226</v>
      </c>
      <c r="P4">
        <v>122.6</v>
      </c>
      <c r="Q4">
        <v>120.5</v>
      </c>
    </row>
    <row r="5" spans="1:17" x14ac:dyDescent="0.35">
      <c r="A5" t="s">
        <v>4</v>
      </c>
      <c r="B5" t="s">
        <v>46</v>
      </c>
      <c r="C5">
        <f>(337+340)/2</f>
        <v>338.5</v>
      </c>
      <c r="D5">
        <f>(238+247)/2</f>
        <v>242.5</v>
      </c>
      <c r="E5">
        <f>(303+246+282)/3</f>
        <v>277</v>
      </c>
      <c r="F5">
        <f>(266+260)/2</f>
        <v>263</v>
      </c>
      <c r="G5">
        <f>(291+278)/2</f>
        <v>284.5</v>
      </c>
      <c r="H5">
        <f>(319+296)/2</f>
        <v>307.5</v>
      </c>
      <c r="I5">
        <f>(273+311)/2</f>
        <v>292</v>
      </c>
      <c r="J5">
        <f>(258+263)/2</f>
        <v>260.5</v>
      </c>
      <c r="K5">
        <f>(278+267)/2</f>
        <v>272.5</v>
      </c>
      <c r="L5">
        <f>(241+278)/2</f>
        <v>259.5</v>
      </c>
      <c r="M5">
        <f>(273+241)/2</f>
        <v>257</v>
      </c>
      <c r="N5">
        <f>(302+274)/2</f>
        <v>288</v>
      </c>
      <c r="O5">
        <f>(265+298)/2</f>
        <v>281.5</v>
      </c>
      <c r="P5">
        <v>124</v>
      </c>
      <c r="Q5">
        <v>122.8</v>
      </c>
    </row>
    <row r="6" spans="1:17" x14ac:dyDescent="0.35">
      <c r="A6" t="s">
        <v>5</v>
      </c>
      <c r="B6" t="s">
        <v>45</v>
      </c>
      <c r="C6">
        <f>(93+93)/2</f>
        <v>93</v>
      </c>
      <c r="D6">
        <f>(81+79)/2</f>
        <v>80</v>
      </c>
      <c r="E6">
        <f>(111+109)/2</f>
        <v>110</v>
      </c>
      <c r="F6">
        <f>(159+153)/2</f>
        <v>156</v>
      </c>
      <c r="G6">
        <f>(100+98)/2</f>
        <v>99</v>
      </c>
      <c r="H6">
        <f>(108+98)/2</f>
        <v>103</v>
      </c>
      <c r="I6">
        <f>(77+80)/2</f>
        <v>78.5</v>
      </c>
      <c r="J6">
        <f>(129+104)/2</f>
        <v>116.5</v>
      </c>
      <c r="K6">
        <f>(102+88)/2</f>
        <v>95</v>
      </c>
      <c r="L6">
        <f>(141+112)/2</f>
        <v>126.5</v>
      </c>
      <c r="M6">
        <f>(72+78)/2</f>
        <v>75</v>
      </c>
      <c r="N6">
        <f>(101+98)/2</f>
        <v>99.5</v>
      </c>
      <c r="O6">
        <f>(83+81)/2</f>
        <v>82</v>
      </c>
      <c r="P6">
        <v>125.8</v>
      </c>
      <c r="Q6">
        <v>126</v>
      </c>
    </row>
    <row r="7" spans="1:17" x14ac:dyDescent="0.35">
      <c r="A7" t="s">
        <v>6</v>
      </c>
      <c r="B7" t="s">
        <v>46</v>
      </c>
      <c r="C7">
        <f>(296+309)/2</f>
        <v>302.5</v>
      </c>
      <c r="D7">
        <f>(294+299)/2</f>
        <v>296.5</v>
      </c>
      <c r="E7">
        <f>(367+368)/2</f>
        <v>367.5</v>
      </c>
      <c r="F7">
        <f>(316+307)/2</f>
        <v>311.5</v>
      </c>
      <c r="G7">
        <f>(304+321)/2</f>
        <v>312.5</v>
      </c>
      <c r="H7">
        <f>(322+348)/2</f>
        <v>335</v>
      </c>
      <c r="I7">
        <f>(287+265)/2</f>
        <v>276</v>
      </c>
      <c r="J7">
        <f>(289+293)/2</f>
        <v>291</v>
      </c>
      <c r="K7">
        <f>(306+306)/2</f>
        <v>306</v>
      </c>
      <c r="L7">
        <f>(270+285)/2</f>
        <v>277.5</v>
      </c>
      <c r="M7">
        <f>(255+283)/2</f>
        <v>269</v>
      </c>
      <c r="N7">
        <f>(293+324)/2</f>
        <v>308.5</v>
      </c>
      <c r="O7">
        <f>(308+347)/2</f>
        <v>327.5</v>
      </c>
      <c r="P7">
        <v>130.5</v>
      </c>
      <c r="Q7">
        <v>120.5</v>
      </c>
    </row>
    <row r="8" spans="1:17" x14ac:dyDescent="0.35">
      <c r="A8" t="s">
        <v>7</v>
      </c>
      <c r="B8" t="s">
        <v>46</v>
      </c>
      <c r="C8">
        <f>(338+330)/2</f>
        <v>334</v>
      </c>
      <c r="D8">
        <f>(223+237)/2</f>
        <v>230</v>
      </c>
      <c r="E8">
        <f>(265+275)/2</f>
        <v>270</v>
      </c>
      <c r="F8">
        <f>(252+276)/2</f>
        <v>264</v>
      </c>
      <c r="G8">
        <f>(287+286)/2</f>
        <v>286.5</v>
      </c>
      <c r="H8">
        <f>(240+248)/2</f>
        <v>244</v>
      </c>
      <c r="I8">
        <f>(172+182)/2</f>
        <v>177</v>
      </c>
      <c r="J8">
        <f>(203+217)/2</f>
        <v>210</v>
      </c>
      <c r="K8">
        <f>(284+292)/2</f>
        <v>288</v>
      </c>
      <c r="L8">
        <f>(257+218)/2</f>
        <v>237.5</v>
      </c>
      <c r="M8">
        <f>(225+222)/2</f>
        <v>223.5</v>
      </c>
      <c r="N8">
        <f>(269+224)/2</f>
        <v>246.5</v>
      </c>
      <c r="O8">
        <f>(175+220)/2</f>
        <v>197.5</v>
      </c>
      <c r="P8">
        <v>129.19999999999999</v>
      </c>
      <c r="Q8">
        <v>128.19999999999999</v>
      </c>
    </row>
    <row r="9" spans="1:17" x14ac:dyDescent="0.35">
      <c r="A9" t="s">
        <v>8</v>
      </c>
      <c r="B9" t="s">
        <v>46</v>
      </c>
      <c r="C9">
        <f>(249+259)/2</f>
        <v>254</v>
      </c>
      <c r="D9">
        <f>(252+272)/2</f>
        <v>262</v>
      </c>
      <c r="E9">
        <f>(248+239)/2</f>
        <v>243.5</v>
      </c>
      <c r="F9">
        <f>(283+237+279)/3</f>
        <v>266.33333333333331</v>
      </c>
      <c r="G9">
        <f>(240+266)/2</f>
        <v>253</v>
      </c>
      <c r="H9">
        <f>(247+228)/2</f>
        <v>237.5</v>
      </c>
      <c r="I9">
        <f>(243+283)/2</f>
        <v>263</v>
      </c>
      <c r="J9">
        <f>(266+284)/2</f>
        <v>275</v>
      </c>
      <c r="K9">
        <f>(283+273)/2</f>
        <v>278</v>
      </c>
      <c r="L9">
        <f>(266+274)/2</f>
        <v>270</v>
      </c>
      <c r="M9">
        <f>(270+286)/2</f>
        <v>278</v>
      </c>
      <c r="N9">
        <f>(378+344)/2</f>
        <v>361</v>
      </c>
      <c r="O9">
        <f>(316+388+380)/3</f>
        <v>361.33333333333331</v>
      </c>
      <c r="P9">
        <v>127.7</v>
      </c>
      <c r="Q9">
        <v>125.2</v>
      </c>
    </row>
    <row r="10" spans="1:17" x14ac:dyDescent="0.35">
      <c r="A10" t="s">
        <v>9</v>
      </c>
      <c r="B10" t="s">
        <v>46</v>
      </c>
      <c r="C10">
        <f>(300+356+433+341)/4</f>
        <v>357.5</v>
      </c>
      <c r="D10">
        <f>(270+244)/2</f>
        <v>257</v>
      </c>
      <c r="E10">
        <f>(256+246)/2</f>
        <v>251</v>
      </c>
      <c r="F10">
        <f>(215+239)/2</f>
        <v>227</v>
      </c>
      <c r="G10">
        <f>(196+235+204)/3</f>
        <v>211.66666666666666</v>
      </c>
      <c r="H10">
        <f>(242+229)/2</f>
        <v>235.5</v>
      </c>
      <c r="I10">
        <f>(210+204)/2</f>
        <v>207</v>
      </c>
      <c r="J10">
        <f>(263+278)/2</f>
        <v>270.5</v>
      </c>
      <c r="K10">
        <f>(242+264)/2</f>
        <v>253</v>
      </c>
      <c r="L10">
        <f>(211+202)/2</f>
        <v>206.5</v>
      </c>
      <c r="M10">
        <f>(275+278)/2</f>
        <v>276.5</v>
      </c>
      <c r="N10">
        <f>(208+210)/2</f>
        <v>209</v>
      </c>
      <c r="O10">
        <f>(244+252)/2</f>
        <v>248</v>
      </c>
      <c r="P10">
        <v>120.5</v>
      </c>
      <c r="Q10">
        <v>120.9</v>
      </c>
    </row>
    <row r="11" spans="1:17" x14ac:dyDescent="0.35">
      <c r="A11" t="s">
        <v>10</v>
      </c>
      <c r="B11" t="s">
        <v>45</v>
      </c>
      <c r="C11">
        <f>(216+212)/2</f>
        <v>214</v>
      </c>
      <c r="D11" s="1">
        <f>(136+112+138)/3</f>
        <v>128.66666666666666</v>
      </c>
      <c r="E11">
        <f>(227+221)/2</f>
        <v>224</v>
      </c>
      <c r="F11">
        <f>(185+202)/2</f>
        <v>193.5</v>
      </c>
      <c r="G11">
        <f>(238+217)/2</f>
        <v>227.5</v>
      </c>
      <c r="H11">
        <f>(216+246)/2</f>
        <v>231</v>
      </c>
      <c r="I11">
        <f>(193+151+195)/3</f>
        <v>179.66666666666666</v>
      </c>
      <c r="J11">
        <f>(152+173)/2</f>
        <v>162.5</v>
      </c>
      <c r="K11">
        <f>(140+173)/2</f>
        <v>156.5</v>
      </c>
      <c r="L11">
        <f>(176+178)/2</f>
        <v>177</v>
      </c>
      <c r="M11">
        <f>(189+197)/2</f>
        <v>193</v>
      </c>
      <c r="N11">
        <f>(248+235)/2</f>
        <v>241.5</v>
      </c>
      <c r="O11">
        <f>(174+169)/2</f>
        <v>171.5</v>
      </c>
      <c r="P11">
        <v>122.2</v>
      </c>
      <c r="Q11">
        <v>121.4</v>
      </c>
    </row>
    <row r="12" spans="1:17" x14ac:dyDescent="0.35">
      <c r="A12" t="s">
        <v>11</v>
      </c>
      <c r="B12" t="s">
        <v>46</v>
      </c>
      <c r="C12">
        <f>(224+255)/2</f>
        <v>239.5</v>
      </c>
      <c r="D12">
        <f>(232+233)/2</f>
        <v>232.5</v>
      </c>
      <c r="E12">
        <f>(206+204)/2</f>
        <v>205</v>
      </c>
      <c r="F12">
        <f>(234+244)/2</f>
        <v>239</v>
      </c>
      <c r="G12">
        <f>(248+263)/2</f>
        <v>255.5</v>
      </c>
      <c r="H12">
        <f>(240+262)/2</f>
        <v>251</v>
      </c>
      <c r="I12">
        <f>(238+268)/2</f>
        <v>253</v>
      </c>
      <c r="J12">
        <f>(257+301)/2</f>
        <v>279</v>
      </c>
      <c r="K12">
        <f>(240+251)/2</f>
        <v>245.5</v>
      </c>
      <c r="L12">
        <f>(297+256)/2</f>
        <v>276.5</v>
      </c>
      <c r="M12">
        <f>(261+369+237+233)/4</f>
        <v>275</v>
      </c>
      <c r="N12">
        <f>(250+291)/2</f>
        <v>270.5</v>
      </c>
      <c r="O12">
        <f>(244+227)/2</f>
        <v>235.5</v>
      </c>
      <c r="P12">
        <v>119.8</v>
      </c>
      <c r="Q12">
        <v>120.3</v>
      </c>
    </row>
    <row r="13" spans="1:17" x14ac:dyDescent="0.35">
      <c r="A13" t="s">
        <v>12</v>
      </c>
      <c r="B13" t="s">
        <v>45</v>
      </c>
      <c r="C13">
        <f>(104+105)/2</f>
        <v>104.5</v>
      </c>
      <c r="D13">
        <f>(101+118)/2</f>
        <v>109.5</v>
      </c>
      <c r="E13">
        <f>(92+105)/2</f>
        <v>98.5</v>
      </c>
      <c r="F13">
        <f>(92+101)/2</f>
        <v>96.5</v>
      </c>
      <c r="G13">
        <f>(93+155+109+114)/4</f>
        <v>117.75</v>
      </c>
      <c r="H13">
        <f>(92+82)/2</f>
        <v>87</v>
      </c>
      <c r="I13">
        <f>(141+112+110)/3</f>
        <v>121</v>
      </c>
      <c r="J13">
        <f>(142+143)/2</f>
        <v>142.5</v>
      </c>
      <c r="K13">
        <f>(106+135)/2</f>
        <v>120.5</v>
      </c>
      <c r="L13">
        <f>(80+76)/2</f>
        <v>78</v>
      </c>
      <c r="M13">
        <f>(72+68)/2</f>
        <v>70</v>
      </c>
      <c r="N13">
        <f>(195+145)/2</f>
        <v>170</v>
      </c>
      <c r="O13">
        <f>(109+97)/2</f>
        <v>103</v>
      </c>
      <c r="P13">
        <v>104.6</v>
      </c>
      <c r="Q13">
        <v>104</v>
      </c>
    </row>
    <row r="14" spans="1:17" x14ac:dyDescent="0.35">
      <c r="A14" t="s">
        <v>13</v>
      </c>
      <c r="B14" t="s">
        <v>45</v>
      </c>
      <c r="C14">
        <f>(189+212+199+233)/4</f>
        <v>208.25</v>
      </c>
      <c r="D14">
        <f>(196+188+165)/3</f>
        <v>183</v>
      </c>
      <c r="E14">
        <f>(219+228)/2</f>
        <v>223.5</v>
      </c>
      <c r="F14">
        <f>(213+247)/2</f>
        <v>230</v>
      </c>
      <c r="G14">
        <f>(263+247)/2</f>
        <v>255</v>
      </c>
      <c r="H14">
        <f>(237+246)/2</f>
        <v>241.5</v>
      </c>
      <c r="I14">
        <f>(196+198)/2</f>
        <v>197</v>
      </c>
      <c r="J14">
        <f>(229+225)/2</f>
        <v>227</v>
      </c>
      <c r="K14">
        <f>(251+233)/2</f>
        <v>242</v>
      </c>
      <c r="L14">
        <f>(299+260)/2</f>
        <v>279.5</v>
      </c>
      <c r="M14">
        <f>(197+216)/2</f>
        <v>206.5</v>
      </c>
      <c r="N14">
        <f>(195+193)/2</f>
        <v>194</v>
      </c>
      <c r="O14">
        <f>(191+179)/2</f>
        <v>185</v>
      </c>
      <c r="P14">
        <v>110.8</v>
      </c>
      <c r="Q14">
        <v>111.4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D78F-4308-451C-A6EC-2EE0BD224995}">
  <dimension ref="A1:O31"/>
  <sheetViews>
    <sheetView workbookViewId="0">
      <selection activeCell="C29" sqref="C29"/>
    </sheetView>
  </sheetViews>
  <sheetFormatPr defaultColWidth="10.6640625" defaultRowHeight="15.5" x14ac:dyDescent="0.35"/>
  <cols>
    <col min="3" max="5" width="13.5" bestFit="1" customWidth="1"/>
    <col min="6" max="7" width="12.1640625" bestFit="1" customWidth="1"/>
  </cols>
  <sheetData>
    <row r="1" spans="1:15" x14ac:dyDescent="0.35">
      <c r="A1" t="s">
        <v>43</v>
      </c>
      <c r="B1" t="s">
        <v>44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5">
      <c r="A2" t="s">
        <v>1</v>
      </c>
      <c r="B2" t="s">
        <v>45</v>
      </c>
      <c r="C2" s="1">
        <f>(285+339+266)/3</f>
        <v>296.66666666666669</v>
      </c>
      <c r="D2">
        <f>(295+285)/2</f>
        <v>290</v>
      </c>
      <c r="E2">
        <f>(339+362)/2</f>
        <v>350.5</v>
      </c>
      <c r="F2">
        <f>(286+277)/2</f>
        <v>281.5</v>
      </c>
      <c r="G2">
        <f>(283+294)/2</f>
        <v>288.5</v>
      </c>
      <c r="H2">
        <f>(344+359)/2</f>
        <v>351.5</v>
      </c>
      <c r="I2">
        <f>(299+292)/2</f>
        <v>295.5</v>
      </c>
      <c r="J2">
        <f>(375+326)/2</f>
        <v>350.5</v>
      </c>
      <c r="K2">
        <f>(261+246)/2</f>
        <v>253.5</v>
      </c>
      <c r="L2">
        <f>(256+319)/2</f>
        <v>287.5</v>
      </c>
      <c r="M2">
        <f>(268+237)/2</f>
        <v>252.5</v>
      </c>
      <c r="N2">
        <f>(241+299+265)/3</f>
        <v>268.33333333333331</v>
      </c>
      <c r="O2">
        <f>(218+219)/2</f>
        <v>218.5</v>
      </c>
    </row>
    <row r="3" spans="1:15" x14ac:dyDescent="0.35">
      <c r="A3" t="s">
        <v>2</v>
      </c>
      <c r="B3" t="s">
        <v>45</v>
      </c>
      <c r="C3">
        <f>(258+259)/2</f>
        <v>258.5</v>
      </c>
      <c r="D3">
        <f>(199+186)/2</f>
        <v>192.5</v>
      </c>
      <c r="E3">
        <f>(210+210)/2</f>
        <v>210</v>
      </c>
      <c r="F3">
        <f>(186+170)/2</f>
        <v>178</v>
      </c>
      <c r="G3">
        <f>(167+175)/2</f>
        <v>171</v>
      </c>
      <c r="H3">
        <f>(147+150)/2</f>
        <v>148.5</v>
      </c>
      <c r="I3">
        <f>(154+154)/2</f>
        <v>154</v>
      </c>
      <c r="J3">
        <f>(183+219)/2</f>
        <v>201</v>
      </c>
      <c r="K3">
        <f>(214+213)/2</f>
        <v>213.5</v>
      </c>
      <c r="L3">
        <f>(257+266)/2</f>
        <v>261.5</v>
      </c>
      <c r="M3">
        <f>(216+287+251+218)/4</f>
        <v>243</v>
      </c>
      <c r="N3">
        <f>(236+175+169)/3</f>
        <v>193.33333333333334</v>
      </c>
      <c r="O3">
        <f>(211+221)/2</f>
        <v>216</v>
      </c>
    </row>
    <row r="4" spans="1:15" x14ac:dyDescent="0.35">
      <c r="A4" t="s">
        <v>3</v>
      </c>
      <c r="B4" t="s">
        <v>46</v>
      </c>
      <c r="C4" s="1">
        <f>(321+270+284)/3</f>
        <v>291.66666666666669</v>
      </c>
      <c r="D4">
        <f>(253+251)/2</f>
        <v>252</v>
      </c>
      <c r="E4">
        <f>(156+154)/2</f>
        <v>155</v>
      </c>
      <c r="F4">
        <f>(137+153)/2</f>
        <v>145</v>
      </c>
      <c r="G4">
        <f>(166+164)/2</f>
        <v>165</v>
      </c>
      <c r="H4">
        <f>(189+179)/2</f>
        <v>184</v>
      </c>
      <c r="I4">
        <f>(241+275)/2</f>
        <v>258</v>
      </c>
      <c r="J4">
        <f>(223+235)/2</f>
        <v>229</v>
      </c>
      <c r="K4">
        <f>(261+236)/2</f>
        <v>248.5</v>
      </c>
      <c r="L4">
        <f>(255+211)/2</f>
        <v>233</v>
      </c>
      <c r="M4">
        <f>(204+237)/2</f>
        <v>220.5</v>
      </c>
      <c r="N4">
        <f>(236+205)/2</f>
        <v>220.5</v>
      </c>
      <c r="O4">
        <f>(227+225)/2</f>
        <v>226</v>
      </c>
    </row>
    <row r="5" spans="1:15" x14ac:dyDescent="0.35">
      <c r="A5" t="s">
        <v>4</v>
      </c>
      <c r="B5" t="s">
        <v>46</v>
      </c>
      <c r="C5">
        <f>(337+340)/2</f>
        <v>338.5</v>
      </c>
      <c r="D5">
        <f>(238+247)/2</f>
        <v>242.5</v>
      </c>
      <c r="E5">
        <f>(303+246+282)/3</f>
        <v>277</v>
      </c>
      <c r="F5">
        <f>(266+260)/2</f>
        <v>263</v>
      </c>
      <c r="G5">
        <f>(291+278)/2</f>
        <v>284.5</v>
      </c>
      <c r="H5">
        <f>(319+296)/2</f>
        <v>307.5</v>
      </c>
      <c r="I5">
        <f>(273+311)/2</f>
        <v>292</v>
      </c>
      <c r="J5">
        <f>(258+263)/2</f>
        <v>260.5</v>
      </c>
      <c r="K5">
        <f>(278+267)/2</f>
        <v>272.5</v>
      </c>
      <c r="L5">
        <f>(241+278)/2</f>
        <v>259.5</v>
      </c>
      <c r="M5">
        <f>(273+241)/2</f>
        <v>257</v>
      </c>
      <c r="N5">
        <f>(302+274)/2</f>
        <v>288</v>
      </c>
      <c r="O5">
        <f>(265+298)/2</f>
        <v>281.5</v>
      </c>
    </row>
    <row r="6" spans="1:15" x14ac:dyDescent="0.35">
      <c r="A6" t="s">
        <v>5</v>
      </c>
      <c r="B6" t="s">
        <v>45</v>
      </c>
      <c r="C6">
        <f>(93+93)/2</f>
        <v>93</v>
      </c>
      <c r="D6">
        <f>(81+79)/2</f>
        <v>80</v>
      </c>
      <c r="E6">
        <f>(111+109)/2</f>
        <v>110</v>
      </c>
      <c r="F6">
        <f>(159+153)/2</f>
        <v>156</v>
      </c>
      <c r="G6">
        <f>(100+98)/2</f>
        <v>99</v>
      </c>
      <c r="H6">
        <f>(108+98)/2</f>
        <v>103</v>
      </c>
      <c r="I6">
        <f>(77+80)/2</f>
        <v>78.5</v>
      </c>
      <c r="J6">
        <f>(129+104)/2</f>
        <v>116.5</v>
      </c>
      <c r="K6">
        <f>(102+88)/2</f>
        <v>95</v>
      </c>
      <c r="L6">
        <f>(141+112)/2</f>
        <v>126.5</v>
      </c>
      <c r="M6">
        <f>(72+78)/2</f>
        <v>75</v>
      </c>
      <c r="N6">
        <f>(101+98)/2</f>
        <v>99.5</v>
      </c>
      <c r="O6">
        <f>(83+81)/2</f>
        <v>82</v>
      </c>
    </row>
    <row r="7" spans="1:15" x14ac:dyDescent="0.35">
      <c r="A7" t="s">
        <v>6</v>
      </c>
      <c r="B7" t="s">
        <v>46</v>
      </c>
      <c r="C7">
        <f>(296+309)/2</f>
        <v>302.5</v>
      </c>
      <c r="D7">
        <f>(294+299)/2</f>
        <v>296.5</v>
      </c>
      <c r="E7">
        <f>(367+368)/2</f>
        <v>367.5</v>
      </c>
      <c r="F7">
        <f>(316+307)/2</f>
        <v>311.5</v>
      </c>
      <c r="G7">
        <f>(304+321)/2</f>
        <v>312.5</v>
      </c>
      <c r="H7">
        <f>(322+348)/2</f>
        <v>335</v>
      </c>
      <c r="I7">
        <f>(287+265)/2</f>
        <v>276</v>
      </c>
      <c r="J7">
        <f>(289+293)/2</f>
        <v>291</v>
      </c>
      <c r="K7">
        <f>(306+306)/2</f>
        <v>306</v>
      </c>
      <c r="L7">
        <f>(270+285)/2</f>
        <v>277.5</v>
      </c>
      <c r="M7">
        <f>(255+283)/2</f>
        <v>269</v>
      </c>
      <c r="N7">
        <f>(293+324)/2</f>
        <v>308.5</v>
      </c>
      <c r="O7">
        <f>(308+347)/2</f>
        <v>327.5</v>
      </c>
    </row>
    <row r="8" spans="1:15" x14ac:dyDescent="0.35">
      <c r="A8" t="s">
        <v>7</v>
      </c>
      <c r="B8" t="s">
        <v>46</v>
      </c>
      <c r="C8">
        <f>(338+330)/2</f>
        <v>334</v>
      </c>
      <c r="D8">
        <f>(223+237)/2</f>
        <v>230</v>
      </c>
      <c r="E8">
        <f>(265+275)/2</f>
        <v>270</v>
      </c>
      <c r="F8">
        <f>(252+276)/2</f>
        <v>264</v>
      </c>
      <c r="G8">
        <f>(287+286)/2</f>
        <v>286.5</v>
      </c>
      <c r="H8">
        <f>(240+248)/2</f>
        <v>244</v>
      </c>
      <c r="I8">
        <f>(172+182)/2</f>
        <v>177</v>
      </c>
      <c r="J8">
        <f>(203+217)/2</f>
        <v>210</v>
      </c>
      <c r="K8">
        <f>(284+292)/2</f>
        <v>288</v>
      </c>
      <c r="L8">
        <f>(257+218)/2</f>
        <v>237.5</v>
      </c>
      <c r="M8">
        <f>(225+222)/2</f>
        <v>223.5</v>
      </c>
      <c r="N8">
        <f>(269+224)/2</f>
        <v>246.5</v>
      </c>
      <c r="O8">
        <f>(175+220)/2</f>
        <v>197.5</v>
      </c>
    </row>
    <row r="9" spans="1:15" x14ac:dyDescent="0.35">
      <c r="A9" t="s">
        <v>8</v>
      </c>
      <c r="B9" t="s">
        <v>46</v>
      </c>
      <c r="C9">
        <f>(249+259)/2</f>
        <v>254</v>
      </c>
      <c r="D9">
        <f>(252+272)/2</f>
        <v>262</v>
      </c>
      <c r="E9">
        <f>(248+239)/2</f>
        <v>243.5</v>
      </c>
      <c r="F9">
        <f>(283+237+279)/3</f>
        <v>266.33333333333331</v>
      </c>
      <c r="G9">
        <f>(240+266)/2</f>
        <v>253</v>
      </c>
      <c r="H9">
        <f>(247+228)/2</f>
        <v>237.5</v>
      </c>
      <c r="I9">
        <f>(243+283)/2</f>
        <v>263</v>
      </c>
      <c r="J9">
        <f>(266+284)/2</f>
        <v>275</v>
      </c>
      <c r="K9">
        <f>(283+273)/2</f>
        <v>278</v>
      </c>
      <c r="L9">
        <f>(266+274)/2</f>
        <v>270</v>
      </c>
      <c r="M9">
        <f>(270+286)/2</f>
        <v>278</v>
      </c>
      <c r="N9">
        <f>(378+344)/2</f>
        <v>361</v>
      </c>
      <c r="O9">
        <f>(316+388+380)/3</f>
        <v>361.33333333333331</v>
      </c>
    </row>
    <row r="10" spans="1:15" x14ac:dyDescent="0.35">
      <c r="A10" t="s">
        <v>9</v>
      </c>
      <c r="B10" t="s">
        <v>46</v>
      </c>
      <c r="C10">
        <f>(300+356+433+341)/4</f>
        <v>357.5</v>
      </c>
      <c r="D10">
        <f>(270+244)/2</f>
        <v>257</v>
      </c>
      <c r="E10">
        <f>(256+246)/2</f>
        <v>251</v>
      </c>
      <c r="F10">
        <f>(215+239)/2</f>
        <v>227</v>
      </c>
      <c r="G10">
        <f>(196+235+204)/3</f>
        <v>211.66666666666666</v>
      </c>
      <c r="H10">
        <f>(242+229)/2</f>
        <v>235.5</v>
      </c>
      <c r="I10">
        <f>(210+204)/2</f>
        <v>207</v>
      </c>
      <c r="J10">
        <f>(263+278)/2</f>
        <v>270.5</v>
      </c>
      <c r="K10">
        <f>(242+264)/2</f>
        <v>253</v>
      </c>
      <c r="L10">
        <f>(211+202)/2</f>
        <v>206.5</v>
      </c>
      <c r="M10">
        <f>(275+278)/2</f>
        <v>276.5</v>
      </c>
      <c r="N10">
        <f>(208+210)/2</f>
        <v>209</v>
      </c>
      <c r="O10">
        <f>(244+252)/2</f>
        <v>248</v>
      </c>
    </row>
    <row r="11" spans="1:15" x14ac:dyDescent="0.35">
      <c r="A11" t="s">
        <v>10</v>
      </c>
      <c r="B11" t="s">
        <v>45</v>
      </c>
      <c r="C11">
        <f>(216+212)/2</f>
        <v>214</v>
      </c>
      <c r="D11" s="1">
        <f>(136+112+138)/3</f>
        <v>128.66666666666666</v>
      </c>
      <c r="E11">
        <f>(227+221)/2</f>
        <v>224</v>
      </c>
      <c r="F11">
        <f>(185+202)/2</f>
        <v>193.5</v>
      </c>
      <c r="G11">
        <f>(238+217)/2</f>
        <v>227.5</v>
      </c>
      <c r="H11">
        <f>(216+246)/2</f>
        <v>231</v>
      </c>
      <c r="I11">
        <f>(193+151+195)/3</f>
        <v>179.66666666666666</v>
      </c>
      <c r="J11">
        <f>(152+173)/2</f>
        <v>162.5</v>
      </c>
      <c r="K11">
        <f>(140+173)/2</f>
        <v>156.5</v>
      </c>
      <c r="L11">
        <f>(176+178)/2</f>
        <v>177</v>
      </c>
      <c r="M11">
        <f>(189+197)/2</f>
        <v>193</v>
      </c>
      <c r="N11">
        <f>(248+235)/2</f>
        <v>241.5</v>
      </c>
      <c r="O11">
        <f>(174+169)/2</f>
        <v>171.5</v>
      </c>
    </row>
    <row r="12" spans="1:15" x14ac:dyDescent="0.35">
      <c r="A12" t="s">
        <v>11</v>
      </c>
      <c r="B12" t="s">
        <v>46</v>
      </c>
      <c r="C12">
        <f>(224+255)/2</f>
        <v>239.5</v>
      </c>
      <c r="D12">
        <f>(232+233)/2</f>
        <v>232.5</v>
      </c>
      <c r="E12">
        <f>(206+204)/2</f>
        <v>205</v>
      </c>
      <c r="F12">
        <f>(234+244)/2</f>
        <v>239</v>
      </c>
      <c r="G12">
        <f>(248+263)/2</f>
        <v>255.5</v>
      </c>
      <c r="H12">
        <f>(240+262)/2</f>
        <v>251</v>
      </c>
      <c r="I12">
        <f>(238+268)/2</f>
        <v>253</v>
      </c>
      <c r="J12">
        <f>(257+301)/2</f>
        <v>279</v>
      </c>
      <c r="K12">
        <f>(240+251)/2</f>
        <v>245.5</v>
      </c>
      <c r="L12">
        <f>(297+256)/2</f>
        <v>276.5</v>
      </c>
      <c r="M12">
        <f>(261+369+237+233)/4</f>
        <v>275</v>
      </c>
      <c r="N12">
        <f>(250+291)/2</f>
        <v>270.5</v>
      </c>
      <c r="O12">
        <f>(244+227)/2</f>
        <v>235.5</v>
      </c>
    </row>
    <row r="13" spans="1:15" x14ac:dyDescent="0.35">
      <c r="A13" t="s">
        <v>12</v>
      </c>
      <c r="B13" t="s">
        <v>45</v>
      </c>
      <c r="C13">
        <f>(104+105)/2</f>
        <v>104.5</v>
      </c>
      <c r="D13">
        <f>(101+118)/2</f>
        <v>109.5</v>
      </c>
      <c r="E13">
        <f>(92+105)/2</f>
        <v>98.5</v>
      </c>
      <c r="F13">
        <f>(92+101)/2</f>
        <v>96.5</v>
      </c>
      <c r="G13">
        <f>(93+155+109+114)/4</f>
        <v>117.75</v>
      </c>
      <c r="H13">
        <f>(92+82)/2</f>
        <v>87</v>
      </c>
      <c r="I13">
        <f>(141+112+110)/3</f>
        <v>121</v>
      </c>
      <c r="J13">
        <f>(142+143)/2</f>
        <v>142.5</v>
      </c>
      <c r="K13">
        <f>(106+135)/2</f>
        <v>120.5</v>
      </c>
      <c r="L13">
        <f>(80+76)/2</f>
        <v>78</v>
      </c>
      <c r="M13">
        <f>(72+68)/2</f>
        <v>70</v>
      </c>
      <c r="N13">
        <f>(195+145)/2</f>
        <v>170</v>
      </c>
      <c r="O13">
        <f>(109+97)/2</f>
        <v>103</v>
      </c>
    </row>
    <row r="14" spans="1:15" x14ac:dyDescent="0.35">
      <c r="A14" t="s">
        <v>13</v>
      </c>
      <c r="B14" t="s">
        <v>45</v>
      </c>
      <c r="C14">
        <f>(189+212+199+233)/4</f>
        <v>208.25</v>
      </c>
      <c r="D14">
        <f>(196+188+165)/3</f>
        <v>183</v>
      </c>
      <c r="E14">
        <f>(219+228)/2</f>
        <v>223.5</v>
      </c>
      <c r="F14">
        <f>(213+247)/2</f>
        <v>230</v>
      </c>
      <c r="G14">
        <f>(263+247)/2</f>
        <v>255</v>
      </c>
      <c r="H14">
        <f>(237+246)/2</f>
        <v>241.5</v>
      </c>
      <c r="I14">
        <f>(196+198)/2</f>
        <v>197</v>
      </c>
      <c r="J14">
        <f>(229+225)/2</f>
        <v>227</v>
      </c>
      <c r="K14">
        <f>(251+233)/2</f>
        <v>242</v>
      </c>
      <c r="L14">
        <f>(299+260)/2</f>
        <v>279.5</v>
      </c>
      <c r="M14">
        <f>(197+216)/2</f>
        <v>206.5</v>
      </c>
      <c r="N14">
        <f>(195+193)/2</f>
        <v>194</v>
      </c>
      <c r="O14">
        <f>(191+179)/2</f>
        <v>185</v>
      </c>
    </row>
    <row r="16" spans="1:15" x14ac:dyDescent="0.35">
      <c r="A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</row>
    <row r="18" spans="1:4" x14ac:dyDescent="0.35">
      <c r="A18" t="s">
        <v>0</v>
      </c>
      <c r="C18" t="s">
        <v>41</v>
      </c>
      <c r="D18" t="s">
        <v>42</v>
      </c>
    </row>
    <row r="19" spans="1:4" x14ac:dyDescent="0.35">
      <c r="A19" t="s">
        <v>1</v>
      </c>
      <c r="C19">
        <v>111.6</v>
      </c>
      <c r="D19">
        <v>110.2</v>
      </c>
    </row>
    <row r="20" spans="1:4" x14ac:dyDescent="0.35">
      <c r="A20" t="s">
        <v>2</v>
      </c>
      <c r="C20">
        <v>127.9</v>
      </c>
      <c r="D20">
        <v>127.8</v>
      </c>
    </row>
    <row r="21" spans="1:4" x14ac:dyDescent="0.35">
      <c r="A21" t="s">
        <v>3</v>
      </c>
      <c r="C21">
        <v>122.6</v>
      </c>
      <c r="D21">
        <v>120.5</v>
      </c>
    </row>
    <row r="22" spans="1:4" x14ac:dyDescent="0.35">
      <c r="A22" t="s">
        <v>4</v>
      </c>
      <c r="C22">
        <v>124</v>
      </c>
      <c r="D22">
        <v>122.8</v>
      </c>
    </row>
    <row r="23" spans="1:4" x14ac:dyDescent="0.35">
      <c r="A23" t="s">
        <v>5</v>
      </c>
      <c r="C23">
        <v>125.8</v>
      </c>
      <c r="D23">
        <v>126</v>
      </c>
    </row>
    <row r="24" spans="1:4" x14ac:dyDescent="0.35">
      <c r="A24" t="s">
        <v>6</v>
      </c>
      <c r="C24">
        <v>130.5</v>
      </c>
      <c r="D24">
        <v>120.5</v>
      </c>
    </row>
    <row r="25" spans="1:4" x14ac:dyDescent="0.35">
      <c r="A25" t="s">
        <v>7</v>
      </c>
      <c r="C25">
        <v>129.19999999999999</v>
      </c>
      <c r="D25">
        <v>128.19999999999999</v>
      </c>
    </row>
    <row r="26" spans="1:4" x14ac:dyDescent="0.35">
      <c r="A26" t="s">
        <v>8</v>
      </c>
      <c r="C26">
        <v>127.7</v>
      </c>
      <c r="D26">
        <v>125.2</v>
      </c>
    </row>
    <row r="27" spans="1:4" x14ac:dyDescent="0.35">
      <c r="A27" t="s">
        <v>9</v>
      </c>
      <c r="C27">
        <v>120.5</v>
      </c>
      <c r="D27">
        <v>120.9</v>
      </c>
    </row>
    <row r="28" spans="1:4" x14ac:dyDescent="0.35">
      <c r="A28" t="s">
        <v>10</v>
      </c>
      <c r="C28">
        <v>122.2</v>
      </c>
      <c r="D28">
        <v>121.4</v>
      </c>
    </row>
    <row r="29" spans="1:4" x14ac:dyDescent="0.35">
      <c r="A29" t="s">
        <v>11</v>
      </c>
      <c r="C29">
        <v>119.8</v>
      </c>
      <c r="D29">
        <v>120.3</v>
      </c>
    </row>
    <row r="30" spans="1:4" x14ac:dyDescent="0.35">
      <c r="A30" t="s">
        <v>12</v>
      </c>
      <c r="C30">
        <v>104.6</v>
      </c>
      <c r="D30">
        <v>104</v>
      </c>
    </row>
    <row r="31" spans="1:4" x14ac:dyDescent="0.35">
      <c r="A31" t="s">
        <v>13</v>
      </c>
      <c r="C31">
        <v>110.8</v>
      </c>
      <c r="D31">
        <v>111.4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Anderson</cp:lastModifiedBy>
  <dcterms:created xsi:type="dcterms:W3CDTF">2022-09-06T18:54:02Z</dcterms:created>
  <dcterms:modified xsi:type="dcterms:W3CDTF">2022-10-20T23:00:48Z</dcterms:modified>
</cp:coreProperties>
</file>