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BJV\Documents\Extra 10s\ACInnovation\RinBain\data\"/>
    </mc:Choice>
  </mc:AlternateContent>
  <bookViews>
    <workbookView xWindow="0" yWindow="0" windowWidth="19200" windowHeight="6945" firstSheet="4" activeTab="8"/>
  </bookViews>
  <sheets>
    <sheet name="Company-level data" sheetId="7" r:id="rId1"/>
    <sheet name="Case A - Stretch" sheetId="1" r:id="rId2"/>
    <sheet name="Case B - 50-50" sheetId="10" r:id="rId3"/>
    <sheet name="Case C - Downside" sheetId="11" r:id="rId4"/>
    <sheet name="Center cost &amp; synergy worksheet" sheetId="3" r:id="rId5"/>
    <sheet name="Portfolio multiples reference" sheetId="4" r:id="rId6"/>
    <sheet name="Slide output" sheetId="6" r:id="rId7"/>
    <sheet name="Graveyard" sheetId="8" r:id="rId8"/>
    <sheet name="Company Data Exports" sheetId="12" r:id="rId9"/>
  </sheets>
  <definedNames>
    <definedName name="BainHeaderLastChanged" localSheetId="1">'Case A - Stretch'!$F$4</definedName>
    <definedName name="BainHeaderLastChanged" localSheetId="2">'Case B - 50-50'!$F$4</definedName>
    <definedName name="BainHeaderLastChanged" localSheetId="3">'Case C - Downside'!$F$4</definedName>
    <definedName name="BainHeaderLastChanged" localSheetId="4">'Center cost &amp; synergy worksheet'!$F$4</definedName>
    <definedName name="BainHeaderLastChanged" localSheetId="0">'Company-level data'!$F$4</definedName>
    <definedName name="BainHeaderLastChanged" localSheetId="6">'Slide output'!$F$4</definedName>
    <definedName name="BainHeaderSheetName" localSheetId="1">'Case A - Stretch'!$F$3</definedName>
    <definedName name="BainHeaderSheetName" localSheetId="2">'Case B - 50-50'!$F$3</definedName>
    <definedName name="BainHeaderSheetName" localSheetId="3">'Case C - Downside'!$F$3</definedName>
    <definedName name="BainHeaderSheetName" localSheetId="4">'Center cost &amp; synergy worksheet'!$F$3</definedName>
    <definedName name="BainHeaderSheetName" localSheetId="0">'Company-level data'!$F$3</definedName>
    <definedName name="BainHeaderSheetName" localSheetId="6">'Slide output'!$F$3</definedName>
    <definedName name="BainHeaderWorkbookTitle" localSheetId="1">'Case A - Stretch'!$F$2</definedName>
    <definedName name="BainHeaderWorkbookTitle" localSheetId="2">'Case B - 50-50'!$F$2</definedName>
    <definedName name="BainHeaderWorkbookTitle" localSheetId="3">'Case C - Downside'!$F$2</definedName>
    <definedName name="BainHeaderWorkbookTitle" localSheetId="4">'Center cost &amp; synergy worksheet'!$F$2</definedName>
    <definedName name="BainHeaderWorkbookTitle" localSheetId="0">'Company-level data'!$F$2</definedName>
    <definedName name="BainHeaderWorkbookTitle" localSheetId="6">'Slide output'!$F$2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" i="1" l="1"/>
  <c r="V13" i="10" l="1"/>
  <c r="O47" i="10"/>
  <c r="D26" i="10" l="1"/>
  <c r="E26" i="10"/>
  <c r="F26" i="10"/>
  <c r="G26" i="10"/>
  <c r="H26" i="10"/>
  <c r="O29" i="7" l="1"/>
  <c r="L5" i="4" l="1"/>
  <c r="H3" i="12"/>
  <c r="H58" i="11"/>
  <c r="G58" i="11"/>
  <c r="F58" i="11"/>
  <c r="E58" i="11"/>
  <c r="D58" i="11"/>
  <c r="M57" i="11"/>
  <c r="N57" i="11" s="1"/>
  <c r="O57" i="11" s="1"/>
  <c r="L57" i="11"/>
  <c r="K57" i="11"/>
  <c r="H57" i="11"/>
  <c r="G57" i="11"/>
  <c r="F57" i="11"/>
  <c r="E57" i="11"/>
  <c r="D57" i="11"/>
  <c r="K56" i="11"/>
  <c r="L56" i="11" s="1"/>
  <c r="M56" i="11" s="1"/>
  <c r="N56" i="11" s="1"/>
  <c r="O56" i="11" s="1"/>
  <c r="L55" i="11"/>
  <c r="M55" i="11" s="1"/>
  <c r="N55" i="11" s="1"/>
  <c r="O55" i="11" s="1"/>
  <c r="K55" i="11"/>
  <c r="H55" i="11"/>
  <c r="G55" i="11"/>
  <c r="G54" i="11" s="1"/>
  <c r="F55" i="11"/>
  <c r="E55" i="11"/>
  <c r="D55" i="11"/>
  <c r="K54" i="11"/>
  <c r="L54" i="11" s="1"/>
  <c r="M54" i="11" s="1"/>
  <c r="N54" i="11" s="1"/>
  <c r="O54" i="11" s="1"/>
  <c r="H54" i="11"/>
  <c r="F54" i="11"/>
  <c r="E54" i="11"/>
  <c r="D54" i="11"/>
  <c r="L53" i="11"/>
  <c r="M53" i="11" s="1"/>
  <c r="N53" i="11" s="1"/>
  <c r="O53" i="11" s="1"/>
  <c r="K53" i="11"/>
  <c r="H53" i="11"/>
  <c r="G53" i="11"/>
  <c r="F53" i="11"/>
  <c r="E53" i="11"/>
  <c r="D53" i="11"/>
  <c r="K52" i="11"/>
  <c r="L52" i="11" s="1"/>
  <c r="M52" i="11" s="1"/>
  <c r="N52" i="11" s="1"/>
  <c r="H52" i="11"/>
  <c r="X42" i="11" s="1"/>
  <c r="G52" i="11"/>
  <c r="F52" i="11"/>
  <c r="E52" i="11"/>
  <c r="U42" i="11" s="1"/>
  <c r="D52" i="11"/>
  <c r="L47" i="11"/>
  <c r="L46" i="11" s="1"/>
  <c r="K47" i="11"/>
  <c r="W42" i="11"/>
  <c r="V42" i="11"/>
  <c r="H41" i="11"/>
  <c r="G41" i="11"/>
  <c r="F41" i="11"/>
  <c r="E41" i="11"/>
  <c r="D41" i="11"/>
  <c r="H38" i="11"/>
  <c r="G38" i="11"/>
  <c r="F38" i="11"/>
  <c r="E38" i="11"/>
  <c r="D38" i="11"/>
  <c r="H35" i="11"/>
  <c r="G35" i="11"/>
  <c r="F35" i="11"/>
  <c r="E35" i="11"/>
  <c r="D35" i="11"/>
  <c r="H32" i="11"/>
  <c r="G32" i="11"/>
  <c r="F32" i="11"/>
  <c r="E32" i="11"/>
  <c r="D32" i="11"/>
  <c r="H29" i="11"/>
  <c r="G29" i="11"/>
  <c r="F29" i="11"/>
  <c r="E29" i="11"/>
  <c r="D29" i="11"/>
  <c r="L28" i="11"/>
  <c r="M28" i="11" s="1"/>
  <c r="N28" i="11" s="1"/>
  <c r="L27" i="11"/>
  <c r="M27" i="11" s="1"/>
  <c r="N27" i="11" s="1"/>
  <c r="L26" i="11"/>
  <c r="M26" i="11" s="1"/>
  <c r="N26" i="11" s="1"/>
  <c r="H26" i="11"/>
  <c r="G26" i="11"/>
  <c r="F26" i="11"/>
  <c r="E26" i="11"/>
  <c r="D26" i="11"/>
  <c r="L25" i="11"/>
  <c r="M25" i="11" s="1"/>
  <c r="N25" i="11" s="1"/>
  <c r="L24" i="11"/>
  <c r="M24" i="11" s="1"/>
  <c r="N24" i="11" s="1"/>
  <c r="L23" i="11"/>
  <c r="M23" i="11" s="1"/>
  <c r="N23" i="11" s="1"/>
  <c r="L18" i="11"/>
  <c r="M18" i="11" s="1"/>
  <c r="N18" i="11" s="1"/>
  <c r="U17" i="11"/>
  <c r="U16" i="11"/>
  <c r="U15" i="11"/>
  <c r="U14" i="11"/>
  <c r="AA10" i="11"/>
  <c r="V19" i="10"/>
  <c r="H58" i="10"/>
  <c r="G58" i="10"/>
  <c r="F58" i="10"/>
  <c r="E58" i="10"/>
  <c r="D58" i="10"/>
  <c r="K57" i="10"/>
  <c r="L57" i="10" s="1"/>
  <c r="M57" i="10" s="1"/>
  <c r="N57" i="10" s="1"/>
  <c r="H57" i="10"/>
  <c r="G57" i="10"/>
  <c r="F57" i="10"/>
  <c r="E57" i="10"/>
  <c r="D57" i="10"/>
  <c r="L56" i="10"/>
  <c r="M56" i="10" s="1"/>
  <c r="N56" i="10" s="1"/>
  <c r="O56" i="10" s="1"/>
  <c r="K56" i="10"/>
  <c r="L55" i="10"/>
  <c r="M55" i="10" s="1"/>
  <c r="N55" i="10" s="1"/>
  <c r="O55" i="10" s="1"/>
  <c r="K55" i="10"/>
  <c r="H55" i="10"/>
  <c r="G55" i="10"/>
  <c r="G54" i="10" s="1"/>
  <c r="F55" i="10"/>
  <c r="E55" i="10"/>
  <c r="D55" i="10"/>
  <c r="K54" i="10"/>
  <c r="L54" i="10" s="1"/>
  <c r="M54" i="10" s="1"/>
  <c r="N54" i="10" s="1"/>
  <c r="O54" i="10" s="1"/>
  <c r="H54" i="10"/>
  <c r="F54" i="10"/>
  <c r="E54" i="10"/>
  <c r="D54" i="10"/>
  <c r="M53" i="10"/>
  <c r="N53" i="10" s="1"/>
  <c r="O53" i="10" s="1"/>
  <c r="K53" i="10"/>
  <c r="L53" i="10" s="1"/>
  <c r="H53" i="10"/>
  <c r="G53" i="10"/>
  <c r="F53" i="10"/>
  <c r="E53" i="10"/>
  <c r="D53" i="10"/>
  <c r="K52" i="10"/>
  <c r="H52" i="10"/>
  <c r="G52" i="10"/>
  <c r="F52" i="10"/>
  <c r="V42" i="10" s="1"/>
  <c r="E52" i="10"/>
  <c r="D52" i="10"/>
  <c r="K47" i="10"/>
  <c r="L47" i="10" s="1"/>
  <c r="M47" i="10" s="1"/>
  <c r="X42" i="10"/>
  <c r="W42" i="10"/>
  <c r="T42" i="10"/>
  <c r="H41" i="10"/>
  <c r="G41" i="10"/>
  <c r="F41" i="10"/>
  <c r="E41" i="10"/>
  <c r="D41" i="10"/>
  <c r="H38" i="10"/>
  <c r="G38" i="10"/>
  <c r="F38" i="10"/>
  <c r="E38" i="10"/>
  <c r="D38" i="10"/>
  <c r="H35" i="10"/>
  <c r="G35" i="10"/>
  <c r="F35" i="10"/>
  <c r="E35" i="10"/>
  <c r="D35" i="10"/>
  <c r="H32" i="10"/>
  <c r="G32" i="10"/>
  <c r="F32" i="10"/>
  <c r="E32" i="10"/>
  <c r="D32" i="10"/>
  <c r="H29" i="10"/>
  <c r="G29" i="10"/>
  <c r="F29" i="10"/>
  <c r="E29" i="10"/>
  <c r="D29" i="10"/>
  <c r="L28" i="10"/>
  <c r="L27" i="10"/>
  <c r="L26" i="10"/>
  <c r="L25" i="10"/>
  <c r="L24" i="10"/>
  <c r="L23" i="10"/>
  <c r="L18" i="10"/>
  <c r="U17" i="10"/>
  <c r="U16" i="10"/>
  <c r="U15" i="10"/>
  <c r="U14" i="10"/>
  <c r="V11" i="10"/>
  <c r="V17" i="10" s="1"/>
  <c r="AA10" i="10"/>
  <c r="O52" i="11" l="1"/>
  <c r="V11" i="11"/>
  <c r="T42" i="11"/>
  <c r="K46" i="11"/>
  <c r="M47" i="11"/>
  <c r="O57" i="10"/>
  <c r="N47" i="10"/>
  <c r="M26" i="10"/>
  <c r="V14" i="10"/>
  <c r="V15" i="10"/>
  <c r="M18" i="10"/>
  <c r="M24" i="10"/>
  <c r="M28" i="10"/>
  <c r="M25" i="10"/>
  <c r="M27" i="10"/>
  <c r="V21" i="10"/>
  <c r="V16" i="10"/>
  <c r="V20" i="10"/>
  <c r="V22" i="10"/>
  <c r="M23" i="10"/>
  <c r="U42" i="10"/>
  <c r="L52" i="10"/>
  <c r="K46" i="10"/>
  <c r="K47" i="1"/>
  <c r="L47" i="1" s="1"/>
  <c r="M47" i="1" s="1"/>
  <c r="N47" i="1" s="1"/>
  <c r="K52" i="1"/>
  <c r="L52" i="1" s="1"/>
  <c r="M52" i="1" s="1"/>
  <c r="N52" i="1" s="1"/>
  <c r="O52" i="1" s="1"/>
  <c r="K53" i="1"/>
  <c r="L53" i="1" s="1"/>
  <c r="M53" i="1" s="1"/>
  <c r="N53" i="1" s="1"/>
  <c r="O53" i="1" s="1"/>
  <c r="K54" i="1"/>
  <c r="L54" i="1"/>
  <c r="M54" i="1" s="1"/>
  <c r="N54" i="1" s="1"/>
  <c r="O54" i="1" s="1"/>
  <c r="K55" i="1"/>
  <c r="L55" i="1" s="1"/>
  <c r="M55" i="1" s="1"/>
  <c r="N55" i="1" s="1"/>
  <c r="O55" i="1" s="1"/>
  <c r="K56" i="1"/>
  <c r="L56" i="1"/>
  <c r="M56" i="1" s="1"/>
  <c r="N56" i="1" s="1"/>
  <c r="O56" i="1" s="1"/>
  <c r="K57" i="1"/>
  <c r="L57" i="1" s="1"/>
  <c r="M57" i="1" s="1"/>
  <c r="N57" i="1" s="1"/>
  <c r="O57" i="1" s="1"/>
  <c r="AA10" i="1"/>
  <c r="M46" i="11" l="1"/>
  <c r="N47" i="11"/>
  <c r="V23" i="11"/>
  <c r="V22" i="11"/>
  <c r="V19" i="11"/>
  <c r="V16" i="11"/>
  <c r="V18" i="11"/>
  <c r="V17" i="11"/>
  <c r="V15" i="11"/>
  <c r="V21" i="11"/>
  <c r="V20" i="11"/>
  <c r="V14" i="11"/>
  <c r="K46" i="1"/>
  <c r="M52" i="10"/>
  <c r="N26" i="10"/>
  <c r="N25" i="10"/>
  <c r="L46" i="10"/>
  <c r="N28" i="10"/>
  <c r="N23" i="10"/>
  <c r="N24" i="10"/>
  <c r="N18" i="10"/>
  <c r="N27" i="10"/>
  <c r="V23" i="10"/>
  <c r="L46" i="1"/>
  <c r="O47" i="1"/>
  <c r="N46" i="1"/>
  <c r="M46" i="1"/>
  <c r="C5" i="8"/>
  <c r="V44" i="7"/>
  <c r="U44" i="7"/>
  <c r="T44" i="7"/>
  <c r="S44" i="7"/>
  <c r="R44" i="7"/>
  <c r="V28" i="7"/>
  <c r="U28" i="7"/>
  <c r="T28" i="7"/>
  <c r="S28" i="7"/>
  <c r="R28" i="7"/>
  <c r="V12" i="7"/>
  <c r="U12" i="7"/>
  <c r="T12" i="7"/>
  <c r="S12" i="7"/>
  <c r="R12" i="7"/>
  <c r="O55" i="7"/>
  <c r="G4" i="12" s="1"/>
  <c r="N55" i="7"/>
  <c r="M55" i="7"/>
  <c r="L55" i="7"/>
  <c r="K55" i="7"/>
  <c r="O54" i="7"/>
  <c r="N54" i="7"/>
  <c r="M54" i="7"/>
  <c r="L54" i="7"/>
  <c r="K54" i="7"/>
  <c r="O53" i="7"/>
  <c r="N53" i="7"/>
  <c r="M53" i="7"/>
  <c r="L53" i="7"/>
  <c r="K53" i="7"/>
  <c r="O52" i="7"/>
  <c r="N52" i="7"/>
  <c r="M52" i="7"/>
  <c r="L52" i="7"/>
  <c r="K52" i="7"/>
  <c r="O51" i="7"/>
  <c r="N51" i="7"/>
  <c r="M51" i="7"/>
  <c r="L51" i="7"/>
  <c r="K51" i="7"/>
  <c r="O50" i="7"/>
  <c r="N50" i="7"/>
  <c r="M50" i="7"/>
  <c r="L50" i="7"/>
  <c r="K50" i="7"/>
  <c r="O49" i="7"/>
  <c r="N49" i="7"/>
  <c r="W34" i="11" s="1"/>
  <c r="M49" i="7"/>
  <c r="V34" i="11" s="1"/>
  <c r="L49" i="7"/>
  <c r="U34" i="11" s="1"/>
  <c r="K49" i="7"/>
  <c r="T34" i="11" s="1"/>
  <c r="O48" i="7"/>
  <c r="N48" i="7"/>
  <c r="W33" i="11" s="1"/>
  <c r="M48" i="7"/>
  <c r="V33" i="11" s="1"/>
  <c r="L48" i="7"/>
  <c r="U33" i="11" s="1"/>
  <c r="K48" i="7"/>
  <c r="T33" i="11" s="1"/>
  <c r="O47" i="7"/>
  <c r="N47" i="7"/>
  <c r="W32" i="11" s="1"/>
  <c r="M47" i="7"/>
  <c r="V32" i="11" s="1"/>
  <c r="L47" i="7"/>
  <c r="U32" i="11" s="1"/>
  <c r="K47" i="7"/>
  <c r="T32" i="11" s="1"/>
  <c r="O46" i="7"/>
  <c r="N46" i="7"/>
  <c r="W31" i="11" s="1"/>
  <c r="M46" i="7"/>
  <c r="V31" i="11" s="1"/>
  <c r="L46" i="7"/>
  <c r="U31" i="11" s="1"/>
  <c r="K46" i="7"/>
  <c r="T31" i="11" s="1"/>
  <c r="O45" i="7"/>
  <c r="N45" i="7"/>
  <c r="S5" i="4" s="1"/>
  <c r="M45" i="7"/>
  <c r="L45" i="7"/>
  <c r="K45" i="7"/>
  <c r="H44" i="7"/>
  <c r="G44" i="7"/>
  <c r="F44" i="7"/>
  <c r="E44" i="7"/>
  <c r="D44" i="7"/>
  <c r="O39" i="7"/>
  <c r="N39" i="7"/>
  <c r="M39" i="7"/>
  <c r="L39" i="7"/>
  <c r="K39" i="7"/>
  <c r="O38" i="7"/>
  <c r="N38" i="7"/>
  <c r="M38" i="7"/>
  <c r="L38" i="7"/>
  <c r="K38" i="7"/>
  <c r="O37" i="7"/>
  <c r="N37" i="7"/>
  <c r="M37" i="7"/>
  <c r="L37" i="7"/>
  <c r="K37" i="7"/>
  <c r="O36" i="7"/>
  <c r="N36" i="7"/>
  <c r="M36" i="7"/>
  <c r="L36" i="7"/>
  <c r="K36" i="7"/>
  <c r="O35" i="7"/>
  <c r="C3" i="12" s="1"/>
  <c r="N35" i="7"/>
  <c r="M35" i="7"/>
  <c r="L35" i="7"/>
  <c r="K35" i="7"/>
  <c r="O34" i="7"/>
  <c r="N34" i="7"/>
  <c r="M34" i="7"/>
  <c r="L34" i="7"/>
  <c r="K34" i="7"/>
  <c r="O33" i="7"/>
  <c r="AA17" i="10" s="1"/>
  <c r="N33" i="7"/>
  <c r="M33" i="7"/>
  <c r="L33" i="7"/>
  <c r="K33" i="7"/>
  <c r="O32" i="7"/>
  <c r="AA16" i="10" s="1"/>
  <c r="N32" i="7"/>
  <c r="M32" i="7"/>
  <c r="L32" i="7"/>
  <c r="K32" i="7"/>
  <c r="O31" i="7"/>
  <c r="AA15" i="10" s="1"/>
  <c r="N31" i="7"/>
  <c r="M31" i="7"/>
  <c r="L31" i="7"/>
  <c r="K31" i="7"/>
  <c r="O30" i="7"/>
  <c r="AA14" i="10" s="1"/>
  <c r="N30" i="7"/>
  <c r="M30" i="7"/>
  <c r="L30" i="7"/>
  <c r="K30" i="7"/>
  <c r="AA13" i="10"/>
  <c r="N29" i="7"/>
  <c r="K5" i="4" s="1"/>
  <c r="M29" i="7"/>
  <c r="L29" i="7"/>
  <c r="K29" i="7"/>
  <c r="H28" i="7"/>
  <c r="G28" i="7"/>
  <c r="F28" i="7"/>
  <c r="E28" i="7"/>
  <c r="D28" i="7"/>
  <c r="O23" i="7"/>
  <c r="G2" i="12" s="1"/>
  <c r="N23" i="7"/>
  <c r="M23" i="7"/>
  <c r="L23" i="7"/>
  <c r="K23" i="7"/>
  <c r="O22" i="7"/>
  <c r="F2" i="12" s="1"/>
  <c r="N22" i="7"/>
  <c r="M22" i="7"/>
  <c r="L22" i="7"/>
  <c r="K22" i="7"/>
  <c r="O21" i="7"/>
  <c r="E2" i="12" s="1"/>
  <c r="N21" i="7"/>
  <c r="M21" i="7"/>
  <c r="L21" i="7"/>
  <c r="K21" i="7"/>
  <c r="O20" i="7"/>
  <c r="D2" i="12" s="1"/>
  <c r="N20" i="7"/>
  <c r="M20" i="7"/>
  <c r="L20" i="7"/>
  <c r="K20" i="7"/>
  <c r="O19" i="7"/>
  <c r="C2" i="12" s="1"/>
  <c r="N19" i="7"/>
  <c r="M19" i="7"/>
  <c r="L19" i="7"/>
  <c r="K19" i="7"/>
  <c r="O18" i="7"/>
  <c r="N18" i="7"/>
  <c r="M18" i="7"/>
  <c r="L18" i="7"/>
  <c r="K18" i="7"/>
  <c r="O17" i="7"/>
  <c r="N17" i="7"/>
  <c r="M17" i="7"/>
  <c r="L17" i="7"/>
  <c r="K17" i="7"/>
  <c r="O16" i="7"/>
  <c r="N16" i="7"/>
  <c r="M16" i="7"/>
  <c r="L16" i="7"/>
  <c r="K16" i="7"/>
  <c r="O15" i="7"/>
  <c r="N15" i="7"/>
  <c r="M15" i="7"/>
  <c r="L15" i="7"/>
  <c r="K15" i="7"/>
  <c r="O14" i="7"/>
  <c r="N14" i="7"/>
  <c r="M14" i="7"/>
  <c r="L14" i="7"/>
  <c r="K14" i="7"/>
  <c r="O13" i="7"/>
  <c r="N13" i="7"/>
  <c r="M13" i="7"/>
  <c r="L13" i="7"/>
  <c r="K13" i="7"/>
  <c r="H12" i="7"/>
  <c r="G12" i="7"/>
  <c r="F12" i="7"/>
  <c r="E12" i="7"/>
  <c r="D12" i="7"/>
  <c r="X32" i="11" l="1"/>
  <c r="AA15" i="11"/>
  <c r="AA19" i="11"/>
  <c r="C4" i="12"/>
  <c r="AA20" i="10"/>
  <c r="D3" i="12"/>
  <c r="AA16" i="11"/>
  <c r="X33" i="11"/>
  <c r="AA20" i="11"/>
  <c r="D4" i="12"/>
  <c r="AA23" i="10"/>
  <c r="G3" i="12"/>
  <c r="AA21" i="10"/>
  <c r="E3" i="12"/>
  <c r="AA21" i="11"/>
  <c r="E4" i="12"/>
  <c r="AA13" i="1"/>
  <c r="H2" i="12"/>
  <c r="AA18" i="1"/>
  <c r="B2" i="12"/>
  <c r="AA18" i="10"/>
  <c r="B3" i="12"/>
  <c r="AA22" i="10"/>
  <c r="F3" i="12"/>
  <c r="AA22" i="11"/>
  <c r="F4" i="12"/>
  <c r="AA14" i="11"/>
  <c r="X31" i="11"/>
  <c r="X34" i="11"/>
  <c r="AA17" i="11"/>
  <c r="H4" i="12"/>
  <c r="T5" i="4"/>
  <c r="AA13" i="11"/>
  <c r="B4" i="12"/>
  <c r="AA18" i="11"/>
  <c r="S4" i="4"/>
  <c r="S6" i="4" s="1"/>
  <c r="K42" i="11"/>
  <c r="K40" i="11"/>
  <c r="K38" i="11"/>
  <c r="K32" i="11"/>
  <c r="K41" i="11"/>
  <c r="K39" i="11"/>
  <c r="K37" i="11"/>
  <c r="T4" i="4"/>
  <c r="O42" i="11"/>
  <c r="O40" i="11"/>
  <c r="O38" i="11"/>
  <c r="O32" i="11"/>
  <c r="O41" i="11"/>
  <c r="O39" i="11"/>
  <c r="O37" i="11"/>
  <c r="AA23" i="11"/>
  <c r="D27" i="10"/>
  <c r="D25" i="10" s="1"/>
  <c r="T35" i="10" s="1"/>
  <c r="D39" i="11"/>
  <c r="D37" i="11" s="1"/>
  <c r="T39" i="11" s="1"/>
  <c r="D33" i="11"/>
  <c r="D31" i="11" s="1"/>
  <c r="T37" i="11" s="1"/>
  <c r="D42" i="11"/>
  <c r="D40" i="11" s="1"/>
  <c r="T40" i="11" s="1"/>
  <c r="D36" i="11"/>
  <c r="D34" i="11" s="1"/>
  <c r="T38" i="11" s="1"/>
  <c r="D30" i="11"/>
  <c r="D28" i="11" s="1"/>
  <c r="T36" i="11" s="1"/>
  <c r="D27" i="11"/>
  <c r="D25" i="11" s="1"/>
  <c r="T35" i="11" s="1"/>
  <c r="D20" i="11"/>
  <c r="D42" i="10"/>
  <c r="D40" i="10" s="1"/>
  <c r="T40" i="10" s="1"/>
  <c r="D36" i="10"/>
  <c r="D34" i="10" s="1"/>
  <c r="T38" i="10" s="1"/>
  <c r="D30" i="10"/>
  <c r="D28" i="10" s="1"/>
  <c r="T36" i="10" s="1"/>
  <c r="D39" i="10"/>
  <c r="D37" i="10" s="1"/>
  <c r="T39" i="10" s="1"/>
  <c r="D33" i="10"/>
  <c r="D31" i="10" s="1"/>
  <c r="T37" i="10" s="1"/>
  <c r="D20" i="10"/>
  <c r="T30" i="10" s="1"/>
  <c r="K4" i="4"/>
  <c r="K6" i="4" s="1"/>
  <c r="AA19" i="10"/>
  <c r="L4" i="4"/>
  <c r="H42" i="11"/>
  <c r="H40" i="11" s="1"/>
  <c r="H30" i="11"/>
  <c r="H28" i="11" s="1"/>
  <c r="H39" i="10"/>
  <c r="H37" i="10" s="1"/>
  <c r="U22" i="10" s="1"/>
  <c r="H33" i="11"/>
  <c r="H31" i="11" s="1"/>
  <c r="H27" i="11"/>
  <c r="H25" i="11" s="1"/>
  <c r="H42" i="10"/>
  <c r="H40" i="10" s="1"/>
  <c r="U23" i="10" s="1"/>
  <c r="H30" i="10"/>
  <c r="H28" i="10" s="1"/>
  <c r="U19" i="10" s="1"/>
  <c r="H20" i="10"/>
  <c r="H36" i="11"/>
  <c r="H34" i="11" s="1"/>
  <c r="H20" i="11"/>
  <c r="H33" i="10"/>
  <c r="H31" i="10" s="1"/>
  <c r="U20" i="10" s="1"/>
  <c r="H27" i="10"/>
  <c r="H25" i="10" s="1"/>
  <c r="U18" i="10" s="1"/>
  <c r="H39" i="11"/>
  <c r="H37" i="11" s="1"/>
  <c r="H36" i="10"/>
  <c r="H34" i="10" s="1"/>
  <c r="U21" i="10" s="1"/>
  <c r="G27" i="11"/>
  <c r="G25" i="11" s="1"/>
  <c r="W35" i="11" s="1"/>
  <c r="G27" i="10"/>
  <c r="G25" i="10" s="1"/>
  <c r="G20" i="10"/>
  <c r="W30" i="10" s="1"/>
  <c r="G42" i="11"/>
  <c r="G40" i="11" s="1"/>
  <c r="W40" i="11" s="1"/>
  <c r="G39" i="11"/>
  <c r="G37" i="11" s="1"/>
  <c r="W39" i="11" s="1"/>
  <c r="G36" i="11"/>
  <c r="G34" i="11" s="1"/>
  <c r="W38" i="11" s="1"/>
  <c r="G33" i="11"/>
  <c r="G31" i="11" s="1"/>
  <c r="W37" i="11" s="1"/>
  <c r="G30" i="11"/>
  <c r="G28" i="11" s="1"/>
  <c r="W36" i="11" s="1"/>
  <c r="G20" i="11"/>
  <c r="G42" i="10"/>
  <c r="G40" i="10" s="1"/>
  <c r="W40" i="10" s="1"/>
  <c r="G39" i="10"/>
  <c r="G37" i="10" s="1"/>
  <c r="W39" i="10" s="1"/>
  <c r="G36" i="10"/>
  <c r="G34" i="10" s="1"/>
  <c r="W38" i="10" s="1"/>
  <c r="G33" i="10"/>
  <c r="G31" i="10" s="1"/>
  <c r="W37" i="10" s="1"/>
  <c r="G30" i="10"/>
  <c r="G28" i="10" s="1"/>
  <c r="W36" i="10" s="1"/>
  <c r="F42" i="11"/>
  <c r="F40" i="11" s="1"/>
  <c r="V40" i="11" s="1"/>
  <c r="F33" i="11"/>
  <c r="F31" i="11" s="1"/>
  <c r="V37" i="11" s="1"/>
  <c r="F27" i="11"/>
  <c r="F25" i="11" s="1"/>
  <c r="V35" i="11" s="1"/>
  <c r="F39" i="10"/>
  <c r="F37" i="10" s="1"/>
  <c r="V39" i="10" s="1"/>
  <c r="F30" i="10"/>
  <c r="F28" i="10" s="1"/>
  <c r="V36" i="10" s="1"/>
  <c r="F20" i="10"/>
  <c r="V30" i="10" s="1"/>
  <c r="F42" i="10"/>
  <c r="F40" i="10" s="1"/>
  <c r="V40" i="10" s="1"/>
  <c r="F33" i="10"/>
  <c r="F31" i="10" s="1"/>
  <c r="V37" i="10" s="1"/>
  <c r="F27" i="10"/>
  <c r="F25" i="10" s="1"/>
  <c r="V35" i="10" s="1"/>
  <c r="F39" i="11"/>
  <c r="F37" i="11" s="1"/>
  <c r="V39" i="11" s="1"/>
  <c r="F30" i="11"/>
  <c r="F28" i="11" s="1"/>
  <c r="V36" i="11" s="1"/>
  <c r="F20" i="11"/>
  <c r="F36" i="11"/>
  <c r="F34" i="11" s="1"/>
  <c r="V38" i="11" s="1"/>
  <c r="F36" i="10"/>
  <c r="F34" i="10" s="1"/>
  <c r="V38" i="10" s="1"/>
  <c r="E33" i="11"/>
  <c r="E31" i="11" s="1"/>
  <c r="U37" i="11" s="1"/>
  <c r="E42" i="10"/>
  <c r="E40" i="10" s="1"/>
  <c r="U40" i="10" s="1"/>
  <c r="E42" i="11"/>
  <c r="E40" i="11" s="1"/>
  <c r="U40" i="11" s="1"/>
  <c r="E36" i="11"/>
  <c r="E34" i="11" s="1"/>
  <c r="U38" i="11" s="1"/>
  <c r="E20" i="11"/>
  <c r="E27" i="10"/>
  <c r="E25" i="10" s="1"/>
  <c r="U35" i="10" s="1"/>
  <c r="E30" i="11"/>
  <c r="E28" i="11" s="1"/>
  <c r="U36" i="11" s="1"/>
  <c r="E39" i="10"/>
  <c r="E37" i="10" s="1"/>
  <c r="U39" i="10" s="1"/>
  <c r="E39" i="11"/>
  <c r="E37" i="11" s="1"/>
  <c r="U39" i="11" s="1"/>
  <c r="E27" i="11"/>
  <c r="E25" i="11" s="1"/>
  <c r="U35" i="11" s="1"/>
  <c r="E33" i="10"/>
  <c r="E31" i="10" s="1"/>
  <c r="U37" i="10" s="1"/>
  <c r="E20" i="10"/>
  <c r="E36" i="10"/>
  <c r="E34" i="10" s="1"/>
  <c r="U38" i="10" s="1"/>
  <c r="E30" i="10"/>
  <c r="E28" i="10" s="1"/>
  <c r="U36" i="10" s="1"/>
  <c r="K37" i="1"/>
  <c r="O37" i="1"/>
  <c r="K41" i="1"/>
  <c r="O41" i="1"/>
  <c r="K38" i="1"/>
  <c r="O38" i="1"/>
  <c r="K42" i="1"/>
  <c r="O42" i="1"/>
  <c r="K39" i="1"/>
  <c r="AA20" i="1"/>
  <c r="O39" i="1"/>
  <c r="K32" i="1"/>
  <c r="O32" i="1"/>
  <c r="K40" i="1"/>
  <c r="O40" i="1"/>
  <c r="O47" i="11"/>
  <c r="N46" i="11"/>
  <c r="T31" i="10"/>
  <c r="X31" i="10"/>
  <c r="W32" i="10"/>
  <c r="V33" i="10"/>
  <c r="U34" i="10"/>
  <c r="K37" i="10"/>
  <c r="O37" i="10"/>
  <c r="K41" i="10"/>
  <c r="O41" i="10"/>
  <c r="U31" i="10"/>
  <c r="T32" i="10"/>
  <c r="X32" i="10"/>
  <c r="W33" i="10"/>
  <c r="V34" i="10"/>
  <c r="K38" i="10"/>
  <c r="O38" i="10"/>
  <c r="K42" i="10"/>
  <c r="O42" i="10"/>
  <c r="V31" i="10"/>
  <c r="U32" i="10"/>
  <c r="T33" i="10"/>
  <c r="X33" i="10"/>
  <c r="W34" i="10"/>
  <c r="K39" i="10"/>
  <c r="O39" i="10"/>
  <c r="K32" i="10"/>
  <c r="O32" i="10"/>
  <c r="W31" i="10"/>
  <c r="V32" i="10"/>
  <c r="U33" i="10"/>
  <c r="T34" i="10"/>
  <c r="X34" i="10"/>
  <c r="K40" i="10"/>
  <c r="O40" i="10"/>
  <c r="N52" i="10"/>
  <c r="M46" i="10"/>
  <c r="O46" i="1"/>
  <c r="C19" i="8"/>
  <c r="K44" i="7"/>
  <c r="O44" i="7"/>
  <c r="X41" i="11" s="1"/>
  <c r="N44" i="7"/>
  <c r="W41" i="11" s="1"/>
  <c r="M44" i="7"/>
  <c r="V41" i="11" s="1"/>
  <c r="L28" i="7"/>
  <c r="K28" i="7"/>
  <c r="O28" i="7"/>
  <c r="N28" i="7"/>
  <c r="L44" i="7"/>
  <c r="U41" i="11" s="1"/>
  <c r="M12" i="7"/>
  <c r="L12" i="7"/>
  <c r="K12" i="7"/>
  <c r="O12" i="7"/>
  <c r="N12" i="7"/>
  <c r="M28" i="7"/>
  <c r="AA11" i="10" l="1"/>
  <c r="T41" i="11"/>
  <c r="L6" i="4"/>
  <c r="M15" i="4" s="1"/>
  <c r="N14" i="4"/>
  <c r="K17" i="10" s="1"/>
  <c r="AA11" i="11"/>
  <c r="AA25" i="11"/>
  <c r="AA24" i="11"/>
  <c r="O31" i="11"/>
  <c r="T6" i="4"/>
  <c r="T7" i="4" s="1"/>
  <c r="K31" i="11"/>
  <c r="S7" i="4"/>
  <c r="D19" i="10"/>
  <c r="T43" i="10" s="1"/>
  <c r="T30" i="11"/>
  <c r="T29" i="11" s="1"/>
  <c r="D19" i="11"/>
  <c r="T43" i="11" s="1"/>
  <c r="T44" i="11" s="1"/>
  <c r="M16" i="4"/>
  <c r="L13" i="4"/>
  <c r="M14" i="4"/>
  <c r="O15" i="4"/>
  <c r="M12" i="4"/>
  <c r="O16" i="4"/>
  <c r="O14" i="4"/>
  <c r="P16" i="4"/>
  <c r="O12" i="4"/>
  <c r="L14" i="4"/>
  <c r="P12" i="4"/>
  <c r="L15" i="4"/>
  <c r="K7" i="4"/>
  <c r="L7" i="4"/>
  <c r="X40" i="10"/>
  <c r="X39" i="10"/>
  <c r="X38" i="10"/>
  <c r="X37" i="10"/>
  <c r="U20" i="11"/>
  <c r="X37" i="11"/>
  <c r="X36" i="10"/>
  <c r="X30" i="11"/>
  <c r="U13" i="11"/>
  <c r="H19" i="11"/>
  <c r="U19" i="11"/>
  <c r="X36" i="11"/>
  <c r="U13" i="10"/>
  <c r="H19" i="10"/>
  <c r="W35" i="10"/>
  <c r="W29" i="10" s="1"/>
  <c r="X30" i="10"/>
  <c r="X39" i="11"/>
  <c r="U22" i="11"/>
  <c r="X38" i="11"/>
  <c r="U21" i="11"/>
  <c r="U18" i="11"/>
  <c r="X35" i="11"/>
  <c r="X40" i="11"/>
  <c r="U23" i="11"/>
  <c r="G19" i="10"/>
  <c r="W43" i="10" s="1"/>
  <c r="W30" i="11"/>
  <c r="W29" i="11" s="1"/>
  <c r="G19" i="11"/>
  <c r="W43" i="11" s="1"/>
  <c r="W44" i="11" s="1"/>
  <c r="E19" i="10"/>
  <c r="U43" i="10" s="1"/>
  <c r="V30" i="11"/>
  <c r="V29" i="11" s="1"/>
  <c r="F19" i="11"/>
  <c r="V43" i="11" s="1"/>
  <c r="V44" i="11" s="1"/>
  <c r="F19" i="10"/>
  <c r="V43" i="10" s="1"/>
  <c r="U30" i="10"/>
  <c r="U29" i="10" s="1"/>
  <c r="U30" i="11"/>
  <c r="U29" i="11" s="1"/>
  <c r="E19" i="11"/>
  <c r="U43" i="11" s="1"/>
  <c r="U44" i="11" s="1"/>
  <c r="K31" i="1"/>
  <c r="O31" i="1"/>
  <c r="O46" i="11"/>
  <c r="V13" i="11"/>
  <c r="V25" i="11" s="1"/>
  <c r="V29" i="10"/>
  <c r="U41" i="10"/>
  <c r="W41" i="10"/>
  <c r="V41" i="10"/>
  <c r="X41" i="10"/>
  <c r="T29" i="10"/>
  <c r="T41" i="10"/>
  <c r="O31" i="10"/>
  <c r="K31" i="10"/>
  <c r="AA25" i="10"/>
  <c r="AA24" i="10"/>
  <c r="O52" i="10"/>
  <c r="X35" i="10" s="1"/>
  <c r="N46" i="10"/>
  <c r="F36" i="8"/>
  <c r="W41" i="1"/>
  <c r="V41" i="1"/>
  <c r="E36" i="8"/>
  <c r="G36" i="8"/>
  <c r="X41" i="1"/>
  <c r="C36" i="8"/>
  <c r="T41" i="1"/>
  <c r="D36" i="8"/>
  <c r="U41" i="1"/>
  <c r="F46" i="6"/>
  <c r="F47" i="6"/>
  <c r="F48" i="6"/>
  <c r="F49" i="6"/>
  <c r="F50" i="6"/>
  <c r="F51" i="6"/>
  <c r="F45" i="6"/>
  <c r="M13" i="4" l="1"/>
  <c r="L16" i="4"/>
  <c r="P15" i="4"/>
  <c r="P14" i="4"/>
  <c r="N15" i="4"/>
  <c r="L12" i="4"/>
  <c r="N16" i="4"/>
  <c r="P13" i="4"/>
  <c r="O13" i="4"/>
  <c r="N13" i="4"/>
  <c r="N12" i="4"/>
  <c r="T16" i="4"/>
  <c r="V16" i="4"/>
  <c r="T15" i="4"/>
  <c r="X16" i="4"/>
  <c r="T14" i="4"/>
  <c r="X12" i="4"/>
  <c r="U13" i="4"/>
  <c r="X15" i="4"/>
  <c r="X13" i="4"/>
  <c r="W12" i="4"/>
  <c r="W13" i="4"/>
  <c r="W14" i="4"/>
  <c r="X14" i="4"/>
  <c r="V13" i="4"/>
  <c r="W16" i="4"/>
  <c r="V14" i="4"/>
  <c r="U12" i="4"/>
  <c r="V15" i="4"/>
  <c r="V12" i="4"/>
  <c r="W15" i="4"/>
  <c r="U14" i="4"/>
  <c r="T12" i="4"/>
  <c r="K17" i="11" s="1"/>
  <c r="O17" i="11" s="1"/>
  <c r="U15" i="4"/>
  <c r="T13" i="4"/>
  <c r="U16" i="4"/>
  <c r="T44" i="10"/>
  <c r="T45" i="10" s="1"/>
  <c r="T45" i="11"/>
  <c r="W44" i="10"/>
  <c r="W45" i="10" s="1"/>
  <c r="V45" i="11"/>
  <c r="O17" i="10"/>
  <c r="T24" i="10" s="1"/>
  <c r="M17" i="10"/>
  <c r="N17" i="10"/>
  <c r="L17" i="10"/>
  <c r="X29" i="10"/>
  <c r="X29" i="11"/>
  <c r="U11" i="10"/>
  <c r="U25" i="10" s="1"/>
  <c r="X43" i="10"/>
  <c r="X44" i="10" s="1"/>
  <c r="U11" i="11"/>
  <c r="U25" i="11" s="1"/>
  <c r="X43" i="11"/>
  <c r="X44" i="11" s="1"/>
  <c r="U44" i="10"/>
  <c r="U45" i="10" s="1"/>
  <c r="W45" i="11"/>
  <c r="U45" i="11"/>
  <c r="V44" i="10"/>
  <c r="V45" i="10" s="1"/>
  <c r="V18" i="10"/>
  <c r="V25" i="10" s="1"/>
  <c r="O46" i="10"/>
  <c r="I34" i="6"/>
  <c r="F55" i="3"/>
  <c r="G55" i="3"/>
  <c r="H55" i="3"/>
  <c r="F56" i="3"/>
  <c r="G56" i="3"/>
  <c r="H56" i="3"/>
  <c r="F57" i="3"/>
  <c r="G57" i="3" s="1"/>
  <c r="H57" i="3" s="1"/>
  <c r="E55" i="3"/>
  <c r="E56" i="3"/>
  <c r="E57" i="3"/>
  <c r="E54" i="3"/>
  <c r="F54" i="3" s="1"/>
  <c r="G54" i="3" s="1"/>
  <c r="H54" i="3" s="1"/>
  <c r="D50" i="3"/>
  <c r="D47" i="3"/>
  <c r="L12" i="3" s="1"/>
  <c r="L17" i="3"/>
  <c r="E39" i="6"/>
  <c r="I39" i="6" s="1"/>
  <c r="E38" i="6"/>
  <c r="I38" i="6" s="1"/>
  <c r="E37" i="6"/>
  <c r="I37" i="6" s="1"/>
  <c r="E36" i="6"/>
  <c r="I36" i="6" s="1"/>
  <c r="E35" i="6"/>
  <c r="I35" i="6" s="1"/>
  <c r="AA14" i="1"/>
  <c r="E40" i="6"/>
  <c r="I40" i="6" s="1"/>
  <c r="X45" i="11" l="1"/>
  <c r="N17" i="11"/>
  <c r="M17" i="11"/>
  <c r="L17" i="11"/>
  <c r="T16" i="11"/>
  <c r="W16" i="11" s="1"/>
  <c r="T15" i="11"/>
  <c r="W15" i="11" s="1"/>
  <c r="T21" i="10"/>
  <c r="W21" i="10" s="1"/>
  <c r="T17" i="10"/>
  <c r="W17" i="10" s="1"/>
  <c r="T13" i="10"/>
  <c r="T20" i="10"/>
  <c r="W20" i="10" s="1"/>
  <c r="S86" i="10" s="1"/>
  <c r="T16" i="10"/>
  <c r="W16" i="10" s="1"/>
  <c r="T23" i="10"/>
  <c r="W23" i="10" s="1"/>
  <c r="S104" i="10" s="1"/>
  <c r="T19" i="10"/>
  <c r="W19" i="10" s="1"/>
  <c r="T15" i="10"/>
  <c r="W15" i="10" s="1"/>
  <c r="T22" i="10"/>
  <c r="W22" i="10" s="1"/>
  <c r="S95" i="10" s="1"/>
  <c r="T18" i="10"/>
  <c r="W18" i="10" s="1"/>
  <c r="T14" i="10"/>
  <c r="W14" i="10" s="1"/>
  <c r="X45" i="10"/>
  <c r="D13" i="6"/>
  <c r="D14" i="6" s="1"/>
  <c r="D34" i="6"/>
  <c r="E45" i="6" s="1"/>
  <c r="D11" i="6"/>
  <c r="D12" i="6" s="1"/>
  <c r="D37" i="6"/>
  <c r="E48" i="6" s="1"/>
  <c r="D39" i="6"/>
  <c r="H39" i="6" s="1"/>
  <c r="G50" i="6" s="1"/>
  <c r="D35" i="6"/>
  <c r="H35" i="6" s="1"/>
  <c r="G46" i="6" s="1"/>
  <c r="D36" i="6"/>
  <c r="H36" i="6" s="1"/>
  <c r="G47" i="6" s="1"/>
  <c r="D38" i="6"/>
  <c r="E49" i="6" s="1"/>
  <c r="D40" i="6"/>
  <c r="H40" i="6" s="1"/>
  <c r="G51" i="6" s="1"/>
  <c r="I41" i="6"/>
  <c r="E41" i="6"/>
  <c r="E78" i="3"/>
  <c r="F78" i="3"/>
  <c r="D78" i="3"/>
  <c r="T21" i="11" l="1"/>
  <c r="W21" i="11" s="1"/>
  <c r="S77" i="11" s="1"/>
  <c r="T18" i="11"/>
  <c r="W18" i="11" s="1"/>
  <c r="Z50" i="11" s="1"/>
  <c r="T17" i="11"/>
  <c r="W17" i="11" s="1"/>
  <c r="T24" i="11"/>
  <c r="T19" i="11"/>
  <c r="W19" i="11" s="1"/>
  <c r="T14" i="11"/>
  <c r="W14" i="11" s="1"/>
  <c r="T13" i="11"/>
  <c r="W13" i="11" s="1"/>
  <c r="S68" i="11" s="1"/>
  <c r="T22" i="11"/>
  <c r="W22" i="11" s="1"/>
  <c r="S95" i="11" s="1"/>
  <c r="T23" i="11"/>
  <c r="W23" i="11" s="1"/>
  <c r="S104" i="11" s="1"/>
  <c r="T20" i="11"/>
  <c r="W20" i="11" s="1"/>
  <c r="S86" i="11" s="1"/>
  <c r="S59" i="10"/>
  <c r="Z86" i="10"/>
  <c r="Z59" i="10"/>
  <c r="Z50" i="10"/>
  <c r="S50" i="10"/>
  <c r="Z77" i="10"/>
  <c r="S77" i="10"/>
  <c r="Z68" i="10"/>
  <c r="Z95" i="10"/>
  <c r="W13" i="10"/>
  <c r="S68" i="10" s="1"/>
  <c r="T11" i="10"/>
  <c r="H34" i="6"/>
  <c r="H37" i="6"/>
  <c r="G48" i="6" s="1"/>
  <c r="E46" i="6"/>
  <c r="E50" i="6"/>
  <c r="E51" i="6"/>
  <c r="H38" i="6"/>
  <c r="G49" i="6" s="1"/>
  <c r="E47" i="6"/>
  <c r="D41" i="6"/>
  <c r="E52" i="6" s="1"/>
  <c r="G45" i="6"/>
  <c r="G41" i="6"/>
  <c r="E50" i="3"/>
  <c r="M17" i="3" s="1"/>
  <c r="F50" i="3"/>
  <c r="N17" i="3" s="1"/>
  <c r="G50" i="3"/>
  <c r="O17" i="3" s="1"/>
  <c r="H50" i="3"/>
  <c r="P17" i="3" s="1"/>
  <c r="E47" i="3"/>
  <c r="M12" i="3" s="1"/>
  <c r="F47" i="3"/>
  <c r="N12" i="3" s="1"/>
  <c r="G47" i="3"/>
  <c r="O12" i="3" s="1"/>
  <c r="H47" i="3"/>
  <c r="P12" i="3" s="1"/>
  <c r="U17" i="1"/>
  <c r="U16" i="1"/>
  <c r="U15" i="1"/>
  <c r="U14" i="1"/>
  <c r="H41" i="1"/>
  <c r="G41" i="1"/>
  <c r="F41" i="1"/>
  <c r="E41" i="1"/>
  <c r="D41" i="1"/>
  <c r="H38" i="1"/>
  <c r="G38" i="1"/>
  <c r="F38" i="1"/>
  <c r="E38" i="1"/>
  <c r="D38" i="1"/>
  <c r="H35" i="1"/>
  <c r="G35" i="1"/>
  <c r="F35" i="1"/>
  <c r="E35" i="1"/>
  <c r="D35" i="1"/>
  <c r="H32" i="1"/>
  <c r="G32" i="1"/>
  <c r="F32" i="1"/>
  <c r="E32" i="1"/>
  <c r="D32" i="1"/>
  <c r="E29" i="1"/>
  <c r="F29" i="1"/>
  <c r="G29" i="1"/>
  <c r="H29" i="1"/>
  <c r="D29" i="1"/>
  <c r="S50" i="11" l="1"/>
  <c r="Z77" i="11"/>
  <c r="Z68" i="11"/>
  <c r="Z95" i="11"/>
  <c r="Z86" i="11"/>
  <c r="Z59" i="11"/>
  <c r="S59" i="11"/>
  <c r="T11" i="11"/>
  <c r="W11" i="11" s="1"/>
  <c r="H41" i="6"/>
  <c r="F41" i="6" s="1"/>
  <c r="F52" i="6" s="1"/>
  <c r="W11" i="10"/>
  <c r="T25" i="10"/>
  <c r="C14" i="8"/>
  <c r="T25" i="11" l="1"/>
  <c r="G52" i="6"/>
  <c r="E57" i="1"/>
  <c r="F57" i="1"/>
  <c r="D57" i="1"/>
  <c r="E54" i="1"/>
  <c r="F54" i="1"/>
  <c r="D54" i="1"/>
  <c r="E64" i="3" l="1"/>
  <c r="F64" i="3"/>
  <c r="D64" i="3"/>
  <c r="D27" i="1" s="1"/>
  <c r="E26" i="1"/>
  <c r="F26" i="1"/>
  <c r="G26" i="1"/>
  <c r="H26" i="1"/>
  <c r="D26" i="1"/>
  <c r="F39" i="1" l="1"/>
  <c r="F33" i="1"/>
  <c r="F20" i="1"/>
  <c r="F27" i="1"/>
  <c r="F42" i="1"/>
  <c r="F36" i="1"/>
  <c r="F30" i="1"/>
  <c r="E20" i="1"/>
  <c r="U30" i="1" s="1"/>
  <c r="E27" i="1"/>
  <c r="E42" i="1"/>
  <c r="E39" i="1"/>
  <c r="E33" i="1"/>
  <c r="E36" i="1"/>
  <c r="E30" i="1"/>
  <c r="D42" i="1"/>
  <c r="D30" i="1"/>
  <c r="D39" i="1"/>
  <c r="D20" i="1"/>
  <c r="D36" i="1"/>
  <c r="D33" i="1"/>
  <c r="D4" i="4"/>
  <c r="D5" i="4"/>
  <c r="C5" i="4"/>
  <c r="C4" i="4"/>
  <c r="AA17" i="1"/>
  <c r="AA16" i="1"/>
  <c r="AA15" i="1"/>
  <c r="H10" i="3"/>
  <c r="AA23" i="1"/>
  <c r="L27" i="1"/>
  <c r="L26" i="1"/>
  <c r="M26" i="1" s="1"/>
  <c r="N26" i="1" s="1"/>
  <c r="L25" i="1"/>
  <c r="M25" i="1" s="1"/>
  <c r="N25" i="1" s="1"/>
  <c r="AA19" i="1"/>
  <c r="L23" i="1"/>
  <c r="M23" i="1" s="1"/>
  <c r="N23" i="1" s="1"/>
  <c r="L18" i="1"/>
  <c r="M27" i="1" l="1"/>
  <c r="AA22" i="1"/>
  <c r="C6" i="4"/>
  <c r="C7" i="4" s="1"/>
  <c r="D6" i="4"/>
  <c r="AA21" i="1"/>
  <c r="M18" i="1"/>
  <c r="L24" i="1"/>
  <c r="L28" i="1"/>
  <c r="G16" i="4" l="1"/>
  <c r="K17" i="1" s="1"/>
  <c r="T24" i="1" s="1"/>
  <c r="AA11" i="1"/>
  <c r="L42" i="11"/>
  <c r="L39" i="11"/>
  <c r="L40" i="11"/>
  <c r="L38" i="11"/>
  <c r="L37" i="11"/>
  <c r="L32" i="11"/>
  <c r="L41" i="11"/>
  <c r="L39" i="1"/>
  <c r="L42" i="10"/>
  <c r="L32" i="1"/>
  <c r="L41" i="10"/>
  <c r="L37" i="10"/>
  <c r="L40" i="1"/>
  <c r="L40" i="10"/>
  <c r="L32" i="10"/>
  <c r="L39" i="10"/>
  <c r="L38" i="10"/>
  <c r="L41" i="1"/>
  <c r="L42" i="1"/>
  <c r="L37" i="1"/>
  <c r="L38" i="1"/>
  <c r="N27" i="1"/>
  <c r="AA24" i="1"/>
  <c r="G78" i="3"/>
  <c r="G64" i="3"/>
  <c r="H78" i="3"/>
  <c r="H64" i="3"/>
  <c r="AA25" i="1"/>
  <c r="H12" i="4"/>
  <c r="H16" i="4"/>
  <c r="F14" i="4"/>
  <c r="G12" i="4"/>
  <c r="G13" i="4"/>
  <c r="D15" i="4"/>
  <c r="H13" i="4"/>
  <c r="D16" i="4"/>
  <c r="F15" i="4"/>
  <c r="G14" i="4"/>
  <c r="H14" i="4"/>
  <c r="F12" i="4"/>
  <c r="F16" i="4"/>
  <c r="G15" i="4"/>
  <c r="H15" i="4"/>
  <c r="F13" i="4"/>
  <c r="D14" i="4"/>
  <c r="D7" i="4"/>
  <c r="E16" i="4"/>
  <c r="E13" i="4"/>
  <c r="E15" i="4"/>
  <c r="D13" i="4"/>
  <c r="E12" i="4"/>
  <c r="E14" i="4"/>
  <c r="D12" i="4"/>
  <c r="N18" i="1"/>
  <c r="M28" i="1"/>
  <c r="M24" i="1"/>
  <c r="N24" i="1" s="1"/>
  <c r="M39" i="10" l="1"/>
  <c r="M42" i="11"/>
  <c r="M37" i="11"/>
  <c r="M41" i="11"/>
  <c r="M32" i="11"/>
  <c r="M39" i="11"/>
  <c r="L31" i="11"/>
  <c r="M38" i="11"/>
  <c r="M40" i="11"/>
  <c r="L31" i="1"/>
  <c r="M40" i="10"/>
  <c r="L31" i="10"/>
  <c r="M39" i="1"/>
  <c r="M42" i="10"/>
  <c r="M38" i="10"/>
  <c r="M41" i="10"/>
  <c r="M32" i="10"/>
  <c r="M37" i="10"/>
  <c r="M40" i="1"/>
  <c r="M41" i="1"/>
  <c r="M42" i="1"/>
  <c r="M32" i="1"/>
  <c r="M37" i="1"/>
  <c r="M38" i="1"/>
  <c r="H42" i="1"/>
  <c r="H39" i="1"/>
  <c r="H36" i="1"/>
  <c r="H33" i="1"/>
  <c r="H30" i="1"/>
  <c r="H28" i="1" s="1"/>
  <c r="H27" i="1"/>
  <c r="H20" i="1"/>
  <c r="G27" i="1"/>
  <c r="G42" i="1"/>
  <c r="G39" i="1"/>
  <c r="G36" i="1"/>
  <c r="G33" i="1"/>
  <c r="G30" i="1"/>
  <c r="G20" i="1"/>
  <c r="N28" i="1"/>
  <c r="N41" i="11" s="1"/>
  <c r="N37" i="11" l="1"/>
  <c r="N39" i="11"/>
  <c r="N32" i="11"/>
  <c r="L17" i="1"/>
  <c r="N41" i="10"/>
  <c r="N42" i="11"/>
  <c r="N38" i="11"/>
  <c r="N40" i="11"/>
  <c r="M31" i="11"/>
  <c r="N37" i="10"/>
  <c r="M31" i="10"/>
  <c r="M31" i="1"/>
  <c r="N32" i="1"/>
  <c r="N42" i="10"/>
  <c r="N37" i="1"/>
  <c r="N38" i="10"/>
  <c r="N32" i="10"/>
  <c r="N39" i="10"/>
  <c r="N40" i="10"/>
  <c r="N40" i="1"/>
  <c r="N38" i="1"/>
  <c r="N42" i="1"/>
  <c r="N39" i="1"/>
  <c r="N41" i="1"/>
  <c r="U13" i="1"/>
  <c r="M17" i="1"/>
  <c r="N17" i="1"/>
  <c r="N31" i="11" l="1"/>
  <c r="N31" i="10"/>
  <c r="N31" i="1"/>
  <c r="G11" i="3" l="1"/>
  <c r="H11" i="3" s="1"/>
  <c r="G12" i="3"/>
  <c r="G13" i="3" s="1"/>
  <c r="H12" i="3" l="1"/>
  <c r="H13" i="3"/>
  <c r="G14" i="3"/>
  <c r="H14" i="3" l="1"/>
  <c r="G15" i="3"/>
  <c r="G16" i="3" s="1"/>
  <c r="H16" i="3" s="1"/>
  <c r="H15" i="3" l="1"/>
  <c r="G17" i="3" l="1"/>
  <c r="G18" i="3" s="1"/>
  <c r="H18" i="3" l="1"/>
  <c r="G19" i="3"/>
  <c r="H19" i="3" s="1"/>
  <c r="H17" i="3"/>
  <c r="G20" i="3" l="1"/>
  <c r="H20" i="3" s="1"/>
  <c r="G21" i="3"/>
  <c r="H21" i="3" l="1"/>
  <c r="G22" i="3" l="1"/>
  <c r="G23" i="3" s="1"/>
  <c r="H23" i="3" l="1"/>
  <c r="G24" i="3"/>
  <c r="H24" i="3" s="1"/>
  <c r="H22" i="3"/>
  <c r="G25" i="3" l="1"/>
  <c r="H25" i="3" s="1"/>
  <c r="G26" i="3"/>
  <c r="H26" i="3" l="1"/>
  <c r="G27" i="3" l="1"/>
  <c r="G28" i="3" s="1"/>
  <c r="G29" i="3" l="1"/>
  <c r="H28" i="3"/>
  <c r="H27" i="3"/>
  <c r="G30" i="3" l="1"/>
  <c r="H29" i="3"/>
  <c r="H30" i="3" l="1"/>
  <c r="G31" i="3"/>
  <c r="H31" i="3" l="1"/>
  <c r="G32" i="3"/>
  <c r="H32" i="3" l="1"/>
  <c r="G33" i="3"/>
  <c r="G34" i="3" l="1"/>
  <c r="H33" i="3"/>
  <c r="D28" i="1"/>
  <c r="D25" i="1"/>
  <c r="D40" i="1"/>
  <c r="D31" i="1"/>
  <c r="D37" i="1"/>
  <c r="D34" i="1"/>
  <c r="H34" i="1"/>
  <c r="H37" i="1"/>
  <c r="H40" i="1"/>
  <c r="H31" i="1"/>
  <c r="H25" i="1"/>
  <c r="E34" i="1"/>
  <c r="E28" i="1"/>
  <c r="E25" i="1"/>
  <c r="E40" i="1"/>
  <c r="E31" i="1"/>
  <c r="E37" i="1"/>
  <c r="F28" i="1"/>
  <c r="F31" i="1"/>
  <c r="F34" i="1"/>
  <c r="F40" i="1"/>
  <c r="F37" i="1"/>
  <c r="F25" i="1"/>
  <c r="G40" i="1"/>
  <c r="G28" i="1"/>
  <c r="G37" i="1"/>
  <c r="G25" i="1"/>
  <c r="G31" i="1"/>
  <c r="G34" i="1"/>
  <c r="D13" i="8" l="1"/>
  <c r="D12" i="8"/>
  <c r="D8" i="8"/>
  <c r="D11" i="8"/>
  <c r="D10" i="8"/>
  <c r="D9" i="8"/>
  <c r="L16" i="3"/>
  <c r="U21" i="1"/>
  <c r="U23" i="1"/>
  <c r="U22" i="1"/>
  <c r="U18" i="1"/>
  <c r="H19" i="1"/>
  <c r="U20" i="1"/>
  <c r="U19" i="1"/>
  <c r="G35" i="3"/>
  <c r="H34" i="3"/>
  <c r="D19" i="1"/>
  <c r="E19" i="1"/>
  <c r="F19" i="1"/>
  <c r="G19" i="1"/>
  <c r="D38" i="8" l="1"/>
  <c r="U43" i="1"/>
  <c r="F38" i="8"/>
  <c r="W43" i="1"/>
  <c r="X43" i="1"/>
  <c r="C38" i="8"/>
  <c r="T43" i="1"/>
  <c r="E38" i="8"/>
  <c r="V43" i="1"/>
  <c r="D6" i="8"/>
  <c r="D15" i="8" s="1"/>
  <c r="G38" i="8"/>
  <c r="L15" i="3"/>
  <c r="D53" i="1" s="1"/>
  <c r="D58" i="1"/>
  <c r="G36" i="3"/>
  <c r="H35" i="3"/>
  <c r="U11" i="1"/>
  <c r="H36" i="3" l="1"/>
  <c r="G37" i="3"/>
  <c r="G38" i="3" l="1"/>
  <c r="H37" i="3"/>
  <c r="U25" i="1"/>
  <c r="H38" i="3" l="1"/>
  <c r="G39" i="3"/>
  <c r="H39" i="3" l="1"/>
  <c r="G40" i="3"/>
  <c r="G41" i="3" l="1"/>
  <c r="H41" i="3" s="1"/>
  <c r="H40" i="3"/>
  <c r="P16" i="3" l="1"/>
  <c r="P11" i="3"/>
  <c r="O16" i="3"/>
  <c r="O11" i="3"/>
  <c r="L11" i="3"/>
  <c r="M11" i="3"/>
  <c r="M16" i="3"/>
  <c r="N11" i="3"/>
  <c r="N10" i="3" s="1"/>
  <c r="F52" i="1" s="1"/>
  <c r="N16" i="3"/>
  <c r="F55" i="1"/>
  <c r="E58" i="1"/>
  <c r="M15" i="3"/>
  <c r="E53" i="1" s="1"/>
  <c r="E26" i="8" l="1"/>
  <c r="E29" i="8"/>
  <c r="E37" i="8"/>
  <c r="E39" i="8" s="1"/>
  <c r="V42" i="1"/>
  <c r="V44" i="1" s="1"/>
  <c r="E27" i="8"/>
  <c r="E28" i="8"/>
  <c r="E25" i="8"/>
  <c r="E35" i="8"/>
  <c r="E33" i="8"/>
  <c r="E32" i="8"/>
  <c r="E34" i="8"/>
  <c r="E30" i="8"/>
  <c r="E31" i="8"/>
  <c r="E55" i="1"/>
  <c r="M10" i="3"/>
  <c r="E52" i="1" s="1"/>
  <c r="L10" i="3"/>
  <c r="D52" i="1" s="1"/>
  <c r="D55" i="1"/>
  <c r="V36" i="1"/>
  <c r="V34" i="1"/>
  <c r="V33" i="1"/>
  <c r="V31" i="1"/>
  <c r="V30" i="1"/>
  <c r="V35" i="1"/>
  <c r="V39" i="1"/>
  <c r="V38" i="1"/>
  <c r="V40" i="1"/>
  <c r="V32" i="1"/>
  <c r="V37" i="1"/>
  <c r="O10" i="3"/>
  <c r="G52" i="1" s="1"/>
  <c r="G55" i="1"/>
  <c r="G54" i="1" s="1"/>
  <c r="F58" i="1"/>
  <c r="N15" i="3"/>
  <c r="F53" i="1" s="1"/>
  <c r="C28" i="8" l="1"/>
  <c r="C37" i="8"/>
  <c r="C39" i="8" s="1"/>
  <c r="T42" i="1"/>
  <c r="T44" i="1" s="1"/>
  <c r="C27" i="8"/>
  <c r="C26" i="8"/>
  <c r="C29" i="8"/>
  <c r="C25" i="8"/>
  <c r="C33" i="8"/>
  <c r="C34" i="8"/>
  <c r="C32" i="8"/>
  <c r="C31" i="8"/>
  <c r="C30" i="8"/>
  <c r="C35" i="8"/>
  <c r="U42" i="1"/>
  <c r="U44" i="1" s="1"/>
  <c r="D37" i="8"/>
  <c r="D39" i="8" s="1"/>
  <c r="D26" i="8"/>
  <c r="D27" i="8"/>
  <c r="D28" i="8"/>
  <c r="D29" i="8"/>
  <c r="D25" i="8"/>
  <c r="D31" i="8"/>
  <c r="D33" i="8"/>
  <c r="D30" i="8"/>
  <c r="D35" i="8"/>
  <c r="D34" i="8"/>
  <c r="D32" i="8"/>
  <c r="F37" i="8"/>
  <c r="F39" i="8" s="1"/>
  <c r="W42" i="1"/>
  <c r="W44" i="1" s="1"/>
  <c r="F29" i="8"/>
  <c r="F28" i="8"/>
  <c r="F26" i="8"/>
  <c r="F27" i="8"/>
  <c r="F25" i="8"/>
  <c r="F33" i="8"/>
  <c r="F32" i="8"/>
  <c r="F30" i="8"/>
  <c r="F35" i="8"/>
  <c r="F34" i="8"/>
  <c r="F31" i="8"/>
  <c r="E24" i="8"/>
  <c r="E40" i="8" s="1"/>
  <c r="T31" i="1"/>
  <c r="T36" i="1"/>
  <c r="T38" i="1"/>
  <c r="T39" i="1"/>
  <c r="T32" i="1"/>
  <c r="T34" i="1"/>
  <c r="T30" i="1"/>
  <c r="T35" i="1"/>
  <c r="T33" i="1"/>
  <c r="T40" i="1"/>
  <c r="T37" i="1"/>
  <c r="U31" i="1"/>
  <c r="U32" i="1"/>
  <c r="U34" i="1"/>
  <c r="U39" i="1"/>
  <c r="U37" i="1"/>
  <c r="U36" i="1"/>
  <c r="U33" i="1"/>
  <c r="U35" i="1"/>
  <c r="U38" i="1"/>
  <c r="U40" i="1"/>
  <c r="O15" i="3"/>
  <c r="G53" i="1" s="1"/>
  <c r="G58" i="1"/>
  <c r="G57" i="1" s="1"/>
  <c r="W31" i="1"/>
  <c r="W30" i="1"/>
  <c r="W40" i="1"/>
  <c r="W35" i="1"/>
  <c r="W36" i="1"/>
  <c r="W33" i="1"/>
  <c r="W32" i="1"/>
  <c r="W34" i="1"/>
  <c r="W37" i="1"/>
  <c r="W39" i="1"/>
  <c r="W38" i="1"/>
  <c r="P10" i="3"/>
  <c r="H52" i="1" s="1"/>
  <c r="H55" i="1"/>
  <c r="H54" i="1" s="1"/>
  <c r="V29" i="1"/>
  <c r="V45" i="1" s="1"/>
  <c r="C24" i="8" l="1"/>
  <c r="C40" i="8" s="1"/>
  <c r="G37" i="8"/>
  <c r="G39" i="8" s="1"/>
  <c r="G27" i="8"/>
  <c r="X42" i="1"/>
  <c r="X44" i="1" s="1"/>
  <c r="G28" i="8"/>
  <c r="G29" i="8"/>
  <c r="G26" i="8"/>
  <c r="G25" i="8"/>
  <c r="G35" i="8"/>
  <c r="G33" i="8"/>
  <c r="G31" i="8"/>
  <c r="G30" i="8"/>
  <c r="G32" i="8"/>
  <c r="G34" i="8"/>
  <c r="F24" i="8"/>
  <c r="F40" i="8" s="1"/>
  <c r="D24" i="8"/>
  <c r="D40" i="8" s="1"/>
  <c r="F13" i="6"/>
  <c r="F11" i="6"/>
  <c r="T29" i="1"/>
  <c r="T45" i="1" s="1"/>
  <c r="U29" i="1"/>
  <c r="U45" i="1" s="1"/>
  <c r="W29" i="1"/>
  <c r="W45" i="1" s="1"/>
  <c r="P15" i="3"/>
  <c r="H53" i="1" s="1"/>
  <c r="E6" i="8" s="1"/>
  <c r="H58" i="1"/>
  <c r="H57" i="1" s="1"/>
  <c r="X36" i="1"/>
  <c r="X30" i="1"/>
  <c r="X37" i="1"/>
  <c r="X32" i="1"/>
  <c r="X31" i="1"/>
  <c r="X34" i="1"/>
  <c r="X40" i="1"/>
  <c r="X33" i="1"/>
  <c r="X35" i="1"/>
  <c r="X39" i="1"/>
  <c r="V11" i="1"/>
  <c r="X38" i="1"/>
  <c r="V14" i="1" l="1"/>
  <c r="V15" i="1"/>
  <c r="V16" i="1"/>
  <c r="V17" i="1"/>
  <c r="V22" i="1"/>
  <c r="V19" i="1"/>
  <c r="V23" i="1"/>
  <c r="V21" i="1"/>
  <c r="V18" i="1"/>
  <c r="V20" i="1"/>
  <c r="V13" i="1"/>
  <c r="G24" i="8"/>
  <c r="G40" i="8" s="1"/>
  <c r="E13" i="8"/>
  <c r="E10" i="8"/>
  <c r="E11" i="8"/>
  <c r="E9" i="8"/>
  <c r="E8" i="8"/>
  <c r="E12" i="8"/>
  <c r="F12" i="6"/>
  <c r="G11" i="6" s="1"/>
  <c r="F14" i="6"/>
  <c r="G13" i="6" s="1"/>
  <c r="X29" i="1"/>
  <c r="T13" i="1" s="1"/>
  <c r="E15" i="8" l="1"/>
  <c r="C13" i="8"/>
  <c r="F13" i="8" s="1"/>
  <c r="C8" i="8"/>
  <c r="C11" i="8"/>
  <c r="F11" i="8" s="1"/>
  <c r="C10" i="8"/>
  <c r="F10" i="8" s="1"/>
  <c r="C12" i="8"/>
  <c r="F12" i="8" s="1"/>
  <c r="C9" i="8"/>
  <c r="F9" i="8" s="1"/>
  <c r="G14" i="6"/>
  <c r="E22" i="6" s="1"/>
  <c r="E21" i="6"/>
  <c r="E23" i="6"/>
  <c r="G12" i="6"/>
  <c r="E24" i="6" s="1"/>
  <c r="T18" i="1"/>
  <c r="W18" i="1" s="1"/>
  <c r="S50" i="1" s="1"/>
  <c r="T19" i="1"/>
  <c r="W19" i="1" s="1"/>
  <c r="T20" i="1"/>
  <c r="W20" i="1" s="1"/>
  <c r="T14" i="1"/>
  <c r="W14" i="1" s="1"/>
  <c r="T22" i="1"/>
  <c r="W22" i="1" s="1"/>
  <c r="T21" i="1"/>
  <c r="W21" i="1" s="1"/>
  <c r="T15" i="1"/>
  <c r="W15" i="1" s="1"/>
  <c r="T17" i="1"/>
  <c r="W17" i="1" s="1"/>
  <c r="T16" i="1"/>
  <c r="W16" i="1" s="1"/>
  <c r="T23" i="1"/>
  <c r="W23" i="1" s="1"/>
  <c r="V25" i="1"/>
  <c r="X45" i="1"/>
  <c r="Z95" i="1" l="1"/>
  <c r="S77" i="1"/>
  <c r="Z86" i="1"/>
  <c r="S59" i="1"/>
  <c r="Z77" i="1"/>
  <c r="W13" i="1"/>
  <c r="S68" i="1" s="1"/>
  <c r="T11" i="1"/>
  <c r="W11" i="1" s="1"/>
  <c r="S104" i="1"/>
  <c r="Z68" i="1"/>
  <c r="Z59" i="1"/>
  <c r="S86" i="1"/>
  <c r="S95" i="1"/>
  <c r="Z50" i="1"/>
  <c r="C6" i="8"/>
  <c r="F8" i="8"/>
  <c r="E26" i="6"/>
  <c r="D26" i="6" s="1"/>
  <c r="E25" i="6"/>
  <c r="D25" i="6" s="1"/>
  <c r="T25" i="1" l="1"/>
  <c r="C20" i="8"/>
  <c r="F6" i="8"/>
  <c r="C15" i="8"/>
</calcChain>
</file>

<file path=xl/comments1.xml><?xml version="1.0" encoding="utf-8"?>
<comments xmlns="http://schemas.openxmlformats.org/spreadsheetml/2006/main">
  <authors>
    <author>Ben Vander</author>
  </authors>
  <commentList>
    <comment ref="F11" authorId="0" shapeId="0">
      <text>
        <r>
          <rPr>
            <b/>
            <sz val="9"/>
            <color indexed="81"/>
            <rFont val="Tahoma"/>
            <charset val="1"/>
          </rPr>
          <t>Includes $5 cap structure savings distributed evenly across brands in each year starting in 2017</t>
        </r>
      </text>
    </comment>
  </commentList>
</comments>
</file>

<file path=xl/comments2.xml><?xml version="1.0" encoding="utf-8"?>
<comments xmlns="http://schemas.openxmlformats.org/spreadsheetml/2006/main">
  <authors>
    <author>Ben Vander</author>
  </authors>
  <commentList>
    <comment ref="F11" authorId="0" shapeId="0">
      <text>
        <r>
          <rPr>
            <b/>
            <sz val="9"/>
            <color indexed="81"/>
            <rFont val="Tahoma"/>
            <charset val="1"/>
          </rPr>
          <t>Includes $5 cap structure savings distributed evenly across brands in each year starting in 2017</t>
        </r>
      </text>
    </comment>
  </commentList>
</comments>
</file>

<file path=xl/comments3.xml><?xml version="1.0" encoding="utf-8"?>
<comments xmlns="http://schemas.openxmlformats.org/spreadsheetml/2006/main">
  <authors>
    <author>Ben Vander</author>
  </authors>
  <commentList>
    <comment ref="F11" authorId="0" shapeId="0">
      <text>
        <r>
          <rPr>
            <b/>
            <sz val="9"/>
            <color indexed="81"/>
            <rFont val="Tahoma"/>
            <charset val="1"/>
          </rPr>
          <t>Includes $5 cap structure savings distributed evenly across brands in each year starting in 2017</t>
        </r>
      </text>
    </comment>
  </commentList>
</comments>
</file>

<file path=xl/sharedStrings.xml><?xml version="1.0" encoding="utf-8"?>
<sst xmlns="http://schemas.openxmlformats.org/spreadsheetml/2006/main" count="883" uniqueCount="207">
  <si>
    <t>Hybrid</t>
  </si>
  <si>
    <t>Fox</t>
  </si>
  <si>
    <t>Dakine</t>
  </si>
  <si>
    <t>HUF</t>
  </si>
  <si>
    <t>Brixton</t>
  </si>
  <si>
    <t>Mervin</t>
  </si>
  <si>
    <t>Girl</t>
  </si>
  <si>
    <t>Hybrid SBU1 - Men's</t>
  </si>
  <si>
    <t>Hybrid SBU3 - Branded</t>
  </si>
  <si>
    <t>Hybrid SBU4 - Women's</t>
  </si>
  <si>
    <t>Hybrid SBU2 - Levi's IRR</t>
  </si>
  <si>
    <t>Renegade</t>
  </si>
  <si>
    <t>Multiple</t>
  </si>
  <si>
    <t>EV/EBITDA multiples</t>
  </si>
  <si>
    <t>in</t>
  </si>
  <si>
    <t>Synergies</t>
  </si>
  <si>
    <t>EBITDA - no synergies ($M)</t>
  </si>
  <si>
    <t>from Hybrid</t>
  </si>
  <si>
    <t>from other</t>
  </si>
  <si>
    <t>M&amp;A "success credit" of</t>
  </si>
  <si>
    <t>Renegade synergies ($M)</t>
  </si>
  <si>
    <t>Renegade costs ($M)</t>
  </si>
  <si>
    <t>Allocation</t>
  </si>
  <si>
    <t>Total</t>
  </si>
  <si>
    <t>Renegade gross EBITDA</t>
  </si>
  <si>
    <t>Total cost of center</t>
  </si>
  <si>
    <t>Total synergies</t>
  </si>
  <si>
    <t>Renegade net EBITDA</t>
  </si>
  <si>
    <t>Check</t>
  </si>
  <si>
    <t>Title</t>
  </si>
  <si>
    <t>Year hired</t>
  </si>
  <si>
    <t>Quarter hired</t>
  </si>
  <si>
    <t>Base salary</t>
  </si>
  <si>
    <t>Fully loaded factor</t>
  </si>
  <si>
    <t>Total cost</t>
  </si>
  <si>
    <t>COO</t>
  </si>
  <si>
    <t>CFO</t>
  </si>
  <si>
    <t>VP Supply Chain</t>
  </si>
  <si>
    <t>Supply chain FTE</t>
  </si>
  <si>
    <t>Strategy manager</t>
  </si>
  <si>
    <t>Strategy analyst</t>
  </si>
  <si>
    <t>CEO</t>
  </si>
  <si>
    <t>Already hired</t>
  </si>
  <si>
    <t>CSO/Head of Strategy</t>
  </si>
  <si>
    <t>CIO</t>
  </si>
  <si>
    <t>Director Infrastructure &amp; Systems Architecture</t>
  </si>
  <si>
    <t>VP Commerce/Channel</t>
  </si>
  <si>
    <t>Market Researcher</t>
  </si>
  <si>
    <t>Retail Lead</t>
  </si>
  <si>
    <t>Head of HR</t>
  </si>
  <si>
    <t>Head of Sales Execution</t>
  </si>
  <si>
    <t>Benefits Lead</t>
  </si>
  <si>
    <t>Head of Legal</t>
  </si>
  <si>
    <t>VP Europe</t>
  </si>
  <si>
    <t>Consumer Analyst</t>
  </si>
  <si>
    <t>Head of M&amp;A</t>
  </si>
  <si>
    <t>Accountant</t>
  </si>
  <si>
    <t>Comms/PR Director</t>
  </si>
  <si>
    <t>Incubator Director</t>
  </si>
  <si>
    <t>VP Americas</t>
  </si>
  <si>
    <t>Recruiter</t>
  </si>
  <si>
    <t>Director of IR</t>
  </si>
  <si>
    <t>VP APJC</t>
  </si>
  <si>
    <t>IT Team moves to center</t>
  </si>
  <si>
    <t>Legal moves to center</t>
  </si>
  <si>
    <t>Finance moves to center</t>
  </si>
  <si>
    <t>Comp load factor</t>
  </si>
  <si>
    <t>Notes</t>
  </si>
  <si>
    <t>Human capital</t>
  </si>
  <si>
    <t>Other</t>
  </si>
  <si>
    <t>SVP International</t>
  </si>
  <si>
    <t>HR moves to center</t>
  </si>
  <si>
    <t>EV of Renegade portfolio</t>
  </si>
  <si>
    <t>Cost of Center</t>
  </si>
  <si>
    <t>Portfolio co. share of value at exit</t>
  </si>
  <si>
    <t>Note:  does NOT factor in cost of IPO</t>
  </si>
  <si>
    <t>Cost to IPO ($M)</t>
  </si>
  <si>
    <t>Center - baseline</t>
  </si>
  <si>
    <t>Center - no Hybrid</t>
  </si>
  <si>
    <t>Renegade cost allocation</t>
  </si>
  <si>
    <t>Severance</t>
  </si>
  <si>
    <t>Unwind - baseline</t>
  </si>
  <si>
    <t>Cost of center - baseline</t>
  </si>
  <si>
    <t>Cost of center - no Hybrid</t>
  </si>
  <si>
    <t>Unwind - no Hybrid</t>
  </si>
  <si>
    <t>Renegade net EBITDA baseline</t>
  </si>
  <si>
    <t>Branded EBITDA</t>
  </si>
  <si>
    <t>Hybrid EBITDA</t>
  </si>
  <si>
    <t>Branded</t>
  </si>
  <si>
    <t>2019 Blended multiple</t>
  </si>
  <si>
    <t>Renegade net EBITDA; limited Hybrid synergies</t>
  </si>
  <si>
    <t>Rest of portfolio</t>
  </si>
  <si>
    <t>RENEGADE COSTS &amp; COST-SHARING</t>
  </si>
  <si>
    <t>RENEGADE SYNERGIES</t>
  </si>
  <si>
    <t>DATA</t>
  </si>
  <si>
    <t>Severance if unwinding</t>
  </si>
  <si>
    <t>See cost worksheet for other salary/central cost assumptions</t>
  </si>
  <si>
    <t>SG&amp;A savings from centralization</t>
  </si>
  <si>
    <t>Share of EV</t>
  </si>
  <si>
    <t>Reference year for share of valuation</t>
  </si>
  <si>
    <t>RENEGADE TRANSACTIONS &amp; VALUATION</t>
  </si>
  <si>
    <t>% synergies achievable with Hybrid if not integrated</t>
  </si>
  <si>
    <t>Hybrid synergy timing</t>
  </si>
  <si>
    <t>All transactions end of year, TTM multiples</t>
  </si>
  <si>
    <t>Year of incorporation</t>
  </si>
  <si>
    <t>IT cost to unwind ($M)</t>
  </si>
  <si>
    <t>year's FL human capital cost</t>
  </si>
  <si>
    <t>SCENARIO INPUTS</t>
  </si>
  <si>
    <t>Net Revenue ($M)</t>
  </si>
  <si>
    <t>Renegade blended multiple</t>
  </si>
  <si>
    <t>Renegade branded multiple</t>
  </si>
  <si>
    <t>Multiple with Hybrid</t>
  </si>
  <si>
    <t>Multiple without Hybrid</t>
  </si>
  <si>
    <t>Note:  Scenario assumes 2019 IPO with all companies in the portfolio</t>
  </si>
  <si>
    <t>Note:  Scenario assumes individual sales in 2019; no synergies or cost of center</t>
  </si>
  <si>
    <t>Delta vs. sum of parts</t>
  </si>
  <si>
    <t>SUMMARY OUTPUT</t>
  </si>
  <si>
    <t>Sheet "Center cost &amp; synergy worksheet"</t>
  </si>
  <si>
    <t>Enabling functions spend ($M)</t>
  </si>
  <si>
    <t>Enabling functions savings ($M)</t>
  </si>
  <si>
    <t>CENTRALIZATION &amp; OTHER SAVINGS</t>
  </si>
  <si>
    <t>HUMAN CAPITAL &amp; OTHER COSTS</t>
  </si>
  <si>
    <t>Other costs ($M)</t>
  </si>
  <si>
    <t>Facilties</t>
  </si>
  <si>
    <t>Additional IT</t>
  </si>
  <si>
    <t>Other…</t>
  </si>
  <si>
    <t>Other specific to Hybrid</t>
  </si>
  <si>
    <t>Total (baseline)</t>
  </si>
  <si>
    <t>Total (no Hybrid scenario)</t>
  </si>
  <si>
    <t>Hybrid at standalone multiple</t>
  </si>
  <si>
    <t>BLANK</t>
  </si>
  <si>
    <t>EBITDA</t>
  </si>
  <si>
    <t>Cost of center</t>
  </si>
  <si>
    <t>Portfolio-adjusted EBITDA</t>
  </si>
  <si>
    <t>Hybrid low case</t>
  </si>
  <si>
    <t>Hybrid base case</t>
  </si>
  <si>
    <t>Brands low case</t>
  </si>
  <si>
    <t>Brands base case</t>
  </si>
  <si>
    <t>SCENARIO 1 SLIDE OUTPUT</t>
  </si>
  <si>
    <t>Low case EBITDA</t>
  </si>
  <si>
    <t>Cost of center increase</t>
  </si>
  <si>
    <t>Branded low</t>
  </si>
  <si>
    <t>Branded high</t>
  </si>
  <si>
    <t>Hybrid low</t>
  </si>
  <si>
    <t>Hybrid high</t>
  </si>
  <si>
    <t>EV</t>
  </si>
  <si>
    <t>Total low</t>
  </si>
  <si>
    <t>Total high</t>
  </si>
  <si>
    <t>SCENARIO 2 SLIDE OUTPUT</t>
  </si>
  <si>
    <t>Low EBITDA</t>
  </si>
  <si>
    <t>High EBITDA</t>
  </si>
  <si>
    <t>Low Mult</t>
  </si>
  <si>
    <t>High Mult</t>
  </si>
  <si>
    <t>Low EV</t>
  </si>
  <si>
    <t>High EV</t>
  </si>
  <si>
    <t>EBITDA adjustment</t>
  </si>
  <si>
    <t>times existing estimate</t>
  </si>
  <si>
    <t>EBITDA into model</t>
  </si>
  <si>
    <t>In Fox DC by 2018 (at earliest)</t>
  </si>
  <si>
    <t>In Fox DC by Q2'16 (pending Scott feedback)</t>
  </si>
  <si>
    <t>In Fox DC by Q3'18 (pending Scott feedback)</t>
  </si>
  <si>
    <t>Possibly partial use by end of '16</t>
  </si>
  <si>
    <t>DC consolidation savings ($M) - Hybrid</t>
  </si>
  <si>
    <t>Notes:  Using IR base case exit multiples; Renegade portfolio multiple based on average of 3-yr. trailing average of Renegade-like and Hybrid-like comps; % value calculated in proportion to EBITDA * multiple in valuation year; allocates synergies in proportion to revenue</t>
  </si>
  <si>
    <t>Better utilization</t>
  </si>
  <si>
    <t>Sheet "Slide output"</t>
  </si>
  <si>
    <t>Scenario 2: "Sum of parts"</t>
  </si>
  <si>
    <t>Scenario 3: "No Hybrid"</t>
  </si>
  <si>
    <t>Case a: Stretch</t>
  </si>
  <si>
    <t>Case c: Downside</t>
  </si>
  <si>
    <t>Sheet "Company-level data"</t>
  </si>
  <si>
    <t>Scenario 1: "Full Portfolio IPO"</t>
  </si>
  <si>
    <t>SCENARIO OUTPUTS [all $M unless otherwise noted; cost of decision not quantified here]</t>
  </si>
  <si>
    <t>Sheet "Case A - Stretch"</t>
  </si>
  <si>
    <t>Sheet "Case C - Downside"</t>
  </si>
  <si>
    <t>Portfolio multiple | Company multiple</t>
  </si>
  <si>
    <t>Fox perspective (2019 exit)</t>
  </si>
  <si>
    <t>Dakine perspective (2019 exit)</t>
  </si>
  <si>
    <t>Hybrid perspective (2019 exit)</t>
  </si>
  <si>
    <t>Brixton perspective (2019 exit)</t>
  </si>
  <si>
    <t>HUF perspective (2019 exit)</t>
  </si>
  <si>
    <t>Mervin perspective (2019 exit)</t>
  </si>
  <si>
    <t>Girl perspective (2019 exit)</t>
  </si>
  <si>
    <t>Hybrid synergies - rest | Portfolio multiple</t>
  </si>
  <si>
    <t>Hybrid synergies - rest | Portfolio  multiple</t>
  </si>
  <si>
    <t>Hybrid synergies - Fox | Portfolio multiple</t>
  </si>
  <si>
    <t>Hybrid synergies - Fox | Company multiple</t>
  </si>
  <si>
    <t>Hybrid synergies - Rest | Company multiple</t>
  </si>
  <si>
    <t>CASE A: STRETCH</t>
  </si>
  <si>
    <t>CASE B: BASE</t>
  </si>
  <si>
    <t>CASE C: DOWNSIDE</t>
  </si>
  <si>
    <t>Case b: 50/50</t>
  </si>
  <si>
    <t>ACP ESTIMATES</t>
  </si>
  <si>
    <t>Fox board deck</t>
  </si>
  <si>
    <t>Sheet "Case B - 50-50"</t>
  </si>
  <si>
    <t>`</t>
  </si>
  <si>
    <t>A</t>
  </si>
  <si>
    <t>B</t>
  </si>
  <si>
    <t>C</t>
  </si>
  <si>
    <t>D</t>
  </si>
  <si>
    <t>E</t>
  </si>
  <si>
    <t>F</t>
  </si>
  <si>
    <t>G</t>
  </si>
  <si>
    <t>High</t>
  </si>
  <si>
    <t>Mid</t>
  </si>
  <si>
    <t>Low</t>
  </si>
  <si>
    <t>Last changed on: 14 Oct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</si>
</sst>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\x"/>
    <numFmt numFmtId="165" formatCode="#,##0.0"/>
    <numFmt numFmtId="166" formatCode="0.0"/>
    <numFmt numFmtId="167" formatCode="0.0%"/>
  </numFmts>
  <fonts count="31" x14ac:knownFonts="1">
    <font>
      <sz val="10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932"/>
      <name val="Calibri"/>
      <family val="2"/>
      <scheme val="minor"/>
    </font>
    <font>
      <b/>
      <sz val="10"/>
      <color theme="8"/>
      <name val="Calibri"/>
      <family val="2"/>
      <scheme val="minor"/>
    </font>
    <font>
      <b/>
      <sz val="10"/>
      <name val="Cambria"/>
      <family val="1"/>
    </font>
    <font>
      <b/>
      <u/>
      <sz val="10"/>
      <color rgb="FF000000"/>
      <name val="Cambria"/>
      <family val="1"/>
    </font>
    <font>
      <sz val="10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theme="4"/>
      <name val="Cambria"/>
      <family val="1"/>
    </font>
    <font>
      <sz val="10"/>
      <color rgb="FFC00000"/>
      <name val="Cambria"/>
      <family val="1"/>
    </font>
    <font>
      <i/>
      <sz val="10"/>
      <color theme="1"/>
      <name val="Cambria"/>
      <family val="1"/>
    </font>
    <font>
      <i/>
      <sz val="8"/>
      <color theme="1"/>
      <name val="Cambria"/>
      <family val="1"/>
    </font>
    <font>
      <i/>
      <sz val="10"/>
      <name val="Cambria"/>
      <family val="1"/>
    </font>
    <font>
      <sz val="10"/>
      <color theme="9" tint="-0.499984740745262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0"/>
      <color theme="0"/>
      <name val="Cambria"/>
      <family val="1"/>
    </font>
    <font>
      <sz val="10"/>
      <color theme="0"/>
      <name val="Cambria"/>
      <family val="1"/>
    </font>
    <font>
      <b/>
      <sz val="12"/>
      <color theme="0"/>
      <name val="Cambria"/>
      <family val="1"/>
    </font>
    <font>
      <sz val="12"/>
      <color theme="0"/>
      <name val="Cambria"/>
      <family val="1"/>
    </font>
    <font>
      <sz val="12"/>
      <color theme="1"/>
      <name val="Cambria"/>
      <family val="1"/>
    </font>
    <font>
      <b/>
      <sz val="14"/>
      <color theme="0"/>
      <name val="Cambria"/>
      <family val="1"/>
    </font>
    <font>
      <b/>
      <sz val="10"/>
      <color rgb="FFC00000"/>
      <name val="Cambria"/>
      <family val="1"/>
    </font>
    <font>
      <sz val="11"/>
      <color theme="1"/>
      <name val="Calibri"/>
      <family val="2"/>
      <scheme val="minor"/>
    </font>
    <font>
      <i/>
      <sz val="10"/>
      <color theme="0" tint="-0.499984740745262"/>
      <name val="Cambria"/>
      <family val="1"/>
    </font>
    <font>
      <i/>
      <sz val="10"/>
      <color theme="0" tint="-0.249977111117893"/>
      <name val="Cambria"/>
      <family val="1"/>
    </font>
    <font>
      <sz val="10"/>
      <color theme="9"/>
      <name val="Cambria"/>
      <family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0" applyNumberFormat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4" fillId="4" borderId="0" applyNumberFormat="0" applyBorder="0" applyAlignment="0">
      <protection locked="0"/>
    </xf>
    <xf numFmtId="0" fontId="5" fillId="5" borderId="0" applyNumberFormat="0" applyBorder="0" applyAlignment="0">
      <protection locked="0"/>
    </xf>
    <xf numFmtId="0" fontId="26" fillId="0" borderId="0"/>
  </cellStyleXfs>
  <cellXfs count="207">
    <xf numFmtId="0" fontId="0" fillId="0" borderId="0" xfId="0"/>
    <xf numFmtId="0" fontId="6" fillId="2" borderId="0" xfId="3" applyFont="1" applyAlignment="1"/>
    <xf numFmtId="0" fontId="7" fillId="2" borderId="0" xfId="4" applyFont="1" applyFill="1" applyAlignment="1"/>
    <xf numFmtId="0" fontId="8" fillId="2" borderId="0" xfId="3" applyFont="1" applyAlignment="1"/>
    <xf numFmtId="0" fontId="9" fillId="0" borderId="0" xfId="0" applyFont="1"/>
    <xf numFmtId="9" fontId="9" fillId="0" borderId="0" xfId="2" applyFont="1"/>
    <xf numFmtId="0" fontId="9" fillId="0" borderId="2" xfId="0" applyFont="1" applyBorder="1"/>
    <xf numFmtId="3" fontId="9" fillId="0" borderId="0" xfId="1" applyNumberFormat="1" applyFont="1" applyBorder="1"/>
    <xf numFmtId="0" fontId="10" fillId="0" borderId="0" xfId="0" applyFont="1"/>
    <xf numFmtId="3" fontId="9" fillId="0" borderId="0" xfId="0" applyNumberFormat="1" applyFont="1"/>
    <xf numFmtId="0" fontId="10" fillId="0" borderId="1" xfId="0" applyFont="1" applyBorder="1"/>
    <xf numFmtId="0" fontId="9" fillId="0" borderId="0" xfId="0" applyFont="1" applyAlignment="1">
      <alignment horizontal="left" indent="1"/>
    </xf>
    <xf numFmtId="0" fontId="9" fillId="0" borderId="0" xfId="0" applyFont="1" applyBorder="1"/>
    <xf numFmtId="165" fontId="9" fillId="0" borderId="0" xfId="1" applyNumberFormat="1" applyFont="1"/>
    <xf numFmtId="0" fontId="9" fillId="0" borderId="4" xfId="0" applyFont="1" applyBorder="1"/>
    <xf numFmtId="3" fontId="9" fillId="0" borderId="2" xfId="1" applyNumberFormat="1" applyFont="1" applyBorder="1"/>
    <xf numFmtId="3" fontId="9" fillId="0" borderId="4" xfId="0" applyNumberFormat="1" applyFont="1" applyBorder="1"/>
    <xf numFmtId="0" fontId="12" fillId="0" borderId="0" xfId="0" applyFont="1"/>
    <xf numFmtId="164" fontId="8" fillId="0" borderId="0" xfId="5" applyNumberFormat="1" applyFont="1" applyFill="1" applyBorder="1" applyAlignment="1">
      <alignment horizontal="center"/>
      <protection locked="0"/>
    </xf>
    <xf numFmtId="0" fontId="9" fillId="0" borderId="0" xfId="0" applyFont="1" applyBorder="1" applyAlignment="1">
      <alignment horizontal="left" indent="1"/>
    </xf>
    <xf numFmtId="0" fontId="9" fillId="0" borderId="2" xfId="0" applyFont="1" applyBorder="1" applyAlignment="1">
      <alignment horizontal="left" indent="1"/>
    </xf>
    <xf numFmtId="3" fontId="9" fillId="0" borderId="4" xfId="1" applyNumberFormat="1" applyFont="1" applyBorder="1"/>
    <xf numFmtId="3" fontId="9" fillId="0" borderId="0" xfId="0" applyNumberFormat="1" applyFont="1" applyBorder="1"/>
    <xf numFmtId="0" fontId="13" fillId="0" borderId="0" xfId="0" applyFont="1" applyBorder="1"/>
    <xf numFmtId="0" fontId="0" fillId="0" borderId="0" xfId="0" applyBorder="1"/>
    <xf numFmtId="9" fontId="9" fillId="0" borderId="0" xfId="0" applyNumberFormat="1" applyFont="1" applyBorder="1"/>
    <xf numFmtId="165" fontId="9" fillId="0" borderId="2" xfId="1" applyNumberFormat="1" applyFont="1" applyBorder="1"/>
    <xf numFmtId="0" fontId="9" fillId="0" borderId="5" xfId="0" applyFont="1" applyBorder="1" applyAlignment="1">
      <alignment horizontal="left" indent="1"/>
    </xf>
    <xf numFmtId="3" fontId="9" fillId="0" borderId="2" xfId="0" applyNumberFormat="1" applyFont="1" applyBorder="1"/>
    <xf numFmtId="3" fontId="9" fillId="0" borderId="9" xfId="0" applyNumberFormat="1" applyFont="1" applyBorder="1"/>
    <xf numFmtId="1" fontId="9" fillId="0" borderId="6" xfId="0" applyNumberFormat="1" applyFont="1" applyBorder="1"/>
    <xf numFmtId="1" fontId="9" fillId="0" borderId="7" xfId="0" applyNumberFormat="1" applyFont="1" applyBorder="1"/>
    <xf numFmtId="3" fontId="9" fillId="0" borderId="6" xfId="1" applyNumberFormat="1" applyFont="1" applyBorder="1"/>
    <xf numFmtId="3" fontId="9" fillId="0" borderId="7" xfId="1" applyNumberFormat="1" applyFont="1" applyBorder="1"/>
    <xf numFmtId="3" fontId="9" fillId="0" borderId="9" xfId="1" applyNumberFormat="1" applyFont="1" applyBorder="1"/>
    <xf numFmtId="1" fontId="9" fillId="0" borderId="0" xfId="0" applyNumberFormat="1" applyFont="1" applyBorder="1"/>
    <xf numFmtId="0" fontId="14" fillId="0" borderId="0" xfId="0" applyFont="1" applyBorder="1"/>
    <xf numFmtId="0" fontId="10" fillId="0" borderId="10" xfId="0" applyFont="1" applyBorder="1"/>
    <xf numFmtId="165" fontId="9" fillId="0" borderId="0" xfId="0" applyNumberFormat="1" applyFont="1"/>
    <xf numFmtId="166" fontId="9" fillId="0" borderId="5" xfId="0" applyNumberFormat="1" applyFont="1" applyBorder="1"/>
    <xf numFmtId="164" fontId="15" fillId="0" borderId="0" xfId="5" applyNumberFormat="1" applyFont="1" applyFill="1" applyBorder="1" applyAlignment="1">
      <alignment horizontal="center"/>
      <protection locked="0"/>
    </xf>
    <xf numFmtId="0" fontId="9" fillId="0" borderId="0" xfId="0" applyFont="1" applyBorder="1" applyAlignment="1">
      <alignment vertical="center"/>
    </xf>
    <xf numFmtId="165" fontId="9" fillId="0" borderId="0" xfId="1" applyNumberFormat="1" applyFont="1" applyBorder="1"/>
    <xf numFmtId="0" fontId="9" fillId="0" borderId="8" xfId="0" applyFont="1" applyFill="1" applyBorder="1"/>
    <xf numFmtId="3" fontId="9" fillId="0" borderId="8" xfId="1" applyNumberFormat="1" applyFont="1" applyFill="1" applyBorder="1"/>
    <xf numFmtId="0" fontId="13" fillId="0" borderId="8" xfId="0" applyFont="1" applyFill="1" applyBorder="1"/>
    <xf numFmtId="0" fontId="9" fillId="0" borderId="0" xfId="0" applyFont="1" applyFill="1"/>
    <xf numFmtId="3" fontId="9" fillId="0" borderId="0" xfId="1" applyNumberFormat="1" applyFont="1" applyFill="1"/>
    <xf numFmtId="0" fontId="13" fillId="0" borderId="0" xfId="0" applyFont="1" applyFill="1"/>
    <xf numFmtId="0" fontId="9" fillId="0" borderId="0" xfId="0" applyFont="1" applyFill="1" applyBorder="1"/>
    <xf numFmtId="3" fontId="9" fillId="0" borderId="0" xfId="1" applyNumberFormat="1" applyFont="1" applyFill="1" applyBorder="1"/>
    <xf numFmtId="3" fontId="9" fillId="0" borderId="5" xfId="0" applyNumberFormat="1" applyFont="1" applyBorder="1"/>
    <xf numFmtId="2" fontId="14" fillId="0" borderId="0" xfId="0" applyNumberFormat="1" applyFont="1"/>
    <xf numFmtId="0" fontId="9" fillId="0" borderId="0" xfId="0" applyFont="1" applyAlignment="1">
      <alignment horizontal="right"/>
    </xf>
    <xf numFmtId="0" fontId="10" fillId="0" borderId="0" xfId="0" applyFont="1" applyBorder="1"/>
    <xf numFmtId="0" fontId="9" fillId="0" borderId="0" xfId="0" applyFont="1" applyBorder="1" applyAlignment="1">
      <alignment horizontal="center"/>
    </xf>
    <xf numFmtId="9" fontId="12" fillId="6" borderId="0" xfId="2" applyFont="1" applyFill="1" applyBorder="1"/>
    <xf numFmtId="9" fontId="12" fillId="6" borderId="0" xfId="0" applyNumberFormat="1" applyFont="1" applyFill="1" applyBorder="1"/>
    <xf numFmtId="0" fontId="12" fillId="5" borderId="0" xfId="0" applyFont="1" applyFill="1" applyBorder="1"/>
    <xf numFmtId="0" fontId="12" fillId="5" borderId="0" xfId="0" applyFont="1" applyFill="1"/>
    <xf numFmtId="165" fontId="9" fillId="8" borderId="0" xfId="1" applyNumberFormat="1" applyFont="1" applyFill="1" applyBorder="1"/>
    <xf numFmtId="165" fontId="9" fillId="0" borderId="0" xfId="1" applyNumberFormat="1" applyFont="1" applyFill="1" applyBorder="1"/>
    <xf numFmtId="165" fontId="9" fillId="0" borderId="2" xfId="1" applyNumberFormat="1" applyFont="1" applyFill="1" applyBorder="1"/>
    <xf numFmtId="0" fontId="9" fillId="6" borderId="0" xfId="0" applyFont="1" applyFill="1" applyBorder="1"/>
    <xf numFmtId="0" fontId="9" fillId="6" borderId="0" xfId="0" applyFont="1" applyFill="1"/>
    <xf numFmtId="0" fontId="10" fillId="6" borderId="1" xfId="0" applyFont="1" applyFill="1" applyBorder="1"/>
    <xf numFmtId="0" fontId="9" fillId="6" borderId="4" xfId="0" applyFont="1" applyFill="1" applyBorder="1"/>
    <xf numFmtId="165" fontId="9" fillId="6" borderId="4" xfId="1" applyNumberFormat="1" applyFont="1" applyFill="1" applyBorder="1"/>
    <xf numFmtId="0" fontId="10" fillId="6" borderId="0" xfId="0" applyFont="1" applyFill="1" applyBorder="1" applyAlignment="1">
      <alignment horizontal="left" indent="1"/>
    </xf>
    <xf numFmtId="165" fontId="10" fillId="6" borderId="0" xfId="1" applyNumberFormat="1" applyFont="1" applyFill="1" applyBorder="1"/>
    <xf numFmtId="0" fontId="9" fillId="6" borderId="0" xfId="0" applyFont="1" applyFill="1" applyBorder="1" applyAlignment="1">
      <alignment horizontal="left" indent="2"/>
    </xf>
    <xf numFmtId="165" fontId="9" fillId="6" borderId="0" xfId="1" applyNumberFormat="1" applyFont="1" applyFill="1" applyBorder="1"/>
    <xf numFmtId="0" fontId="15" fillId="6" borderId="0" xfId="0" applyFont="1" applyFill="1" applyBorder="1" applyAlignment="1">
      <alignment horizontal="left" indent="2"/>
    </xf>
    <xf numFmtId="165" fontId="15" fillId="6" borderId="0" xfId="1" applyNumberFormat="1" applyFont="1" applyFill="1" applyBorder="1"/>
    <xf numFmtId="0" fontId="6" fillId="6" borderId="0" xfId="0" applyFont="1" applyFill="1" applyBorder="1" applyAlignment="1">
      <alignment horizontal="left" indent="1"/>
    </xf>
    <xf numFmtId="165" fontId="6" fillId="6" borderId="0" xfId="1" applyNumberFormat="1" applyFont="1" applyFill="1" applyBorder="1"/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9" borderId="0" xfId="0" applyFont="1" applyFill="1" applyBorder="1"/>
    <xf numFmtId="0" fontId="9" fillId="9" borderId="0" xfId="0" applyFont="1" applyFill="1"/>
    <xf numFmtId="0" fontId="10" fillId="0" borderId="1" xfId="0" applyFont="1" applyFill="1" applyBorder="1"/>
    <xf numFmtId="0" fontId="9" fillId="0" borderId="2" xfId="0" applyFont="1" applyFill="1" applyBorder="1"/>
    <xf numFmtId="0" fontId="9" fillId="10" borderId="0" xfId="0" applyFont="1" applyFill="1" applyBorder="1"/>
    <xf numFmtId="164" fontId="12" fillId="10" borderId="0" xfId="5" applyNumberFormat="1" applyFont="1" applyFill="1" applyBorder="1" applyAlignment="1">
      <alignment horizontal="center"/>
      <protection locked="0"/>
    </xf>
    <xf numFmtId="0" fontId="12" fillId="10" borderId="0" xfId="0" applyFont="1" applyFill="1" applyBorder="1"/>
    <xf numFmtId="0" fontId="9" fillId="10" borderId="0" xfId="0" applyFont="1" applyFill="1"/>
    <xf numFmtId="0" fontId="13" fillId="10" borderId="0" xfId="0" applyFont="1" applyFill="1" applyBorder="1"/>
    <xf numFmtId="0" fontId="10" fillId="10" borderId="1" xfId="0" applyFont="1" applyFill="1" applyBorder="1"/>
    <xf numFmtId="0" fontId="9" fillId="10" borderId="4" xfId="0" applyFont="1" applyFill="1" applyBorder="1"/>
    <xf numFmtId="164" fontId="8" fillId="10" borderId="0" xfId="5" applyNumberFormat="1" applyFont="1" applyFill="1" applyBorder="1" applyAlignment="1">
      <alignment horizontal="center"/>
      <protection locked="0"/>
    </xf>
    <xf numFmtId="0" fontId="9" fillId="10" borderId="0" xfId="0" applyFont="1" applyFill="1" applyBorder="1" applyAlignment="1">
      <alignment horizontal="left" indent="1"/>
    </xf>
    <xf numFmtId="164" fontId="11" fillId="10" borderId="0" xfId="5" applyNumberFormat="1" applyFont="1" applyFill="1" applyBorder="1" applyAlignment="1">
      <alignment horizontal="center"/>
      <protection locked="0"/>
    </xf>
    <xf numFmtId="0" fontId="9" fillId="10" borderId="2" xfId="0" applyFont="1" applyFill="1" applyBorder="1"/>
    <xf numFmtId="164" fontId="8" fillId="10" borderId="2" xfId="5" applyNumberFormat="1" applyFont="1" applyFill="1" applyBorder="1" applyAlignment="1">
      <alignment horizontal="center"/>
      <protection locked="0"/>
    </xf>
    <xf numFmtId="9" fontId="9" fillId="10" borderId="4" xfId="2" applyFont="1" applyFill="1" applyBorder="1"/>
    <xf numFmtId="9" fontId="8" fillId="10" borderId="0" xfId="2" applyFont="1" applyFill="1" applyBorder="1"/>
    <xf numFmtId="3" fontId="9" fillId="10" borderId="0" xfId="1" applyNumberFormat="1" applyFont="1" applyFill="1" applyBorder="1"/>
    <xf numFmtId="9" fontId="8" fillId="10" borderId="2" xfId="2" applyFont="1" applyFill="1" applyBorder="1"/>
    <xf numFmtId="0" fontId="9" fillId="8" borderId="0" xfId="0" applyFont="1" applyFill="1"/>
    <xf numFmtId="0" fontId="19" fillId="11" borderId="0" xfId="0" applyFont="1" applyFill="1"/>
    <xf numFmtId="0" fontId="20" fillId="11" borderId="0" xfId="0" applyFont="1" applyFill="1"/>
    <xf numFmtId="0" fontId="9" fillId="8" borderId="0" xfId="0" applyFont="1" applyFill="1" applyBorder="1" applyAlignment="1">
      <alignment vertical="center"/>
    </xf>
    <xf numFmtId="0" fontId="12" fillId="8" borderId="0" xfId="0" applyFont="1" applyFill="1" applyBorder="1" applyAlignment="1">
      <alignment vertical="center"/>
    </xf>
    <xf numFmtId="0" fontId="9" fillId="8" borderId="0" xfId="0" applyFont="1" applyFill="1" applyBorder="1"/>
    <xf numFmtId="9" fontId="12" fillId="8" borderId="0" xfId="2" applyFont="1" applyFill="1" applyBorder="1"/>
    <xf numFmtId="0" fontId="12" fillId="8" borderId="0" xfId="0" applyFont="1" applyFill="1" applyBorder="1"/>
    <xf numFmtId="0" fontId="10" fillId="8" borderId="1" xfId="0" applyFont="1" applyFill="1" applyBorder="1"/>
    <xf numFmtId="166" fontId="16" fillId="8" borderId="0" xfId="0" applyNumberFormat="1" applyFont="1" applyFill="1" applyBorder="1"/>
    <xf numFmtId="0" fontId="9" fillId="8" borderId="1" xfId="0" applyFont="1" applyFill="1" applyBorder="1"/>
    <xf numFmtId="166" fontId="16" fillId="8" borderId="1" xfId="0" applyNumberFormat="1" applyFont="1" applyFill="1" applyBorder="1"/>
    <xf numFmtId="0" fontId="9" fillId="8" borderId="0" xfId="0" applyFont="1" applyFill="1" applyAlignment="1">
      <alignment horizontal="left" indent="1"/>
    </xf>
    <xf numFmtId="166" fontId="9" fillId="8" borderId="0" xfId="0" applyNumberFormat="1" applyFont="1" applyFill="1"/>
    <xf numFmtId="0" fontId="13" fillId="8" borderId="0" xfId="0" applyFont="1" applyFill="1"/>
    <xf numFmtId="9" fontId="9" fillId="8" borderId="0" xfId="0" applyNumberFormat="1" applyFont="1" applyFill="1" applyBorder="1"/>
    <xf numFmtId="9" fontId="12" fillId="8" borderId="0" xfId="0" applyNumberFormat="1" applyFont="1" applyFill="1"/>
    <xf numFmtId="9" fontId="9" fillId="8" borderId="0" xfId="0" applyNumberFormat="1" applyFont="1" applyFill="1"/>
    <xf numFmtId="9" fontId="9" fillId="8" borderId="0" xfId="2" applyFont="1" applyFill="1" applyBorder="1"/>
    <xf numFmtId="0" fontId="9" fillId="8" borderId="2" xfId="0" applyFont="1" applyFill="1" applyBorder="1"/>
    <xf numFmtId="9" fontId="12" fillId="8" borderId="2" xfId="0" applyNumberFormat="1" applyFont="1" applyFill="1" applyBorder="1"/>
    <xf numFmtId="9" fontId="9" fillId="8" borderId="2" xfId="2" applyFont="1" applyFill="1" applyBorder="1"/>
    <xf numFmtId="0" fontId="19" fillId="12" borderId="0" xfId="0" applyFont="1" applyFill="1"/>
    <xf numFmtId="0" fontId="20" fillId="12" borderId="0" xfId="0" applyFont="1" applyFill="1"/>
    <xf numFmtId="0" fontId="9" fillId="13" borderId="0" xfId="0" applyFont="1" applyFill="1"/>
    <xf numFmtId="0" fontId="10" fillId="13" borderId="1" xfId="0" applyFont="1" applyFill="1" applyBorder="1"/>
    <xf numFmtId="0" fontId="9" fillId="13" borderId="4" xfId="0" applyFont="1" applyFill="1" applyBorder="1"/>
    <xf numFmtId="3" fontId="9" fillId="13" borderId="4" xfId="0" applyNumberFormat="1" applyFont="1" applyFill="1" applyBorder="1"/>
    <xf numFmtId="0" fontId="9" fillId="13" borderId="0" xfId="0" applyFont="1" applyFill="1" applyBorder="1"/>
    <xf numFmtId="3" fontId="11" fillId="13" borderId="0" xfId="1" applyNumberFormat="1" applyFont="1" applyFill="1" applyBorder="1"/>
    <xf numFmtId="0" fontId="9" fillId="13" borderId="0" xfId="0" applyFont="1" applyFill="1" applyBorder="1" applyAlignment="1">
      <alignment horizontal="left" indent="1"/>
    </xf>
    <xf numFmtId="3" fontId="9" fillId="13" borderId="0" xfId="1" applyNumberFormat="1" applyFont="1" applyFill="1" applyBorder="1"/>
    <xf numFmtId="0" fontId="9" fillId="13" borderId="2" xfId="0" applyFont="1" applyFill="1" applyBorder="1"/>
    <xf numFmtId="3" fontId="11" fillId="13" borderId="2" xfId="1" applyNumberFormat="1" applyFont="1" applyFill="1" applyBorder="1"/>
    <xf numFmtId="0" fontId="18" fillId="0" borderId="0" xfId="0" applyFont="1" applyBorder="1"/>
    <xf numFmtId="0" fontId="6" fillId="2" borderId="0" xfId="3" applyFont="1" applyBorder="1" applyAlignment="1"/>
    <xf numFmtId="0" fontId="8" fillId="2" borderId="0" xfId="3" applyFont="1" applyBorder="1" applyAlignment="1"/>
    <xf numFmtId="164" fontId="12" fillId="10" borderId="0" xfId="0" applyNumberFormat="1" applyFont="1" applyFill="1" applyAlignment="1">
      <alignment horizontal="center"/>
    </xf>
    <xf numFmtId="0" fontId="21" fillId="3" borderId="0" xfId="0" applyFont="1" applyFill="1" applyAlignment="1">
      <alignment vertical="center"/>
    </xf>
    <xf numFmtId="0" fontId="22" fillId="3" borderId="0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1" fillId="9" borderId="0" xfId="0" applyFont="1" applyFill="1" applyAlignment="1">
      <alignment vertical="center"/>
    </xf>
    <xf numFmtId="0" fontId="22" fillId="9" borderId="0" xfId="0" applyFont="1" applyFill="1" applyAlignment="1">
      <alignment vertical="center"/>
    </xf>
    <xf numFmtId="164" fontId="12" fillId="10" borderId="2" xfId="0" applyNumberFormat="1" applyFont="1" applyFill="1" applyBorder="1" applyAlignment="1">
      <alignment horizontal="center"/>
    </xf>
    <xf numFmtId="0" fontId="25" fillId="5" borderId="1" xfId="0" applyFont="1" applyFill="1" applyBorder="1" applyAlignment="1">
      <alignment vertical="center"/>
    </xf>
    <xf numFmtId="3" fontId="9" fillId="13" borderId="4" xfId="1" applyNumberFormat="1" applyFont="1" applyFill="1" applyBorder="1"/>
    <xf numFmtId="0" fontId="12" fillId="13" borderId="0" xfId="0" applyFont="1" applyFill="1"/>
    <xf numFmtId="0" fontId="12" fillId="9" borderId="0" xfId="0" applyFont="1" applyFill="1"/>
    <xf numFmtId="0" fontId="9" fillId="10" borderId="5" xfId="0" applyFont="1" applyFill="1" applyBorder="1"/>
    <xf numFmtId="164" fontId="8" fillId="10" borderId="5" xfId="5" applyNumberFormat="1" applyFont="1" applyFill="1" applyBorder="1" applyAlignment="1">
      <alignment horizontal="center"/>
      <protection locked="0"/>
    </xf>
    <xf numFmtId="0" fontId="6" fillId="0" borderId="1" xfId="0" applyFont="1" applyFill="1" applyBorder="1" applyAlignment="1">
      <alignment vertical="center"/>
    </xf>
    <xf numFmtId="0" fontId="9" fillId="0" borderId="11" xfId="0" applyFont="1" applyBorder="1"/>
    <xf numFmtId="0" fontId="24" fillId="7" borderId="2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7" fillId="0" borderId="0" xfId="0" applyFont="1"/>
    <xf numFmtId="0" fontId="9" fillId="0" borderId="12" xfId="0" applyFont="1" applyBorder="1"/>
    <xf numFmtId="165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3" fontId="8" fillId="13" borderId="0" xfId="1" applyNumberFormat="1" applyFont="1" applyFill="1" applyBorder="1"/>
    <xf numFmtId="3" fontId="8" fillId="13" borderId="2" xfId="1" applyNumberFormat="1" applyFont="1" applyFill="1" applyBorder="1"/>
    <xf numFmtId="165" fontId="12" fillId="0" borderId="0" xfId="1" applyNumberFormat="1" applyFont="1" applyBorder="1"/>
    <xf numFmtId="0" fontId="27" fillId="13" borderId="0" xfId="0" applyFont="1" applyFill="1" applyBorder="1" applyAlignment="1">
      <alignment horizontal="left" indent="1"/>
    </xf>
    <xf numFmtId="3" fontId="27" fillId="13" borderId="0" xfId="1" applyNumberFormat="1" applyFont="1" applyFill="1" applyBorder="1"/>
    <xf numFmtId="0" fontId="28" fillId="0" borderId="0" xfId="0" applyFont="1" applyBorder="1" applyAlignment="1">
      <alignment horizontal="left" indent="2"/>
    </xf>
    <xf numFmtId="3" fontId="28" fillId="0" borderId="0" xfId="1" applyNumberFormat="1" applyFont="1" applyBorder="1"/>
    <xf numFmtId="165" fontId="28" fillId="0" borderId="0" xfId="1" applyNumberFormat="1" applyFont="1" applyFill="1" applyBorder="1"/>
    <xf numFmtId="3" fontId="28" fillId="0" borderId="6" xfId="1" applyNumberFormat="1" applyFont="1" applyBorder="1"/>
    <xf numFmtId="165" fontId="28" fillId="0" borderId="0" xfId="1" applyNumberFormat="1" applyFont="1" applyBorder="1"/>
    <xf numFmtId="1" fontId="28" fillId="0" borderId="6" xfId="0" applyNumberFormat="1" applyFont="1" applyBorder="1"/>
    <xf numFmtId="0" fontId="13" fillId="8" borderId="0" xfId="0" applyFont="1" applyFill="1" applyBorder="1" applyAlignment="1">
      <alignment horizontal="left" indent="1"/>
    </xf>
    <xf numFmtId="0" fontId="21" fillId="7" borderId="0" xfId="0" applyFont="1" applyFill="1"/>
    <xf numFmtId="0" fontId="20" fillId="7" borderId="0" xfId="0" applyFont="1" applyFill="1"/>
    <xf numFmtId="3" fontId="9" fillId="0" borderId="2" xfId="1" applyNumberFormat="1" applyFont="1" applyFill="1" applyBorder="1"/>
    <xf numFmtId="3" fontId="12" fillId="0" borderId="0" xfId="1" applyNumberFormat="1" applyFont="1" applyFill="1"/>
    <xf numFmtId="3" fontId="12" fillId="0" borderId="8" xfId="1" applyNumberFormat="1" applyFont="1" applyFill="1" applyBorder="1"/>
    <xf numFmtId="3" fontId="12" fillId="0" borderId="0" xfId="1" applyNumberFormat="1" applyFont="1" applyFill="1" applyBorder="1"/>
    <xf numFmtId="3" fontId="12" fillId="0" borderId="2" xfId="1" applyNumberFormat="1" applyFont="1" applyFill="1" applyBorder="1"/>
    <xf numFmtId="3" fontId="12" fillId="0" borderId="0" xfId="1" applyNumberFormat="1" applyFont="1"/>
    <xf numFmtId="0" fontId="9" fillId="0" borderId="0" xfId="7" applyFont="1" applyFill="1" applyBorder="1"/>
    <xf numFmtId="0" fontId="9" fillId="0" borderId="0" xfId="7" applyNumberFormat="1" applyFont="1" applyFill="1" applyBorder="1"/>
    <xf numFmtId="0" fontId="9" fillId="0" borderId="0" xfId="7" applyNumberFormat="1" applyFont="1" applyBorder="1"/>
    <xf numFmtId="1" fontId="9" fillId="0" borderId="0" xfId="7" applyNumberFormat="1" applyFont="1" applyBorder="1"/>
    <xf numFmtId="0" fontId="10" fillId="14" borderId="0" xfId="0" applyFont="1" applyFill="1"/>
    <xf numFmtId="0" fontId="9" fillId="14" borderId="0" xfId="0" applyFont="1" applyFill="1"/>
    <xf numFmtId="0" fontId="0" fillId="7" borderId="0" xfId="0" applyFill="1"/>
    <xf numFmtId="1" fontId="9" fillId="0" borderId="0" xfId="0" applyNumberFormat="1" applyFont="1"/>
    <xf numFmtId="1" fontId="9" fillId="0" borderId="13" xfId="0" applyNumberFormat="1" applyFont="1" applyBorder="1"/>
    <xf numFmtId="0" fontId="10" fillId="0" borderId="2" xfId="0" applyFont="1" applyBorder="1"/>
    <xf numFmtId="3" fontId="27" fillId="0" borderId="0" xfId="0" applyNumberFormat="1" applyFont="1" applyBorder="1"/>
    <xf numFmtId="0" fontId="11" fillId="6" borderId="0" xfId="0" applyFont="1" applyFill="1"/>
    <xf numFmtId="0" fontId="20" fillId="15" borderId="2" xfId="0" applyFont="1" applyFill="1" applyBorder="1" applyAlignment="1">
      <alignment vertical="center"/>
    </xf>
    <xf numFmtId="164" fontId="29" fillId="10" borderId="5" xfId="5" applyNumberFormat="1" applyFont="1" applyFill="1" applyBorder="1" applyAlignment="1">
      <alignment horizontal="center"/>
      <protection locked="0"/>
    </xf>
    <xf numFmtId="164" fontId="12" fillId="0" borderId="3" xfId="5" applyNumberFormat="1" applyFont="1" applyFill="1" applyBorder="1" applyAlignment="1">
      <alignment horizontal="center"/>
      <protection locked="0"/>
    </xf>
    <xf numFmtId="164" fontId="12" fillId="0" borderId="2" xfId="5" applyNumberFormat="1" applyFont="1" applyFill="1" applyBorder="1" applyAlignment="1">
      <alignment horizontal="center"/>
      <protection locked="0"/>
    </xf>
    <xf numFmtId="164" fontId="6" fillId="8" borderId="0" xfId="5" applyNumberFormat="1" applyFont="1" applyFill="1" applyBorder="1" applyAlignment="1">
      <alignment horizontal="center"/>
      <protection locked="0"/>
    </xf>
    <xf numFmtId="0" fontId="13" fillId="0" borderId="0" xfId="0" applyFont="1"/>
    <xf numFmtId="165" fontId="11" fillId="13" borderId="2" xfId="1" applyNumberFormat="1" applyFont="1" applyFill="1" applyBorder="1"/>
    <xf numFmtId="165" fontId="9" fillId="0" borderId="4" xfId="1" applyNumberFormat="1" applyFont="1" applyBorder="1"/>
    <xf numFmtId="164" fontId="12" fillId="8" borderId="0" xfId="5" applyNumberFormat="1" applyFont="1" applyFill="1" applyBorder="1" applyAlignment="1">
      <alignment horizontal="right"/>
      <protection locked="0"/>
    </xf>
    <xf numFmtId="0" fontId="3" fillId="0" borderId="0" xfId="0" applyFont="1"/>
    <xf numFmtId="167" fontId="9" fillId="13" borderId="0" xfId="2" applyNumberFormat="1" applyFont="1" applyFill="1" applyBorder="1"/>
    <xf numFmtId="167" fontId="9" fillId="0" borderId="0" xfId="2" applyNumberFormat="1" applyFont="1"/>
    <xf numFmtId="167" fontId="11" fillId="13" borderId="0" xfId="2" applyNumberFormat="1" applyFont="1" applyFill="1" applyBorder="1"/>
    <xf numFmtId="9" fontId="11" fillId="13" borderId="0" xfId="2" applyFont="1" applyFill="1" applyBorder="1"/>
    <xf numFmtId="9" fontId="11" fillId="13" borderId="0" xfId="2" applyNumberFormat="1" applyFont="1" applyFill="1" applyBorder="1"/>
    <xf numFmtId="9" fontId="9" fillId="0" borderId="0" xfId="2" applyNumberFormat="1" applyFont="1"/>
    <xf numFmtId="0" fontId="13" fillId="0" borderId="0" xfId="0" applyFont="1" applyBorder="1" applyAlignment="1">
      <alignment horizontal="center" vertical="center" wrapText="1"/>
    </xf>
  </cellXfs>
  <cellStyles count="8">
    <cellStyle name="Comma" xfId="1" builtinId="3"/>
    <cellStyle name="Hyperlink" xfId="4" builtinId="8"/>
    <cellStyle name="Input: Assumption" xfId="6"/>
    <cellStyle name="Input: Fact" xfId="5"/>
    <cellStyle name="Normal" xfId="0" builtinId="0"/>
    <cellStyle name="Normal_BOE valuation comparison" xfId="7"/>
    <cellStyle name="Percent" xfId="2" builtinId="5"/>
    <cellStyle name="Title" xfId="3" builtinId="15"/>
  </cellStyles>
  <dxfs count="8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E1E1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184237</xdr:colOff>
      <xdr:row>1</xdr:row>
      <xdr:rowOff>23430</xdr:rowOff>
    </xdr:from>
    <xdr:to>
      <xdr:col>2</xdr:col>
      <xdr:colOff>1187658</xdr:colOff>
      <xdr:row>4</xdr:row>
      <xdr:rowOff>18872</xdr:rowOff>
    </xdr:to>
    <xdr:pic>
      <xdr:nvPicPr>
        <xdr:cNvPr id="2" name="Bain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37" y="80580"/>
          <a:ext cx="1441571" cy="4812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184237</xdr:colOff>
      <xdr:row>1</xdr:row>
      <xdr:rowOff>23430</xdr:rowOff>
    </xdr:from>
    <xdr:to>
      <xdr:col>2</xdr:col>
      <xdr:colOff>1187658</xdr:colOff>
      <xdr:row>4</xdr:row>
      <xdr:rowOff>18872</xdr:rowOff>
    </xdr:to>
    <xdr:pic>
      <xdr:nvPicPr>
        <xdr:cNvPr id="2" name="Bain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37" y="79459"/>
          <a:ext cx="1440450" cy="4610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184237</xdr:colOff>
      <xdr:row>1</xdr:row>
      <xdr:rowOff>23430</xdr:rowOff>
    </xdr:from>
    <xdr:to>
      <xdr:col>2</xdr:col>
      <xdr:colOff>1187658</xdr:colOff>
      <xdr:row>4</xdr:row>
      <xdr:rowOff>18872</xdr:rowOff>
    </xdr:to>
    <xdr:pic>
      <xdr:nvPicPr>
        <xdr:cNvPr id="2" name="Bain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37" y="80580"/>
          <a:ext cx="1441571" cy="4812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184237</xdr:colOff>
      <xdr:row>1</xdr:row>
      <xdr:rowOff>23430</xdr:rowOff>
    </xdr:from>
    <xdr:to>
      <xdr:col>2</xdr:col>
      <xdr:colOff>1187658</xdr:colOff>
      <xdr:row>4</xdr:row>
      <xdr:rowOff>18872</xdr:rowOff>
    </xdr:to>
    <xdr:pic>
      <xdr:nvPicPr>
        <xdr:cNvPr id="2" name="Bain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37" y="80580"/>
          <a:ext cx="1441571" cy="4812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184237</xdr:colOff>
      <xdr:row>1</xdr:row>
      <xdr:rowOff>22309</xdr:rowOff>
    </xdr:from>
    <xdr:to>
      <xdr:col>2</xdr:col>
      <xdr:colOff>1186537</xdr:colOff>
      <xdr:row>3</xdr:row>
      <xdr:rowOff>159505</xdr:rowOff>
    </xdr:to>
    <xdr:pic>
      <xdr:nvPicPr>
        <xdr:cNvPr id="2" name="Bain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37" y="79459"/>
          <a:ext cx="1440450" cy="4610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184237</xdr:colOff>
      <xdr:row>1</xdr:row>
      <xdr:rowOff>22309</xdr:rowOff>
    </xdr:from>
    <xdr:to>
      <xdr:col>2</xdr:col>
      <xdr:colOff>1186537</xdr:colOff>
      <xdr:row>3</xdr:row>
      <xdr:rowOff>159505</xdr:rowOff>
    </xdr:to>
    <xdr:pic>
      <xdr:nvPicPr>
        <xdr:cNvPr id="2" name="Bain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37" y="79459"/>
          <a:ext cx="1440450" cy="461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showGridLines="0" zoomScale="85" zoomScaleNormal="85" workbookViewId="0">
      <selection activeCell="G30" sqref="G30"/>
    </sheetView>
  </sheetViews>
  <sheetFormatPr defaultRowHeight="12.75" x14ac:dyDescent="0.2"/>
  <cols>
    <col min="1" max="1" width="3.7109375" style="4" customWidth="1"/>
    <col min="2" max="2" width="2.85546875" style="4" customWidth="1"/>
    <col min="3" max="3" width="24.7109375" style="4" customWidth="1"/>
    <col min="4" max="8" width="5.7109375" style="4" customWidth="1"/>
    <col min="9" max="9" width="3.7109375" style="4" customWidth="1"/>
    <col min="10" max="10" width="24.7109375" style="4" customWidth="1"/>
    <col min="11" max="15" width="5.7109375" style="4" customWidth="1"/>
    <col min="16" max="16" width="3.7109375" style="4" customWidth="1"/>
    <col min="17" max="17" width="24.7109375" style="12" customWidth="1"/>
    <col min="18" max="22" width="5.7109375" style="4" customWidth="1"/>
    <col min="23" max="23" width="3.140625" style="4" customWidth="1"/>
    <col min="24" max="24" width="26.28515625" style="4" bestFit="1" customWidth="1"/>
    <col min="25" max="29" width="9.140625" style="4"/>
    <col min="30" max="30" width="26.7109375" style="4" customWidth="1"/>
    <col min="31" max="31" width="10" style="4" customWidth="1"/>
    <col min="32" max="16384" width="9.140625" style="4"/>
  </cols>
  <sheetData>
    <row r="1" spans="1:30" s="1" customFormat="1" ht="4.5" customHeight="1" x14ac:dyDescent="0.2">
      <c r="Q1" s="134"/>
    </row>
    <row r="2" spans="1:30" s="1" customFormat="1" x14ac:dyDescent="0.2">
      <c r="F2" s="2"/>
      <c r="G2" s="2"/>
      <c r="H2" s="2"/>
      <c r="Q2" s="134"/>
    </row>
    <row r="3" spans="1:30" s="1" customFormat="1" x14ac:dyDescent="0.2">
      <c r="F3" s="1" t="s">
        <v>170</v>
      </c>
      <c r="Q3" s="134"/>
    </row>
    <row r="4" spans="1:30" s="1" customFormat="1" x14ac:dyDescent="0.2">
      <c r="F4" s="1" t="s">
        <v>206</v>
      </c>
      <c r="Q4" s="134"/>
    </row>
    <row r="5" spans="1:30" s="3" customFormat="1" ht="4.5" customHeight="1" x14ac:dyDescent="0.2">
      <c r="Q5" s="135"/>
    </row>
    <row r="6" spans="1:30" s="146" customFormat="1" ht="4.5" customHeight="1" x14ac:dyDescent="0.2">
      <c r="Q6" s="79"/>
    </row>
    <row r="7" spans="1:30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x14ac:dyDescent="0.2">
      <c r="C8" s="121" t="s">
        <v>94</v>
      </c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</row>
    <row r="9" spans="1:30" x14ac:dyDescent="0.2">
      <c r="C9" s="182" t="s">
        <v>168</v>
      </c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</row>
    <row r="10" spans="1:30" x14ac:dyDescent="0.2">
      <c r="C10" s="123" t="s">
        <v>155</v>
      </c>
      <c r="D10" s="145">
        <v>1</v>
      </c>
      <c r="E10" s="123" t="s">
        <v>156</v>
      </c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</row>
    <row r="11" spans="1:30" ht="13.5" thickBot="1" x14ac:dyDescent="0.25">
      <c r="C11" s="124" t="s">
        <v>16</v>
      </c>
      <c r="D11" s="124">
        <v>2015</v>
      </c>
      <c r="E11" s="124">
        <v>2016</v>
      </c>
      <c r="F11" s="124">
        <v>2017</v>
      </c>
      <c r="G11" s="124">
        <v>2018</v>
      </c>
      <c r="H11" s="124">
        <v>2019</v>
      </c>
      <c r="I11" s="127"/>
      <c r="J11" s="124" t="s">
        <v>157</v>
      </c>
      <c r="K11" s="124">
        <v>2015</v>
      </c>
      <c r="L11" s="124">
        <v>2016</v>
      </c>
      <c r="M11" s="124">
        <v>2017</v>
      </c>
      <c r="N11" s="124">
        <v>2018</v>
      </c>
      <c r="O11" s="124">
        <v>2019</v>
      </c>
      <c r="P11" s="123"/>
      <c r="Q11" s="124" t="s">
        <v>108</v>
      </c>
      <c r="R11" s="124">
        <v>2015</v>
      </c>
      <c r="S11" s="124">
        <v>2016</v>
      </c>
      <c r="T11" s="124">
        <v>2017</v>
      </c>
      <c r="U11" s="124">
        <v>2018</v>
      </c>
      <c r="V11" s="124">
        <v>2019</v>
      </c>
    </row>
    <row r="12" spans="1:30" ht="13.5" thickBot="1" x14ac:dyDescent="0.25">
      <c r="C12" s="125" t="s">
        <v>11</v>
      </c>
      <c r="D12" s="126">
        <f>SUM(D13,D18:D23)</f>
        <v>55.86426098874805</v>
      </c>
      <c r="E12" s="126">
        <f>SUM(E13,E18:E23)</f>
        <v>71.834261377960829</v>
      </c>
      <c r="F12" s="126">
        <f>SUM(F13,F18:F23)</f>
        <v>92.859736872877662</v>
      </c>
      <c r="G12" s="126">
        <f>SUM(G13,G18:G23)</f>
        <v>120.77605450814248</v>
      </c>
      <c r="H12" s="126">
        <f>SUM(H13,H18:H23)</f>
        <v>154.66036200808</v>
      </c>
      <c r="I12" s="127"/>
      <c r="J12" s="125" t="s">
        <v>11</v>
      </c>
      <c r="K12" s="126">
        <f>SUM(K13,K18:K23)</f>
        <v>55.86426098874805</v>
      </c>
      <c r="L12" s="126">
        <f>SUM(L13,L18:L23)</f>
        <v>71.834261377960829</v>
      </c>
      <c r="M12" s="126">
        <f>SUM(M13,M18:M23)</f>
        <v>92.859736872877662</v>
      </c>
      <c r="N12" s="126">
        <f>SUM(N13,N18:N23)</f>
        <v>120.77605450814248</v>
      </c>
      <c r="O12" s="126">
        <f>SUM(O13,O18:O23)</f>
        <v>154.66036200808</v>
      </c>
      <c r="P12" s="123"/>
      <c r="Q12" s="125" t="s">
        <v>11</v>
      </c>
      <c r="R12" s="144">
        <f>SUM(R13,R18:R23)</f>
        <v>884.37438341148459</v>
      </c>
      <c r="S12" s="144">
        <f>SUM(S13,S18:S23)</f>
        <v>964.39624538458372</v>
      </c>
      <c r="T12" s="144">
        <f>SUM(T13,T18:T23)</f>
        <v>1114.4816660095707</v>
      </c>
      <c r="U12" s="144">
        <f>SUM(U13,U18:U23)</f>
        <v>1273.154725106632</v>
      </c>
      <c r="V12" s="144">
        <f>SUM(V13,V18:V23)</f>
        <v>1428.9056103628611</v>
      </c>
      <c r="X12" s="201"/>
    </row>
    <row r="13" spans="1:30" ht="13.5" thickTop="1" x14ac:dyDescent="0.2">
      <c r="C13" s="127" t="s">
        <v>0</v>
      </c>
      <c r="D13" s="128">
        <v>24.445345056827399</v>
      </c>
      <c r="E13" s="128">
        <v>28.099999999999998</v>
      </c>
      <c r="F13" s="128">
        <v>33.299999999999997</v>
      </c>
      <c r="G13" s="128">
        <v>37.6</v>
      </c>
      <c r="H13" s="128">
        <v>41.1</v>
      </c>
      <c r="I13" s="127"/>
      <c r="J13" s="127" t="s">
        <v>0</v>
      </c>
      <c r="K13" s="158">
        <f t="shared" ref="K13:K23" si="0">$D$10*D13</f>
        <v>24.445345056827399</v>
      </c>
      <c r="L13" s="158">
        <f t="shared" ref="L13:L23" si="1">$D$10*E13</f>
        <v>28.099999999999998</v>
      </c>
      <c r="M13" s="158">
        <f t="shared" ref="M13:M23" si="2">$D$10*F13</f>
        <v>33.299999999999997</v>
      </c>
      <c r="N13" s="158">
        <f t="shared" ref="N13:N23" si="3">$D$10*G13</f>
        <v>37.6</v>
      </c>
      <c r="O13" s="158">
        <f t="shared" ref="O13:O23" si="4">$D$10*H13</f>
        <v>41.1</v>
      </c>
      <c r="P13" s="123"/>
      <c r="Q13" s="127" t="s">
        <v>0</v>
      </c>
      <c r="R13" s="128">
        <v>436.5094509010101</v>
      </c>
      <c r="S13" s="128">
        <v>479.74262426469477</v>
      </c>
      <c r="T13" s="128">
        <v>558.97737072169855</v>
      </c>
      <c r="U13" s="128">
        <v>631.15763180588192</v>
      </c>
      <c r="V13" s="128">
        <v>689.90900710696133</v>
      </c>
      <c r="X13" s="195" t="s">
        <v>192</v>
      </c>
    </row>
    <row r="14" spans="1:30" x14ac:dyDescent="0.2">
      <c r="C14" s="161" t="s">
        <v>7</v>
      </c>
      <c r="D14" s="200"/>
      <c r="E14" s="200"/>
      <c r="F14" s="200"/>
      <c r="G14" s="200"/>
      <c r="H14" s="200"/>
      <c r="I14" s="127"/>
      <c r="J14" s="161" t="s">
        <v>7</v>
      </c>
      <c r="K14" s="162">
        <f t="shared" si="0"/>
        <v>0</v>
      </c>
      <c r="L14" s="162">
        <f t="shared" si="1"/>
        <v>0</v>
      </c>
      <c r="M14" s="162">
        <f t="shared" si="2"/>
        <v>0</v>
      </c>
      <c r="N14" s="162">
        <f t="shared" si="3"/>
        <v>0</v>
      </c>
      <c r="O14" s="162">
        <f t="shared" si="4"/>
        <v>0</v>
      </c>
      <c r="P14" s="123"/>
      <c r="Q14" s="129" t="s">
        <v>7</v>
      </c>
      <c r="R14" s="128"/>
      <c r="S14" s="128"/>
      <c r="T14" s="128"/>
      <c r="U14" s="203"/>
      <c r="V14" s="204"/>
      <c r="W14" s="9"/>
      <c r="AA14" s="9"/>
    </row>
    <row r="15" spans="1:30" x14ac:dyDescent="0.2">
      <c r="C15" s="161" t="s">
        <v>10</v>
      </c>
      <c r="D15" s="130"/>
      <c r="E15" s="130"/>
      <c r="F15" s="130"/>
      <c r="G15" s="130"/>
      <c r="H15" s="130"/>
      <c r="I15" s="127"/>
      <c r="J15" s="161" t="s">
        <v>10</v>
      </c>
      <c r="K15" s="162">
        <f t="shared" si="0"/>
        <v>0</v>
      </c>
      <c r="L15" s="162">
        <f t="shared" si="1"/>
        <v>0</v>
      </c>
      <c r="M15" s="162">
        <f t="shared" si="2"/>
        <v>0</v>
      </c>
      <c r="N15" s="162">
        <f t="shared" si="3"/>
        <v>0</v>
      </c>
      <c r="O15" s="162">
        <f t="shared" si="4"/>
        <v>0</v>
      </c>
      <c r="P15" s="123"/>
      <c r="Q15" s="129" t="s">
        <v>10</v>
      </c>
      <c r="R15" s="128"/>
      <c r="S15" s="128"/>
      <c r="T15" s="128"/>
      <c r="U15" s="128"/>
      <c r="V15" s="128"/>
      <c r="AA15" s="9"/>
    </row>
    <row r="16" spans="1:30" x14ac:dyDescent="0.2">
      <c r="C16" s="161" t="s">
        <v>8</v>
      </c>
      <c r="D16" s="130"/>
      <c r="E16" s="130"/>
      <c r="F16" s="130"/>
      <c r="G16" s="130"/>
      <c r="H16" s="130"/>
      <c r="I16" s="127"/>
      <c r="J16" s="161" t="s">
        <v>8</v>
      </c>
      <c r="K16" s="162">
        <f t="shared" si="0"/>
        <v>0</v>
      </c>
      <c r="L16" s="162">
        <f t="shared" si="1"/>
        <v>0</v>
      </c>
      <c r="M16" s="162">
        <f t="shared" si="2"/>
        <v>0</v>
      </c>
      <c r="N16" s="162">
        <f t="shared" si="3"/>
        <v>0</v>
      </c>
      <c r="O16" s="162">
        <f t="shared" si="4"/>
        <v>0</v>
      </c>
      <c r="P16" s="123"/>
      <c r="Q16" s="129" t="s">
        <v>8</v>
      </c>
      <c r="R16" s="128"/>
      <c r="S16" s="128"/>
      <c r="T16" s="128"/>
      <c r="U16" s="128"/>
      <c r="V16" s="128"/>
    </row>
    <row r="17" spans="3:27" x14ac:dyDescent="0.2">
      <c r="C17" s="161" t="s">
        <v>9</v>
      </c>
      <c r="D17" s="130"/>
      <c r="E17" s="130"/>
      <c r="F17" s="130"/>
      <c r="G17" s="130"/>
      <c r="H17" s="130"/>
      <c r="I17" s="127"/>
      <c r="J17" s="161" t="s">
        <v>9</v>
      </c>
      <c r="K17" s="162">
        <f t="shared" si="0"/>
        <v>0</v>
      </c>
      <c r="L17" s="162">
        <f t="shared" si="1"/>
        <v>0</v>
      </c>
      <c r="M17" s="162">
        <f t="shared" si="2"/>
        <v>0</v>
      </c>
      <c r="N17" s="162">
        <f t="shared" si="3"/>
        <v>0</v>
      </c>
      <c r="O17" s="162">
        <f t="shared" si="4"/>
        <v>0</v>
      </c>
      <c r="P17" s="123"/>
      <c r="Q17" s="129" t="s">
        <v>9</v>
      </c>
      <c r="R17" s="128"/>
      <c r="S17" s="128"/>
      <c r="T17" s="128"/>
      <c r="U17" s="128"/>
      <c r="V17" s="128"/>
    </row>
    <row r="18" spans="3:27" x14ac:dyDescent="0.2">
      <c r="C18" s="127" t="s">
        <v>1</v>
      </c>
      <c r="D18" s="128">
        <v>8.2451754491303859</v>
      </c>
      <c r="E18" s="128">
        <v>14.870672398778597</v>
      </c>
      <c r="F18" s="128">
        <v>21</v>
      </c>
      <c r="G18" s="128">
        <v>32</v>
      </c>
      <c r="H18" s="128">
        <v>46</v>
      </c>
      <c r="I18" s="127"/>
      <c r="J18" s="127" t="s">
        <v>1</v>
      </c>
      <c r="K18" s="158">
        <f t="shared" si="0"/>
        <v>8.2451754491303859</v>
      </c>
      <c r="L18" s="158">
        <f t="shared" si="1"/>
        <v>14.870672398778597</v>
      </c>
      <c r="M18" s="158">
        <f t="shared" si="2"/>
        <v>21</v>
      </c>
      <c r="N18" s="158">
        <f t="shared" si="3"/>
        <v>32</v>
      </c>
      <c r="O18" s="158">
        <f t="shared" si="4"/>
        <v>46</v>
      </c>
      <c r="P18" s="123"/>
      <c r="Q18" s="127" t="s">
        <v>1</v>
      </c>
      <c r="R18" s="128">
        <v>229.70774040390654</v>
      </c>
      <c r="S18" s="128">
        <v>243</v>
      </c>
      <c r="T18" s="128">
        <v>277</v>
      </c>
      <c r="U18" s="128">
        <v>318</v>
      </c>
      <c r="V18" s="128">
        <v>363</v>
      </c>
      <c r="W18" s="9"/>
      <c r="X18" s="195" t="s">
        <v>193</v>
      </c>
    </row>
    <row r="19" spans="3:27" x14ac:dyDescent="0.2">
      <c r="C19" s="127" t="s">
        <v>2</v>
      </c>
      <c r="D19" s="128">
        <v>7.0890000000000004</v>
      </c>
      <c r="E19" s="128">
        <v>9.0157343999999995</v>
      </c>
      <c r="F19" s="128">
        <v>11.776803060000001</v>
      </c>
      <c r="G19" s="128">
        <v>14.999928108000002</v>
      </c>
      <c r="H19" s="128">
        <v>19.499906540400005</v>
      </c>
      <c r="I19" s="127"/>
      <c r="J19" s="127" t="s">
        <v>2</v>
      </c>
      <c r="K19" s="158">
        <f t="shared" si="0"/>
        <v>7.0890000000000004</v>
      </c>
      <c r="L19" s="158">
        <f t="shared" si="1"/>
        <v>9.0157343999999995</v>
      </c>
      <c r="M19" s="158">
        <f t="shared" si="2"/>
        <v>11.776803060000001</v>
      </c>
      <c r="N19" s="158">
        <f t="shared" si="3"/>
        <v>14.999928108000002</v>
      </c>
      <c r="O19" s="158">
        <f t="shared" si="4"/>
        <v>19.499906540400005</v>
      </c>
      <c r="P19" s="123"/>
      <c r="Q19" s="127" t="s">
        <v>2</v>
      </c>
      <c r="R19" s="128">
        <v>105.324</v>
      </c>
      <c r="S19" s="128">
        <v>112.69668</v>
      </c>
      <c r="T19" s="128">
        <v>123.96634800000001</v>
      </c>
      <c r="U19" s="128">
        <v>136.36298280000003</v>
      </c>
      <c r="V19" s="128">
        <v>149.99928108000003</v>
      </c>
      <c r="W19" s="9"/>
      <c r="X19" s="195" t="s">
        <v>192</v>
      </c>
    </row>
    <row r="20" spans="3:27" x14ac:dyDescent="0.2">
      <c r="C20" s="127" t="s">
        <v>3</v>
      </c>
      <c r="D20" s="128">
        <v>8.4</v>
      </c>
      <c r="E20" s="128">
        <v>8.5260000000000016</v>
      </c>
      <c r="F20" s="128">
        <v>10.742759999999999</v>
      </c>
      <c r="G20" s="128">
        <v>14.0679</v>
      </c>
      <c r="H20" s="128">
        <v>18.384187500000003</v>
      </c>
      <c r="I20" s="127"/>
      <c r="J20" s="127" t="s">
        <v>3</v>
      </c>
      <c r="K20" s="158">
        <f t="shared" si="0"/>
        <v>8.4</v>
      </c>
      <c r="L20" s="158">
        <f t="shared" si="1"/>
        <v>8.5260000000000016</v>
      </c>
      <c r="M20" s="158">
        <f t="shared" si="2"/>
        <v>10.742759999999999</v>
      </c>
      <c r="N20" s="158">
        <f t="shared" si="3"/>
        <v>14.0679</v>
      </c>
      <c r="O20" s="158">
        <f t="shared" si="4"/>
        <v>18.384187500000003</v>
      </c>
      <c r="P20" s="123"/>
      <c r="Q20" s="127" t="s">
        <v>3</v>
      </c>
      <c r="R20" s="128">
        <v>40.6</v>
      </c>
      <c r="S20" s="128">
        <v>42.63</v>
      </c>
      <c r="T20" s="128">
        <v>51.155999999999999</v>
      </c>
      <c r="U20" s="128">
        <v>63.945</v>
      </c>
      <c r="V20" s="128">
        <v>79.931250000000006</v>
      </c>
      <c r="W20" s="9"/>
      <c r="X20" s="195" t="s">
        <v>192</v>
      </c>
    </row>
    <row r="21" spans="3:27" x14ac:dyDescent="0.2">
      <c r="C21" s="127" t="s">
        <v>4</v>
      </c>
      <c r="D21" s="128">
        <v>4.4320000000000004</v>
      </c>
      <c r="E21" s="128">
        <v>7.02</v>
      </c>
      <c r="F21" s="128">
        <v>10.200000000000001</v>
      </c>
      <c r="G21" s="128">
        <v>14.025</v>
      </c>
      <c r="H21" s="128">
        <v>18.36</v>
      </c>
      <c r="I21" s="127"/>
      <c r="J21" s="127" t="s">
        <v>4</v>
      </c>
      <c r="K21" s="158">
        <f t="shared" si="0"/>
        <v>4.4320000000000004</v>
      </c>
      <c r="L21" s="158">
        <f t="shared" si="1"/>
        <v>7.02</v>
      </c>
      <c r="M21" s="158">
        <f t="shared" si="2"/>
        <v>10.200000000000001</v>
      </c>
      <c r="N21" s="158">
        <f t="shared" si="3"/>
        <v>14.025</v>
      </c>
      <c r="O21" s="158">
        <f t="shared" si="4"/>
        <v>18.36</v>
      </c>
      <c r="P21" s="123"/>
      <c r="Q21" s="127" t="s">
        <v>4</v>
      </c>
      <c r="R21" s="128">
        <v>28.867000000000001</v>
      </c>
      <c r="S21" s="128">
        <v>39</v>
      </c>
      <c r="T21" s="128">
        <v>51</v>
      </c>
      <c r="U21" s="128">
        <v>63.75</v>
      </c>
      <c r="V21" s="128">
        <v>76.5</v>
      </c>
      <c r="W21" s="9"/>
      <c r="X21" s="195" t="s">
        <v>192</v>
      </c>
    </row>
    <row r="22" spans="3:27" x14ac:dyDescent="0.2">
      <c r="C22" s="127" t="s">
        <v>5</v>
      </c>
      <c r="D22" s="128">
        <v>3.4035504827902647</v>
      </c>
      <c r="E22" s="128">
        <v>4.3018545791822307</v>
      </c>
      <c r="F22" s="128">
        <v>5.410926462877649</v>
      </c>
      <c r="G22" s="128">
        <v>6.9027961876424859</v>
      </c>
      <c r="H22" s="128">
        <v>8.7193215001799835</v>
      </c>
      <c r="I22" s="127"/>
      <c r="J22" s="127" t="s">
        <v>5</v>
      </c>
      <c r="K22" s="158">
        <f t="shared" si="0"/>
        <v>3.4035504827902647</v>
      </c>
      <c r="L22" s="158">
        <f t="shared" si="1"/>
        <v>4.3018545791822307</v>
      </c>
      <c r="M22" s="158">
        <f t="shared" si="2"/>
        <v>5.410926462877649</v>
      </c>
      <c r="N22" s="158">
        <f t="shared" si="3"/>
        <v>6.9027961876424859</v>
      </c>
      <c r="O22" s="158">
        <f t="shared" si="4"/>
        <v>8.7193215001799835</v>
      </c>
      <c r="P22" s="123"/>
      <c r="Q22" s="127" t="s">
        <v>5</v>
      </c>
      <c r="R22" s="128">
        <v>23.899192106567948</v>
      </c>
      <c r="S22" s="128">
        <v>26.886591119888941</v>
      </c>
      <c r="T22" s="128">
        <v>30.91957978787228</v>
      </c>
      <c r="U22" s="128">
        <v>36.330506250749927</v>
      </c>
      <c r="V22" s="128">
        <v>43.596607500899914</v>
      </c>
      <c r="W22" s="9"/>
      <c r="X22" s="195" t="s">
        <v>192</v>
      </c>
    </row>
    <row r="23" spans="3:27" x14ac:dyDescent="0.2">
      <c r="C23" s="131" t="s">
        <v>6</v>
      </c>
      <c r="D23" s="132">
        <v>-0.15081</v>
      </c>
      <c r="E23" s="132">
        <v>0</v>
      </c>
      <c r="F23" s="132">
        <v>0.42924734999999997</v>
      </c>
      <c r="G23" s="132">
        <v>1.1804302125000001</v>
      </c>
      <c r="H23" s="132">
        <v>2.5969464675000005</v>
      </c>
      <c r="I23" s="127"/>
      <c r="J23" s="131" t="s">
        <v>6</v>
      </c>
      <c r="K23" s="159">
        <f t="shared" si="0"/>
        <v>-0.15081</v>
      </c>
      <c r="L23" s="159">
        <f t="shared" si="1"/>
        <v>0</v>
      </c>
      <c r="M23" s="159">
        <f t="shared" si="2"/>
        <v>0.42924734999999997</v>
      </c>
      <c r="N23" s="159">
        <f t="shared" si="3"/>
        <v>1.1804302125000001</v>
      </c>
      <c r="O23" s="159">
        <f t="shared" si="4"/>
        <v>2.5969464675000005</v>
      </c>
      <c r="P23" s="123"/>
      <c r="Q23" s="131" t="s">
        <v>6</v>
      </c>
      <c r="R23" s="132">
        <v>19.466999999999999</v>
      </c>
      <c r="S23" s="132">
        <v>20.440349999999999</v>
      </c>
      <c r="T23" s="132">
        <v>21.462367499999999</v>
      </c>
      <c r="U23" s="132">
        <v>23.608604250000003</v>
      </c>
      <c r="V23" s="132">
        <v>25.969464675000005</v>
      </c>
      <c r="W23" s="9"/>
      <c r="X23" s="195" t="s">
        <v>192</v>
      </c>
    </row>
    <row r="24" spans="3:27" x14ac:dyDescent="0.2"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</row>
    <row r="25" spans="3:27" x14ac:dyDescent="0.2">
      <c r="C25" s="182" t="s">
        <v>191</v>
      </c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</row>
    <row r="26" spans="3:27" x14ac:dyDescent="0.2">
      <c r="C26" s="123" t="s">
        <v>155</v>
      </c>
      <c r="D26" s="145">
        <v>1</v>
      </c>
      <c r="E26" s="123" t="s">
        <v>156</v>
      </c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</row>
    <row r="27" spans="3:27" ht="13.5" thickBot="1" x14ac:dyDescent="0.25">
      <c r="C27" s="124" t="s">
        <v>16</v>
      </c>
      <c r="D27" s="124">
        <v>2015</v>
      </c>
      <c r="E27" s="124">
        <v>2016</v>
      </c>
      <c r="F27" s="124">
        <v>2017</v>
      </c>
      <c r="G27" s="124">
        <v>2018</v>
      </c>
      <c r="H27" s="124">
        <v>2019</v>
      </c>
      <c r="I27" s="127"/>
      <c r="J27" s="124" t="s">
        <v>157</v>
      </c>
      <c r="K27" s="124">
        <v>2015</v>
      </c>
      <c r="L27" s="124">
        <v>2016</v>
      </c>
      <c r="M27" s="124">
        <v>2017</v>
      </c>
      <c r="N27" s="124">
        <v>2018</v>
      </c>
      <c r="O27" s="124">
        <v>2019</v>
      </c>
      <c r="P27" s="123"/>
      <c r="Q27" s="124" t="s">
        <v>108</v>
      </c>
      <c r="R27" s="124">
        <v>2015</v>
      </c>
      <c r="S27" s="124">
        <v>2016</v>
      </c>
      <c r="T27" s="124">
        <v>2017</v>
      </c>
      <c r="U27" s="124">
        <v>2018</v>
      </c>
      <c r="V27" s="124">
        <v>2019</v>
      </c>
    </row>
    <row r="28" spans="3:27" ht="13.5" thickBot="1" x14ac:dyDescent="0.25">
      <c r="C28" s="125" t="s">
        <v>11</v>
      </c>
      <c r="D28" s="126">
        <f>SUM(D29,D34:D39)</f>
        <v>55.864260988748086</v>
      </c>
      <c r="E28" s="126">
        <f>SUM(E29,E34:E39)</f>
        <v>67.47540548522349</v>
      </c>
      <c r="F28" s="126">
        <f>SUM(F29,F34:F39)</f>
        <v>77.052755285650079</v>
      </c>
      <c r="G28" s="126">
        <f>SUM(G29,G34:G39)</f>
        <v>91.971160374999997</v>
      </c>
      <c r="H28" s="126">
        <f>SUM(H29,H34:H39)</f>
        <v>108.98715839506251</v>
      </c>
      <c r="I28" s="127"/>
      <c r="J28" s="125" t="s">
        <v>11</v>
      </c>
      <c r="K28" s="126">
        <f>SUM(K29,K34:K39)</f>
        <v>55.864260988748086</v>
      </c>
      <c r="L28" s="126">
        <f>SUM(L29,L34:L39)</f>
        <v>67.47540548522349</v>
      </c>
      <c r="M28" s="126">
        <f>SUM(M29,M34:M39)</f>
        <v>77.052755285650079</v>
      </c>
      <c r="N28" s="126">
        <f>SUM(N29,N34:N39)</f>
        <v>91.971160374999997</v>
      </c>
      <c r="O28" s="126">
        <f>SUM(O29,O34:O39)</f>
        <v>108.98715839506251</v>
      </c>
      <c r="P28" s="123"/>
      <c r="Q28" s="125" t="s">
        <v>11</v>
      </c>
      <c r="R28" s="144">
        <f>SUM(R29,R34:R39)</f>
        <v>884.37438341148459</v>
      </c>
      <c r="S28" s="144">
        <f>SUM(S29,S34:S39)</f>
        <v>944.54429999999991</v>
      </c>
      <c r="T28" s="144">
        <f>SUM(T29,T34:T39)</f>
        <v>1013.8672025000001</v>
      </c>
      <c r="U28" s="144">
        <f>SUM(U29,U34:U39)</f>
        <v>1103.377143875</v>
      </c>
      <c r="V28" s="144">
        <f>SUM(V29,V34:V39)</f>
        <v>1186.27953044375</v>
      </c>
      <c r="X28" s="201"/>
      <c r="Y28" s="9"/>
    </row>
    <row r="29" spans="3:27" ht="13.5" thickTop="1" x14ac:dyDescent="0.2">
      <c r="C29" s="127" t="s">
        <v>0</v>
      </c>
      <c r="D29" s="128">
        <v>24.445345056827435</v>
      </c>
      <c r="E29" s="128">
        <v>27</v>
      </c>
      <c r="F29" s="128">
        <v>28</v>
      </c>
      <c r="G29" s="128">
        <v>29</v>
      </c>
      <c r="H29" s="128">
        <v>30</v>
      </c>
      <c r="I29" s="127"/>
      <c r="J29" s="127" t="s">
        <v>0</v>
      </c>
      <c r="K29" s="158">
        <f t="shared" ref="K29:K39" si="5">$D$26*D29</f>
        <v>24.445345056827435</v>
      </c>
      <c r="L29" s="158">
        <f t="shared" ref="L29:L39" si="6">$D$26*E29</f>
        <v>27</v>
      </c>
      <c r="M29" s="158">
        <f t="shared" ref="M29:M39" si="7">$D$26*F29</f>
        <v>28</v>
      </c>
      <c r="N29" s="158">
        <f t="shared" ref="N29:N39" si="8">$D$26*G29</f>
        <v>29</v>
      </c>
      <c r="O29" s="158">
        <f>$D$26*H29</f>
        <v>30</v>
      </c>
      <c r="P29" s="123"/>
      <c r="Q29" s="127" t="s">
        <v>0</v>
      </c>
      <c r="R29" s="128">
        <v>436.5094509010101</v>
      </c>
      <c r="S29" s="128">
        <v>471</v>
      </c>
      <c r="T29" s="128">
        <v>500</v>
      </c>
      <c r="U29" s="128">
        <v>533.5</v>
      </c>
      <c r="V29" s="128">
        <v>560.5</v>
      </c>
      <c r="X29" s="195" t="s">
        <v>192</v>
      </c>
      <c r="Y29" s="9"/>
    </row>
    <row r="30" spans="3:27" x14ac:dyDescent="0.2">
      <c r="C30" s="161" t="s">
        <v>7</v>
      </c>
      <c r="D30" s="200"/>
      <c r="E30" s="200"/>
      <c r="F30" s="200"/>
      <c r="G30" s="200"/>
      <c r="H30" s="200"/>
      <c r="I30" s="127"/>
      <c r="J30" s="161" t="s">
        <v>7</v>
      </c>
      <c r="K30" s="162">
        <f t="shared" si="5"/>
        <v>0</v>
      </c>
      <c r="L30" s="162">
        <f t="shared" si="6"/>
        <v>0</v>
      </c>
      <c r="M30" s="162">
        <f t="shared" si="7"/>
        <v>0</v>
      </c>
      <c r="N30" s="162">
        <f t="shared" si="8"/>
        <v>0</v>
      </c>
      <c r="O30" s="162">
        <f t="shared" ref="O30:O39" si="9">$D$26*H30</f>
        <v>0</v>
      </c>
      <c r="P30" s="123"/>
      <c r="Q30" s="129" t="s">
        <v>7</v>
      </c>
      <c r="R30" s="128"/>
      <c r="S30" s="128"/>
      <c r="T30" s="128"/>
      <c r="U30" s="203"/>
      <c r="V30" s="204"/>
      <c r="W30" s="9"/>
      <c r="AA30" s="9"/>
    </row>
    <row r="31" spans="3:27" x14ac:dyDescent="0.2">
      <c r="C31" s="161" t="s">
        <v>10</v>
      </c>
      <c r="D31" s="130"/>
      <c r="E31" s="130"/>
      <c r="F31" s="130"/>
      <c r="G31" s="130"/>
      <c r="H31" s="130"/>
      <c r="I31" s="127"/>
      <c r="J31" s="161" t="s">
        <v>10</v>
      </c>
      <c r="K31" s="162">
        <f t="shared" si="5"/>
        <v>0</v>
      </c>
      <c r="L31" s="162">
        <f t="shared" si="6"/>
        <v>0</v>
      </c>
      <c r="M31" s="162">
        <f t="shared" si="7"/>
        <v>0</v>
      </c>
      <c r="N31" s="162">
        <f t="shared" si="8"/>
        <v>0</v>
      </c>
      <c r="O31" s="162">
        <f t="shared" si="9"/>
        <v>0</v>
      </c>
      <c r="P31" s="123"/>
      <c r="Q31" s="129" t="s">
        <v>10</v>
      </c>
      <c r="R31" s="128"/>
      <c r="S31" s="128"/>
      <c r="T31" s="128"/>
      <c r="U31" s="128"/>
      <c r="V31" s="128"/>
      <c r="AA31" s="9"/>
    </row>
    <row r="32" spans="3:27" x14ac:dyDescent="0.2">
      <c r="C32" s="161" t="s">
        <v>8</v>
      </c>
      <c r="D32" s="130"/>
      <c r="E32" s="130"/>
      <c r="F32" s="130"/>
      <c r="G32" s="130"/>
      <c r="H32" s="130"/>
      <c r="I32" s="127"/>
      <c r="J32" s="161" t="s">
        <v>8</v>
      </c>
      <c r="K32" s="162">
        <f t="shared" si="5"/>
        <v>0</v>
      </c>
      <c r="L32" s="162">
        <f t="shared" si="6"/>
        <v>0</v>
      </c>
      <c r="M32" s="162">
        <f t="shared" si="7"/>
        <v>0</v>
      </c>
      <c r="N32" s="162">
        <f t="shared" si="8"/>
        <v>0</v>
      </c>
      <c r="O32" s="162">
        <f t="shared" si="9"/>
        <v>0</v>
      </c>
      <c r="P32" s="123"/>
      <c r="Q32" s="129" t="s">
        <v>8</v>
      </c>
      <c r="R32" s="128"/>
      <c r="S32" s="128"/>
      <c r="T32" s="128"/>
      <c r="U32" s="128"/>
      <c r="V32" s="128"/>
    </row>
    <row r="33" spans="3:27" x14ac:dyDescent="0.2">
      <c r="C33" s="161" t="s">
        <v>9</v>
      </c>
      <c r="D33" s="130"/>
      <c r="E33" s="130"/>
      <c r="F33" s="130"/>
      <c r="G33" s="130"/>
      <c r="H33" s="130"/>
      <c r="I33" s="127"/>
      <c r="J33" s="161" t="s">
        <v>9</v>
      </c>
      <c r="K33" s="162">
        <f t="shared" si="5"/>
        <v>0</v>
      </c>
      <c r="L33" s="162">
        <f t="shared" si="6"/>
        <v>0</v>
      </c>
      <c r="M33" s="162">
        <f t="shared" si="7"/>
        <v>0</v>
      </c>
      <c r="N33" s="162">
        <f t="shared" si="8"/>
        <v>0</v>
      </c>
      <c r="O33" s="162">
        <f t="shared" si="9"/>
        <v>0</v>
      </c>
      <c r="P33" s="123"/>
      <c r="Q33" s="129" t="s">
        <v>9</v>
      </c>
      <c r="R33" s="128"/>
      <c r="S33" s="128"/>
      <c r="T33" s="128"/>
      <c r="U33" s="128"/>
      <c r="V33" s="128"/>
    </row>
    <row r="34" spans="3:27" x14ac:dyDescent="0.2">
      <c r="C34" s="127" t="s">
        <v>1</v>
      </c>
      <c r="D34" s="128">
        <v>8.2451754491303859</v>
      </c>
      <c r="E34" s="128">
        <v>14.564691485223483</v>
      </c>
      <c r="F34" s="128">
        <v>18.126898560650073</v>
      </c>
      <c r="G34" s="128">
        <v>26</v>
      </c>
      <c r="H34" s="128">
        <v>35</v>
      </c>
      <c r="I34" s="127"/>
      <c r="J34" s="127" t="s">
        <v>1</v>
      </c>
      <c r="K34" s="158">
        <f t="shared" si="5"/>
        <v>8.2451754491303859</v>
      </c>
      <c r="L34" s="158">
        <f t="shared" si="6"/>
        <v>14.564691485223483</v>
      </c>
      <c r="M34" s="158">
        <f t="shared" si="7"/>
        <v>18.126898560650073</v>
      </c>
      <c r="N34" s="158">
        <f t="shared" si="8"/>
        <v>26</v>
      </c>
      <c r="O34" s="158">
        <f t="shared" si="9"/>
        <v>35</v>
      </c>
      <c r="P34" s="123"/>
      <c r="Q34" s="127" t="s">
        <v>1</v>
      </c>
      <c r="R34" s="128">
        <v>229.70774040390654</v>
      </c>
      <c r="S34" s="128">
        <v>238</v>
      </c>
      <c r="T34" s="128">
        <v>261</v>
      </c>
      <c r="U34" s="128">
        <v>297</v>
      </c>
      <c r="V34" s="128">
        <v>329</v>
      </c>
      <c r="X34" s="195" t="s">
        <v>193</v>
      </c>
    </row>
    <row r="35" spans="3:27" x14ac:dyDescent="0.2">
      <c r="C35" s="127" t="s">
        <v>2</v>
      </c>
      <c r="D35" s="128">
        <v>7.0890000000000004</v>
      </c>
      <c r="E35" s="128">
        <v>7.741314</v>
      </c>
      <c r="F35" s="128">
        <v>9.2895768000000007</v>
      </c>
      <c r="G35" s="128">
        <v>10.973312594999999</v>
      </c>
      <c r="H35" s="128">
        <v>12.802198027500001</v>
      </c>
      <c r="I35" s="127"/>
      <c r="J35" s="127" t="s">
        <v>2</v>
      </c>
      <c r="K35" s="158">
        <f t="shared" si="5"/>
        <v>7.0890000000000004</v>
      </c>
      <c r="L35" s="158">
        <f t="shared" si="6"/>
        <v>7.741314</v>
      </c>
      <c r="M35" s="158">
        <f t="shared" si="7"/>
        <v>9.2895768000000007</v>
      </c>
      <c r="N35" s="158">
        <f t="shared" si="8"/>
        <v>10.973312594999999</v>
      </c>
      <c r="O35" s="158">
        <f t="shared" si="9"/>
        <v>12.802198027500001</v>
      </c>
      <c r="P35" s="123"/>
      <c r="Q35" s="127" t="s">
        <v>2</v>
      </c>
      <c r="R35" s="128">
        <v>105.324</v>
      </c>
      <c r="S35" s="128">
        <v>110.5902</v>
      </c>
      <c r="T35" s="128">
        <v>116.11971</v>
      </c>
      <c r="U35" s="128">
        <v>121.9256955</v>
      </c>
      <c r="V35" s="128">
        <v>128.021980275</v>
      </c>
      <c r="X35" s="195" t="s">
        <v>192</v>
      </c>
    </row>
    <row r="36" spans="3:27" x14ac:dyDescent="0.2">
      <c r="C36" s="127" t="s">
        <v>3</v>
      </c>
      <c r="D36" s="128">
        <v>8.4</v>
      </c>
      <c r="E36" s="128">
        <v>8.5260000000000016</v>
      </c>
      <c r="F36" s="128">
        <v>10.081995000000001</v>
      </c>
      <c r="G36" s="128">
        <v>11.869790625000002</v>
      </c>
      <c r="H36" s="128">
        <v>13.953598312500002</v>
      </c>
      <c r="I36" s="127"/>
      <c r="J36" s="127" t="s">
        <v>3</v>
      </c>
      <c r="K36" s="158">
        <f t="shared" si="5"/>
        <v>8.4</v>
      </c>
      <c r="L36" s="158">
        <f t="shared" si="6"/>
        <v>8.5260000000000016</v>
      </c>
      <c r="M36" s="158">
        <f t="shared" si="7"/>
        <v>10.081995000000001</v>
      </c>
      <c r="N36" s="158">
        <f t="shared" si="8"/>
        <v>11.869790625000002</v>
      </c>
      <c r="O36" s="158">
        <f t="shared" si="9"/>
        <v>13.953598312500002</v>
      </c>
      <c r="P36" s="123"/>
      <c r="Q36" s="127" t="s">
        <v>3</v>
      </c>
      <c r="R36" s="128">
        <v>40.6</v>
      </c>
      <c r="S36" s="128">
        <v>42.63</v>
      </c>
      <c r="T36" s="128">
        <v>46.893000000000008</v>
      </c>
      <c r="U36" s="128">
        <v>52.754625000000011</v>
      </c>
      <c r="V36" s="128">
        <v>60.667818750000009</v>
      </c>
      <c r="X36" s="195" t="s">
        <v>192</v>
      </c>
    </row>
    <row r="37" spans="3:27" x14ac:dyDescent="0.2">
      <c r="C37" s="127" t="s">
        <v>4</v>
      </c>
      <c r="D37" s="128">
        <v>4.4320000000000004</v>
      </c>
      <c r="E37" s="128">
        <v>5.7734000000000005</v>
      </c>
      <c r="F37" s="128">
        <v>6.7476612500000011</v>
      </c>
      <c r="G37" s="128">
        <v>8.0773474375000021</v>
      </c>
      <c r="H37" s="128">
        <v>9.6054942500000031</v>
      </c>
      <c r="I37" s="127"/>
      <c r="J37" s="127" t="s">
        <v>4</v>
      </c>
      <c r="K37" s="158">
        <f t="shared" si="5"/>
        <v>4.4320000000000004</v>
      </c>
      <c r="L37" s="158">
        <f t="shared" si="6"/>
        <v>5.7734000000000005</v>
      </c>
      <c r="M37" s="158">
        <f t="shared" si="7"/>
        <v>6.7476612500000011</v>
      </c>
      <c r="N37" s="158">
        <f t="shared" si="8"/>
        <v>8.0773474375000021</v>
      </c>
      <c r="O37" s="158">
        <f t="shared" si="9"/>
        <v>9.6054942500000031</v>
      </c>
      <c r="P37" s="123"/>
      <c r="Q37" s="127" t="s">
        <v>4</v>
      </c>
      <c r="R37" s="128">
        <v>28.867000000000001</v>
      </c>
      <c r="S37" s="128">
        <v>36.083750000000002</v>
      </c>
      <c r="T37" s="128">
        <v>39.692125000000004</v>
      </c>
      <c r="U37" s="128">
        <v>43.661337500000009</v>
      </c>
      <c r="V37" s="128">
        <v>48.027471250000012</v>
      </c>
      <c r="X37" s="195" t="s">
        <v>192</v>
      </c>
    </row>
    <row r="38" spans="3:27" x14ac:dyDescent="0.2">
      <c r="C38" s="127" t="s">
        <v>5</v>
      </c>
      <c r="D38" s="128">
        <v>3.4035504827902647</v>
      </c>
      <c r="E38" s="128">
        <v>3.8699999999999992</v>
      </c>
      <c r="F38" s="128">
        <v>4.5919999999999996</v>
      </c>
      <c r="G38" s="128">
        <v>5.5999999999999988</v>
      </c>
      <c r="H38" s="128">
        <v>6.9159999999999986</v>
      </c>
      <c r="I38" s="127"/>
      <c r="J38" s="127" t="s">
        <v>5</v>
      </c>
      <c r="K38" s="158">
        <f t="shared" si="5"/>
        <v>3.4035504827902647</v>
      </c>
      <c r="L38" s="158">
        <f t="shared" si="6"/>
        <v>3.8699999999999992</v>
      </c>
      <c r="M38" s="158">
        <f t="shared" si="7"/>
        <v>4.5919999999999996</v>
      </c>
      <c r="N38" s="158">
        <f t="shared" si="8"/>
        <v>5.5999999999999988</v>
      </c>
      <c r="O38" s="158">
        <f t="shared" si="9"/>
        <v>6.9159999999999986</v>
      </c>
      <c r="P38" s="123"/>
      <c r="Q38" s="127" t="s">
        <v>5</v>
      </c>
      <c r="R38" s="128">
        <v>23.899192106567948</v>
      </c>
      <c r="S38" s="128">
        <v>25.799999999999997</v>
      </c>
      <c r="T38" s="128">
        <v>28.699999999999996</v>
      </c>
      <c r="U38" s="128">
        <v>31.999999999999993</v>
      </c>
      <c r="V38" s="128">
        <v>36.399999999999991</v>
      </c>
      <c r="X38" s="195" t="s">
        <v>192</v>
      </c>
    </row>
    <row r="39" spans="3:27" x14ac:dyDescent="0.2">
      <c r="C39" s="131" t="s">
        <v>6</v>
      </c>
      <c r="D39" s="132">
        <v>-0.15081</v>
      </c>
      <c r="E39" s="132">
        <v>0</v>
      </c>
      <c r="F39" s="132">
        <v>0.21462367499999999</v>
      </c>
      <c r="G39" s="132">
        <v>0.4507097175</v>
      </c>
      <c r="H39" s="196">
        <v>0.70986780506249991</v>
      </c>
      <c r="I39" s="127"/>
      <c r="J39" s="131" t="s">
        <v>6</v>
      </c>
      <c r="K39" s="159">
        <f t="shared" si="5"/>
        <v>-0.15081</v>
      </c>
      <c r="L39" s="159">
        <f t="shared" si="6"/>
        <v>0</v>
      </c>
      <c r="M39" s="159">
        <f t="shared" si="7"/>
        <v>0.21462367499999999</v>
      </c>
      <c r="N39" s="159">
        <f t="shared" si="8"/>
        <v>0.4507097175</v>
      </c>
      <c r="O39" s="159">
        <f t="shared" si="9"/>
        <v>0.70986780506249991</v>
      </c>
      <c r="P39" s="123"/>
      <c r="Q39" s="131" t="s">
        <v>6</v>
      </c>
      <c r="R39" s="132">
        <v>19.466999999999999</v>
      </c>
      <c r="S39" s="132">
        <v>20.440349999999999</v>
      </c>
      <c r="T39" s="132">
        <v>21.462367499999999</v>
      </c>
      <c r="U39" s="132">
        <v>22.535485874999999</v>
      </c>
      <c r="V39" s="132">
        <v>23.662260168749999</v>
      </c>
      <c r="X39" s="195" t="s">
        <v>192</v>
      </c>
    </row>
    <row r="40" spans="3:27" x14ac:dyDescent="0.2"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AA40" s="9"/>
    </row>
    <row r="41" spans="3:27" x14ac:dyDescent="0.2">
      <c r="C41" s="182" t="s">
        <v>169</v>
      </c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AA41" s="9"/>
    </row>
    <row r="42" spans="3:27" x14ac:dyDescent="0.2">
      <c r="C42" s="123" t="s">
        <v>155</v>
      </c>
      <c r="D42" s="145">
        <v>1</v>
      </c>
      <c r="E42" s="123" t="s">
        <v>156</v>
      </c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AA42" s="9"/>
    </row>
    <row r="43" spans="3:27" ht="13.5" thickBot="1" x14ac:dyDescent="0.25">
      <c r="C43" s="124" t="s">
        <v>16</v>
      </c>
      <c r="D43" s="124">
        <v>2015</v>
      </c>
      <c r="E43" s="124">
        <v>2016</v>
      </c>
      <c r="F43" s="124">
        <v>2017</v>
      </c>
      <c r="G43" s="124">
        <v>2018</v>
      </c>
      <c r="H43" s="124">
        <v>2019</v>
      </c>
      <c r="I43" s="127"/>
      <c r="J43" s="124" t="s">
        <v>157</v>
      </c>
      <c r="K43" s="124">
        <v>2015</v>
      </c>
      <c r="L43" s="124">
        <v>2016</v>
      </c>
      <c r="M43" s="124">
        <v>2017</v>
      </c>
      <c r="N43" s="124">
        <v>2018</v>
      </c>
      <c r="O43" s="124">
        <v>2019</v>
      </c>
      <c r="P43" s="123"/>
      <c r="Q43" s="124" t="s">
        <v>108</v>
      </c>
      <c r="R43" s="124">
        <v>2015</v>
      </c>
      <c r="S43" s="124">
        <v>2016</v>
      </c>
      <c r="T43" s="124">
        <v>2017</v>
      </c>
      <c r="U43" s="124">
        <v>2018</v>
      </c>
      <c r="V43" s="124">
        <v>2019</v>
      </c>
      <c r="AA43" s="9"/>
    </row>
    <row r="44" spans="3:27" ht="13.5" thickBot="1" x14ac:dyDescent="0.25">
      <c r="C44" s="125" t="s">
        <v>11</v>
      </c>
      <c r="D44" s="126">
        <f>SUM(D45,D50:D55)</f>
        <v>55.864260988748086</v>
      </c>
      <c r="E44" s="126">
        <f>SUM(E45,E50:E55)</f>
        <v>60.281208201056529</v>
      </c>
      <c r="F44" s="126">
        <f>SUM(F45,F50:F55)</f>
        <v>62.850301228982211</v>
      </c>
      <c r="G44" s="126">
        <f>SUM(G45,G50:G55)</f>
        <v>66.852417590341787</v>
      </c>
      <c r="H44" s="126">
        <f>SUM(H45,H50:H55)</f>
        <v>68.743326676688753</v>
      </c>
      <c r="I44" s="127"/>
      <c r="J44" s="125" t="s">
        <v>11</v>
      </c>
      <c r="K44" s="126">
        <f>SUM(K45,K50:K55)</f>
        <v>55.864260988748086</v>
      </c>
      <c r="L44" s="126">
        <f>SUM(L45,L50:L55)</f>
        <v>60.281208201056529</v>
      </c>
      <c r="M44" s="126">
        <f>SUM(M45,M50:M55)</f>
        <v>62.850301228982211</v>
      </c>
      <c r="N44" s="126">
        <f>SUM(N45,N50:N55)</f>
        <v>66.852417590341787</v>
      </c>
      <c r="O44" s="126">
        <f>SUM(O45,O50:O55)</f>
        <v>68.743326676688753</v>
      </c>
      <c r="P44" s="123"/>
      <c r="Q44" s="125" t="s">
        <v>11</v>
      </c>
      <c r="R44" s="144">
        <f>SUM(R45,R50:R55)</f>
        <v>884.37438341148459</v>
      </c>
      <c r="S44" s="144">
        <f>SUM(S45,S50:S55)</f>
        <v>865.10877704019663</v>
      </c>
      <c r="T44" s="144">
        <f>SUM(T45,T50:T55)</f>
        <v>879.7223076723443</v>
      </c>
      <c r="U44" s="144">
        <f>SUM(U45,U50:U55)</f>
        <v>898.5553554661052</v>
      </c>
      <c r="V44" s="144">
        <f>SUM(V45,V50:V55)</f>
        <v>919.93797684736853</v>
      </c>
      <c r="X44" s="201"/>
      <c r="AA44" s="9"/>
    </row>
    <row r="45" spans="3:27" ht="13.5" thickTop="1" x14ac:dyDescent="0.2">
      <c r="C45" s="127" t="s">
        <v>0</v>
      </c>
      <c r="D45" s="128">
        <v>24.445345056827435</v>
      </c>
      <c r="E45" s="128">
        <v>21.512035231758198</v>
      </c>
      <c r="F45" s="128">
        <v>20.648318921869823</v>
      </c>
      <c r="G45" s="128">
        <v>20.213226886597486</v>
      </c>
      <c r="H45" s="128">
        <v>19.753987538799606</v>
      </c>
      <c r="I45" s="127"/>
      <c r="J45" s="127" t="s">
        <v>0</v>
      </c>
      <c r="K45" s="158">
        <f t="shared" ref="K45:K55" si="10">$D$42*D45</f>
        <v>24.445345056827435</v>
      </c>
      <c r="L45" s="158">
        <f t="shared" ref="L45:L55" si="11">$D$42*E45</f>
        <v>21.512035231758198</v>
      </c>
      <c r="M45" s="158">
        <f t="shared" ref="M45:M55" si="12">$D$42*F45</f>
        <v>20.648318921869823</v>
      </c>
      <c r="N45" s="158">
        <f t="shared" ref="N45:N55" si="13">$D$42*G45</f>
        <v>20.213226886597486</v>
      </c>
      <c r="O45" s="158">
        <f t="shared" ref="O45:O55" si="14">$D$42*H45</f>
        <v>19.753987538799606</v>
      </c>
      <c r="P45" s="123"/>
      <c r="Q45" s="127" t="s">
        <v>0</v>
      </c>
      <c r="R45" s="128">
        <v>436.5094509010101</v>
      </c>
      <c r="S45" s="128">
        <v>409.87003425074613</v>
      </c>
      <c r="T45" s="128">
        <v>415.73951123145514</v>
      </c>
      <c r="U45" s="128">
        <v>421.90859846505793</v>
      </c>
      <c r="V45" s="128">
        <v>428.36506608528464</v>
      </c>
      <c r="X45" s="195" t="s">
        <v>192</v>
      </c>
      <c r="AA45" s="9"/>
    </row>
    <row r="46" spans="3:27" x14ac:dyDescent="0.2">
      <c r="C46" s="161" t="s">
        <v>7</v>
      </c>
      <c r="D46" s="202"/>
      <c r="E46" s="202"/>
      <c r="F46" s="202"/>
      <c r="G46" s="202"/>
      <c r="H46" s="202"/>
      <c r="I46" s="127"/>
      <c r="J46" s="161" t="s">
        <v>7</v>
      </c>
      <c r="K46" s="162">
        <f t="shared" si="10"/>
        <v>0</v>
      </c>
      <c r="L46" s="162">
        <f t="shared" si="11"/>
        <v>0</v>
      </c>
      <c r="M46" s="162">
        <f t="shared" si="12"/>
        <v>0</v>
      </c>
      <c r="N46" s="162">
        <f t="shared" si="13"/>
        <v>0</v>
      </c>
      <c r="O46" s="162">
        <f t="shared" si="14"/>
        <v>0</v>
      </c>
      <c r="P46" s="123"/>
      <c r="Q46" s="129" t="s">
        <v>7</v>
      </c>
      <c r="R46" s="128"/>
      <c r="S46" s="128"/>
      <c r="T46" s="128"/>
      <c r="U46" s="203"/>
      <c r="V46" s="204"/>
      <c r="W46" s="9"/>
      <c r="AA46" s="9"/>
    </row>
    <row r="47" spans="3:27" x14ac:dyDescent="0.2">
      <c r="C47" s="161" t="s">
        <v>10</v>
      </c>
      <c r="D47" s="128"/>
      <c r="E47" s="128"/>
      <c r="F47" s="128"/>
      <c r="G47" s="128"/>
      <c r="H47" s="128"/>
      <c r="I47" s="127"/>
      <c r="J47" s="161" t="s">
        <v>10</v>
      </c>
      <c r="K47" s="162">
        <f t="shared" si="10"/>
        <v>0</v>
      </c>
      <c r="L47" s="162">
        <f t="shared" si="11"/>
        <v>0</v>
      </c>
      <c r="M47" s="162">
        <f t="shared" si="12"/>
        <v>0</v>
      </c>
      <c r="N47" s="162">
        <f t="shared" si="13"/>
        <v>0</v>
      </c>
      <c r="O47" s="162">
        <f t="shared" si="14"/>
        <v>0</v>
      </c>
      <c r="P47" s="123"/>
      <c r="Q47" s="129" t="s">
        <v>10</v>
      </c>
      <c r="R47" s="128"/>
      <c r="S47" s="128"/>
      <c r="T47" s="128"/>
      <c r="U47" s="128"/>
      <c r="V47" s="128"/>
      <c r="AA47" s="9"/>
    </row>
    <row r="48" spans="3:27" x14ac:dyDescent="0.2">
      <c r="C48" s="161" t="s">
        <v>8</v>
      </c>
      <c r="D48" s="128"/>
      <c r="E48" s="128"/>
      <c r="F48" s="128"/>
      <c r="G48" s="128"/>
      <c r="H48" s="128"/>
      <c r="I48" s="127"/>
      <c r="J48" s="161" t="s">
        <v>8</v>
      </c>
      <c r="K48" s="162">
        <f t="shared" si="10"/>
        <v>0</v>
      </c>
      <c r="L48" s="162">
        <f t="shared" si="11"/>
        <v>0</v>
      </c>
      <c r="M48" s="162">
        <f t="shared" si="12"/>
        <v>0</v>
      </c>
      <c r="N48" s="162">
        <f t="shared" si="13"/>
        <v>0</v>
      </c>
      <c r="O48" s="162">
        <f t="shared" si="14"/>
        <v>0</v>
      </c>
      <c r="P48" s="123"/>
      <c r="Q48" s="129" t="s">
        <v>8</v>
      </c>
      <c r="R48" s="128"/>
      <c r="S48" s="128"/>
      <c r="T48" s="128"/>
      <c r="U48" s="128"/>
      <c r="V48" s="128"/>
    </row>
    <row r="49" spans="3:24" x14ac:dyDescent="0.2">
      <c r="C49" s="161" t="s">
        <v>9</v>
      </c>
      <c r="D49" s="202"/>
      <c r="E49" s="202"/>
      <c r="F49" s="202"/>
      <c r="G49" s="202"/>
      <c r="H49" s="202"/>
      <c r="I49" s="127"/>
      <c r="J49" s="161" t="s">
        <v>9</v>
      </c>
      <c r="K49" s="162">
        <f t="shared" si="10"/>
        <v>0</v>
      </c>
      <c r="L49" s="162">
        <f t="shared" si="11"/>
        <v>0</v>
      </c>
      <c r="M49" s="162">
        <f t="shared" si="12"/>
        <v>0</v>
      </c>
      <c r="N49" s="162">
        <f t="shared" si="13"/>
        <v>0</v>
      </c>
      <c r="O49" s="162">
        <f t="shared" si="14"/>
        <v>0</v>
      </c>
      <c r="P49" s="123"/>
      <c r="Q49" s="129" t="s">
        <v>9</v>
      </c>
      <c r="R49" s="128"/>
      <c r="S49" s="128"/>
      <c r="T49" s="128"/>
      <c r="U49" s="128"/>
      <c r="V49" s="128"/>
    </row>
    <row r="50" spans="3:24" x14ac:dyDescent="0.2">
      <c r="C50" s="127" t="s">
        <v>1</v>
      </c>
      <c r="D50" s="128">
        <v>8.2451754491303859</v>
      </c>
      <c r="E50" s="128">
        <v>14.129795371073357</v>
      </c>
      <c r="F50" s="128">
        <v>16.296600092488717</v>
      </c>
      <c r="G50" s="128">
        <v>19.407907461717613</v>
      </c>
      <c r="H50" s="128">
        <v>20.939493258224502</v>
      </c>
      <c r="I50" s="127"/>
      <c r="J50" s="127" t="s">
        <v>1</v>
      </c>
      <c r="K50" s="158">
        <f t="shared" si="10"/>
        <v>8.2451754491303859</v>
      </c>
      <c r="L50" s="158">
        <f t="shared" si="11"/>
        <v>14.129795371073357</v>
      </c>
      <c r="M50" s="158">
        <f t="shared" si="12"/>
        <v>16.296600092488717</v>
      </c>
      <c r="N50" s="158">
        <f t="shared" si="13"/>
        <v>19.407907461717613</v>
      </c>
      <c r="O50" s="158">
        <f t="shared" si="14"/>
        <v>20.939493258224502</v>
      </c>
      <c r="P50" s="123"/>
      <c r="Q50" s="127" t="s">
        <v>1</v>
      </c>
      <c r="R50" s="128">
        <v>229.70774040390654</v>
      </c>
      <c r="S50" s="128">
        <v>230.89341107755419</v>
      </c>
      <c r="T50" s="128">
        <v>234.64646254339817</v>
      </c>
      <c r="U50" s="128">
        <v>242.13432909668137</v>
      </c>
      <c r="V50" s="128">
        <v>251.69133160425986</v>
      </c>
      <c r="W50" s="9"/>
      <c r="X50" s="195" t="s">
        <v>192</v>
      </c>
    </row>
    <row r="51" spans="3:24" x14ac:dyDescent="0.2">
      <c r="C51" s="127" t="s">
        <v>2</v>
      </c>
      <c r="D51" s="128">
        <v>7.0890000000000004</v>
      </c>
      <c r="E51" s="128">
        <v>7.5201336000000012</v>
      </c>
      <c r="F51" s="128">
        <v>8.2184317199999999</v>
      </c>
      <c r="G51" s="128">
        <v>8.9416537113600008</v>
      </c>
      <c r="H51" s="128">
        <v>9.120486785587202</v>
      </c>
      <c r="I51" s="127"/>
      <c r="J51" s="127" t="s">
        <v>2</v>
      </c>
      <c r="K51" s="158">
        <f t="shared" si="10"/>
        <v>7.0890000000000004</v>
      </c>
      <c r="L51" s="158">
        <f t="shared" si="11"/>
        <v>7.5201336000000012</v>
      </c>
      <c r="M51" s="158">
        <f t="shared" si="12"/>
        <v>8.2184317199999999</v>
      </c>
      <c r="N51" s="158">
        <f t="shared" si="13"/>
        <v>8.9416537113600008</v>
      </c>
      <c r="O51" s="158">
        <f t="shared" si="14"/>
        <v>9.120486785587202</v>
      </c>
      <c r="P51" s="123"/>
      <c r="Q51" s="127" t="s">
        <v>2</v>
      </c>
      <c r="R51" s="128">
        <v>105.324</v>
      </c>
      <c r="S51" s="128">
        <v>107.43048</v>
      </c>
      <c r="T51" s="128">
        <v>109.5790896</v>
      </c>
      <c r="U51" s="128">
        <v>111.77067139200001</v>
      </c>
      <c r="V51" s="128">
        <v>114.00608481984001</v>
      </c>
      <c r="W51" s="9"/>
      <c r="X51" s="195" t="s">
        <v>192</v>
      </c>
    </row>
    <row r="52" spans="3:24" x14ac:dyDescent="0.2">
      <c r="C52" s="127" t="s">
        <v>3</v>
      </c>
      <c r="D52" s="128">
        <v>8.4</v>
      </c>
      <c r="E52" s="128">
        <v>8.4</v>
      </c>
      <c r="F52" s="128">
        <v>8.4</v>
      </c>
      <c r="G52" s="128">
        <v>8.4</v>
      </c>
      <c r="H52" s="128">
        <v>8.4</v>
      </c>
      <c r="I52" s="127"/>
      <c r="J52" s="127" t="s">
        <v>3</v>
      </c>
      <c r="K52" s="158">
        <f t="shared" si="10"/>
        <v>8.4</v>
      </c>
      <c r="L52" s="158">
        <f t="shared" si="11"/>
        <v>8.4</v>
      </c>
      <c r="M52" s="158">
        <f t="shared" si="12"/>
        <v>8.4</v>
      </c>
      <c r="N52" s="158">
        <f t="shared" si="13"/>
        <v>8.4</v>
      </c>
      <c r="O52" s="158">
        <f t="shared" si="14"/>
        <v>8.4</v>
      </c>
      <c r="P52" s="123"/>
      <c r="Q52" s="127" t="s">
        <v>3</v>
      </c>
      <c r="R52" s="128">
        <v>40.6</v>
      </c>
      <c r="S52" s="128">
        <v>40.6</v>
      </c>
      <c r="T52" s="128">
        <v>40.6</v>
      </c>
      <c r="U52" s="128">
        <v>40.6</v>
      </c>
      <c r="V52" s="128">
        <v>40.6</v>
      </c>
      <c r="W52" s="9"/>
      <c r="X52" s="195" t="s">
        <v>192</v>
      </c>
    </row>
    <row r="53" spans="3:24" x14ac:dyDescent="0.2">
      <c r="C53" s="127" t="s">
        <v>4</v>
      </c>
      <c r="D53" s="128">
        <v>4.4320000000000004</v>
      </c>
      <c r="E53" s="128">
        <v>5.0805920000000002</v>
      </c>
      <c r="F53" s="128">
        <v>5.3346216000000002</v>
      </c>
      <c r="G53" s="128">
        <v>5.6013526800000015</v>
      </c>
      <c r="H53" s="128">
        <v>5.8814203140000023</v>
      </c>
      <c r="I53" s="127"/>
      <c r="J53" s="127" t="s">
        <v>4</v>
      </c>
      <c r="K53" s="158">
        <f t="shared" si="10"/>
        <v>4.4320000000000004</v>
      </c>
      <c r="L53" s="158">
        <f t="shared" si="11"/>
        <v>5.0805920000000002</v>
      </c>
      <c r="M53" s="158">
        <f t="shared" si="12"/>
        <v>5.3346216000000002</v>
      </c>
      <c r="N53" s="158">
        <f t="shared" si="13"/>
        <v>5.6013526800000015</v>
      </c>
      <c r="O53" s="158">
        <f t="shared" si="14"/>
        <v>5.8814203140000023</v>
      </c>
      <c r="P53" s="123"/>
      <c r="Q53" s="127" t="s">
        <v>4</v>
      </c>
      <c r="R53" s="128">
        <v>28.867000000000001</v>
      </c>
      <c r="S53" s="128">
        <v>31.753700000000002</v>
      </c>
      <c r="T53" s="128">
        <v>33.341385000000002</v>
      </c>
      <c r="U53" s="128">
        <v>35.008454250000007</v>
      </c>
      <c r="V53" s="128">
        <v>36.758876962500011</v>
      </c>
      <c r="W53" s="9"/>
      <c r="X53" s="195" t="s">
        <v>192</v>
      </c>
    </row>
    <row r="54" spans="3:24" x14ac:dyDescent="0.2">
      <c r="C54" s="127" t="s">
        <v>5</v>
      </c>
      <c r="D54" s="128">
        <v>3.4035504827902647</v>
      </c>
      <c r="E54" s="128">
        <v>3.6386519982249701</v>
      </c>
      <c r="F54" s="128">
        <v>3.9523288946236748</v>
      </c>
      <c r="G54" s="128">
        <v>4.2882768506666871</v>
      </c>
      <c r="H54" s="128">
        <v>4.6479387800774417</v>
      </c>
      <c r="I54" s="127"/>
      <c r="J54" s="127" t="s">
        <v>5</v>
      </c>
      <c r="K54" s="158">
        <f t="shared" si="10"/>
        <v>3.4035504827902647</v>
      </c>
      <c r="L54" s="158">
        <f t="shared" si="11"/>
        <v>3.6386519982249701</v>
      </c>
      <c r="M54" s="158">
        <f t="shared" si="12"/>
        <v>3.9523288946236748</v>
      </c>
      <c r="N54" s="158">
        <f t="shared" si="13"/>
        <v>4.2882768506666871</v>
      </c>
      <c r="O54" s="158">
        <f t="shared" si="14"/>
        <v>4.6479387800774417</v>
      </c>
      <c r="P54" s="123"/>
      <c r="Q54" s="127" t="s">
        <v>5</v>
      </c>
      <c r="R54" s="128">
        <v>23.899192106567948</v>
      </c>
      <c r="S54" s="128">
        <v>25.094151711896348</v>
      </c>
      <c r="T54" s="128">
        <v>26.348859297491167</v>
      </c>
      <c r="U54" s="128">
        <v>27.666302262365726</v>
      </c>
      <c r="V54" s="128">
        <v>29.049617375484011</v>
      </c>
      <c r="W54" s="9"/>
      <c r="X54" s="195" t="s">
        <v>192</v>
      </c>
    </row>
    <row r="55" spans="3:24" x14ac:dyDescent="0.2">
      <c r="C55" s="131" t="s">
        <v>6</v>
      </c>
      <c r="D55" s="132">
        <v>-0.15081</v>
      </c>
      <c r="E55" s="132">
        <v>0</v>
      </c>
      <c r="F55" s="132">
        <v>0</v>
      </c>
      <c r="G55" s="132">
        <v>0</v>
      </c>
      <c r="H55" s="132">
        <v>0</v>
      </c>
      <c r="I55" s="127"/>
      <c r="J55" s="131" t="s">
        <v>6</v>
      </c>
      <c r="K55" s="159">
        <f t="shared" si="10"/>
        <v>-0.15081</v>
      </c>
      <c r="L55" s="159">
        <f t="shared" si="11"/>
        <v>0</v>
      </c>
      <c r="M55" s="159">
        <f t="shared" si="12"/>
        <v>0</v>
      </c>
      <c r="N55" s="159">
        <f t="shared" si="13"/>
        <v>0</v>
      </c>
      <c r="O55" s="159">
        <f t="shared" si="14"/>
        <v>0</v>
      </c>
      <c r="P55" s="123"/>
      <c r="Q55" s="131" t="s">
        <v>6</v>
      </c>
      <c r="R55" s="132">
        <v>19.466999999999999</v>
      </c>
      <c r="S55" s="132">
        <v>19.466999999999999</v>
      </c>
      <c r="T55" s="132">
        <v>19.466999999999999</v>
      </c>
      <c r="U55" s="132">
        <v>19.466999999999999</v>
      </c>
      <c r="V55" s="132">
        <v>19.466999999999999</v>
      </c>
      <c r="W55" s="9"/>
      <c r="X55" s="195" t="s">
        <v>192</v>
      </c>
    </row>
    <row r="56" spans="3:24" x14ac:dyDescent="0.2">
      <c r="I56" s="199"/>
      <c r="J56" s="199"/>
      <c r="K56" s="199"/>
      <c r="L56" s="199"/>
      <c r="M56" s="199"/>
      <c r="N56" s="199"/>
      <c r="O56" s="199"/>
    </row>
    <row r="57" spans="3:24" x14ac:dyDescent="0.2">
      <c r="I57" s="199"/>
      <c r="J57" s="199"/>
      <c r="K57" s="199"/>
      <c r="L57" s="199"/>
      <c r="M57" s="199"/>
      <c r="N57" s="199"/>
      <c r="O57" s="199"/>
    </row>
    <row r="58" spans="3:24" x14ac:dyDescent="0.2">
      <c r="I58" s="199"/>
      <c r="J58" s="199"/>
      <c r="K58" s="199"/>
      <c r="L58" s="199"/>
      <c r="M58" s="199"/>
      <c r="N58" s="199"/>
      <c r="O58" s="199"/>
      <c r="R58" s="9"/>
      <c r="S58" s="9"/>
      <c r="T58" s="9"/>
      <c r="U58" s="9"/>
      <c r="V58" s="9"/>
    </row>
    <row r="59" spans="3:24" x14ac:dyDescent="0.2">
      <c r="I59" s="199"/>
      <c r="J59" s="199"/>
      <c r="K59" s="199"/>
      <c r="L59" s="199"/>
      <c r="M59" s="199"/>
      <c r="N59" s="199"/>
      <c r="O59" s="199"/>
      <c r="V59" s="205"/>
    </row>
    <row r="60" spans="3:24" x14ac:dyDescent="0.2">
      <c r="I60" s="199"/>
      <c r="J60" s="199"/>
      <c r="K60" s="199"/>
      <c r="L60" s="199"/>
      <c r="M60" s="199"/>
      <c r="N60" s="199"/>
      <c r="O60" s="199"/>
    </row>
    <row r="61" spans="3:24" x14ac:dyDescent="0.2">
      <c r="I61" s="199"/>
      <c r="J61" s="199"/>
      <c r="K61" s="199"/>
      <c r="L61" s="199"/>
      <c r="M61" s="199"/>
      <c r="N61" s="199"/>
      <c r="O61" s="199"/>
    </row>
    <row r="62" spans="3:24" x14ac:dyDescent="0.2">
      <c r="I62" s="199"/>
      <c r="J62" s="199"/>
      <c r="K62" s="199"/>
      <c r="L62" s="199"/>
      <c r="M62" s="199"/>
      <c r="N62" s="199"/>
      <c r="O62" s="199"/>
    </row>
    <row r="63" spans="3:24" x14ac:dyDescent="0.2">
      <c r="I63" s="199"/>
      <c r="J63" s="199"/>
      <c r="K63" s="199"/>
      <c r="L63" s="199"/>
      <c r="M63" s="199"/>
      <c r="N63" s="199"/>
      <c r="O63" s="199"/>
    </row>
    <row r="64" spans="3:24" x14ac:dyDescent="0.2">
      <c r="I64" s="199"/>
      <c r="J64" s="199"/>
      <c r="K64" s="199"/>
      <c r="L64" s="199"/>
      <c r="M64" s="199"/>
      <c r="N64" s="199"/>
      <c r="O64" s="199"/>
    </row>
    <row r="65" spans="9:15" x14ac:dyDescent="0.2">
      <c r="I65" s="199"/>
      <c r="J65" s="199"/>
      <c r="K65" s="199"/>
      <c r="L65" s="199"/>
      <c r="M65" s="199"/>
      <c r="N65" s="199"/>
      <c r="O65" s="199"/>
    </row>
    <row r="66" spans="9:15" x14ac:dyDescent="0.2">
      <c r="I66" s="199"/>
      <c r="J66" s="199"/>
      <c r="K66" s="199"/>
      <c r="L66" s="199"/>
      <c r="M66" s="199"/>
      <c r="N66" s="199"/>
      <c r="O66" s="199"/>
    </row>
    <row r="67" spans="9:15" x14ac:dyDescent="0.2">
      <c r="I67" s="199"/>
      <c r="J67" s="199"/>
      <c r="K67" s="199"/>
      <c r="L67" s="199"/>
      <c r="M67" s="199"/>
      <c r="N67" s="199"/>
      <c r="O67" s="199"/>
    </row>
    <row r="68" spans="9:15" x14ac:dyDescent="0.2">
      <c r="I68" s="199"/>
      <c r="J68" s="199"/>
      <c r="K68" s="199"/>
      <c r="L68" s="199"/>
      <c r="M68" s="199"/>
      <c r="N68" s="199"/>
      <c r="O68" s="199"/>
    </row>
    <row r="69" spans="9:15" x14ac:dyDescent="0.2">
      <c r="I69" s="199"/>
      <c r="J69" s="199"/>
      <c r="K69" s="199"/>
      <c r="L69" s="199"/>
      <c r="M69" s="199"/>
      <c r="N69" s="199"/>
      <c r="O69" s="199"/>
    </row>
  </sheetData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9"/>
  <sheetViews>
    <sheetView showGridLines="0" zoomScale="85" zoomScaleNormal="85" workbookViewId="0"/>
  </sheetViews>
  <sheetFormatPr defaultRowHeight="12.75" x14ac:dyDescent="0.2"/>
  <cols>
    <col min="1" max="1" width="3.7109375" style="4" customWidth="1"/>
    <col min="2" max="2" width="2.85546875" style="4" customWidth="1"/>
    <col min="3" max="3" width="22.42578125" style="4" customWidth="1"/>
    <col min="4" max="8" width="6.7109375" style="4" customWidth="1"/>
    <col min="9" max="9" width="3.7109375" style="4" customWidth="1"/>
    <col min="10" max="10" width="35.7109375" style="4" customWidth="1"/>
    <col min="11" max="15" width="6.7109375" style="4" customWidth="1"/>
    <col min="16" max="16" width="3.7109375" style="4" customWidth="1"/>
    <col min="17" max="17" width="3.7109375" style="12" customWidth="1"/>
    <col min="18" max="18" width="3.7109375" style="4" customWidth="1"/>
    <col min="19" max="19" width="28.7109375" style="4" customWidth="1"/>
    <col min="20" max="24" width="12.7109375" style="4" customWidth="1"/>
    <col min="25" max="25" width="9.140625" style="4"/>
    <col min="26" max="26" width="28.5703125" style="4" customWidth="1"/>
    <col min="27" max="31" width="12.7109375" style="4" customWidth="1"/>
    <col min="32" max="16384" width="9.140625" style="4"/>
  </cols>
  <sheetData>
    <row r="1" spans="1:29" s="1" customFormat="1" ht="4.5" customHeight="1" x14ac:dyDescent="0.2">
      <c r="Q1" s="134"/>
    </row>
    <row r="2" spans="1:29" s="1" customFormat="1" x14ac:dyDescent="0.2">
      <c r="F2" s="2"/>
      <c r="G2" s="2"/>
      <c r="H2" s="2"/>
      <c r="Q2" s="134"/>
    </row>
    <row r="3" spans="1:29" s="1" customFormat="1" x14ac:dyDescent="0.2">
      <c r="F3" s="1" t="s">
        <v>173</v>
      </c>
      <c r="Q3" s="134"/>
    </row>
    <row r="4" spans="1:29" s="1" customFormat="1" x14ac:dyDescent="0.2">
      <c r="F4" s="1" t="s">
        <v>206</v>
      </c>
      <c r="Q4" s="134"/>
    </row>
    <row r="5" spans="1:29" s="3" customFormat="1" ht="4.5" customHeight="1" x14ac:dyDescent="0.2">
      <c r="Q5" s="135"/>
    </row>
    <row r="6" spans="1:29" s="146" customFormat="1" ht="4.5" customHeight="1" x14ac:dyDescent="0.2">
      <c r="Q6" s="79"/>
    </row>
    <row r="7" spans="1:29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8" x14ac:dyDescent="0.25">
      <c r="A8" s="12"/>
      <c r="B8" s="12"/>
      <c r="C8" s="133" t="s">
        <v>107</v>
      </c>
      <c r="E8" s="12"/>
      <c r="F8" s="12"/>
      <c r="G8" s="12"/>
      <c r="H8" s="12"/>
      <c r="I8" s="12"/>
      <c r="P8" s="12"/>
      <c r="R8" s="12"/>
      <c r="S8" s="133" t="s">
        <v>172</v>
      </c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76" customFormat="1" ht="25.5" customHeight="1" x14ac:dyDescent="0.2">
      <c r="A9" s="41"/>
      <c r="B9" s="41"/>
      <c r="C9" s="137" t="s">
        <v>93</v>
      </c>
      <c r="D9" s="138"/>
      <c r="E9" s="138"/>
      <c r="F9" s="138"/>
      <c r="G9" s="138"/>
      <c r="H9" s="138"/>
      <c r="I9" s="139"/>
      <c r="J9" s="140" t="s">
        <v>100</v>
      </c>
      <c r="K9" s="141"/>
      <c r="L9" s="141"/>
      <c r="M9" s="141"/>
      <c r="N9" s="141"/>
      <c r="O9" s="141"/>
      <c r="P9" s="41"/>
      <c r="Q9" s="41"/>
      <c r="R9" s="41"/>
      <c r="S9" s="151" t="s">
        <v>171</v>
      </c>
      <c r="T9" s="152"/>
      <c r="U9" s="152"/>
      <c r="V9" s="152"/>
      <c r="W9" s="152"/>
      <c r="X9" s="152"/>
      <c r="Y9" s="190"/>
      <c r="Z9" s="151" t="s">
        <v>166</v>
      </c>
      <c r="AA9" s="152"/>
      <c r="AB9" s="184"/>
      <c r="AC9"/>
    </row>
    <row r="10" spans="1:29" ht="13.5" thickBot="1" x14ac:dyDescent="0.25">
      <c r="A10" s="12"/>
      <c r="B10" s="12"/>
      <c r="C10" s="65" t="s">
        <v>102</v>
      </c>
      <c r="D10" s="65">
        <v>2015</v>
      </c>
      <c r="E10" s="65">
        <v>2016</v>
      </c>
      <c r="F10" s="65">
        <v>2017</v>
      </c>
      <c r="G10" s="65">
        <v>2018</v>
      </c>
      <c r="H10" s="65">
        <v>2019</v>
      </c>
      <c r="I10" s="12"/>
      <c r="J10" s="83" t="s">
        <v>19</v>
      </c>
      <c r="K10" s="84">
        <v>0.5</v>
      </c>
      <c r="L10" s="83" t="s">
        <v>14</v>
      </c>
      <c r="M10" s="85">
        <v>2017</v>
      </c>
      <c r="N10" s="86"/>
      <c r="O10" s="86"/>
      <c r="P10" s="12"/>
      <c r="R10" s="12"/>
      <c r="S10" s="77" t="s">
        <v>168</v>
      </c>
      <c r="T10" s="143">
        <v>2019</v>
      </c>
      <c r="U10" s="77" t="s">
        <v>15</v>
      </c>
      <c r="V10" s="77" t="s">
        <v>73</v>
      </c>
      <c r="W10" s="78" t="s">
        <v>115</v>
      </c>
      <c r="X10" s="153"/>
      <c r="Y10" s="41"/>
      <c r="Z10" s="77"/>
      <c r="AA10" s="149">
        <f>T10</f>
        <v>2019</v>
      </c>
      <c r="AB10"/>
      <c r="AC10"/>
    </row>
    <row r="11" spans="1:29" ht="13.5" thickBot="1" x14ac:dyDescent="0.25">
      <c r="A11" s="12"/>
      <c r="B11" s="12"/>
      <c r="C11" s="64" t="s">
        <v>1</v>
      </c>
      <c r="D11" s="189">
        <v>0</v>
      </c>
      <c r="E11" s="189">
        <v>0</v>
      </c>
      <c r="F11" s="189">
        <v>1</v>
      </c>
      <c r="G11" s="189">
        <v>2</v>
      </c>
      <c r="H11" s="189">
        <v>3</v>
      </c>
      <c r="I11" s="12"/>
      <c r="J11" s="83" t="s">
        <v>104</v>
      </c>
      <c r="K11" s="85">
        <v>2017</v>
      </c>
      <c r="L11" s="87"/>
      <c r="M11" s="83"/>
      <c r="N11" s="86"/>
      <c r="O11" s="86"/>
      <c r="P11" s="12"/>
      <c r="R11" s="12"/>
      <c r="S11" s="14" t="s">
        <v>72</v>
      </c>
      <c r="T11" s="16">
        <f>SUM(T13,T18:T23)</f>
        <v>1820.7825804549295</v>
      </c>
      <c r="U11" s="39">
        <f>HLOOKUP($T$10,$D$18:$H$19,2,FALSE)</f>
        <v>10</v>
      </c>
      <c r="V11" s="39">
        <f>HLOOKUP($T$10,$D$51:$H$54,MATCH("center - baseline",$C$51:$C$54,FALSE))</f>
        <v>8.6549999999999994</v>
      </c>
      <c r="W11" s="34">
        <f>T11-AA11</f>
        <v>406.01991894316961</v>
      </c>
      <c r="Y11" s="24"/>
      <c r="Z11" s="14" t="s">
        <v>72</v>
      </c>
      <c r="AA11" s="29">
        <f>SUM(AA13,AA18:AA23)</f>
        <v>1414.7626615117599</v>
      </c>
      <c r="AB11"/>
      <c r="AC11"/>
    </row>
    <row r="12" spans="1:29" ht="13.5" thickTop="1" x14ac:dyDescent="0.2">
      <c r="A12" s="12"/>
      <c r="B12" s="12"/>
      <c r="C12" s="64" t="s">
        <v>91</v>
      </c>
      <c r="D12" s="189">
        <v>0</v>
      </c>
      <c r="E12" s="189">
        <v>1</v>
      </c>
      <c r="F12" s="189">
        <v>6</v>
      </c>
      <c r="G12" s="189">
        <v>7</v>
      </c>
      <c r="H12" s="189">
        <v>7</v>
      </c>
      <c r="I12" s="12"/>
      <c r="J12" s="83" t="s">
        <v>99</v>
      </c>
      <c r="K12" s="85">
        <v>2019</v>
      </c>
      <c r="L12" s="86"/>
      <c r="M12" s="86"/>
      <c r="N12" s="86"/>
      <c r="O12" s="86"/>
      <c r="P12" s="12"/>
      <c r="R12" s="12"/>
      <c r="S12" s="23" t="s">
        <v>74</v>
      </c>
      <c r="T12" s="12"/>
      <c r="U12" s="12"/>
      <c r="V12" s="12"/>
      <c r="W12" s="150"/>
      <c r="Y12" s="24"/>
      <c r="Z12" s="23" t="s">
        <v>74</v>
      </c>
      <c r="AA12" s="150"/>
      <c r="AB12" s="12"/>
    </row>
    <row r="13" spans="1:29" x14ac:dyDescent="0.2">
      <c r="A13" s="12"/>
      <c r="B13" s="12"/>
      <c r="C13" s="64"/>
      <c r="D13" s="64"/>
      <c r="E13" s="64"/>
      <c r="F13" s="64"/>
      <c r="G13" s="64"/>
      <c r="H13" s="64"/>
      <c r="I13" s="12"/>
      <c r="J13" s="83" t="s">
        <v>103</v>
      </c>
      <c r="K13" s="86"/>
      <c r="L13" s="86"/>
      <c r="M13" s="86"/>
      <c r="N13" s="86"/>
      <c r="O13" s="86"/>
      <c r="P13" s="12"/>
      <c r="R13" s="12"/>
      <c r="S13" s="19" t="s">
        <v>0</v>
      </c>
      <c r="T13" s="7">
        <f>INDEX($K$16:$O$17,MATCH($S$24,$J$16:$J$17,0),MATCH(T$10,$K$16:$O$16,0))*(HLOOKUP(T$10,$T$28:$X$29,2,FALSE))*INDEX('Case A - Stretch'!$K$32:$O$42,MATCH($S13,'Case A - Stretch'!$J$32:$J$42,0),MATCH($K$12,'Case A - Stretch'!$K$30:$O$30,0))</f>
        <v>370.266450089324</v>
      </c>
      <c r="U13" s="61">
        <f t="shared" ref="U13:U23" si="0">INDEX($D$20:$H$42,MATCH($S13,$C$20:$C$42,0),MATCH($T$10,$D$18:$H$18,0))</f>
        <v>0</v>
      </c>
      <c r="V13" s="42">
        <f t="shared" ref="V13:V23" si="1">INDEX($K$47:$O$57,MATCH($S13,$J$47:$J$57,0),MATCH($T$10,$D$51:$H$51,0))*V$11</f>
        <v>1.2364285714285712</v>
      </c>
      <c r="W13" s="32">
        <f t="shared" ref="W13:W23" si="2">T13-AA13</f>
        <v>82.566450089324007</v>
      </c>
      <c r="Y13" s="24"/>
      <c r="Z13" s="19" t="s">
        <v>0</v>
      </c>
      <c r="AA13" s="30">
        <f>INDEX($K$18:$O$28,MATCH($S13,$J$18:$J$28,0),MATCH(T$10,$K$16:$O$16,0))*(INDEX('Company-level data'!$K$13:$O$23,MATCH($S13,'Company-level data'!$J$13:$J$23,0),MATCH(T$10,'Company-level data'!$K$11:$O$11,0)))</f>
        <v>287.7</v>
      </c>
    </row>
    <row r="14" spans="1:29" x14ac:dyDescent="0.2">
      <c r="A14" s="12"/>
      <c r="B14" s="12"/>
      <c r="C14" s="63" t="s">
        <v>97</v>
      </c>
      <c r="D14" s="64"/>
      <c r="E14" s="64"/>
      <c r="F14" s="64"/>
      <c r="G14" s="57">
        <v>0</v>
      </c>
      <c r="H14" s="64"/>
      <c r="I14" s="12"/>
      <c r="J14" s="86"/>
      <c r="K14" s="86"/>
      <c r="L14" s="86"/>
      <c r="M14" s="86"/>
      <c r="N14" s="86"/>
      <c r="O14" s="86"/>
      <c r="P14" s="12"/>
      <c r="R14" s="12"/>
      <c r="S14" s="163" t="s">
        <v>7</v>
      </c>
      <c r="T14" s="164">
        <f>INDEX($K$16:$O$17,MATCH($S$24,$J$16:$J$17,0),MATCH(T$10,$K$16:$O$16,0))*(HLOOKUP(T$10,$T$28:$X$29,2,FALSE))*INDEX('Case A - Stretch'!$K$32:$O$42,MATCH($S14,'Case A - Stretch'!$J$32:$J$42,0),MATCH($K$12,'Case A - Stretch'!$K$30:$O$30,0))</f>
        <v>0</v>
      </c>
      <c r="U14" s="165">
        <f t="shared" si="0"/>
        <v>0</v>
      </c>
      <c r="V14" s="167">
        <f t="shared" si="1"/>
        <v>0</v>
      </c>
      <c r="W14" s="166">
        <f t="shared" si="2"/>
        <v>0</v>
      </c>
      <c r="Y14" s="24"/>
      <c r="Z14" s="163" t="s">
        <v>7</v>
      </c>
      <c r="AA14" s="168">
        <f>INDEX($K$18:$O$28,MATCH($S14,$J$18:$J$28,0),MATCH(T$10,$K$16:$O$16,0))*(INDEX('Company-level data'!$K$13:$O$23,MATCH($S14,'Company-level data'!$J$13:$J$23,0),MATCH(T$10,'Company-level data'!$K$11:$O$11,0)))</f>
        <v>0</v>
      </c>
    </row>
    <row r="15" spans="1:29" x14ac:dyDescent="0.2">
      <c r="A15" s="12"/>
      <c r="B15" s="12"/>
      <c r="C15" s="63" t="s">
        <v>101</v>
      </c>
      <c r="D15" s="64"/>
      <c r="E15" s="64"/>
      <c r="F15" s="64"/>
      <c r="G15" s="56">
        <v>0.5</v>
      </c>
      <c r="H15" s="64"/>
      <c r="I15" s="12"/>
      <c r="J15" s="86"/>
      <c r="K15" s="86"/>
      <c r="L15" s="86"/>
      <c r="M15" s="86"/>
      <c r="N15" s="86"/>
      <c r="O15" s="86"/>
      <c r="P15" s="12"/>
      <c r="R15" s="12"/>
      <c r="S15" s="163" t="s">
        <v>10</v>
      </c>
      <c r="T15" s="164">
        <f>INDEX($K$16:$O$17,MATCH($S$24,$J$16:$J$17,0),MATCH(T$10,$K$16:$O$16,0))*(HLOOKUP(T$10,$T$28:$X$29,2,FALSE))*INDEX('Case A - Stretch'!$K$32:$O$42,MATCH($S15,'Case A - Stretch'!$J$32:$J$42,0),MATCH($K$12,'Case A - Stretch'!$K$30:$O$30,0))</f>
        <v>0</v>
      </c>
      <c r="U15" s="165">
        <f t="shared" si="0"/>
        <v>0</v>
      </c>
      <c r="V15" s="167">
        <f t="shared" si="1"/>
        <v>0</v>
      </c>
      <c r="W15" s="166">
        <f t="shared" si="2"/>
        <v>0</v>
      </c>
      <c r="Y15" s="24"/>
      <c r="Z15" s="163" t="s">
        <v>10</v>
      </c>
      <c r="AA15" s="168">
        <f>INDEX($K$18:$O$28,MATCH($S15,$J$18:$J$28,0),MATCH(T$10,$K$16:$O$16,0))*(INDEX('Company-level data'!$K$13:$O$23,MATCH($S15,'Company-level data'!$J$13:$J$23,0),MATCH(T$10,'Company-level data'!$K$11:$O$11,0)))</f>
        <v>0</v>
      </c>
    </row>
    <row r="16" spans="1:29" ht="13.5" thickBot="1" x14ac:dyDescent="0.25">
      <c r="A16" s="12"/>
      <c r="B16" s="12"/>
      <c r="C16" s="63"/>
      <c r="D16" s="64"/>
      <c r="E16" s="64"/>
      <c r="F16" s="64"/>
      <c r="G16" s="57"/>
      <c r="H16" s="64"/>
      <c r="I16" s="12"/>
      <c r="J16" s="88" t="s">
        <v>13</v>
      </c>
      <c r="K16" s="88">
        <v>2015</v>
      </c>
      <c r="L16" s="88">
        <v>2016</v>
      </c>
      <c r="M16" s="88">
        <v>2017</v>
      </c>
      <c r="N16" s="88">
        <v>2018</v>
      </c>
      <c r="O16" s="88">
        <v>2019</v>
      </c>
      <c r="P16" s="12"/>
      <c r="R16" s="12"/>
      <c r="S16" s="163" t="s">
        <v>8</v>
      </c>
      <c r="T16" s="164">
        <f>INDEX($K$16:$O$17,MATCH($S$24,$J$16:$J$17,0),MATCH(T$10,$K$16:$O$16,0))*(HLOOKUP(T$10,$T$28:$X$29,2,FALSE))*INDEX('Case A - Stretch'!$K$32:$O$42,MATCH($S16,'Case A - Stretch'!$J$32:$J$42,0),MATCH($K$12,'Case A - Stretch'!$K$30:$O$30,0))</f>
        <v>0</v>
      </c>
      <c r="U16" s="165">
        <f t="shared" si="0"/>
        <v>0</v>
      </c>
      <c r="V16" s="167">
        <f t="shared" si="1"/>
        <v>0</v>
      </c>
      <c r="W16" s="166">
        <f t="shared" si="2"/>
        <v>0</v>
      </c>
      <c r="Y16" s="12"/>
      <c r="Z16" s="163" t="s">
        <v>8</v>
      </c>
      <c r="AA16" s="168">
        <f>INDEX($K$18:$O$28,MATCH($S16,$J$18:$J$28,0),MATCH(T$10,$K$16:$O$16,0))*(INDEX('Company-level data'!$K$13:$O$23,MATCH($S16,'Company-level data'!$J$13:$J$23,0),MATCH(T$10,'Company-level data'!$K$11:$O$11,0)))</f>
        <v>0</v>
      </c>
    </row>
    <row r="17" spans="1:27" ht="13.5" thickBot="1" x14ac:dyDescent="0.25">
      <c r="A17" s="12"/>
      <c r="B17" s="12"/>
      <c r="C17" s="64"/>
      <c r="D17" s="64"/>
      <c r="E17" s="64"/>
      <c r="F17" s="64"/>
      <c r="G17" s="64"/>
      <c r="H17" s="64"/>
      <c r="I17" s="12"/>
      <c r="J17" s="147" t="s">
        <v>109</v>
      </c>
      <c r="K17" s="191">
        <f>'Portfolio multiples reference'!G16-K10</f>
        <v>11.171282044527583</v>
      </c>
      <c r="L17" s="148">
        <f>$K$17+$K$10*($M$10&lt;=L$16)</f>
        <v>11.171282044527583</v>
      </c>
      <c r="M17" s="148">
        <f>$K$17+$K$10*($M$10&lt;=M$16)</f>
        <v>11.671282044527583</v>
      </c>
      <c r="N17" s="148">
        <f>$K$17+$K$10*($M$10&lt;=N$16)</f>
        <v>11.671282044527583</v>
      </c>
      <c r="O17" s="148">
        <f>$K$17+$K$10*($M$10&lt;=O$16)</f>
        <v>11.671282044527583</v>
      </c>
      <c r="P17" s="12"/>
      <c r="R17" s="12"/>
      <c r="S17" s="163" t="s">
        <v>9</v>
      </c>
      <c r="T17" s="164">
        <f>INDEX($K$16:$O$17,MATCH($S$24,$J$16:$J$17,0),MATCH(T$10,$K$16:$O$16,0))*(HLOOKUP(T$10,$T$28:$X$29,2,FALSE))*INDEX('Case A - Stretch'!$K$32:$O$42,MATCH($S17,'Case A - Stretch'!$J$32:$J$42,0),MATCH($K$12,'Case A - Stretch'!$K$30:$O$30,0))</f>
        <v>0</v>
      </c>
      <c r="U17" s="165">
        <f t="shared" si="0"/>
        <v>0</v>
      </c>
      <c r="V17" s="167">
        <f t="shared" si="1"/>
        <v>0</v>
      </c>
      <c r="W17" s="166">
        <f t="shared" si="2"/>
        <v>0</v>
      </c>
      <c r="Y17" s="12"/>
      <c r="Z17" s="163" t="s">
        <v>9</v>
      </c>
      <c r="AA17" s="168">
        <f>INDEX($K$18:$O$28,MATCH($S17,$J$18:$J$28,0),MATCH(T$10,$K$16:$O$16,0))*(INDEX('Company-level data'!$K$13:$O$23,MATCH($S17,'Company-level data'!$J$13:$J$23,0),MATCH(T$10,'Company-level data'!$K$11:$O$11,0)))</f>
        <v>0</v>
      </c>
    </row>
    <row r="18" spans="1:27" ht="14.25" thickTop="1" thickBot="1" x14ac:dyDescent="0.25">
      <c r="A18" s="12"/>
      <c r="B18" s="12"/>
      <c r="C18" s="65" t="s">
        <v>20</v>
      </c>
      <c r="D18" s="65">
        <v>2015</v>
      </c>
      <c r="E18" s="65">
        <v>2016</v>
      </c>
      <c r="F18" s="65">
        <v>2017</v>
      </c>
      <c r="G18" s="65">
        <v>2018</v>
      </c>
      <c r="H18" s="65">
        <v>2019</v>
      </c>
      <c r="I18" s="12"/>
      <c r="J18" s="83" t="s">
        <v>0</v>
      </c>
      <c r="K18" s="136">
        <v>7.5</v>
      </c>
      <c r="L18" s="90">
        <f>($O18-$K18)/($O$16-$K$16)+K18</f>
        <v>7.375</v>
      </c>
      <c r="M18" s="90">
        <f>($O18-$K18)/($O$16-$K$16)+L18</f>
        <v>7.25</v>
      </c>
      <c r="N18" s="90">
        <f>($O18-$K18)/($O$16-$K$16)+M18</f>
        <v>7.125</v>
      </c>
      <c r="O18" s="136">
        <v>7</v>
      </c>
      <c r="P18" s="12"/>
      <c r="R18" s="12"/>
      <c r="S18" s="19" t="s">
        <v>1</v>
      </c>
      <c r="T18" s="7">
        <f>INDEX($K$16:$O$17,MATCH($S$24,$J$16:$J$17,0),MATCH(T$10,$K$16:$O$16,0))*(HLOOKUP(T$10,$T$28:$X$29,2,FALSE))*INDEX('Case A - Stretch'!$K$32:$O$42,MATCH($S18,'Case A - Stretch'!$J$32:$J$42,0),MATCH($K$12,'Case A - Stretch'!$K$30:$O$30,0))</f>
        <v>680.81665657717201</v>
      </c>
      <c r="U18" s="61">
        <f t="shared" si="0"/>
        <v>3</v>
      </c>
      <c r="V18" s="42">
        <f t="shared" si="1"/>
        <v>1.2364285714285712</v>
      </c>
      <c r="W18" s="32">
        <f t="shared" si="2"/>
        <v>151.81665657717201</v>
      </c>
      <c r="Y18" s="12"/>
      <c r="Z18" s="19" t="s">
        <v>1</v>
      </c>
      <c r="AA18" s="30">
        <f>INDEX($K$18:$O$28,MATCH($S18,$J$18:$J$28,0),MATCH(T$10,$K$16:$O$16,0))*(INDEX('Company-level data'!$K$13:$O$23,MATCH($S18,'Company-level data'!$J$13:$J$23,0),MATCH(T$10,'Company-level data'!$K$11:$O$11,0)))</f>
        <v>529</v>
      </c>
    </row>
    <row r="19" spans="1:27" ht="13.5" thickBot="1" x14ac:dyDescent="0.25">
      <c r="A19" s="12"/>
      <c r="B19" s="12"/>
      <c r="C19" s="66" t="s">
        <v>11</v>
      </c>
      <c r="D19" s="67">
        <f>D20+D25+D28+D31+D34+D37+D40</f>
        <v>0</v>
      </c>
      <c r="E19" s="67">
        <f>E20+E25+E28+E31+E34+E37+E40</f>
        <v>1</v>
      </c>
      <c r="F19" s="67">
        <f>F20+F25+F28+F31+F34+F37+F40</f>
        <v>6.9999999999999991</v>
      </c>
      <c r="G19" s="67">
        <f>G20+G25+G28+G31+G34+G37+G40</f>
        <v>9.0000000000000018</v>
      </c>
      <c r="H19" s="67">
        <f>H20+H25+H28+H31+H34+H37+H40</f>
        <v>10</v>
      </c>
      <c r="I19" s="12"/>
      <c r="J19" s="91" t="s">
        <v>7</v>
      </c>
      <c r="K19" s="92"/>
      <c r="L19" s="90"/>
      <c r="M19" s="90"/>
      <c r="N19" s="90"/>
      <c r="O19" s="90"/>
      <c r="P19" s="12"/>
      <c r="R19" s="12"/>
      <c r="S19" s="19" t="s">
        <v>2</v>
      </c>
      <c r="T19" s="7">
        <f>INDEX($K$16:$O$17,MATCH($S$24,$J$16:$J$17,0),MATCH(T$10,$K$16:$O$16,0))*(HLOOKUP(T$10,$T$28:$X$29,2,FALSE))*INDEX('Case A - Stretch'!$K$32:$O$42,MATCH($S19,'Case A - Stretch'!$J$32:$J$42,0),MATCH($K$12,'Case A - Stretch'!$K$30:$O$30,0))</f>
        <v>188.22109415504434</v>
      </c>
      <c r="U19" s="61">
        <f t="shared" si="0"/>
        <v>2.7925650350766151</v>
      </c>
      <c r="V19" s="42">
        <f t="shared" si="1"/>
        <v>1.2364285714285712</v>
      </c>
      <c r="W19" s="32">
        <f t="shared" si="2"/>
        <v>41.971795102044297</v>
      </c>
      <c r="Y19" s="12"/>
      <c r="Z19" s="19" t="s">
        <v>2</v>
      </c>
      <c r="AA19" s="30">
        <f>INDEX($K$18:$O$28,MATCH($S19,$J$18:$J$28,0),MATCH(T$10,$K$16:$O$16,0))*(INDEX('Company-level data'!$K$13:$O$23,MATCH($S19,'Company-level data'!$J$13:$J$23,0),MATCH(T$10,'Company-level data'!$K$11:$O$11,0)))</f>
        <v>146.24929905300004</v>
      </c>
    </row>
    <row r="20" spans="1:27" ht="13.5" thickTop="1" x14ac:dyDescent="0.2">
      <c r="A20" s="12"/>
      <c r="B20" s="12"/>
      <c r="C20" s="68" t="s">
        <v>0</v>
      </c>
      <c r="D20" s="69">
        <f>INDEX('Company-level data'!$R$13:$V$23,MATCH($C20,'Company-level data'!$Q$13:$Q$23,0),MATCH(D$18,'Company-level data'!$R$11:$V$11,0))*HLOOKUP('Case A - Stretch'!D$18,'Center cost &amp; synergy worksheet'!$D$59:$H$64,6,FALSE)/HLOOKUP(D$18,'Company-level data'!$R$11:$V$12,2,FALSE)+INDEX('Center cost &amp; synergy worksheet'!$D$67:$H$77,MATCH('Case A - Stretch'!$C20,'Center cost &amp; synergy worksheet'!$C$67:$C$77,0),MATCH('Case A - Stretch'!D$18,'Center cost &amp; synergy worksheet'!$D$66:$H$66,0))</f>
        <v>0</v>
      </c>
      <c r="E20" s="69">
        <f>INDEX('Company-level data'!$R$13:$V$23,MATCH($C20,'Company-level data'!$Q$13:$Q$23,0),MATCH(E$18,'Company-level data'!$R$11:$V$11,0))*HLOOKUP('Case A - Stretch'!E$18,'Center cost &amp; synergy worksheet'!$D$59:$H$64,6,FALSE)/HLOOKUP(E$18,'Company-level data'!$R$11:$V$12,2,FALSE)+INDEX('Center cost &amp; synergy worksheet'!$D$67:$H$77,MATCH('Case A - Stretch'!$C20,'Center cost &amp; synergy worksheet'!$C$67:$C$77,0),MATCH('Case A - Stretch'!E$18,'Center cost &amp; synergy worksheet'!$D$66:$H$66,0))</f>
        <v>0</v>
      </c>
      <c r="F20" s="69">
        <f>INDEX('Company-level data'!$R$13:$V$23,MATCH($C20,'Company-level data'!$Q$13:$Q$23,0),MATCH(F$18,'Company-level data'!$R$11:$V$11,0))*HLOOKUP('Case A - Stretch'!F$18,'Center cost &amp; synergy worksheet'!$D$59:$H$64,6,FALSE)/HLOOKUP(F$18,'Company-level data'!$R$11:$V$12,2,FALSE)+INDEX('Center cost &amp; synergy worksheet'!$D$67:$H$77,MATCH('Case A - Stretch'!$C20,'Center cost &amp; synergy worksheet'!$C$67:$C$77,0),MATCH('Case A - Stretch'!F$18,'Center cost &amp; synergy worksheet'!$D$66:$H$66,0))</f>
        <v>0</v>
      </c>
      <c r="G20" s="69">
        <f>INDEX('Company-level data'!$R$13:$V$23,MATCH($C20,'Company-level data'!$Q$13:$Q$23,0),MATCH(G$18,'Company-level data'!$R$11:$V$11,0))*HLOOKUP('Case A - Stretch'!G$18,'Center cost &amp; synergy worksheet'!$D$59:$H$64,6,FALSE)/HLOOKUP(G$18,'Company-level data'!$R$11:$V$12,2,FALSE)+INDEX('Center cost &amp; synergy worksheet'!$D$67:$H$77,MATCH('Case A - Stretch'!$C20,'Center cost &amp; synergy worksheet'!$C$67:$C$77,0),MATCH('Case A - Stretch'!G$18,'Center cost &amp; synergy worksheet'!$D$66:$H$66,0))</f>
        <v>0</v>
      </c>
      <c r="H20" s="69">
        <f>INDEX('Company-level data'!$R$13:$V$23,MATCH($C20,'Company-level data'!$Q$13:$Q$23,0),MATCH(H$18,'Company-level data'!$R$11:$V$11,0))*HLOOKUP('Case A - Stretch'!H$18,'Center cost &amp; synergy worksheet'!$D$59:$H$64,6,FALSE)/HLOOKUP(H$18,'Company-level data'!$R$11:$V$12,2,FALSE)+INDEX('Center cost &amp; synergy worksheet'!$D$67:$H$77,MATCH('Case A - Stretch'!$C20,'Center cost &amp; synergy worksheet'!$C$67:$C$77,0),MATCH('Case A - Stretch'!H$18,'Center cost &amp; synergy worksheet'!$D$66:$H$66,0))</f>
        <v>0</v>
      </c>
      <c r="I20" s="12"/>
      <c r="J20" s="91" t="s">
        <v>10</v>
      </c>
      <c r="K20" s="92"/>
      <c r="L20" s="90"/>
      <c r="M20" s="90"/>
      <c r="N20" s="90"/>
      <c r="O20" s="90"/>
      <c r="P20" s="12"/>
      <c r="R20" s="12"/>
      <c r="S20" s="19" t="s">
        <v>3</v>
      </c>
      <c r="T20" s="7">
        <f>INDEX($K$16:$O$17,MATCH($S$24,$J$16:$J$17,0),MATCH(T$10,$K$16:$O$16,0))*(HLOOKUP(T$10,$T$28:$X$29,2,FALSE))*INDEX('Case A - Stretch'!$K$32:$O$42,MATCH($S20,'Case A - Stretch'!$J$32:$J$42,0),MATCH($K$12,'Case A - Stretch'!$K$30:$O$30,0))</f>
        <v>201.11194532121291</v>
      </c>
      <c r="U20" s="61">
        <f t="shared" si="0"/>
        <v>1.4880952252092465</v>
      </c>
      <c r="V20" s="42">
        <f t="shared" si="1"/>
        <v>1.2364285714285712</v>
      </c>
      <c r="W20" s="32">
        <f t="shared" si="2"/>
        <v>44.846351571212892</v>
      </c>
      <c r="Y20" s="12"/>
      <c r="Z20" s="19" t="s">
        <v>3</v>
      </c>
      <c r="AA20" s="30">
        <f>INDEX($K$18:$O$28,MATCH($S20,$J$18:$J$28,0),MATCH(T$10,$K$16:$O$16,0))*(INDEX('Company-level data'!$K$13:$O$23,MATCH($S20,'Company-level data'!$J$13:$J$23,0),MATCH(T$10,'Company-level data'!$K$11:$O$11,0)))</f>
        <v>156.26559375000002</v>
      </c>
    </row>
    <row r="21" spans="1:27" x14ac:dyDescent="0.2">
      <c r="A21" s="12"/>
      <c r="B21" s="12"/>
      <c r="C21" s="70" t="s">
        <v>7</v>
      </c>
      <c r="D21" s="71"/>
      <c r="E21" s="71"/>
      <c r="F21" s="71"/>
      <c r="G21" s="71"/>
      <c r="H21" s="71"/>
      <c r="I21" s="12"/>
      <c r="J21" s="91" t="s">
        <v>8</v>
      </c>
      <c r="K21" s="92"/>
      <c r="L21" s="90"/>
      <c r="M21" s="90"/>
      <c r="N21" s="90"/>
      <c r="O21" s="90"/>
      <c r="P21" s="12"/>
      <c r="R21" s="12"/>
      <c r="S21" s="19" t="s">
        <v>4</v>
      </c>
      <c r="T21" s="7">
        <f>INDEX($K$16:$O$17,MATCH($S$24,$J$16:$J$17,0),MATCH(T$10,$K$16:$O$16,0))*(HLOOKUP(T$10,$T$28:$X$29,2,FALSE))*INDEX('Case A - Stretch'!$K$32:$O$42,MATCH($S21,'Case A - Stretch'!$J$32:$J$42,0),MATCH($K$12,'Case A - Stretch'!$K$30:$O$30,0))</f>
        <v>271.73464814688862</v>
      </c>
      <c r="U21" s="61">
        <f t="shared" si="0"/>
        <v>1.4242149938666959</v>
      </c>
      <c r="V21" s="42">
        <f t="shared" si="1"/>
        <v>1.2364285714285712</v>
      </c>
      <c r="W21" s="32">
        <f t="shared" si="2"/>
        <v>60.59464814688863</v>
      </c>
      <c r="Y21" s="12"/>
      <c r="Z21" s="19" t="s">
        <v>4</v>
      </c>
      <c r="AA21" s="30">
        <f>INDEX($K$18:$O$28,MATCH($S21,$J$18:$J$28,0),MATCH(T$10,$K$16:$O$16,0))*(INDEX('Company-level data'!$K$13:$O$23,MATCH($S21,'Company-level data'!$J$13:$J$23,0),MATCH(T$10,'Company-level data'!$K$11:$O$11,0)))</f>
        <v>211.14</v>
      </c>
    </row>
    <row r="22" spans="1:27" x14ac:dyDescent="0.2">
      <c r="A22" s="12"/>
      <c r="B22" s="12"/>
      <c r="C22" s="70" t="s">
        <v>10</v>
      </c>
      <c r="D22" s="71"/>
      <c r="E22" s="71"/>
      <c r="F22" s="71"/>
      <c r="G22" s="71"/>
      <c r="H22" s="71"/>
      <c r="I22" s="12"/>
      <c r="J22" s="91" t="s">
        <v>9</v>
      </c>
      <c r="K22" s="92"/>
      <c r="L22" s="90"/>
      <c r="M22" s="90"/>
      <c r="N22" s="90"/>
      <c r="O22" s="90"/>
      <c r="P22" s="12"/>
      <c r="R22" s="12"/>
      <c r="S22" s="19" t="s">
        <v>5</v>
      </c>
      <c r="T22" s="7">
        <f>INDEX($K$16:$O$17,MATCH($S$24,$J$16:$J$17,0),MATCH(T$10,$K$16:$O$16,0))*(HLOOKUP(T$10,$T$28:$X$29,2,FALSE))*INDEX('Case A - Stretch'!$K$32:$O$42,MATCH($S22,'Case A - Stretch'!$J$32:$J$42,0),MATCH($K$12,'Case A - Stretch'!$K$30:$O$30,0))</f>
        <v>78.551635500222901</v>
      </c>
      <c r="U22" s="61">
        <f t="shared" si="0"/>
        <v>0.81164630175820818</v>
      </c>
      <c r="V22" s="42">
        <f t="shared" si="1"/>
        <v>1.2364285714285712</v>
      </c>
      <c r="W22" s="32">
        <f t="shared" si="2"/>
        <v>17.516384998963019</v>
      </c>
      <c r="Y22" s="12"/>
      <c r="Z22" s="19" t="s">
        <v>5</v>
      </c>
      <c r="AA22" s="30">
        <f>INDEX($K$18:$O$28,MATCH($S22,$J$18:$J$28,0),MATCH(T$10,$K$16:$O$16,0))*(INDEX('Company-level data'!$K$13:$O$23,MATCH($S22,'Company-level data'!$J$13:$J$23,0),MATCH(T$10,'Company-level data'!$K$11:$O$11,0)))</f>
        <v>61.035250501259881</v>
      </c>
    </row>
    <row r="23" spans="1:27" x14ac:dyDescent="0.2">
      <c r="A23" s="12"/>
      <c r="B23" s="12"/>
      <c r="C23" s="70" t="s">
        <v>8</v>
      </c>
      <c r="D23" s="71"/>
      <c r="E23" s="71"/>
      <c r="F23" s="71"/>
      <c r="G23" s="71"/>
      <c r="H23" s="71"/>
      <c r="I23" s="12"/>
      <c r="J23" s="83" t="s">
        <v>1</v>
      </c>
      <c r="K23" s="136">
        <v>10.5</v>
      </c>
      <c r="L23" s="90">
        <f t="shared" ref="L23:N28" si="3">($O23-$K23)/($O$16-$K$16)+K23</f>
        <v>10.75</v>
      </c>
      <c r="M23" s="90">
        <f t="shared" si="3"/>
        <v>11</v>
      </c>
      <c r="N23" s="90">
        <f t="shared" si="3"/>
        <v>11.25</v>
      </c>
      <c r="O23" s="136">
        <v>11.5</v>
      </c>
      <c r="P23" s="12"/>
      <c r="R23" s="12"/>
      <c r="S23" s="20" t="s">
        <v>6</v>
      </c>
      <c r="T23" s="15">
        <f>INDEX($K$16:$O$17,MATCH($S$24,$J$16:$J$17,0),MATCH(T$10,$K$16:$O$16,0))*(HLOOKUP(T$10,$T$28:$X$29,2,FALSE))*INDEX('Case A - Stretch'!$K$32:$O$42,MATCH($S23,'Case A - Stretch'!$J$32:$J$42,0),MATCH($K$12,'Case A - Stretch'!$K$30:$O$30,0))</f>
        <v>30.080150665064711</v>
      </c>
      <c r="U23" s="62">
        <f t="shared" si="0"/>
        <v>0.4834784440892354</v>
      </c>
      <c r="V23" s="26">
        <f t="shared" si="1"/>
        <v>1.2364285714285712</v>
      </c>
      <c r="W23" s="33">
        <f t="shared" si="2"/>
        <v>6.7076324575647064</v>
      </c>
      <c r="Y23" s="12"/>
      <c r="Z23" s="20" t="s">
        <v>6</v>
      </c>
      <c r="AA23" s="31">
        <f>INDEX($K$18:$O$28,MATCH($S23,$J$18:$J$28,0),MATCH(T$10,$K$16:$O$16,0))*(INDEX('Company-level data'!$K$13:$O$23,MATCH($S23,'Company-level data'!$J$13:$J$23,0),MATCH(T$10,'Company-level data'!$K$11:$O$11,0)))</f>
        <v>23.372518207500004</v>
      </c>
    </row>
    <row r="24" spans="1:27" x14ac:dyDescent="0.2">
      <c r="A24" s="12"/>
      <c r="B24" s="12"/>
      <c r="C24" s="70" t="s">
        <v>9</v>
      </c>
      <c r="D24" s="71"/>
      <c r="E24" s="71"/>
      <c r="F24" s="71"/>
      <c r="G24" s="71"/>
      <c r="H24" s="71"/>
      <c r="I24" s="12"/>
      <c r="J24" s="83" t="s">
        <v>2</v>
      </c>
      <c r="K24" s="136">
        <v>7</v>
      </c>
      <c r="L24" s="90">
        <f t="shared" si="3"/>
        <v>7.125</v>
      </c>
      <c r="M24" s="90">
        <f t="shared" si="3"/>
        <v>7.25</v>
      </c>
      <c r="N24" s="90">
        <f t="shared" si="3"/>
        <v>7.375</v>
      </c>
      <c r="O24" s="136">
        <v>7.5</v>
      </c>
      <c r="P24" s="12"/>
      <c r="R24" s="12"/>
      <c r="S24" s="23" t="s">
        <v>109</v>
      </c>
      <c r="T24" s="40">
        <f>INDEX($K$16:$O$17,MATCH($S$24,$J$16:$J$17,0),MATCH(T$10,$K$16:$O$16,0))</f>
        <v>11.671282044527583</v>
      </c>
      <c r="U24" s="55"/>
      <c r="V24" s="55"/>
      <c r="X24" s="12"/>
      <c r="Y24" s="12"/>
      <c r="Z24" s="23" t="s">
        <v>111</v>
      </c>
      <c r="AA24" s="40">
        <f>SUM(AA18:AA23,AA13)/(HLOOKUP($AA$10,'Company-level data'!$K11:$O12,2,FALSE))</f>
        <v>9.1475452607426853</v>
      </c>
    </row>
    <row r="25" spans="1:27" x14ac:dyDescent="0.2">
      <c r="A25" s="12"/>
      <c r="B25" s="12"/>
      <c r="C25" s="68" t="s">
        <v>1</v>
      </c>
      <c r="D25" s="69">
        <f>D26+D27</f>
        <v>0</v>
      </c>
      <c r="E25" s="69">
        <f>E26+E27</f>
        <v>0</v>
      </c>
      <c r="F25" s="69">
        <f>F26+F27</f>
        <v>1</v>
      </c>
      <c r="G25" s="69">
        <f>G26+G27</f>
        <v>2</v>
      </c>
      <c r="H25" s="69">
        <f>H26+H27</f>
        <v>3</v>
      </c>
      <c r="I25" s="12"/>
      <c r="J25" s="83" t="s">
        <v>3</v>
      </c>
      <c r="K25" s="136">
        <v>8</v>
      </c>
      <c r="L25" s="90">
        <f t="shared" si="3"/>
        <v>8.125</v>
      </c>
      <c r="M25" s="90">
        <f t="shared" si="3"/>
        <v>8.25</v>
      </c>
      <c r="N25" s="90">
        <f t="shared" si="3"/>
        <v>8.375</v>
      </c>
      <c r="O25" s="136">
        <v>8.5</v>
      </c>
      <c r="P25" s="12"/>
      <c r="R25" s="12"/>
      <c r="S25" s="23" t="s">
        <v>28</v>
      </c>
      <c r="T25" s="23" t="b">
        <f>(T24*(HLOOKUP(T$10,$T$28:$X$29,2,FALSE)))=T11</f>
        <v>1</v>
      </c>
      <c r="U25" s="23" t="b">
        <f>SUM(U18:U23,U13)=U11</f>
        <v>1</v>
      </c>
      <c r="V25" s="23" t="b">
        <f>SUM(V18:V23,V13)=V11</f>
        <v>1</v>
      </c>
      <c r="W25" s="36"/>
      <c r="X25" s="12"/>
      <c r="Y25" s="12"/>
      <c r="Z25" s="23" t="s">
        <v>112</v>
      </c>
      <c r="AA25" s="40">
        <f>SUM(AA18:AA23)/(HLOOKUP($AA$10,'Company-level data'!$K$11:$O$12,2,FALSE)-INDEX('Company-level data'!$K$13:$O$23,MATCH("Hybrid",'Company-level data'!$J$13:$J$23,0),MATCH($AA$10,'Company-level data'!$K$11:$O$11,0)))</f>
        <v>9.9247892625735705</v>
      </c>
    </row>
    <row r="26" spans="1:27" x14ac:dyDescent="0.2">
      <c r="A26" s="12"/>
      <c r="B26" s="12"/>
      <c r="C26" s="72" t="s">
        <v>17</v>
      </c>
      <c r="D26" s="73">
        <f>D11</f>
        <v>0</v>
      </c>
      <c r="E26" s="73">
        <f>E11</f>
        <v>0</v>
      </c>
      <c r="F26" s="73">
        <f>F11</f>
        <v>1</v>
      </c>
      <c r="G26" s="73">
        <f>G11</f>
        <v>2</v>
      </c>
      <c r="H26" s="73">
        <f>H11</f>
        <v>3</v>
      </c>
      <c r="I26" s="12"/>
      <c r="J26" s="83" t="s">
        <v>4</v>
      </c>
      <c r="K26" s="136">
        <v>8.5</v>
      </c>
      <c r="L26" s="90">
        <f t="shared" si="3"/>
        <v>9.25</v>
      </c>
      <c r="M26" s="90">
        <f t="shared" si="3"/>
        <v>10</v>
      </c>
      <c r="N26" s="90">
        <f t="shared" si="3"/>
        <v>10.75</v>
      </c>
      <c r="O26" s="136">
        <v>11.5</v>
      </c>
      <c r="P26" s="12"/>
      <c r="R26" s="12"/>
      <c r="S26" s="23"/>
      <c r="T26" s="24"/>
      <c r="U26" s="24"/>
      <c r="V26" s="24"/>
      <c r="W26" s="24"/>
      <c r="X26" s="24"/>
      <c r="Y26" s="12"/>
      <c r="Z26" s="23" t="s">
        <v>114</v>
      </c>
    </row>
    <row r="27" spans="1:27" x14ac:dyDescent="0.2">
      <c r="A27" s="12"/>
      <c r="B27" s="12"/>
      <c r="C27" s="72" t="s">
        <v>18</v>
      </c>
      <c r="D27" s="73">
        <f>INDEX('Company-level data'!$R$13:$V$23,MATCH($C25,'Company-level data'!$Q$13:$Q$23,0),MATCH(D$18,'Company-level data'!$R$11:$V$11,0))*HLOOKUP('Case A - Stretch'!D$18,'Center cost &amp; synergy worksheet'!$D$59:$H$64,6,FALSE)/HLOOKUP(D$18,'Company-level data'!$R$11:$V$12,2,FALSE)+INDEX('Center cost &amp; synergy worksheet'!$D$67:$H$77,MATCH('Case A - Stretch'!$C25,'Center cost &amp; synergy worksheet'!$C$67:$C$77,0),MATCH('Case A - Stretch'!D$18,'Center cost &amp; synergy worksheet'!$D$66:$H$66,0))</f>
        <v>0</v>
      </c>
      <c r="E27" s="73">
        <f>INDEX('Company-level data'!$R$13:$V$23,MATCH($C25,'Company-level data'!$Q$13:$Q$23,0),MATCH(E$18,'Company-level data'!$R$11:$V$11,0))*HLOOKUP('Case A - Stretch'!E$18,'Center cost &amp; synergy worksheet'!$D$59:$H$64,6,FALSE)/HLOOKUP(E$18,'Company-level data'!$R$11:$V$12,2,FALSE)+INDEX('Center cost &amp; synergy worksheet'!$D$67:$H$77,MATCH('Case A - Stretch'!$C25,'Center cost &amp; synergy worksheet'!$C$67:$C$77,0),MATCH('Case A - Stretch'!E$18,'Center cost &amp; synergy worksheet'!$D$66:$H$66,0))</f>
        <v>0</v>
      </c>
      <c r="F27" s="73">
        <f>INDEX('Company-level data'!$R$13:$V$23,MATCH($C25,'Company-level data'!$Q$13:$Q$23,0),MATCH(F$18,'Company-level data'!$R$11:$V$11,0))*HLOOKUP('Case A - Stretch'!F$18,'Center cost &amp; synergy worksheet'!$D$59:$H$64,6,FALSE)/HLOOKUP(F$18,'Company-level data'!$R$11:$V$12,2,FALSE)+INDEX('Center cost &amp; synergy worksheet'!$D$67:$H$77,MATCH('Case A - Stretch'!$C25,'Center cost &amp; synergy worksheet'!$C$67:$C$77,0),MATCH('Case A - Stretch'!F$18,'Center cost &amp; synergy worksheet'!$D$66:$H$66,0))</f>
        <v>0</v>
      </c>
      <c r="G27" s="73">
        <f>INDEX('Company-level data'!$R$13:$V$23,MATCH($C25,'Company-level data'!$Q$13:$Q$23,0),MATCH(G$18,'Company-level data'!$R$11:$V$11,0))*HLOOKUP('Case A - Stretch'!G$18,'Center cost &amp; synergy worksheet'!$D$59:$H$64,6,FALSE)/HLOOKUP(G$18,'Company-level data'!$R$11:$V$12,2,FALSE)+INDEX('Center cost &amp; synergy worksheet'!$D$67:$H$77,MATCH('Case A - Stretch'!$C25,'Center cost &amp; synergy worksheet'!$C$67:$C$77,0),MATCH('Case A - Stretch'!G$18,'Center cost &amp; synergy worksheet'!$D$66:$H$66,0))</f>
        <v>0</v>
      </c>
      <c r="H27" s="73">
        <f>INDEX('Company-level data'!$R$13:$V$23,MATCH($C25,'Company-level data'!$Q$13:$Q$23,0),MATCH(H$18,'Company-level data'!$R$11:$V$11,0))*HLOOKUP('Case A - Stretch'!H$18,'Center cost &amp; synergy worksheet'!$D$59:$H$64,6,FALSE)/HLOOKUP(H$18,'Company-level data'!$R$11:$V$12,2,FALSE)+INDEX('Center cost &amp; synergy worksheet'!$D$67:$H$77,MATCH('Case A - Stretch'!$C25,'Center cost &amp; synergy worksheet'!$C$67:$C$77,0),MATCH('Case A - Stretch'!H$18,'Center cost &amp; synergy worksheet'!$D$66:$H$66,0))</f>
        <v>0</v>
      </c>
      <c r="I27" s="12"/>
      <c r="J27" s="83" t="s">
        <v>5</v>
      </c>
      <c r="K27" s="136">
        <v>6.75</v>
      </c>
      <c r="L27" s="90">
        <f t="shared" si="3"/>
        <v>6.8125</v>
      </c>
      <c r="M27" s="90">
        <f t="shared" si="3"/>
        <v>6.875</v>
      </c>
      <c r="N27" s="90">
        <f t="shared" si="3"/>
        <v>6.9375</v>
      </c>
      <c r="O27" s="136">
        <v>7</v>
      </c>
      <c r="P27" s="12"/>
      <c r="R27" s="12"/>
      <c r="S27" s="24"/>
      <c r="T27" s="24"/>
      <c r="U27" s="24"/>
      <c r="V27" s="24"/>
      <c r="W27" s="24"/>
      <c r="X27" s="24"/>
      <c r="Y27" s="12"/>
      <c r="Z27" s="12"/>
    </row>
    <row r="28" spans="1:27" ht="13.5" thickBot="1" x14ac:dyDescent="0.25">
      <c r="A28" s="12"/>
      <c r="B28" s="12"/>
      <c r="C28" s="74" t="s">
        <v>2</v>
      </c>
      <c r="D28" s="75">
        <f>D29+D30</f>
        <v>0</v>
      </c>
      <c r="E28" s="75">
        <f>E29+E30</f>
        <v>0.46635626429983862</v>
      </c>
      <c r="F28" s="75">
        <f>F29+F30</f>
        <v>2.6706880309733925</v>
      </c>
      <c r="G28" s="75">
        <f>G29+G30</f>
        <v>2.94614025661628</v>
      </c>
      <c r="H28" s="75">
        <f>H29+H30</f>
        <v>2.7925650350766151</v>
      </c>
      <c r="I28" s="12"/>
      <c r="J28" s="93" t="s">
        <v>6</v>
      </c>
      <c r="K28" s="142">
        <v>8.5</v>
      </c>
      <c r="L28" s="94">
        <f t="shared" si="3"/>
        <v>8.625</v>
      </c>
      <c r="M28" s="94">
        <f t="shared" si="3"/>
        <v>8.75</v>
      </c>
      <c r="N28" s="94">
        <f t="shared" si="3"/>
        <v>8.875</v>
      </c>
      <c r="O28" s="142">
        <v>9</v>
      </c>
      <c r="P28" s="12"/>
      <c r="R28" s="12"/>
      <c r="S28" s="10" t="s">
        <v>85</v>
      </c>
      <c r="T28" s="10">
        <v>2015</v>
      </c>
      <c r="U28" s="10">
        <v>2016</v>
      </c>
      <c r="V28" s="10">
        <v>2017</v>
      </c>
      <c r="W28" s="10">
        <v>2018</v>
      </c>
      <c r="X28" s="10">
        <v>2019</v>
      </c>
      <c r="Y28" s="12"/>
      <c r="Z28" s="12"/>
    </row>
    <row r="29" spans="1:27" ht="13.5" thickBot="1" x14ac:dyDescent="0.25">
      <c r="A29" s="12"/>
      <c r="B29" s="12"/>
      <c r="C29" s="72" t="s">
        <v>17</v>
      </c>
      <c r="D29" s="73">
        <f>D$12*INDEX('Company-level data'!$R$19:$V$23,MATCH($C28,'Company-level data'!$Q$19:$Q$23,0),MATCH(D$18,'Company-level data'!$R$11:$V$11,0))/SUM('Company-level data'!R$19:R$23)</f>
        <v>0</v>
      </c>
      <c r="E29" s="73">
        <f>E$12*INDEX('Company-level data'!$R$19:$V$23,MATCH($C28,'Company-level data'!$Q$19:$Q$23,0),MATCH(E$18,'Company-level data'!$R$11:$V$11,0))/SUM('Company-level data'!S$19:S$23)</f>
        <v>0.46635626429983862</v>
      </c>
      <c r="F29" s="73">
        <f>F$12*INDEX('Company-level data'!$R$19:$V$23,MATCH($C28,'Company-level data'!$Q$19:$Q$23,0),MATCH(F$18,'Company-level data'!$R$11:$V$11,0))/SUM('Company-level data'!T$19:T$23)</f>
        <v>2.6706880309733925</v>
      </c>
      <c r="G29" s="73">
        <f>G$12*INDEX('Company-level data'!$R$19:$V$23,MATCH($C28,'Company-level data'!$Q$19:$Q$23,0),MATCH(G$18,'Company-level data'!$R$11:$V$11,0))/SUM('Company-level data'!U$19:U$23)</f>
        <v>2.94614025661628</v>
      </c>
      <c r="H29" s="73">
        <f>H$12*INDEX('Company-level data'!$R$19:$V$23,MATCH($C28,'Company-level data'!$Q$19:$Q$23,0),MATCH(H$18,'Company-level data'!$R$11:$V$11,0))/SUM('Company-level data'!V$19:V$23)</f>
        <v>2.7925650350766151</v>
      </c>
      <c r="I29" s="12"/>
      <c r="J29" s="83"/>
      <c r="K29" s="83"/>
      <c r="L29" s="83"/>
      <c r="M29" s="83"/>
      <c r="N29" s="83"/>
      <c r="O29" s="83"/>
      <c r="P29" s="12"/>
      <c r="R29" s="12"/>
      <c r="S29" s="14" t="s">
        <v>23</v>
      </c>
      <c r="T29" s="21">
        <f>T30+T35+T36+T37+T38+T39+T40</f>
        <v>53.299260988748053</v>
      </c>
      <c r="U29" s="21">
        <f>U30+U35+U36+U37+U38+U39+U40</f>
        <v>66.440511377960817</v>
      </c>
      <c r="V29" s="21">
        <f>V30+V35+V36+V37+V38+V39+V40</f>
        <v>91.729736872877638</v>
      </c>
      <c r="W29" s="21">
        <f>W30+W35+W36+W37+W38+W39+W40</f>
        <v>121.23355450814248</v>
      </c>
      <c r="X29" s="21">
        <f>X30+X35+X36+X37+X38+X39+X40</f>
        <v>156.00536200808</v>
      </c>
      <c r="Y29" s="12"/>
      <c r="Z29" s="12"/>
    </row>
    <row r="30" spans="1:27" ht="14.25" thickTop="1" thickBot="1" x14ac:dyDescent="0.25">
      <c r="A30" s="12"/>
      <c r="B30" s="12"/>
      <c r="C30" s="72" t="s">
        <v>18</v>
      </c>
      <c r="D30" s="73">
        <f>INDEX('Company-level data'!$R$13:$V$23,MATCH($C28,'Company-level data'!$Q$13:$Q$23,0),MATCH(D$18,'Company-level data'!$R$11:$V$11,0))*HLOOKUP('Case A - Stretch'!D$18,'Center cost &amp; synergy worksheet'!$D$59:$H$64,6,FALSE)/HLOOKUP(D$18,'Company-level data'!$R$11:$V$12,2,FALSE)+INDEX('Center cost &amp; synergy worksheet'!$D$67:$H$77,MATCH('Case A - Stretch'!$C28,'Center cost &amp; synergy worksheet'!$C$67:$C$77,0),MATCH('Case A - Stretch'!D$18,'Center cost &amp; synergy worksheet'!$D$66:$H$66,0))</f>
        <v>0</v>
      </c>
      <c r="E30" s="73">
        <f>INDEX('Company-level data'!$R$13:$V$23,MATCH($C28,'Company-level data'!$Q$13:$Q$23,0),MATCH(E$18,'Company-level data'!$R$11:$V$11,0))*HLOOKUP('Case A - Stretch'!E$18,'Center cost &amp; synergy worksheet'!$D$59:$H$64,6,FALSE)/HLOOKUP(E$18,'Company-level data'!$R$11:$V$12,2,FALSE)+INDEX('Center cost &amp; synergy worksheet'!$D$67:$H$77,MATCH('Case A - Stretch'!$C28,'Center cost &amp; synergy worksheet'!$C$67:$C$77,0),MATCH('Case A - Stretch'!E$18,'Center cost &amp; synergy worksheet'!$D$66:$H$66,0))</f>
        <v>0</v>
      </c>
      <c r="F30" s="73">
        <f>INDEX('Company-level data'!$R$13:$V$23,MATCH($C28,'Company-level data'!$Q$13:$Q$23,0),MATCH(F$18,'Company-level data'!$R$11:$V$11,0))*HLOOKUP('Case A - Stretch'!F$18,'Center cost &amp; synergy worksheet'!$D$59:$H$64,6,FALSE)/HLOOKUP(F$18,'Company-level data'!$R$11:$V$12,2,FALSE)+INDEX('Center cost &amp; synergy worksheet'!$D$67:$H$77,MATCH('Case A - Stretch'!$C28,'Center cost &amp; synergy worksheet'!$C$67:$C$77,0),MATCH('Case A - Stretch'!F$18,'Center cost &amp; synergy worksheet'!$D$66:$H$66,0))</f>
        <v>0</v>
      </c>
      <c r="G30" s="73">
        <f>INDEX('Company-level data'!$R$13:$V$23,MATCH($C28,'Company-level data'!$Q$13:$Q$23,0),MATCH(G$18,'Company-level data'!$R$11:$V$11,0))*HLOOKUP('Case A - Stretch'!G$18,'Center cost &amp; synergy worksheet'!$D$59:$H$64,6,FALSE)/HLOOKUP(G$18,'Company-level data'!$R$11:$V$12,2,FALSE)+INDEX('Center cost &amp; synergy worksheet'!$D$67:$H$77,MATCH('Case A - Stretch'!$C28,'Center cost &amp; synergy worksheet'!$C$67:$C$77,0),MATCH('Case A - Stretch'!G$18,'Center cost &amp; synergy worksheet'!$D$66:$H$66,0))</f>
        <v>0</v>
      </c>
      <c r="H30" s="73">
        <f>INDEX('Company-level data'!$R$13:$V$23,MATCH($C28,'Company-level data'!$Q$13:$Q$23,0),MATCH(H$18,'Company-level data'!$R$11:$V$11,0))*HLOOKUP('Case A - Stretch'!H$18,'Center cost &amp; synergy worksheet'!$D$59:$H$64,6,FALSE)/HLOOKUP(H$18,'Company-level data'!$R$11:$V$12,2,FALSE)+INDEX('Center cost &amp; synergy worksheet'!$D$67:$H$77,MATCH('Case A - Stretch'!$C28,'Center cost &amp; synergy worksheet'!$C$67:$C$77,0),MATCH('Case A - Stretch'!H$18,'Center cost &amp; synergy worksheet'!$D$66:$H$66,0))</f>
        <v>0</v>
      </c>
      <c r="I30" s="12"/>
      <c r="J30" s="88" t="s">
        <v>98</v>
      </c>
      <c r="K30" s="88">
        <v>2015</v>
      </c>
      <c r="L30" s="88">
        <v>2016</v>
      </c>
      <c r="M30" s="88">
        <v>2017</v>
      </c>
      <c r="N30" s="88">
        <v>2018</v>
      </c>
      <c r="O30" s="88">
        <v>2019</v>
      </c>
      <c r="P30" s="12"/>
      <c r="R30" s="12"/>
      <c r="S30" s="12" t="s">
        <v>0</v>
      </c>
      <c r="T30" s="7">
        <f>INDEX('Company-level data'!$K$12:$O$23,MATCH($S30,'Company-level data'!$J$12:$J$23,0),MATCH(T$28,'Company-level data'!$K$11:$O$11,0))+INDEX($D$20:$H$42,MATCH($S30,$C$20:$C$42,0),MATCH(T$28,$D$18:$H$18,0))-INDEX($K$47:$O$57,MATCH($S30,$J$47:$J$57,0),MATCH(T$28,$D$51:$H$51,0))*INDEX($D$52:$H$54,MATCH("center - baseline",$C$52:$C$54,0),MATCH(T$28,$D$51:$H$51,0))</f>
        <v>24.078916485398828</v>
      </c>
      <c r="U30" s="7">
        <f>INDEX('Company-level data'!$K$12:$O$23,MATCH($S30,'Company-level data'!$J$12:$J$23,0),MATCH(U$28,'Company-level data'!$K$11:$O$11,0))+INDEX($D$20:$H$42,MATCH($S30,$C$20:$C$42,0),MATCH(U$28,$D$18:$H$18,0))-INDEX($K$47:$O$57,MATCH($S30,$J$47:$J$57,0),MATCH(U$28,$D$51:$H$51,0))*INDEX($D$52:$H$54,MATCH("center - baseline",$C$52:$C$54,0),MATCH(U$28,$D$51:$H$51,0))</f>
        <v>27.186607142857142</v>
      </c>
      <c r="V30" s="7">
        <f>INDEX('Company-level data'!$K$12:$O$23,MATCH($S30,'Company-level data'!$J$12:$J$23,0),MATCH(V$28,'Company-level data'!$K$11:$O$11,0))+INDEX($D$20:$H$42,MATCH($S30,$C$20:$C$42,0),MATCH(V$28,$D$18:$H$18,0))-INDEX($K$47:$O$57,MATCH($S30,$J$47:$J$57,0),MATCH(V$28,$D$51:$H$51,0))*INDEX($D$52:$H$54,MATCH("center - baseline",$C$52:$C$54,0),MATCH(V$28,$D$51:$H$51,0))</f>
        <v>32.138571428571424</v>
      </c>
      <c r="W30" s="7">
        <f>INDEX('Company-level data'!$K$12:$O$23,MATCH($S30,'Company-level data'!$J$12:$J$23,0),MATCH(W$28,'Company-level data'!$K$11:$O$11,0))+INDEX($D$20:$H$42,MATCH($S30,$C$20:$C$42,0),MATCH(W$28,$D$18:$H$18,0))-INDEX($K$47:$O$57,MATCH($S30,$J$47:$J$57,0),MATCH(W$28,$D$51:$H$51,0))*INDEX($D$52:$H$54,MATCH("center - baseline",$C$52:$C$54,0),MATCH(W$28,$D$51:$H$51,0))</f>
        <v>36.379642857142855</v>
      </c>
      <c r="X30" s="7">
        <f>INDEX('Company-level data'!$K$12:$O$23,MATCH($S30,'Company-level data'!$J$12:$J$23,0),MATCH(X$28,'Company-level data'!$K$11:$O$11,0))+INDEX($D$20:$H$42,MATCH($S30,$C$20:$C$42,0),MATCH(X$28,$D$18:$H$18,0))-INDEX($K$47:$O$57,MATCH($S30,$J$47:$J$57,0),MATCH(X$28,$D$51:$H$51,0))*INDEX($D$52:$H$54,MATCH("center - baseline",$C$52:$C$54,0),MATCH(X$28,$D$51:$H$51,0))</f>
        <v>39.863571428571433</v>
      </c>
      <c r="Y30" s="12"/>
      <c r="Z30" s="12"/>
    </row>
    <row r="31" spans="1:27" ht="13.5" thickBot="1" x14ac:dyDescent="0.25">
      <c r="A31" s="12"/>
      <c r="B31" s="12"/>
      <c r="C31" s="74" t="s">
        <v>3</v>
      </c>
      <c r="D31" s="75">
        <f>D32+D33</f>
        <v>0</v>
      </c>
      <c r="E31" s="75">
        <f>E32+E33</f>
        <v>0.17640952286351402</v>
      </c>
      <c r="F31" s="75">
        <f>F32+F33</f>
        <v>1.1020871318438361</v>
      </c>
      <c r="G31" s="75">
        <f>G32+G33</f>
        <v>1.3815401719808083</v>
      </c>
      <c r="H31" s="75">
        <f>H32+H33</f>
        <v>1.4880952252092465</v>
      </c>
      <c r="J31" s="89" t="s">
        <v>11</v>
      </c>
      <c r="K31" s="95">
        <f>SUM(K32,K37:K42)</f>
        <v>1</v>
      </c>
      <c r="L31" s="95">
        <f>SUM(L32,L37:L42)</f>
        <v>1</v>
      </c>
      <c r="M31" s="95">
        <f>SUM(M32,M37:M42)</f>
        <v>1.0000000000000002</v>
      </c>
      <c r="N31" s="95">
        <f>SUM(N32,N37:N42)</f>
        <v>1</v>
      </c>
      <c r="O31" s="95">
        <f>SUM(O32,O37:O42)</f>
        <v>0.99999999999999989</v>
      </c>
      <c r="P31" s="12"/>
      <c r="R31" s="12"/>
      <c r="S31" s="19" t="s">
        <v>7</v>
      </c>
      <c r="T31" s="7">
        <f>INDEX('Company-level data'!$K$12:$O$23,MATCH($S31,'Company-level data'!$J$12:$J$23,0),MATCH(T$28,'Company-level data'!$K$11:$O$11,0))+INDEX($D$20:$H$42,MATCH($S31,$C$20:$C$42,0),MATCH(T$28,$D$18:$H$18,0))-INDEX($K$47:$O$57,MATCH($S31,$J$47:$J$57,0),MATCH(T$28,$D$51:$H$51,0))*INDEX($D$52:$H$54,MATCH("center - baseline",$C$52:$C$54,0),MATCH(T$28,$D$51:$H$51,0))</f>
        <v>0</v>
      </c>
      <c r="U31" s="7">
        <f>INDEX('Company-level data'!$K$12:$O$23,MATCH($S31,'Company-level data'!$J$12:$J$23,0),MATCH(U$28,'Company-level data'!$K$11:$O$11,0))+INDEX($D$20:$H$42,MATCH($S31,$C$20:$C$42,0),MATCH(U$28,$D$18:$H$18,0))-INDEX($K$47:$O$57,MATCH($S31,$J$47:$J$57,0),MATCH(U$28,$D$51:$H$51,0))*INDEX($D$52:$H$54,MATCH("center - baseline",$C$52:$C$54,0),MATCH(U$28,$D$51:$H$51,0))</f>
        <v>0</v>
      </c>
      <c r="V31" s="7">
        <f>INDEX('Company-level data'!$K$12:$O$23,MATCH($S31,'Company-level data'!$J$12:$J$23,0),MATCH(V$28,'Company-level data'!$K$11:$O$11,0))+INDEX($D$20:$H$42,MATCH($S31,$C$20:$C$42,0),MATCH(V$28,$D$18:$H$18,0))-INDEX($K$47:$O$57,MATCH($S31,$J$47:$J$57,0),MATCH(V$28,$D$51:$H$51,0))*INDEX($D$52:$H$54,MATCH("center - baseline",$C$52:$C$54,0),MATCH(V$28,$D$51:$H$51,0))</f>
        <v>0</v>
      </c>
      <c r="W31" s="7">
        <f>INDEX('Company-level data'!$K$12:$O$23,MATCH($S31,'Company-level data'!$J$12:$J$23,0),MATCH(W$28,'Company-level data'!$K$11:$O$11,0))+INDEX($D$20:$H$42,MATCH($S31,$C$20:$C$42,0),MATCH(W$28,$D$18:$H$18,0))-INDEX($K$47:$O$57,MATCH($S31,$J$47:$J$57,0),MATCH(W$28,$D$51:$H$51,0))*INDEX($D$52:$H$54,MATCH("center - baseline",$C$52:$C$54,0),MATCH(W$28,$D$51:$H$51,0))</f>
        <v>0</v>
      </c>
      <c r="X31" s="7">
        <f>INDEX('Company-level data'!$K$12:$O$23,MATCH($S31,'Company-level data'!$J$12:$J$23,0),MATCH(X$28,'Company-level data'!$K$11:$O$11,0))+INDEX($D$20:$H$42,MATCH($S31,$C$20:$C$42,0),MATCH(X$28,$D$18:$H$18,0))-INDEX($K$47:$O$57,MATCH($S31,$J$47:$J$57,0),MATCH(X$28,$D$51:$H$51,0))*INDEX($D$52:$H$54,MATCH("center - baseline",$C$52:$C$54,0),MATCH(X$28,$D$51:$H$51,0))</f>
        <v>0</v>
      </c>
      <c r="Y31" s="12"/>
      <c r="Z31" s="12"/>
    </row>
    <row r="32" spans="1:27" ht="13.5" thickTop="1" x14ac:dyDescent="0.2">
      <c r="A32" s="12"/>
      <c r="B32" s="12"/>
      <c r="C32" s="72" t="s">
        <v>17</v>
      </c>
      <c r="D32" s="73">
        <f>D$12*INDEX('Company-level data'!$R$19:$V$23,MATCH($C31,'Company-level data'!$Q$19:$Q$23,0),MATCH(D$18,'Company-level data'!$R$11:$V$11,0))/SUM('Company-level data'!R$19:R$23)</f>
        <v>0</v>
      </c>
      <c r="E32" s="73">
        <f>E$12*INDEX('Company-level data'!$R$19:$V$23,MATCH($C31,'Company-level data'!$Q$19:$Q$23,0),MATCH(E$18,'Company-level data'!$R$11:$V$11,0))/SUM('Company-level data'!S$19:S$23)</f>
        <v>0.17640952286351402</v>
      </c>
      <c r="F32" s="73">
        <f>F$12*INDEX('Company-level data'!$R$19:$V$23,MATCH($C31,'Company-level data'!$Q$19:$Q$23,0),MATCH(F$18,'Company-level data'!$R$11:$V$11,0))/SUM('Company-level data'!T$19:T$23)</f>
        <v>1.1020871318438361</v>
      </c>
      <c r="G32" s="73">
        <f>G$12*INDEX('Company-level data'!$R$19:$V$23,MATCH($C31,'Company-level data'!$Q$19:$Q$23,0),MATCH(G$18,'Company-level data'!$R$11:$V$11,0))/SUM('Company-level data'!U$19:U$23)</f>
        <v>1.3815401719808083</v>
      </c>
      <c r="H32" s="73">
        <f>H$12*INDEX('Company-level data'!$R$19:$V$23,MATCH($C31,'Company-level data'!$Q$19:$Q$23,0),MATCH(H$18,'Company-level data'!$R$11:$V$11,0))/SUM('Company-level data'!V$19:V$23)</f>
        <v>1.4880952252092465</v>
      </c>
      <c r="I32" s="12"/>
      <c r="J32" s="83" t="s">
        <v>0</v>
      </c>
      <c r="K32" s="96">
        <f>'Company-level data'!K13*'Case A - Stretch'!K$18/SUM(SUMPRODUCT('Company-level data'!K$18:K$23,'Case A - Stretch'!K$23:K$28),'Company-level data'!K$13*'Case A - Stretch'!K$18)</f>
        <v>0.4109828894234126</v>
      </c>
      <c r="L32" s="96">
        <f>'Company-level data'!L13*'Case A - Stretch'!L$18/SUM(SUMPRODUCT('Company-level data'!L$18:L$23,'Case A - Stretch'!L$23:L$28),'Company-level data'!L$13*'Case A - Stretch'!L$18)</f>
        <v>0.34838645805247631</v>
      </c>
      <c r="M32" s="96">
        <f>'Company-level data'!M13*'Case A - Stretch'!M$18/SUM(SUMPRODUCT('Company-level data'!M$18:M$23,'Case A - Stretch'!M$23:M$28),'Company-level data'!M$13*'Case A - Stretch'!M$18)</f>
        <v>0.30583717625939316</v>
      </c>
      <c r="N32" s="96">
        <f>'Company-level data'!N13*'Case A - Stretch'!N$18/SUM(SUMPRODUCT('Company-level data'!N$18:N$23,'Case A - Stretch'!N$23:N$28),'Company-level data'!N$13*'Case A - Stretch'!N$18)</f>
        <v>0.25143683410280082</v>
      </c>
      <c r="O32" s="96">
        <f>'Company-level data'!O13*'Case A - Stretch'!O$18/SUM(SUMPRODUCT('Company-level data'!O$18:O$23,'Case A - Stretch'!O$23:O$28),'Company-level data'!O$13*'Case A - Stretch'!O$18)</f>
        <v>0.20335566369314201</v>
      </c>
      <c r="P32" s="12"/>
      <c r="R32" s="12"/>
      <c r="S32" s="19" t="s">
        <v>10</v>
      </c>
      <c r="T32" s="7">
        <f>INDEX('Company-level data'!$K$12:$O$23,MATCH($S32,'Company-level data'!$J$12:$J$23,0),MATCH(T$28,'Company-level data'!$K$11:$O$11,0))+INDEX($D$20:$H$42,MATCH($S32,$C$20:$C$42,0),MATCH(T$28,$D$18:$H$18,0))-INDEX($K$47:$O$57,MATCH($S32,$J$47:$J$57,0),MATCH(T$28,$D$51:$H$51,0))*INDEX($D$52:$H$54,MATCH("center - baseline",$C$52:$C$54,0),MATCH(T$28,$D$51:$H$51,0))</f>
        <v>0</v>
      </c>
      <c r="U32" s="7">
        <f>INDEX('Company-level data'!$K$12:$O$23,MATCH($S32,'Company-level data'!$J$12:$J$23,0),MATCH(U$28,'Company-level data'!$K$11:$O$11,0))+INDEX($D$20:$H$42,MATCH($S32,$C$20:$C$42,0),MATCH(U$28,$D$18:$H$18,0))-INDEX($K$47:$O$57,MATCH($S32,$J$47:$J$57,0),MATCH(U$28,$D$51:$H$51,0))*INDEX($D$52:$H$54,MATCH("center - baseline",$C$52:$C$54,0),MATCH(U$28,$D$51:$H$51,0))</f>
        <v>0</v>
      </c>
      <c r="V32" s="7">
        <f>INDEX('Company-level data'!$K$12:$O$23,MATCH($S32,'Company-level data'!$J$12:$J$23,0),MATCH(V$28,'Company-level data'!$K$11:$O$11,0))+INDEX($D$20:$H$42,MATCH($S32,$C$20:$C$42,0),MATCH(V$28,$D$18:$H$18,0))-INDEX($K$47:$O$57,MATCH($S32,$J$47:$J$57,0),MATCH(V$28,$D$51:$H$51,0))*INDEX($D$52:$H$54,MATCH("center - baseline",$C$52:$C$54,0),MATCH(V$28,$D$51:$H$51,0))</f>
        <v>0</v>
      </c>
      <c r="W32" s="7">
        <f>INDEX('Company-level data'!$K$12:$O$23,MATCH($S32,'Company-level data'!$J$12:$J$23,0),MATCH(W$28,'Company-level data'!$K$11:$O$11,0))+INDEX($D$20:$H$42,MATCH($S32,$C$20:$C$42,0),MATCH(W$28,$D$18:$H$18,0))-INDEX($K$47:$O$57,MATCH($S32,$J$47:$J$57,0),MATCH(W$28,$D$51:$H$51,0))*INDEX($D$52:$H$54,MATCH("center - baseline",$C$52:$C$54,0),MATCH(W$28,$D$51:$H$51,0))</f>
        <v>0</v>
      </c>
      <c r="X32" s="7">
        <f>INDEX('Company-level data'!$K$12:$O$23,MATCH($S32,'Company-level data'!$J$12:$J$23,0),MATCH(X$28,'Company-level data'!$K$11:$O$11,0))+INDEX($D$20:$H$42,MATCH($S32,$C$20:$C$42,0),MATCH(X$28,$D$18:$H$18,0))-INDEX($K$47:$O$57,MATCH($S32,$J$47:$J$57,0),MATCH(X$28,$D$51:$H$51,0))*INDEX($D$52:$H$54,MATCH("center - baseline",$C$52:$C$54,0),MATCH(X$28,$D$51:$H$51,0))</f>
        <v>0</v>
      </c>
      <c r="Y32" s="12"/>
      <c r="Z32" s="12"/>
    </row>
    <row r="33" spans="1:33" x14ac:dyDescent="0.2">
      <c r="A33" s="12"/>
      <c r="B33" s="12"/>
      <c r="C33" s="72" t="s">
        <v>18</v>
      </c>
      <c r="D33" s="73">
        <f>INDEX('Company-level data'!$R$13:$V$23,MATCH($C31,'Company-level data'!$Q$13:$Q$23,0),MATCH(D$18,'Company-level data'!$R$11:$V$11,0))*HLOOKUP('Case A - Stretch'!D$18,'Center cost &amp; synergy worksheet'!$D$59:$H$64,6,FALSE)/HLOOKUP(D$18,'Company-level data'!$R$11:$V$12,2,FALSE)+INDEX('Center cost &amp; synergy worksheet'!$D$67:$H$77,MATCH('Case A - Stretch'!$C31,'Center cost &amp; synergy worksheet'!$C$67:$C$77,0),MATCH('Case A - Stretch'!D$18,'Center cost &amp; synergy worksheet'!$D$66:$H$66,0))</f>
        <v>0</v>
      </c>
      <c r="E33" s="73">
        <f>INDEX('Company-level data'!$R$13:$V$23,MATCH($C31,'Company-level data'!$Q$13:$Q$23,0),MATCH(E$18,'Company-level data'!$R$11:$V$11,0))*HLOOKUP('Case A - Stretch'!E$18,'Center cost &amp; synergy worksheet'!$D$59:$H$64,6,FALSE)/HLOOKUP(E$18,'Company-level data'!$R$11:$V$12,2,FALSE)+INDEX('Center cost &amp; synergy worksheet'!$D$67:$H$77,MATCH('Case A - Stretch'!$C31,'Center cost &amp; synergy worksheet'!$C$67:$C$77,0),MATCH('Case A - Stretch'!E$18,'Center cost &amp; synergy worksheet'!$D$66:$H$66,0))</f>
        <v>0</v>
      </c>
      <c r="F33" s="73">
        <f>INDEX('Company-level data'!$R$13:$V$23,MATCH($C31,'Company-level data'!$Q$13:$Q$23,0),MATCH(F$18,'Company-level data'!$R$11:$V$11,0))*HLOOKUP('Case A - Stretch'!F$18,'Center cost &amp; synergy worksheet'!$D$59:$H$64,6,FALSE)/HLOOKUP(F$18,'Company-level data'!$R$11:$V$12,2,FALSE)+INDEX('Center cost &amp; synergy worksheet'!$D$67:$H$77,MATCH('Case A - Stretch'!$C31,'Center cost &amp; synergy worksheet'!$C$67:$C$77,0),MATCH('Case A - Stretch'!F$18,'Center cost &amp; synergy worksheet'!$D$66:$H$66,0))</f>
        <v>0</v>
      </c>
      <c r="G33" s="73">
        <f>INDEX('Company-level data'!$R$13:$V$23,MATCH($C31,'Company-level data'!$Q$13:$Q$23,0),MATCH(G$18,'Company-level data'!$R$11:$V$11,0))*HLOOKUP('Case A - Stretch'!G$18,'Center cost &amp; synergy worksheet'!$D$59:$H$64,6,FALSE)/HLOOKUP(G$18,'Company-level data'!$R$11:$V$12,2,FALSE)+INDEX('Center cost &amp; synergy worksheet'!$D$67:$H$77,MATCH('Case A - Stretch'!$C31,'Center cost &amp; synergy worksheet'!$C$67:$C$77,0),MATCH('Case A - Stretch'!G$18,'Center cost &amp; synergy worksheet'!$D$66:$H$66,0))</f>
        <v>0</v>
      </c>
      <c r="H33" s="73">
        <f>INDEX('Company-level data'!$R$13:$V$23,MATCH($C31,'Company-level data'!$Q$13:$Q$23,0),MATCH(H$18,'Company-level data'!$R$11:$V$11,0))*HLOOKUP('Case A - Stretch'!H$18,'Center cost &amp; synergy worksheet'!$D$59:$H$64,6,FALSE)/HLOOKUP(H$18,'Company-level data'!$R$11:$V$12,2,FALSE)+INDEX('Center cost &amp; synergy worksheet'!$D$67:$H$77,MATCH('Case A - Stretch'!$C31,'Center cost &amp; synergy worksheet'!$C$67:$C$77,0),MATCH('Case A - Stretch'!H$18,'Center cost &amp; synergy worksheet'!$D$66:$H$66,0))</f>
        <v>0</v>
      </c>
      <c r="I33" s="12"/>
      <c r="J33" s="91" t="s">
        <v>7</v>
      </c>
      <c r="K33" s="97"/>
      <c r="L33" s="97"/>
      <c r="M33" s="97"/>
      <c r="N33" s="97"/>
      <c r="O33" s="97"/>
      <c r="P33" s="12"/>
      <c r="R33" s="12"/>
      <c r="S33" s="19" t="s">
        <v>8</v>
      </c>
      <c r="T33" s="7">
        <f>INDEX('Company-level data'!$K$12:$O$23,MATCH($S33,'Company-level data'!$J$12:$J$23,0),MATCH(T$28,'Company-level data'!$K$11:$O$11,0))+INDEX($D$20:$H$42,MATCH($S33,$C$20:$C$42,0),MATCH(T$28,$D$18:$H$18,0))-INDEX($K$47:$O$57,MATCH($S33,$J$47:$J$57,0),MATCH(T$28,$D$51:$H$51,0))*INDEX($D$52:$H$54,MATCH("center - baseline",$C$52:$C$54,0),MATCH(T$28,$D$51:$H$51,0))</f>
        <v>0</v>
      </c>
      <c r="U33" s="7">
        <f>INDEX('Company-level data'!$K$12:$O$23,MATCH($S33,'Company-level data'!$J$12:$J$23,0),MATCH(U$28,'Company-level data'!$K$11:$O$11,0))+INDEX($D$20:$H$42,MATCH($S33,$C$20:$C$42,0),MATCH(U$28,$D$18:$H$18,0))-INDEX($K$47:$O$57,MATCH($S33,$J$47:$J$57,0),MATCH(U$28,$D$51:$H$51,0))*INDEX($D$52:$H$54,MATCH("center - baseline",$C$52:$C$54,0),MATCH(U$28,$D$51:$H$51,0))</f>
        <v>0</v>
      </c>
      <c r="V33" s="7">
        <f>INDEX('Company-level data'!$K$12:$O$23,MATCH($S33,'Company-level data'!$J$12:$J$23,0),MATCH(V$28,'Company-level data'!$K$11:$O$11,0))+INDEX($D$20:$H$42,MATCH($S33,$C$20:$C$42,0),MATCH(V$28,$D$18:$H$18,0))-INDEX($K$47:$O$57,MATCH($S33,$J$47:$J$57,0),MATCH(V$28,$D$51:$H$51,0))*INDEX($D$52:$H$54,MATCH("center - baseline",$C$52:$C$54,0),MATCH(V$28,$D$51:$H$51,0))</f>
        <v>0</v>
      </c>
      <c r="W33" s="7">
        <f>INDEX('Company-level data'!$K$12:$O$23,MATCH($S33,'Company-level data'!$J$12:$J$23,0),MATCH(W$28,'Company-level data'!$K$11:$O$11,0))+INDEX($D$20:$H$42,MATCH($S33,$C$20:$C$42,0),MATCH(W$28,$D$18:$H$18,0))-INDEX($K$47:$O$57,MATCH($S33,$J$47:$J$57,0),MATCH(W$28,$D$51:$H$51,0))*INDEX($D$52:$H$54,MATCH("center - baseline",$C$52:$C$54,0),MATCH(W$28,$D$51:$H$51,0))</f>
        <v>0</v>
      </c>
      <c r="X33" s="7">
        <f>INDEX('Company-level data'!$K$12:$O$23,MATCH($S33,'Company-level data'!$J$12:$J$23,0),MATCH(X$28,'Company-level data'!$K$11:$O$11,0))+INDEX($D$20:$H$42,MATCH($S33,$C$20:$C$42,0),MATCH(X$28,$D$18:$H$18,0))-INDEX($K$47:$O$57,MATCH($S33,$J$47:$J$57,0),MATCH(X$28,$D$51:$H$51,0))*INDEX($D$52:$H$54,MATCH("center - baseline",$C$52:$C$54,0),MATCH(X$28,$D$51:$H$51,0))</f>
        <v>0</v>
      </c>
      <c r="Y33" s="12"/>
      <c r="Z33" s="12"/>
    </row>
    <row r="34" spans="1:33" x14ac:dyDescent="0.2">
      <c r="A34" s="12"/>
      <c r="B34" s="12"/>
      <c r="C34" s="74" t="s">
        <v>4</v>
      </c>
      <c r="D34" s="75">
        <f>D35+D36</f>
        <v>0</v>
      </c>
      <c r="E34" s="75">
        <f>E35+E36</f>
        <v>0.16138802232411556</v>
      </c>
      <c r="F34" s="75">
        <f>F35+F36</f>
        <v>1.0987263219179695</v>
      </c>
      <c r="G34" s="75">
        <f>G35+G36</f>
        <v>1.3773271712217769</v>
      </c>
      <c r="H34" s="75">
        <f>H35+H36</f>
        <v>1.4242149938666959</v>
      </c>
      <c r="I34" s="12"/>
      <c r="J34" s="91" t="s">
        <v>10</v>
      </c>
      <c r="K34" s="97"/>
      <c r="L34" s="97"/>
      <c r="M34" s="97"/>
      <c r="N34" s="97"/>
      <c r="O34" s="97"/>
      <c r="P34" s="12"/>
      <c r="R34" s="12"/>
      <c r="S34" s="19" t="s">
        <v>9</v>
      </c>
      <c r="T34" s="7">
        <f>INDEX('Company-level data'!$K$12:$O$23,MATCH($S34,'Company-level data'!$J$12:$J$23,0),MATCH(T$28,'Company-level data'!$K$11:$O$11,0))+INDEX($D$20:$H$42,MATCH($S34,$C$20:$C$42,0),MATCH(T$28,$D$18:$H$18,0))-INDEX($K$47:$O$57,MATCH($S34,$J$47:$J$57,0),MATCH(T$28,$D$51:$H$51,0))*INDEX($D$52:$H$54,MATCH("center - baseline",$C$52:$C$54,0),MATCH(T$28,$D$51:$H$51,0))</f>
        <v>0</v>
      </c>
      <c r="U34" s="7">
        <f>INDEX('Company-level data'!$K$12:$O$23,MATCH($S34,'Company-level data'!$J$12:$J$23,0),MATCH(U$28,'Company-level data'!$K$11:$O$11,0))+INDEX($D$20:$H$42,MATCH($S34,$C$20:$C$42,0),MATCH(U$28,$D$18:$H$18,0))-INDEX($K$47:$O$57,MATCH($S34,$J$47:$J$57,0),MATCH(U$28,$D$51:$H$51,0))*INDEX($D$52:$H$54,MATCH("center - baseline",$C$52:$C$54,0),MATCH(U$28,$D$51:$H$51,0))</f>
        <v>0</v>
      </c>
      <c r="V34" s="7">
        <f>INDEX('Company-level data'!$K$12:$O$23,MATCH($S34,'Company-level data'!$J$12:$J$23,0),MATCH(V$28,'Company-level data'!$K$11:$O$11,0))+INDEX($D$20:$H$42,MATCH($S34,$C$20:$C$42,0),MATCH(V$28,$D$18:$H$18,0))-INDEX($K$47:$O$57,MATCH($S34,$J$47:$J$57,0),MATCH(V$28,$D$51:$H$51,0))*INDEX($D$52:$H$54,MATCH("center - baseline",$C$52:$C$54,0),MATCH(V$28,$D$51:$H$51,0))</f>
        <v>0</v>
      </c>
      <c r="W34" s="7">
        <f>INDEX('Company-level data'!$K$12:$O$23,MATCH($S34,'Company-level data'!$J$12:$J$23,0),MATCH(W$28,'Company-level data'!$K$11:$O$11,0))+INDEX($D$20:$H$42,MATCH($S34,$C$20:$C$42,0),MATCH(W$28,$D$18:$H$18,0))-INDEX($K$47:$O$57,MATCH($S34,$J$47:$J$57,0),MATCH(W$28,$D$51:$H$51,0))*INDEX($D$52:$H$54,MATCH("center - baseline",$C$52:$C$54,0),MATCH(W$28,$D$51:$H$51,0))</f>
        <v>0</v>
      </c>
      <c r="X34" s="7">
        <f>INDEX('Company-level data'!$K$12:$O$23,MATCH($S34,'Company-level data'!$J$12:$J$23,0),MATCH(X$28,'Company-level data'!$K$11:$O$11,0))+INDEX($D$20:$H$42,MATCH($S34,$C$20:$C$42,0),MATCH(X$28,$D$18:$H$18,0))-INDEX($K$47:$O$57,MATCH($S34,$J$47:$J$57,0),MATCH(X$28,$D$51:$H$51,0))*INDEX($D$52:$H$54,MATCH("center - baseline",$C$52:$C$54,0),MATCH(X$28,$D$51:$H$51,0))</f>
        <v>0</v>
      </c>
      <c r="Y34" s="12"/>
      <c r="Z34" s="12"/>
    </row>
    <row r="35" spans="1:33" x14ac:dyDescent="0.2">
      <c r="A35" s="12"/>
      <c r="B35" s="12"/>
      <c r="C35" s="72" t="s">
        <v>17</v>
      </c>
      <c r="D35" s="73">
        <f>D$12*INDEX('Company-level data'!$R$19:$V$23,MATCH($C34,'Company-level data'!$Q$19:$Q$23,0),MATCH(D$18,'Company-level data'!$R$11:$V$11,0))/SUM('Company-level data'!R$19:R$23)</f>
        <v>0</v>
      </c>
      <c r="E35" s="73">
        <f>E$12*INDEX('Company-level data'!$R$19:$V$23,MATCH($C34,'Company-level data'!$Q$19:$Q$23,0),MATCH(E$18,'Company-level data'!$R$11:$V$11,0))/SUM('Company-level data'!S$19:S$23)</f>
        <v>0.16138802232411556</v>
      </c>
      <c r="F35" s="73">
        <f>F$12*INDEX('Company-level data'!$R$19:$V$23,MATCH($C34,'Company-level data'!$Q$19:$Q$23,0),MATCH(F$18,'Company-level data'!$R$11:$V$11,0))/SUM('Company-level data'!T$19:T$23)</f>
        <v>1.0987263219179695</v>
      </c>
      <c r="G35" s="73">
        <f>G$12*INDEX('Company-level data'!$R$19:$V$23,MATCH($C34,'Company-level data'!$Q$19:$Q$23,0),MATCH(G$18,'Company-level data'!$R$11:$V$11,0))/SUM('Company-level data'!U$19:U$23)</f>
        <v>1.3773271712217769</v>
      </c>
      <c r="H35" s="73">
        <f>H$12*INDEX('Company-level data'!$R$19:$V$23,MATCH($C34,'Company-level data'!$Q$19:$Q$23,0),MATCH(H$18,'Company-level data'!$R$11:$V$11,0))/SUM('Company-level data'!V$19:V$23)</f>
        <v>1.4242149938666959</v>
      </c>
      <c r="I35" s="12"/>
      <c r="J35" s="91" t="s">
        <v>8</v>
      </c>
      <c r="K35" s="97"/>
      <c r="L35" s="97"/>
      <c r="M35" s="97"/>
      <c r="N35" s="97"/>
      <c r="O35" s="97"/>
      <c r="P35" s="12"/>
      <c r="R35" s="12"/>
      <c r="S35" s="12" t="s">
        <v>1</v>
      </c>
      <c r="T35" s="7">
        <f>INDEX('Company-level data'!$K$12:$O$23,MATCH($S35,'Company-level data'!$J$12:$J$23,0),MATCH(T$28,'Company-level data'!$K$11:$O$11,0))+INDEX($D$20:$H$42,MATCH($S35,$C$20:$C$42,0),MATCH(T$28,$D$18:$H$18,0))-INDEX($K$47:$O$57,MATCH($S35,$J$47:$J$57,0),MATCH(T$28,$D$51:$H$51,0))*INDEX($D$52:$H$54,MATCH("center - baseline",$C$52:$C$54,0),MATCH(T$28,$D$51:$H$51,0))</f>
        <v>7.8787468777018148</v>
      </c>
      <c r="U35" s="7">
        <f>INDEX('Company-level data'!$K$12:$O$23,MATCH($S35,'Company-level data'!$J$12:$J$23,0),MATCH(U$28,'Company-level data'!$K$11:$O$11,0))+INDEX($D$20:$H$42,MATCH($S35,$C$20:$C$42,0),MATCH(U$28,$D$18:$H$18,0))-INDEX($K$47:$O$57,MATCH($S35,$J$47:$J$57,0),MATCH(U$28,$D$51:$H$51,0))*INDEX($D$52:$H$54,MATCH("center - baseline",$C$52:$C$54,0),MATCH(U$28,$D$51:$H$51,0))</f>
        <v>13.957279541635739</v>
      </c>
      <c r="V35" s="7">
        <f>INDEX('Company-level data'!$K$12:$O$23,MATCH($S35,'Company-level data'!$J$12:$J$23,0),MATCH(V$28,'Company-level data'!$K$11:$O$11,0))+INDEX($D$20:$H$42,MATCH($S35,$C$20:$C$42,0),MATCH(V$28,$D$18:$H$18,0))-INDEX($K$47:$O$57,MATCH($S35,$J$47:$J$57,0),MATCH(V$28,$D$51:$H$51,0))*INDEX($D$52:$H$54,MATCH("center - baseline",$C$52:$C$54,0),MATCH(V$28,$D$51:$H$51,0))</f>
        <v>20.838571428571427</v>
      </c>
      <c r="W35" s="7">
        <f>INDEX('Company-level data'!$K$12:$O$23,MATCH($S35,'Company-level data'!$J$12:$J$23,0),MATCH(W$28,'Company-level data'!$K$11:$O$11,0))+INDEX($D$20:$H$42,MATCH($S35,$C$20:$C$42,0),MATCH(W$28,$D$18:$H$18,0))-INDEX($K$47:$O$57,MATCH($S35,$J$47:$J$57,0),MATCH(W$28,$D$51:$H$51,0))*INDEX($D$52:$H$54,MATCH("center - baseline",$C$52:$C$54,0),MATCH(W$28,$D$51:$H$51,0))</f>
        <v>32.779642857142861</v>
      </c>
      <c r="X35" s="7">
        <f>INDEX('Company-level data'!$K$12:$O$23,MATCH($S35,'Company-level data'!$J$12:$J$23,0),MATCH(X$28,'Company-level data'!$K$11:$O$11,0))+INDEX($D$20:$H$42,MATCH($S35,$C$20:$C$42,0),MATCH(X$28,$D$18:$H$18,0))-INDEX($K$47:$O$57,MATCH($S35,$J$47:$J$57,0),MATCH(X$28,$D$51:$H$51,0))*INDEX($D$52:$H$54,MATCH("center - baseline",$C$52:$C$54,0),MATCH(X$28,$D$51:$H$51,0))</f>
        <v>47.763571428571431</v>
      </c>
      <c r="Y35" s="12"/>
      <c r="Z35" s="12"/>
    </row>
    <row r="36" spans="1:33" x14ac:dyDescent="0.2">
      <c r="A36" s="12"/>
      <c r="B36" s="12"/>
      <c r="C36" s="72" t="s">
        <v>18</v>
      </c>
      <c r="D36" s="73">
        <f>INDEX('Company-level data'!$R$13:$V$23,MATCH($C34,'Company-level data'!$Q$13:$Q$23,0),MATCH(D$18,'Company-level data'!$R$11:$V$11,0))*HLOOKUP('Case A - Stretch'!D$18,'Center cost &amp; synergy worksheet'!$D$59:$H$64,6,FALSE)/HLOOKUP(D$18,'Company-level data'!$R$11:$V$12,2,FALSE)+INDEX('Center cost &amp; synergy worksheet'!$D$67:$H$77,MATCH('Case A - Stretch'!$C34,'Center cost &amp; synergy worksheet'!$C$67:$C$77,0),MATCH('Case A - Stretch'!D$18,'Center cost &amp; synergy worksheet'!$D$66:$H$66,0))</f>
        <v>0</v>
      </c>
      <c r="E36" s="73">
        <f>INDEX('Company-level data'!$R$13:$V$23,MATCH($C34,'Company-level data'!$Q$13:$Q$23,0),MATCH(E$18,'Company-level data'!$R$11:$V$11,0))*HLOOKUP('Case A - Stretch'!E$18,'Center cost &amp; synergy worksheet'!$D$59:$H$64,6,FALSE)/HLOOKUP(E$18,'Company-level data'!$R$11:$V$12,2,FALSE)+INDEX('Center cost &amp; synergy worksheet'!$D$67:$H$77,MATCH('Case A - Stretch'!$C34,'Center cost &amp; synergy worksheet'!$C$67:$C$77,0),MATCH('Case A - Stretch'!E$18,'Center cost &amp; synergy worksheet'!$D$66:$H$66,0))</f>
        <v>0</v>
      </c>
      <c r="F36" s="73">
        <f>INDEX('Company-level data'!$R$13:$V$23,MATCH($C34,'Company-level data'!$Q$13:$Q$23,0),MATCH(F$18,'Company-level data'!$R$11:$V$11,0))*HLOOKUP('Case A - Stretch'!F$18,'Center cost &amp; synergy worksheet'!$D$59:$H$64,6,FALSE)/HLOOKUP(F$18,'Company-level data'!$R$11:$V$12,2,FALSE)+INDEX('Center cost &amp; synergy worksheet'!$D$67:$H$77,MATCH('Case A - Stretch'!$C34,'Center cost &amp; synergy worksheet'!$C$67:$C$77,0),MATCH('Case A - Stretch'!F$18,'Center cost &amp; synergy worksheet'!$D$66:$H$66,0))</f>
        <v>0</v>
      </c>
      <c r="G36" s="73">
        <f>INDEX('Company-level data'!$R$13:$V$23,MATCH($C34,'Company-level data'!$Q$13:$Q$23,0),MATCH(G$18,'Company-level data'!$R$11:$V$11,0))*HLOOKUP('Case A - Stretch'!G$18,'Center cost &amp; synergy worksheet'!$D$59:$H$64,6,FALSE)/HLOOKUP(G$18,'Company-level data'!$R$11:$V$12,2,FALSE)+INDEX('Center cost &amp; synergy worksheet'!$D$67:$H$77,MATCH('Case A - Stretch'!$C34,'Center cost &amp; synergy worksheet'!$C$67:$C$77,0),MATCH('Case A - Stretch'!G$18,'Center cost &amp; synergy worksheet'!$D$66:$H$66,0))</f>
        <v>0</v>
      </c>
      <c r="H36" s="73">
        <f>INDEX('Company-level data'!$R$13:$V$23,MATCH($C34,'Company-level data'!$Q$13:$Q$23,0),MATCH(H$18,'Company-level data'!$R$11:$V$11,0))*HLOOKUP('Case A - Stretch'!H$18,'Center cost &amp; synergy worksheet'!$D$59:$H$64,6,FALSE)/HLOOKUP(H$18,'Company-level data'!$R$11:$V$12,2,FALSE)+INDEX('Center cost &amp; synergy worksheet'!$D$67:$H$77,MATCH('Case A - Stretch'!$C34,'Center cost &amp; synergy worksheet'!$C$67:$C$77,0),MATCH('Case A - Stretch'!H$18,'Center cost &amp; synergy worksheet'!$D$66:$H$66,0))</f>
        <v>0</v>
      </c>
      <c r="I36" s="12"/>
      <c r="J36" s="91" t="s">
        <v>9</v>
      </c>
      <c r="K36" s="97"/>
      <c r="L36" s="97"/>
      <c r="M36" s="97"/>
      <c r="N36" s="97"/>
      <c r="O36" s="97"/>
      <c r="P36" s="12"/>
      <c r="R36" s="12"/>
      <c r="S36" s="12" t="s">
        <v>2</v>
      </c>
      <c r="T36" s="7">
        <f>INDEX('Company-level data'!$K$12:$O$23,MATCH($S36,'Company-level data'!$J$12:$J$23,0),MATCH(T$28,'Company-level data'!$K$11:$O$11,0))+INDEX($D$20:$H$42,MATCH($S36,$C$20:$C$42,0),MATCH(T$28,$D$18:$H$18,0))-INDEX($K$47:$O$57,MATCH($S36,$J$47:$J$57,0),MATCH(T$28,$D$51:$H$51,0))*INDEX($D$52:$H$54,MATCH("center - baseline",$C$52:$C$54,0),MATCH(T$28,$D$51:$H$51,0))</f>
        <v>6.7225714285714293</v>
      </c>
      <c r="U36" s="7">
        <f>INDEX('Company-level data'!$K$12:$O$23,MATCH($S36,'Company-level data'!$J$12:$J$23,0),MATCH(U$28,'Company-level data'!$K$11:$O$11,0))+INDEX($D$20:$H$42,MATCH($S36,$C$20:$C$42,0),MATCH(U$28,$D$18:$H$18,0))-INDEX($K$47:$O$57,MATCH($S36,$J$47:$J$57,0),MATCH(U$28,$D$51:$H$51,0))*INDEX($D$52:$H$54,MATCH("center - baseline",$C$52:$C$54,0),MATCH(U$28,$D$51:$H$51,0))</f>
        <v>8.5686978071569797</v>
      </c>
      <c r="V36" s="7">
        <f>INDEX('Company-level data'!$K$12:$O$23,MATCH($S36,'Company-level data'!$J$12:$J$23,0),MATCH(V$28,'Company-level data'!$K$11:$O$11,0))+INDEX($D$20:$H$42,MATCH($S36,$C$20:$C$42,0),MATCH(V$28,$D$18:$H$18,0))-INDEX($K$47:$O$57,MATCH($S36,$J$47:$J$57,0),MATCH(V$28,$D$51:$H$51,0))*INDEX($D$52:$H$54,MATCH("center - baseline",$C$52:$C$54,0),MATCH(V$28,$D$51:$H$51,0))</f>
        <v>13.286062519544823</v>
      </c>
      <c r="W36" s="7">
        <f>INDEX('Company-level data'!$K$12:$O$23,MATCH($S36,'Company-level data'!$J$12:$J$23,0),MATCH(W$28,'Company-level data'!$K$11:$O$11,0))+INDEX($D$20:$H$42,MATCH($S36,$C$20:$C$42,0),MATCH(W$28,$D$18:$H$18,0))-INDEX($K$47:$O$57,MATCH($S36,$J$47:$J$57,0),MATCH(W$28,$D$51:$H$51,0))*INDEX($D$52:$H$54,MATCH("center - baseline",$C$52:$C$54,0),MATCH(W$28,$D$51:$H$51,0))</f>
        <v>16.725711221759138</v>
      </c>
      <c r="X36" s="7">
        <f>INDEX('Company-level data'!$K$12:$O$23,MATCH($S36,'Company-level data'!$J$12:$J$23,0),MATCH(X$28,'Company-level data'!$K$11:$O$11,0))+INDEX($D$20:$H$42,MATCH($S36,$C$20:$C$42,0),MATCH(X$28,$D$18:$H$18,0))-INDEX($K$47:$O$57,MATCH($S36,$J$47:$J$57,0),MATCH(X$28,$D$51:$H$51,0))*INDEX($D$52:$H$54,MATCH("center - baseline",$C$52:$C$54,0),MATCH(X$28,$D$51:$H$51,0))</f>
        <v>21.056043004048046</v>
      </c>
      <c r="Y36" s="12"/>
      <c r="Z36" s="12"/>
    </row>
    <row r="37" spans="1:33" x14ac:dyDescent="0.2">
      <c r="A37" s="12"/>
      <c r="B37" s="12"/>
      <c r="C37" s="74" t="s">
        <v>5</v>
      </c>
      <c r="D37" s="75">
        <f>D38+D39</f>
        <v>0</v>
      </c>
      <c r="E37" s="75">
        <f>E38+E39</f>
        <v>0.11126086584297444</v>
      </c>
      <c r="F37" s="75">
        <f>F38+F39</f>
        <v>0.66612070932506073</v>
      </c>
      <c r="G37" s="75">
        <f>G38+G39</f>
        <v>0.78492538672000756</v>
      </c>
      <c r="H37" s="75">
        <f>H38+H39</f>
        <v>0.81164630175820818</v>
      </c>
      <c r="I37" s="12"/>
      <c r="J37" s="83" t="s">
        <v>1</v>
      </c>
      <c r="K37" s="96">
        <f>'Company-level data'!K18*'Case A - Stretch'!K$23/SUM(SUMPRODUCT('Company-level data'!K$18:K$23,'Case A - Stretch'!K$23:K$28),'Company-level data'!K$13*'Case A - Stretch'!K$18)</f>
        <v>0.19406870432030335</v>
      </c>
      <c r="L37" s="96">
        <f>'Company-level data'!L18*'Case A - Stretch'!L$23/SUM(SUMPRODUCT('Company-level data'!L$18:L$23,'Case A - Stretch'!L$23:L$28),'Company-level data'!L$13*'Case A - Stretch'!L$18)</f>
        <v>0.26873980106444961</v>
      </c>
      <c r="M37" s="96">
        <f>'Company-level data'!M18*'Case A - Stretch'!M$23/SUM(SUMPRODUCT('Company-level data'!M$18:M$23,'Case A - Stretch'!M$23:M$28),'Company-level data'!M$13*'Case A - Stretch'!M$18)</f>
        <v>0.29263078685272786</v>
      </c>
      <c r="N37" s="96">
        <f>'Company-level data'!N18*'Case A - Stretch'!N$23/SUM(SUMPRODUCT('Company-level data'!N$18:N$23,'Case A - Stretch'!N$23:N$28),'Company-level data'!N$13*'Case A - Stretch'!N$18)</f>
        <v>0.33787704470701113</v>
      </c>
      <c r="O37" s="96">
        <f>'Company-level data'!O18*'Case A - Stretch'!O$23/SUM(SUMPRODUCT('Company-level data'!O$18:O$23,'Case A - Stretch'!O$23:O$28),'Company-level data'!O$13*'Case A - Stretch'!O$18)</f>
        <v>0.37391430689493266</v>
      </c>
      <c r="P37" s="12"/>
      <c r="R37" s="12"/>
      <c r="S37" s="12" t="s">
        <v>3</v>
      </c>
      <c r="T37" s="7">
        <f>INDEX('Company-level data'!$K$12:$O$23,MATCH($S37,'Company-level data'!$J$12:$J$23,0),MATCH(T$28,'Company-level data'!$K$11:$O$11,0))+INDEX($D$20:$H$42,MATCH($S37,$C$20:$C$42,0),MATCH(T$28,$D$18:$H$18,0))-INDEX($K$47:$O$57,MATCH($S37,$J$47:$J$57,0),MATCH(T$28,$D$51:$H$51,0))*INDEX($D$52:$H$54,MATCH("center - baseline",$C$52:$C$54,0),MATCH(T$28,$D$51:$H$51,0))</f>
        <v>8.0335714285714293</v>
      </c>
      <c r="U37" s="7">
        <f>INDEX('Company-level data'!$K$12:$O$23,MATCH($S37,'Company-level data'!$J$12:$J$23,0),MATCH(U$28,'Company-level data'!$K$11:$O$11,0))+INDEX($D$20:$H$42,MATCH($S37,$C$20:$C$42,0),MATCH(U$28,$D$18:$H$18,0))-INDEX($K$47:$O$57,MATCH($S37,$J$47:$J$57,0),MATCH(U$28,$D$51:$H$51,0))*INDEX($D$52:$H$54,MATCH("center - baseline",$C$52:$C$54,0),MATCH(U$28,$D$51:$H$51,0))</f>
        <v>7.7890166657206583</v>
      </c>
      <c r="V37" s="7">
        <f>INDEX('Company-level data'!$K$12:$O$23,MATCH($S37,'Company-level data'!$J$12:$J$23,0),MATCH(V$28,'Company-level data'!$K$11:$O$11,0))+INDEX($D$20:$H$42,MATCH($S37,$C$20:$C$42,0),MATCH(V$28,$D$18:$H$18,0))-INDEX($K$47:$O$57,MATCH($S37,$J$47:$J$57,0),MATCH(V$28,$D$51:$H$51,0))*INDEX($D$52:$H$54,MATCH("center - baseline",$C$52:$C$54,0),MATCH(V$28,$D$51:$H$51,0))</f>
        <v>10.683418560415264</v>
      </c>
      <c r="W37" s="7">
        <f>INDEX('Company-level data'!$K$12:$O$23,MATCH($S37,'Company-level data'!$J$12:$J$23,0),MATCH(W$28,'Company-level data'!$K$11:$O$11,0))+INDEX($D$20:$H$42,MATCH($S37,$C$20:$C$42,0),MATCH(W$28,$D$18:$H$18,0))-INDEX($K$47:$O$57,MATCH($S37,$J$47:$J$57,0),MATCH(W$28,$D$51:$H$51,0))*INDEX($D$52:$H$54,MATCH("center - baseline",$C$52:$C$54,0),MATCH(W$28,$D$51:$H$51,0))</f>
        <v>14.229083029123665</v>
      </c>
      <c r="X37" s="7">
        <f>INDEX('Company-level data'!$K$12:$O$23,MATCH($S37,'Company-level data'!$J$12:$J$23,0),MATCH(X$28,'Company-level data'!$K$11:$O$11,0))+INDEX($D$20:$H$42,MATCH($S37,$C$20:$C$42,0),MATCH(X$28,$D$18:$H$18,0))-INDEX($K$47:$O$57,MATCH($S37,$J$47:$J$57,0),MATCH(X$28,$D$51:$H$51,0))*INDEX($D$52:$H$54,MATCH("center - baseline",$C$52:$C$54,0),MATCH(X$28,$D$51:$H$51,0))</f>
        <v>18.635854153780677</v>
      </c>
      <c r="Y37" s="12"/>
      <c r="Z37" s="12"/>
    </row>
    <row r="38" spans="1:33" x14ac:dyDescent="0.2">
      <c r="A38" s="12"/>
      <c r="B38" s="12"/>
      <c r="C38" s="72" t="s">
        <v>17</v>
      </c>
      <c r="D38" s="73">
        <f>D$12*INDEX('Company-level data'!$R$19:$V$23,MATCH($C37,'Company-level data'!$Q$19:$Q$23,0),MATCH(D$18,'Company-level data'!$R$11:$V$11,0))/SUM('Company-level data'!R$19:R$23)</f>
        <v>0</v>
      </c>
      <c r="E38" s="73">
        <f>E$12*INDEX('Company-level data'!$R$19:$V$23,MATCH($C37,'Company-level data'!$Q$19:$Q$23,0),MATCH(E$18,'Company-level data'!$R$11:$V$11,0))/SUM('Company-level data'!S$19:S$23)</f>
        <v>0.11126086584297444</v>
      </c>
      <c r="F38" s="73">
        <f>F$12*INDEX('Company-level data'!$R$19:$V$23,MATCH($C37,'Company-level data'!$Q$19:$Q$23,0),MATCH(F$18,'Company-level data'!$R$11:$V$11,0))/SUM('Company-level data'!T$19:T$23)</f>
        <v>0.66612070932506073</v>
      </c>
      <c r="G38" s="73">
        <f>G$12*INDEX('Company-level data'!$R$19:$V$23,MATCH($C37,'Company-level data'!$Q$19:$Q$23,0),MATCH(G$18,'Company-level data'!$R$11:$V$11,0))/SUM('Company-level data'!U$19:U$23)</f>
        <v>0.78492538672000756</v>
      </c>
      <c r="H38" s="73">
        <f>H$12*INDEX('Company-level data'!$R$19:$V$23,MATCH($C37,'Company-level data'!$Q$19:$Q$23,0),MATCH(H$18,'Company-level data'!$R$11:$V$11,0))/SUM('Company-level data'!V$19:V$23)</f>
        <v>0.81164630175820818</v>
      </c>
      <c r="I38" s="12"/>
      <c r="J38" s="83" t="s">
        <v>2</v>
      </c>
      <c r="K38" s="96">
        <f>'Company-level data'!K19*'Case A - Stretch'!K$24/SUM(SUMPRODUCT('Company-level data'!K$18:K$23,'Case A - Stretch'!K$23:K$28),'Company-level data'!K$13*'Case A - Stretch'!K$18)</f>
        <v>0.11123701396972541</v>
      </c>
      <c r="L38" s="96">
        <f>'Company-level data'!L19*'Case A - Stretch'!L$24/SUM(SUMPRODUCT('Company-level data'!L$18:L$23,'Case A - Stretch'!L$23:L$28),'Company-level data'!L$13*'Case A - Stretch'!L$18)</f>
        <v>0.10798884561095271</v>
      </c>
      <c r="M38" s="96">
        <f>'Company-level data'!M19*'Case A - Stretch'!M$24/SUM(SUMPRODUCT('Company-level data'!M$18:M$23,'Case A - Stretch'!M$23:M$28),'Company-level data'!M$13*'Case A - Stretch'!M$18)</f>
        <v>0.10816168748448592</v>
      </c>
      <c r="N38" s="96">
        <f>'Company-level data'!N19*'Case A - Stretch'!N$24/SUM(SUMPRODUCT('Company-level data'!N$18:N$23,'Case A - Stretch'!N$23:N$28),'Company-level data'!N$13*'Case A - Stretch'!N$18)</f>
        <v>0.10382630257533733</v>
      </c>
      <c r="O38" s="96">
        <f>'Company-level data'!O19*'Case A - Stretch'!O$24/SUM(SUMPRODUCT('Company-level data'!O$18:O$23,'Case A - Stretch'!O$23:O$28),'Company-level data'!O$13*'Case A - Stretch'!O$18)</f>
        <v>0.10337373400618571</v>
      </c>
      <c r="P38" s="12"/>
      <c r="R38" s="12"/>
      <c r="S38" s="12" t="s">
        <v>4</v>
      </c>
      <c r="T38" s="7">
        <f>INDEX('Company-level data'!$K$12:$O$23,MATCH($S38,'Company-level data'!$J$12:$J$23,0),MATCH(T$28,'Company-level data'!$K$11:$O$11,0))+INDEX($D$20:$H$42,MATCH($S38,$C$20:$C$42,0),MATCH(T$28,$D$18:$H$18,0))-INDEX($K$47:$O$57,MATCH($S38,$J$47:$J$57,0),MATCH(T$28,$D$51:$H$51,0))*INDEX($D$52:$H$54,MATCH("center - baseline",$C$52:$C$54,0),MATCH(T$28,$D$51:$H$51,0))</f>
        <v>4.0655714285714293</v>
      </c>
      <c r="U38" s="7">
        <f>INDEX('Company-level data'!$K$12:$O$23,MATCH($S38,'Company-level data'!$J$12:$J$23,0),MATCH(U$28,'Company-level data'!$K$11:$O$11,0))+INDEX($D$20:$H$42,MATCH($S38,$C$20:$C$42,0),MATCH(U$28,$D$18:$H$18,0))-INDEX($K$47:$O$57,MATCH($S38,$J$47:$J$57,0),MATCH(U$28,$D$51:$H$51,0))*INDEX($D$52:$H$54,MATCH("center - baseline",$C$52:$C$54,0),MATCH(U$28,$D$51:$H$51,0))</f>
        <v>6.267995165181258</v>
      </c>
      <c r="V38" s="7">
        <f>INDEX('Company-level data'!$K$12:$O$23,MATCH($S38,'Company-level data'!$J$12:$J$23,0),MATCH(V$28,'Company-level data'!$K$11:$O$11,0))+INDEX($D$20:$H$42,MATCH($S38,$C$20:$C$42,0),MATCH(V$28,$D$18:$H$18,0))-INDEX($K$47:$O$57,MATCH($S38,$J$47:$J$57,0),MATCH(V$28,$D$51:$H$51,0))*INDEX($D$52:$H$54,MATCH("center - baseline",$C$52:$C$54,0),MATCH(V$28,$D$51:$H$51,0))</f>
        <v>10.137297750489399</v>
      </c>
      <c r="W38" s="7">
        <f>INDEX('Company-level data'!$K$12:$O$23,MATCH($S38,'Company-level data'!$J$12:$J$23,0),MATCH(W$28,'Company-level data'!$K$11:$O$11,0))+INDEX($D$20:$H$42,MATCH($S38,$C$20:$C$42,0),MATCH(W$28,$D$18:$H$18,0))-INDEX($K$47:$O$57,MATCH($S38,$J$47:$J$57,0),MATCH(W$28,$D$51:$H$51,0))*INDEX($D$52:$H$54,MATCH("center - baseline",$C$52:$C$54,0),MATCH(W$28,$D$51:$H$51,0))</f>
        <v>14.181970028364635</v>
      </c>
      <c r="X38" s="7">
        <f>INDEX('Company-level data'!$K$12:$O$23,MATCH($S38,'Company-level data'!$J$12:$J$23,0),MATCH(X$28,'Company-level data'!$K$11:$O$11,0))+INDEX($D$20:$H$42,MATCH($S38,$C$20:$C$42,0),MATCH(X$28,$D$18:$H$18,0))-INDEX($K$47:$O$57,MATCH($S38,$J$47:$J$57,0),MATCH(X$28,$D$51:$H$51,0))*INDEX($D$52:$H$54,MATCH("center - baseline",$C$52:$C$54,0),MATCH(X$28,$D$51:$H$51,0))</f>
        <v>18.547786422438122</v>
      </c>
      <c r="Y38" s="12"/>
      <c r="Z38" s="12"/>
    </row>
    <row r="39" spans="1:33" x14ac:dyDescent="0.2">
      <c r="A39" s="12"/>
      <c r="B39" s="12"/>
      <c r="C39" s="72" t="s">
        <v>18</v>
      </c>
      <c r="D39" s="73">
        <f>INDEX('Company-level data'!$R$13:$V$23,MATCH($C37,'Company-level data'!$Q$13:$Q$23,0),MATCH(D$18,'Company-level data'!$R$11:$V$11,0))*HLOOKUP('Case A - Stretch'!D$18,'Center cost &amp; synergy worksheet'!$D$59:$H$64,6,FALSE)/HLOOKUP(D$18,'Company-level data'!$R$11:$V$12,2,FALSE)+INDEX('Center cost &amp; synergy worksheet'!$D$67:$H$77,MATCH('Case A - Stretch'!$C37,'Center cost &amp; synergy worksheet'!$C$67:$C$77,0),MATCH('Case A - Stretch'!D$18,'Center cost &amp; synergy worksheet'!$D$66:$H$66,0))</f>
        <v>0</v>
      </c>
      <c r="E39" s="73">
        <f>INDEX('Company-level data'!$R$13:$V$23,MATCH($C37,'Company-level data'!$Q$13:$Q$23,0),MATCH(E$18,'Company-level data'!$R$11:$V$11,0))*HLOOKUP('Case A - Stretch'!E$18,'Center cost &amp; synergy worksheet'!$D$59:$H$64,6,FALSE)/HLOOKUP(E$18,'Company-level data'!$R$11:$V$12,2,FALSE)+INDEX('Center cost &amp; synergy worksheet'!$D$67:$H$77,MATCH('Case A - Stretch'!$C37,'Center cost &amp; synergy worksheet'!$C$67:$C$77,0),MATCH('Case A - Stretch'!E$18,'Center cost &amp; synergy worksheet'!$D$66:$H$66,0))</f>
        <v>0</v>
      </c>
      <c r="F39" s="73">
        <f>INDEX('Company-level data'!$R$13:$V$23,MATCH($C37,'Company-level data'!$Q$13:$Q$23,0),MATCH(F$18,'Company-level data'!$R$11:$V$11,0))*HLOOKUP('Case A - Stretch'!F$18,'Center cost &amp; synergy worksheet'!$D$59:$H$64,6,FALSE)/HLOOKUP(F$18,'Company-level data'!$R$11:$V$12,2,FALSE)+INDEX('Center cost &amp; synergy worksheet'!$D$67:$H$77,MATCH('Case A - Stretch'!$C37,'Center cost &amp; synergy worksheet'!$C$67:$C$77,0),MATCH('Case A - Stretch'!F$18,'Center cost &amp; synergy worksheet'!$D$66:$H$66,0))</f>
        <v>0</v>
      </c>
      <c r="G39" s="73">
        <f>INDEX('Company-level data'!$R$13:$V$23,MATCH($C37,'Company-level data'!$Q$13:$Q$23,0),MATCH(G$18,'Company-level data'!$R$11:$V$11,0))*HLOOKUP('Case A - Stretch'!G$18,'Center cost &amp; synergy worksheet'!$D$59:$H$64,6,FALSE)/HLOOKUP(G$18,'Company-level data'!$R$11:$V$12,2,FALSE)+INDEX('Center cost &amp; synergy worksheet'!$D$67:$H$77,MATCH('Case A - Stretch'!$C37,'Center cost &amp; synergy worksheet'!$C$67:$C$77,0),MATCH('Case A - Stretch'!G$18,'Center cost &amp; synergy worksheet'!$D$66:$H$66,0))</f>
        <v>0</v>
      </c>
      <c r="H39" s="73">
        <f>INDEX('Company-level data'!$R$13:$V$23,MATCH($C37,'Company-level data'!$Q$13:$Q$23,0),MATCH(H$18,'Company-level data'!$R$11:$V$11,0))*HLOOKUP('Case A - Stretch'!H$18,'Center cost &amp; synergy worksheet'!$D$59:$H$64,6,FALSE)/HLOOKUP(H$18,'Company-level data'!$R$11:$V$12,2,FALSE)+INDEX('Center cost &amp; synergy worksheet'!$D$67:$H$77,MATCH('Case A - Stretch'!$C37,'Center cost &amp; synergy worksheet'!$C$67:$C$77,0),MATCH('Case A - Stretch'!H$18,'Center cost &amp; synergy worksheet'!$D$66:$H$66,0))</f>
        <v>0</v>
      </c>
      <c r="I39" s="12"/>
      <c r="J39" s="83" t="s">
        <v>3</v>
      </c>
      <c r="K39" s="96">
        <f>'Company-level data'!K20*'Case A - Stretch'!K$25/SUM(SUMPRODUCT('Company-level data'!K$18:K$23,'Case A - Stretch'!K$23:K$28),'Company-level data'!K$13*'Case A - Stretch'!K$18)</f>
        <v>0.15063836000978473</v>
      </c>
      <c r="L39" s="96">
        <f>'Company-level data'!L20*'Case A - Stretch'!L$25/SUM(SUMPRODUCT('Company-level data'!L$18:L$23,'Case A - Stretch'!L$23:L$28),'Company-level data'!L$13*'Case A - Stretch'!L$18)</f>
        <v>0.11645593292002045</v>
      </c>
      <c r="M39" s="96">
        <f>'Company-level data'!M20*'Case A - Stretch'!M$25/SUM(SUMPRODUCT('Company-level data'!M$18:M$23,'Case A - Stretch'!M$23:M$28),'Company-level data'!M$13*'Case A - Stretch'!M$18)</f>
        <v>0.11227365399178607</v>
      </c>
      <c r="N39" s="96">
        <f>'Company-level data'!N20*'Case A - Stretch'!N$25/SUM(SUMPRODUCT('Company-level data'!N$18:N$23,'Case A - Stretch'!N$23:N$28),'Company-level data'!N$13*'Case A - Stretch'!N$18)</f>
        <v>0.11057839304675765</v>
      </c>
      <c r="O39" s="96">
        <f>'Company-level data'!O20*'Case A - Stretch'!O$25/SUM(SUMPRODUCT('Company-level data'!O$18:O$23,'Case A - Stretch'!O$23:O$28),'Company-level data'!O$13*'Case A - Stretch'!O$18)</f>
        <v>0.11045357500672283</v>
      </c>
      <c r="P39" s="12"/>
      <c r="R39" s="12"/>
      <c r="S39" s="12" t="s">
        <v>5</v>
      </c>
      <c r="T39" s="7">
        <f>INDEX('Company-level data'!$K$12:$O$23,MATCH($S39,'Company-level data'!$J$12:$J$23,0),MATCH(T$28,'Company-level data'!$K$11:$O$11,0))+INDEX($D$20:$H$42,MATCH($S39,$C$20:$C$42,0),MATCH(T$28,$D$18:$H$18,0))-INDEX($K$47:$O$57,MATCH($S39,$J$47:$J$57,0),MATCH(T$28,$D$51:$H$51,0))*INDEX($D$52:$H$54,MATCH("center - baseline",$C$52:$C$54,0),MATCH(T$28,$D$51:$H$51,0))</f>
        <v>3.0371219113616932</v>
      </c>
      <c r="U39" s="7">
        <f>INDEX('Company-level data'!$K$12:$O$23,MATCH($S39,'Company-level data'!$J$12:$J$23,0),MATCH(U$28,'Company-level data'!$K$11:$O$11,0))+INDEX($D$20:$H$42,MATCH($S39,$C$20:$C$42,0),MATCH(U$28,$D$18:$H$18,0))-INDEX($K$47:$O$57,MATCH($S39,$J$47:$J$57,0),MATCH(U$28,$D$51:$H$51,0))*INDEX($D$52:$H$54,MATCH("center - baseline",$C$52:$C$54,0),MATCH(U$28,$D$51:$H$51,0))</f>
        <v>3.4997225878823484</v>
      </c>
      <c r="V39" s="7">
        <f>INDEX('Company-level data'!$K$12:$O$23,MATCH($S39,'Company-level data'!$J$12:$J$23,0),MATCH(V$28,'Company-level data'!$K$11:$O$11,0))+INDEX($D$20:$H$42,MATCH($S39,$C$20:$C$42,0),MATCH(V$28,$D$18:$H$18,0))-INDEX($K$47:$O$57,MATCH($S39,$J$47:$J$57,0),MATCH(V$28,$D$51:$H$51,0))*INDEX($D$52:$H$54,MATCH("center - baseline",$C$52:$C$54,0),MATCH(V$28,$D$51:$H$51,0))</f>
        <v>4.9156186007741383</v>
      </c>
      <c r="W39" s="7">
        <f>INDEX('Company-level data'!$K$12:$O$23,MATCH($S39,'Company-level data'!$J$12:$J$23,0),MATCH(W$28,'Company-level data'!$K$11:$O$11,0))+INDEX($D$20:$H$42,MATCH($S39,$C$20:$C$42,0),MATCH(W$28,$D$18:$H$18,0))-INDEX($K$47:$O$57,MATCH($S39,$J$47:$J$57,0),MATCH(W$28,$D$51:$H$51,0))*INDEX($D$52:$H$54,MATCH("center - baseline",$C$52:$C$54,0),MATCH(W$28,$D$51:$H$51,0))</f>
        <v>6.4673644315053505</v>
      </c>
      <c r="X39" s="7">
        <f>INDEX('Company-level data'!$K$12:$O$23,MATCH($S39,'Company-level data'!$J$12:$J$23,0),MATCH(X$28,'Company-level data'!$K$11:$O$11,0))+INDEX($D$20:$H$42,MATCH($S39,$C$20:$C$42,0),MATCH(X$28,$D$18:$H$18,0))-INDEX($K$47:$O$57,MATCH($S39,$J$47:$J$57,0),MATCH(X$28,$D$51:$H$51,0))*INDEX($D$52:$H$54,MATCH("center - baseline",$C$52:$C$54,0),MATCH(X$28,$D$51:$H$51,0))</f>
        <v>8.2945392305096206</v>
      </c>
      <c r="Y39" s="12"/>
      <c r="Z39" s="12"/>
    </row>
    <row r="40" spans="1:33" x14ac:dyDescent="0.2">
      <c r="A40" s="12"/>
      <c r="B40" s="12"/>
      <c r="C40" s="74" t="s">
        <v>6</v>
      </c>
      <c r="D40" s="75">
        <f>D41+D42</f>
        <v>0</v>
      </c>
      <c r="E40" s="75">
        <f>E41+E42</f>
        <v>8.4585324669557316E-2</v>
      </c>
      <c r="F40" s="75">
        <f>F41+F42</f>
        <v>0.46237780593974043</v>
      </c>
      <c r="G40" s="75">
        <f>G41+G42</f>
        <v>0.51006701346112815</v>
      </c>
      <c r="H40" s="75">
        <f>H41+H42</f>
        <v>0.4834784440892354</v>
      </c>
      <c r="I40" s="12"/>
      <c r="J40" s="83" t="s">
        <v>4</v>
      </c>
      <c r="K40" s="96">
        <f>'Company-level data'!K21*'Case A - Stretch'!K$26/SUM(SUMPRODUCT('Company-level data'!K$18:K$23,'Case A - Stretch'!K$23:K$28),'Company-level data'!K$13*'Case A - Stretch'!K$18)</f>
        <v>8.4447147295961464E-2</v>
      </c>
      <c r="L40" s="96">
        <f>'Company-level data'!L21*'Case A - Stretch'!L$26/SUM(SUMPRODUCT('Company-level data'!L$18:L$23,'Case A - Stretch'!L$23:L$28),'Company-level data'!L$13*'Case A - Stretch'!L$18)</f>
        <v>0.10916207083002619</v>
      </c>
      <c r="M40" s="96">
        <f>'Company-level data'!M21*'Case A - Stretch'!M$26/SUM(SUMPRODUCT('Company-level data'!M$18:M$23,'Case A - Stretch'!M$23:M$28),'Company-level data'!M$13*'Case A - Stretch'!M$18)</f>
        <v>0.12921359419471101</v>
      </c>
      <c r="N40" s="96">
        <f>'Company-level data'!N21*'Case A - Stretch'!N$26/SUM(SUMPRODUCT('Company-level data'!N$18:N$23,'Case A - Stretch'!N$23:N$28),'Company-level data'!N$13*'Case A - Stretch'!N$18)</f>
        <v>0.14150361023380606</v>
      </c>
      <c r="O40" s="96">
        <f>'Company-level data'!O21*'Case A - Stretch'!O$26/SUM(SUMPRODUCT('Company-level data'!O$18:O$23,'Case A - Stretch'!O$23:O$28),'Company-level data'!O$13*'Case A - Stretch'!O$18)</f>
        <v>0.14924057988241224</v>
      </c>
      <c r="P40" s="12"/>
      <c r="R40" s="12"/>
      <c r="S40" s="6" t="s">
        <v>6</v>
      </c>
      <c r="T40" s="15">
        <f>INDEX('Company-level data'!$K$12:$O$23,MATCH($S40,'Company-level data'!$J$12:$J$23,0),MATCH(T$28,'Company-level data'!$K$11:$O$11,0))+INDEX($D$20:$H$42,MATCH($S40,$C$20:$C$42,0),MATCH(T$28,$D$18:$H$18,0))-INDEX($K$47:$O$57,MATCH($S40,$J$47:$J$57,0),MATCH(T$28,$D$51:$H$51,0))*INDEX($D$52:$H$54,MATCH("center - baseline",$C$52:$C$54,0),MATCH(T$28,$D$51:$H$51,0))</f>
        <v>-0.51723857142857144</v>
      </c>
      <c r="U40" s="15">
        <f>INDEX('Company-level data'!$K$12:$O$23,MATCH($S40,'Company-level data'!$J$12:$J$23,0),MATCH(U$28,'Company-level data'!$K$11:$O$11,0))+INDEX($D$20:$H$42,MATCH($S40,$C$20:$C$42,0),MATCH(U$28,$D$18:$H$18,0))-INDEX($K$47:$O$57,MATCH($S40,$J$47:$J$57,0),MATCH(U$28,$D$51:$H$51,0))*INDEX($D$52:$H$54,MATCH("center - baseline",$C$52:$C$54,0),MATCH(U$28,$D$51:$H$51,0))</f>
        <v>-0.82880753247329975</v>
      </c>
      <c r="V40" s="15">
        <f>INDEX('Company-level data'!$K$12:$O$23,MATCH($S40,'Company-level data'!$J$12:$J$23,0),MATCH(V$28,'Company-level data'!$K$11:$O$11,0))+INDEX($D$20:$H$42,MATCH($S40,$C$20:$C$42,0),MATCH(V$28,$D$18:$H$18,0))-INDEX($K$47:$O$57,MATCH($S40,$J$47:$J$57,0),MATCH(V$28,$D$51:$H$51,0))*INDEX($D$52:$H$54,MATCH("center - baseline",$C$52:$C$54,0),MATCH(V$28,$D$51:$H$51,0))</f>
        <v>-0.26980341548883113</v>
      </c>
      <c r="W40" s="15">
        <f>INDEX('Company-level data'!$K$12:$O$23,MATCH($S40,'Company-level data'!$J$12:$J$23,0),MATCH(W$28,'Company-level data'!$K$11:$O$11,0))+INDEX($D$20:$H$42,MATCH($S40,$C$20:$C$42,0),MATCH(W$28,$D$18:$H$18,0))-INDEX($K$47:$O$57,MATCH($S40,$J$47:$J$57,0),MATCH(W$28,$D$51:$H$51,0))*INDEX($D$52:$H$54,MATCH("center - baseline",$C$52:$C$54,0),MATCH(W$28,$D$51:$H$51,0))</f>
        <v>0.47014008310398525</v>
      </c>
      <c r="X40" s="15">
        <f>INDEX('Company-level data'!$K$12:$O$23,MATCH($S40,'Company-level data'!$J$12:$J$23,0),MATCH(X$28,'Company-level data'!$K$11:$O$11,0))+INDEX($D$20:$H$42,MATCH($S40,$C$20:$C$42,0),MATCH(X$28,$D$18:$H$18,0))-INDEX($K$47:$O$57,MATCH($S40,$J$47:$J$57,0),MATCH(X$28,$D$51:$H$51,0))*INDEX($D$52:$H$54,MATCH("center - baseline",$C$52:$C$54,0),MATCH(X$28,$D$51:$H$51,0))</f>
        <v>1.8439963401606647</v>
      </c>
      <c r="Y40" s="12"/>
      <c r="Z40" s="12"/>
    </row>
    <row r="41" spans="1:33" x14ac:dyDescent="0.2">
      <c r="A41" s="12"/>
      <c r="B41" s="12"/>
      <c r="C41" s="72" t="s">
        <v>17</v>
      </c>
      <c r="D41" s="73">
        <f>D$12*INDEX('Company-level data'!$R$19:$V$23,MATCH($C40,'Company-level data'!$Q$19:$Q$23,0),MATCH(D$18,'Company-level data'!$R$11:$V$11,0))/SUM('Company-level data'!R$19:R$23)</f>
        <v>0</v>
      </c>
      <c r="E41" s="73">
        <f>E$12*INDEX('Company-level data'!$R$19:$V$23,MATCH($C40,'Company-level data'!$Q$19:$Q$23,0),MATCH(E$18,'Company-level data'!$R$11:$V$11,0))/SUM('Company-level data'!S$19:S$23)</f>
        <v>8.4585324669557316E-2</v>
      </c>
      <c r="F41" s="73">
        <f>F$12*INDEX('Company-level data'!$R$19:$V$23,MATCH($C40,'Company-level data'!$Q$19:$Q$23,0),MATCH(F$18,'Company-level data'!$R$11:$V$11,0))/SUM('Company-level data'!T$19:T$23)</f>
        <v>0.46237780593974043</v>
      </c>
      <c r="G41" s="73">
        <f>G$12*INDEX('Company-level data'!$R$19:$V$23,MATCH($C40,'Company-level data'!$Q$19:$Q$23,0),MATCH(G$18,'Company-level data'!$R$11:$V$11,0))/SUM('Company-level data'!U$19:U$23)</f>
        <v>0.51006701346112815</v>
      </c>
      <c r="H41" s="73">
        <f>H$12*INDEX('Company-level data'!$R$19:$V$23,MATCH($C40,'Company-level data'!$Q$19:$Q$23,0),MATCH(H$18,'Company-level data'!$R$11:$V$11,0))/SUM('Company-level data'!V$19:V$23)</f>
        <v>0.4834784440892354</v>
      </c>
      <c r="I41" s="12"/>
      <c r="J41" s="83" t="s">
        <v>5</v>
      </c>
      <c r="K41" s="96">
        <f>'Company-level data'!K22*'Case A - Stretch'!K$27/SUM(SUMPRODUCT('Company-level data'!K$18:K$23,'Case A - Stretch'!K$23:K$28),'Company-level data'!K$13*'Case A - Stretch'!K$18)</f>
        <v>5.1499412571900979E-2</v>
      </c>
      <c r="L41" s="96">
        <f>'Company-level data'!L22*'Case A - Stretch'!L$27/SUM(SUMPRODUCT('Company-level data'!L$18:L$23,'Case A - Stretch'!L$23:L$28),'Company-level data'!L$13*'Case A - Stretch'!L$18)</f>
        <v>4.9266891522074752E-2</v>
      </c>
      <c r="M41" s="96">
        <f>'Company-level data'!M22*'Case A - Stretch'!M$27/SUM(SUMPRODUCT('Company-level data'!M$18:M$23,'Case A - Stretch'!M$23:M$28),'Company-level data'!M$13*'Case A - Stretch'!M$18)</f>
        <v>4.7125109179587316E-2</v>
      </c>
      <c r="N41" s="96">
        <f>'Company-level data'!N22*'Case A - Stretch'!N$27/SUM(SUMPRODUCT('Company-level data'!N$18:N$23,'Case A - Stretch'!N$23:N$28),'Company-level data'!N$13*'Case A - Stretch'!N$18)</f>
        <v>4.4945294747673045E-2</v>
      </c>
      <c r="O41" s="96">
        <f>'Company-level data'!O22*'Case A - Stretch'!O$27/SUM(SUMPRODUCT('Company-level data'!O$18:O$23,'Case A - Stretch'!O$23:O$28),'Company-level data'!O$13*'Case A - Stretch'!O$18)</f>
        <v>4.3141688822943627E-2</v>
      </c>
      <c r="P41" s="12"/>
      <c r="R41" s="12"/>
      <c r="S41" s="19" t="s">
        <v>24</v>
      </c>
      <c r="T41" s="22">
        <f>'Company-level data'!$K$12</f>
        <v>55.86426098874805</v>
      </c>
      <c r="U41" s="22">
        <f>'Company-level data'!$L$12</f>
        <v>71.834261377960829</v>
      </c>
      <c r="V41" s="22">
        <f>'Company-level data'!$M$12</f>
        <v>92.859736872877662</v>
      </c>
      <c r="W41" s="22">
        <f>'Company-level data'!$N$12</f>
        <v>120.77605450814248</v>
      </c>
      <c r="X41" s="22">
        <f>'Company-level data'!$O$12</f>
        <v>154.66036200808</v>
      </c>
      <c r="Y41" s="12"/>
      <c r="Z41" s="12"/>
    </row>
    <row r="42" spans="1:33" x14ac:dyDescent="0.2">
      <c r="A42" s="12"/>
      <c r="B42" s="12"/>
      <c r="C42" s="72" t="s">
        <v>18</v>
      </c>
      <c r="D42" s="73">
        <f>INDEX('Company-level data'!$R$13:$V$23,MATCH($C40,'Company-level data'!$Q$13:$Q$23,0),MATCH(D$18,'Company-level data'!$R$11:$V$11,0))*HLOOKUP('Case A - Stretch'!D$18,'Center cost &amp; synergy worksheet'!$D$59:$H$64,6,FALSE)/HLOOKUP(D$18,'Company-level data'!$R$11:$V$12,2,FALSE)+INDEX('Center cost &amp; synergy worksheet'!$D$67:$H$77,MATCH('Case A - Stretch'!$C40,'Center cost &amp; synergy worksheet'!$C$67:$C$77,0),MATCH('Case A - Stretch'!D$18,'Center cost &amp; synergy worksheet'!$D$66:$H$66,0))</f>
        <v>0</v>
      </c>
      <c r="E42" s="73">
        <f>INDEX('Company-level data'!$R$13:$V$23,MATCH($C40,'Company-level data'!$Q$13:$Q$23,0),MATCH(E$18,'Company-level data'!$R$11:$V$11,0))*HLOOKUP('Case A - Stretch'!E$18,'Center cost &amp; synergy worksheet'!$D$59:$H$64,6,FALSE)/HLOOKUP(E$18,'Company-level data'!$R$11:$V$12,2,FALSE)+INDEX('Center cost &amp; synergy worksheet'!$D$67:$H$77,MATCH('Case A - Stretch'!$C40,'Center cost &amp; synergy worksheet'!$C$67:$C$77,0),MATCH('Case A - Stretch'!E$18,'Center cost &amp; synergy worksheet'!$D$66:$H$66,0))</f>
        <v>0</v>
      </c>
      <c r="F42" s="73">
        <f>INDEX('Company-level data'!$R$13:$V$23,MATCH($C40,'Company-level data'!$Q$13:$Q$23,0),MATCH(F$18,'Company-level data'!$R$11:$V$11,0))*HLOOKUP('Case A - Stretch'!F$18,'Center cost &amp; synergy worksheet'!$D$59:$H$64,6,FALSE)/HLOOKUP(F$18,'Company-level data'!$R$11:$V$12,2,FALSE)+INDEX('Center cost &amp; synergy worksheet'!$D$67:$H$77,MATCH('Case A - Stretch'!$C40,'Center cost &amp; synergy worksheet'!$C$67:$C$77,0),MATCH('Case A - Stretch'!F$18,'Center cost &amp; synergy worksheet'!$D$66:$H$66,0))</f>
        <v>0</v>
      </c>
      <c r="G42" s="73">
        <f>INDEX('Company-level data'!$R$13:$V$23,MATCH($C40,'Company-level data'!$Q$13:$Q$23,0),MATCH(G$18,'Company-level data'!$R$11:$V$11,0))*HLOOKUP('Case A - Stretch'!G$18,'Center cost &amp; synergy worksheet'!$D$59:$H$64,6,FALSE)/HLOOKUP(G$18,'Company-level data'!$R$11:$V$12,2,FALSE)+INDEX('Center cost &amp; synergy worksheet'!$D$67:$H$77,MATCH('Case A - Stretch'!$C40,'Center cost &amp; synergy worksheet'!$C$67:$C$77,0),MATCH('Case A - Stretch'!G$18,'Center cost &amp; synergy worksheet'!$D$66:$H$66,0))</f>
        <v>0</v>
      </c>
      <c r="H42" s="73">
        <f>INDEX('Company-level data'!$R$13:$V$23,MATCH($C40,'Company-level data'!$Q$13:$Q$23,0),MATCH(H$18,'Company-level data'!$R$11:$V$11,0))*HLOOKUP('Case A - Stretch'!H$18,'Center cost &amp; synergy worksheet'!$D$59:$H$64,6,FALSE)/HLOOKUP(H$18,'Company-level data'!$R$11:$V$12,2,FALSE)+INDEX('Center cost &amp; synergy worksheet'!$D$67:$H$77,MATCH('Case A - Stretch'!$C40,'Center cost &amp; synergy worksheet'!$C$67:$C$77,0),MATCH('Case A - Stretch'!H$18,'Center cost &amp; synergy worksheet'!$D$66:$H$66,0))</f>
        <v>0</v>
      </c>
      <c r="I42" s="12"/>
      <c r="J42" s="93" t="s">
        <v>6</v>
      </c>
      <c r="K42" s="98">
        <f>'Company-level data'!K23*'Case A - Stretch'!K$28/SUM(SUMPRODUCT('Company-level data'!K$18:K$23,'Case A - Stretch'!K$23:K$28),'Company-level data'!K$13*'Case A - Stretch'!K$18)</f>
        <v>-2.8735275910884354E-3</v>
      </c>
      <c r="L42" s="98">
        <f>'Company-level data'!L23*'Case A - Stretch'!L$28/SUM(SUMPRODUCT('Company-level data'!L$18:L$23,'Case A - Stretch'!L$23:L$28),'Company-level data'!L$13*'Case A - Stretch'!L$18)</f>
        <v>0</v>
      </c>
      <c r="M42" s="98">
        <f>'Company-level data'!M23*'Case A - Stretch'!M$28/SUM(SUMPRODUCT('Company-level data'!M$18:M$23,'Case A - Stretch'!M$23:M$28),'Company-level data'!M$13*'Case A - Stretch'!M$18)</f>
        <v>4.7579920373086466E-3</v>
      </c>
      <c r="N42" s="98">
        <f>'Company-level data'!N23*'Case A - Stretch'!N$28/SUM(SUMPRODUCT('Company-level data'!N$18:N$23,'Case A - Stretch'!N$23:N$28),'Company-level data'!N$13*'Case A - Stretch'!N$18)</f>
        <v>9.8325205866139614E-3</v>
      </c>
      <c r="O42" s="98">
        <f>'Company-level data'!O23*'Case A - Stretch'!O$28/SUM(SUMPRODUCT('Company-level data'!O$18:O$23,'Case A - Stretch'!O$23:O$28),'Company-level data'!O$13*'Case A - Stretch'!O$18)</f>
        <v>1.652045169366079E-2</v>
      </c>
      <c r="P42" s="12"/>
      <c r="R42" s="12"/>
      <c r="S42" s="19" t="s">
        <v>25</v>
      </c>
      <c r="T42" s="35">
        <f>$D$52</f>
        <v>2.5649999999999999</v>
      </c>
      <c r="U42" s="35">
        <f>$E$52</f>
        <v>6.3937499999999998</v>
      </c>
      <c r="V42" s="35">
        <f>$F$52</f>
        <v>8.1300000000000008</v>
      </c>
      <c r="W42" s="35">
        <f>$G$52</f>
        <v>8.5425000000000004</v>
      </c>
      <c r="X42" s="35">
        <f>$H$52</f>
        <v>8.6549999999999994</v>
      </c>
      <c r="Y42" s="12"/>
      <c r="Z42" s="12"/>
    </row>
    <row r="43" spans="1:33" ht="13.5" thickBot="1" x14ac:dyDescent="0.25">
      <c r="A43" s="12"/>
      <c r="B43" s="12"/>
      <c r="I43" s="12"/>
      <c r="P43" s="12"/>
      <c r="R43" s="12"/>
      <c r="S43" s="27" t="s">
        <v>26</v>
      </c>
      <c r="T43" s="51">
        <f>+$D$19</f>
        <v>0</v>
      </c>
      <c r="U43" s="51">
        <f>+$E$19</f>
        <v>1</v>
      </c>
      <c r="V43" s="51">
        <f>+$F$19</f>
        <v>6.9999999999999991</v>
      </c>
      <c r="W43" s="51">
        <f>+$G$19</f>
        <v>9.0000000000000018</v>
      </c>
      <c r="X43" s="51">
        <f>+$H$19</f>
        <v>10</v>
      </c>
      <c r="Y43" s="12"/>
      <c r="Z43" s="12"/>
    </row>
    <row r="44" spans="1:33" ht="13.5" thickTop="1" x14ac:dyDescent="0.2">
      <c r="A44" s="12"/>
      <c r="B44" s="12"/>
      <c r="C44" s="100" t="s">
        <v>92</v>
      </c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2"/>
      <c r="R44" s="12"/>
      <c r="S44" s="6" t="s">
        <v>27</v>
      </c>
      <c r="T44" s="28">
        <f>T41-T42+T43</f>
        <v>53.299260988748053</v>
      </c>
      <c r="U44" s="28">
        <f>U41-U42+U43</f>
        <v>66.440511377960831</v>
      </c>
      <c r="V44" s="28">
        <f>V41-V42+V43</f>
        <v>91.729736872877666</v>
      </c>
      <c r="W44" s="28">
        <f>W41-W42+W43</f>
        <v>121.23355450814248</v>
      </c>
      <c r="X44" s="28">
        <f>X41-X42+X43</f>
        <v>156.00536200808</v>
      </c>
      <c r="Y44" s="12"/>
      <c r="Z44" s="12"/>
    </row>
    <row r="45" spans="1:33" ht="13.5" thickBot="1" x14ac:dyDescent="0.25">
      <c r="A45" s="12"/>
      <c r="B45" s="12"/>
      <c r="C45" s="102" t="s">
        <v>76</v>
      </c>
      <c r="D45" s="103">
        <v>5</v>
      </c>
      <c r="E45" s="99"/>
      <c r="F45" s="99"/>
      <c r="G45" s="99"/>
      <c r="H45" s="99"/>
      <c r="I45" s="99"/>
      <c r="J45" s="107" t="s">
        <v>79</v>
      </c>
      <c r="K45" s="109"/>
      <c r="L45" s="109"/>
      <c r="M45" s="109"/>
      <c r="N45" s="109"/>
      <c r="O45" s="109"/>
      <c r="P45" s="12"/>
      <c r="R45" s="12"/>
      <c r="S45" s="36" t="s">
        <v>28</v>
      </c>
      <c r="T45" s="36" t="b">
        <f>ROUND(T44,8)=ROUND(T29,8)</f>
        <v>1</v>
      </c>
      <c r="U45" s="36" t="b">
        <f>ROUND(U44,8)=ROUND(U29,8)</f>
        <v>1</v>
      </c>
      <c r="V45" s="36" t="b">
        <f>ROUND(V44,8)=ROUND(V29,8)</f>
        <v>1</v>
      </c>
      <c r="W45" s="36" t="b">
        <f>ROUND(W44,8)=ROUND(W29,8)</f>
        <v>1</v>
      </c>
      <c r="X45" s="36" t="b">
        <f>ROUND(X44,8)=ROUND(X29,8)</f>
        <v>1</v>
      </c>
      <c r="Y45" s="12"/>
      <c r="Z45" s="12"/>
    </row>
    <row r="46" spans="1:33" x14ac:dyDescent="0.2">
      <c r="A46" s="12"/>
      <c r="B46" s="12"/>
      <c r="C46" s="99" t="s">
        <v>96</v>
      </c>
      <c r="D46" s="99"/>
      <c r="E46" s="99"/>
      <c r="F46" s="99"/>
      <c r="G46" s="99"/>
      <c r="H46" s="99"/>
      <c r="I46" s="99"/>
      <c r="J46" s="113" t="s">
        <v>22</v>
      </c>
      <c r="K46" s="114">
        <f>SUM(K47,K52:K57)</f>
        <v>0.99999999999999978</v>
      </c>
      <c r="L46" s="114">
        <f>SUM(L47,L52:L57)</f>
        <v>0.99999999999999978</v>
      </c>
      <c r="M46" s="114">
        <f>SUM(M47,M52:M57)</f>
        <v>0.99999999999999978</v>
      </c>
      <c r="N46" s="114">
        <f>SUM(N47,N52:N57)</f>
        <v>0.99999999999999978</v>
      </c>
      <c r="O46" s="114">
        <f>SUM(O47,O52:O57)</f>
        <v>0.99999999999999978</v>
      </c>
      <c r="P46" s="12"/>
      <c r="R46" s="12"/>
      <c r="S46" s="23"/>
      <c r="T46" s="12"/>
      <c r="U46" s="12"/>
      <c r="V46" s="12"/>
      <c r="W46" s="12"/>
      <c r="X46" s="12"/>
      <c r="Y46" s="12"/>
      <c r="Z46" s="12"/>
    </row>
    <row r="47" spans="1:33" x14ac:dyDescent="0.2">
      <c r="A47" s="12"/>
      <c r="B47" s="12"/>
      <c r="C47" s="104" t="s">
        <v>66</v>
      </c>
      <c r="D47" s="198">
        <v>1.5</v>
      </c>
      <c r="E47" s="99"/>
      <c r="F47" s="99"/>
      <c r="G47" s="99"/>
      <c r="H47" s="99"/>
      <c r="I47" s="99"/>
      <c r="J47" s="104" t="s">
        <v>0</v>
      </c>
      <c r="K47" s="115">
        <f>1/7</f>
        <v>0.14285714285714285</v>
      </c>
      <c r="L47" s="116">
        <f>K47</f>
        <v>0.14285714285714285</v>
      </c>
      <c r="M47" s="116">
        <f>L47</f>
        <v>0.14285714285714285</v>
      </c>
      <c r="N47" s="116">
        <f>M47</f>
        <v>0.14285714285714285</v>
      </c>
      <c r="O47" s="116">
        <f>N47</f>
        <v>0.14285714285714285</v>
      </c>
      <c r="P47" s="12"/>
      <c r="R47" s="12"/>
      <c r="S47" s="12"/>
      <c r="T47" s="12"/>
      <c r="U47" s="12"/>
      <c r="V47" s="12"/>
      <c r="W47" s="12"/>
      <c r="X47" s="12"/>
      <c r="Y47" s="12"/>
      <c r="AD47" s="12"/>
      <c r="AE47" s="12"/>
      <c r="AF47" s="12"/>
      <c r="AG47" s="12"/>
    </row>
    <row r="48" spans="1:33" x14ac:dyDescent="0.2">
      <c r="A48" s="12"/>
      <c r="B48" s="12"/>
      <c r="C48" s="104" t="s">
        <v>95</v>
      </c>
      <c r="D48" s="105">
        <v>0.4</v>
      </c>
      <c r="E48" s="104" t="s">
        <v>106</v>
      </c>
      <c r="F48" s="99"/>
      <c r="G48" s="99"/>
      <c r="H48" s="99"/>
      <c r="I48" s="99"/>
      <c r="J48" s="169" t="s">
        <v>7</v>
      </c>
      <c r="K48" s="99"/>
      <c r="L48" s="99"/>
      <c r="M48" s="99"/>
      <c r="N48" s="99"/>
      <c r="O48" s="99"/>
      <c r="P48" s="12"/>
      <c r="R48" s="12"/>
      <c r="S48" s="54" t="s">
        <v>176</v>
      </c>
      <c r="T48" s="12"/>
      <c r="U48" s="12"/>
      <c r="V48" s="12"/>
      <c r="W48" s="12"/>
      <c r="X48" s="12"/>
      <c r="Y48" s="12"/>
      <c r="Z48" s="54" t="s">
        <v>176</v>
      </c>
      <c r="AA48" s="12"/>
      <c r="AB48" s="12"/>
      <c r="AC48" s="12"/>
      <c r="AD48" s="12"/>
      <c r="AE48" s="12"/>
      <c r="AF48" s="12"/>
      <c r="AG48" s="12"/>
    </row>
    <row r="49" spans="1:33" x14ac:dyDescent="0.2">
      <c r="A49" s="12"/>
      <c r="B49" s="12"/>
      <c r="C49" s="104" t="s">
        <v>105</v>
      </c>
      <c r="D49" s="106">
        <v>2</v>
      </c>
      <c r="E49" s="99"/>
      <c r="F49" s="99"/>
      <c r="G49" s="99"/>
      <c r="H49" s="99"/>
      <c r="I49" s="99"/>
      <c r="J49" s="169" t="s">
        <v>10</v>
      </c>
      <c r="K49" s="99"/>
      <c r="L49" s="99"/>
      <c r="M49" s="99"/>
      <c r="N49" s="99"/>
      <c r="O49" s="99"/>
      <c r="P49" s="12"/>
      <c r="R49" s="12"/>
      <c r="S49" s="4" t="s">
        <v>175</v>
      </c>
      <c r="Y49" s="12"/>
      <c r="Z49" s="4" t="s">
        <v>186</v>
      </c>
      <c r="AF49" s="12"/>
      <c r="AG49" s="12"/>
    </row>
    <row r="50" spans="1:33" x14ac:dyDescent="0.2">
      <c r="A50" s="12"/>
      <c r="B50" s="12"/>
      <c r="C50" s="99"/>
      <c r="D50" s="99"/>
      <c r="E50" s="99"/>
      <c r="F50" s="99"/>
      <c r="G50" s="99"/>
      <c r="H50" s="99"/>
      <c r="I50" s="99"/>
      <c r="J50" s="169" t="s">
        <v>8</v>
      </c>
      <c r="K50" s="104"/>
      <c r="L50" s="104"/>
      <c r="M50" s="104"/>
      <c r="N50" s="104"/>
      <c r="O50" s="104"/>
      <c r="P50" s="12"/>
      <c r="R50" s="12"/>
      <c r="S50" s="188">
        <f>$W$18</f>
        <v>151.81665657717201</v>
      </c>
      <c r="T50" s="187">
        <v>9</v>
      </c>
      <c r="U50" s="187">
        <v>10</v>
      </c>
      <c r="V50" s="187">
        <v>11</v>
      </c>
      <c r="W50" s="187">
        <v>12</v>
      </c>
      <c r="X50" s="187">
        <v>13</v>
      </c>
      <c r="Z50" s="188">
        <f>$W$18</f>
        <v>151.81665657717201</v>
      </c>
      <c r="AA50" s="187">
        <v>9</v>
      </c>
      <c r="AB50" s="187">
        <v>10</v>
      </c>
      <c r="AC50" s="187">
        <v>11</v>
      </c>
      <c r="AD50" s="187">
        <v>12</v>
      </c>
      <c r="AE50" s="187">
        <v>13</v>
      </c>
    </row>
    <row r="51" spans="1:33" ht="13.5" thickBot="1" x14ac:dyDescent="0.25">
      <c r="A51" s="12"/>
      <c r="B51" s="12"/>
      <c r="C51" s="107" t="s">
        <v>21</v>
      </c>
      <c r="D51" s="107">
        <v>2015</v>
      </c>
      <c r="E51" s="107">
        <v>2016</v>
      </c>
      <c r="F51" s="107">
        <v>2017</v>
      </c>
      <c r="G51" s="107">
        <v>2018</v>
      </c>
      <c r="H51" s="107">
        <v>2019</v>
      </c>
      <c r="I51" s="99"/>
      <c r="J51" s="169" t="s">
        <v>9</v>
      </c>
      <c r="K51" s="104"/>
      <c r="L51" s="104"/>
      <c r="M51" s="104"/>
      <c r="N51" s="104"/>
      <c r="O51" s="104"/>
      <c r="P51" s="12"/>
      <c r="R51" s="12"/>
      <c r="S51" s="8">
        <v>9.5</v>
      </c>
      <c r="T51" s="186">
        <f t="dataTable" ref="T51:X55" dt2D="1" dtr="1" r1="O23" r2="O17" ca="1"/>
        <v>58.0624056580711</v>
      </c>
      <c r="U51" s="185">
        <v>46.585188809945407</v>
      </c>
      <c r="V51" s="185">
        <v>32.82590466844772</v>
      </c>
      <c r="W51" s="185">
        <v>17.00359167080785</v>
      </c>
      <c r="X51" s="185">
        <v>-0.68987449454164107</v>
      </c>
      <c r="Z51" s="8">
        <v>-10</v>
      </c>
      <c r="AA51" s="186">
        <f t="dataTable" ref="AA51:AE55" dt2D="1" dtr="1" r1="O23" r2="H11" ca="1"/>
        <v>117.62717225697247</v>
      </c>
      <c r="AB51" s="185">
        <v>110.5060352324864</v>
      </c>
      <c r="AC51" s="185">
        <v>100.8148799910565</v>
      </c>
      <c r="AD51" s="185">
        <v>88.800383208487801</v>
      </c>
      <c r="AE51" s="185">
        <v>74.678631420042507</v>
      </c>
    </row>
    <row r="52" spans="1:33" x14ac:dyDescent="0.2">
      <c r="A52" s="12"/>
      <c r="B52" s="12"/>
      <c r="C52" s="104" t="s">
        <v>77</v>
      </c>
      <c r="D52" s="108">
        <f>'Center cost &amp; synergy worksheet'!L10</f>
        <v>2.5649999999999999</v>
      </c>
      <c r="E52" s="108">
        <f>'Center cost &amp; synergy worksheet'!M10</f>
        <v>6.3937499999999998</v>
      </c>
      <c r="F52" s="108">
        <f>'Center cost &amp; synergy worksheet'!N10</f>
        <v>8.1300000000000008</v>
      </c>
      <c r="G52" s="108">
        <f>'Center cost &amp; synergy worksheet'!O10</f>
        <v>8.5425000000000004</v>
      </c>
      <c r="H52" s="108">
        <f>'Center cost &amp; synergy worksheet'!P10</f>
        <v>8.6549999999999994</v>
      </c>
      <c r="I52" s="99"/>
      <c r="J52" s="104" t="s">
        <v>1</v>
      </c>
      <c r="K52" s="115">
        <f t="shared" ref="K52:K57" si="4">1/7</f>
        <v>0.14285714285714285</v>
      </c>
      <c r="L52" s="117">
        <f t="shared" ref="L52:O57" si="5">K52</f>
        <v>0.14285714285714285</v>
      </c>
      <c r="M52" s="117">
        <f t="shared" si="5"/>
        <v>0.14285714285714285</v>
      </c>
      <c r="N52" s="117">
        <f t="shared" si="5"/>
        <v>0.14285714285714285</v>
      </c>
      <c r="O52" s="117">
        <f t="shared" si="5"/>
        <v>0.14285714285714285</v>
      </c>
      <c r="P52" s="12"/>
      <c r="R52" s="12"/>
      <c r="S52" s="8">
        <v>10</v>
      </c>
      <c r="T52" s="30">
        <v>82.907795429548571</v>
      </c>
      <c r="U52" s="185">
        <v>73.247567168363616</v>
      </c>
      <c r="V52" s="185">
        <v>61.185162808892414</v>
      </c>
      <c r="W52" s="185">
        <v>46.951149127166218</v>
      </c>
      <c r="X52" s="185">
        <v>30.747500532061508</v>
      </c>
      <c r="Z52" s="8">
        <v>0</v>
      </c>
      <c r="AA52" s="30">
        <v>154.80250364258404</v>
      </c>
      <c r="AB52" s="185">
        <v>150.40006628289211</v>
      </c>
      <c r="AC52" s="185">
        <v>143.24789589131149</v>
      </c>
      <c r="AD52" s="185">
        <v>133.60991861404</v>
      </c>
      <c r="AE52" s="185">
        <v>121.71733136627495</v>
      </c>
    </row>
    <row r="53" spans="1:33" ht="13.5" thickBot="1" x14ac:dyDescent="0.25">
      <c r="A53" s="12"/>
      <c r="B53" s="12"/>
      <c r="C53" s="109" t="s">
        <v>78</v>
      </c>
      <c r="D53" s="110">
        <f>'Center cost &amp; synergy worksheet'!L15</f>
        <v>2.5649999999999999</v>
      </c>
      <c r="E53" s="110">
        <f>'Center cost &amp; synergy worksheet'!M15</f>
        <v>6.3937499999999998</v>
      </c>
      <c r="F53" s="110">
        <f>'Center cost &amp; synergy worksheet'!N15</f>
        <v>8.1300000000000008</v>
      </c>
      <c r="G53" s="110">
        <f>'Center cost &amp; synergy worksheet'!O15</f>
        <v>8.5425000000000004</v>
      </c>
      <c r="H53" s="110">
        <f>'Center cost &amp; synergy worksheet'!P15</f>
        <v>8.6549999999999994</v>
      </c>
      <c r="I53" s="99"/>
      <c r="J53" s="104" t="s">
        <v>2</v>
      </c>
      <c r="K53" s="115">
        <f t="shared" si="4"/>
        <v>0.14285714285714285</v>
      </c>
      <c r="L53" s="117">
        <f t="shared" si="5"/>
        <v>0.14285714285714285</v>
      </c>
      <c r="M53" s="117">
        <f t="shared" si="5"/>
        <v>0.14285714285714285</v>
      </c>
      <c r="N53" s="117">
        <f t="shared" si="5"/>
        <v>0.14285714285714285</v>
      </c>
      <c r="O53" s="117">
        <f t="shared" si="5"/>
        <v>0.14285714285714285</v>
      </c>
      <c r="P53" s="12"/>
      <c r="R53" s="12"/>
      <c r="S53" s="8">
        <v>10.5</v>
      </c>
      <c r="T53" s="30">
        <v>107.75318520102599</v>
      </c>
      <c r="U53" s="185">
        <v>99.909945526781826</v>
      </c>
      <c r="V53" s="185">
        <v>89.544420949336995</v>
      </c>
      <c r="W53" s="185">
        <v>76.898706583524472</v>
      </c>
      <c r="X53" s="185">
        <v>62.184875558664544</v>
      </c>
      <c r="Z53" s="8">
        <v>5</v>
      </c>
      <c r="AA53" s="30">
        <v>173.39016933538983</v>
      </c>
      <c r="AB53" s="185">
        <v>170.34708180809503</v>
      </c>
      <c r="AC53" s="185">
        <v>164.46440384143887</v>
      </c>
      <c r="AD53" s="185">
        <v>156.0146863168161</v>
      </c>
      <c r="AE53" s="185">
        <v>145.23668133939111</v>
      </c>
    </row>
    <row r="54" spans="1:33" x14ac:dyDescent="0.2">
      <c r="A54" s="12"/>
      <c r="B54" s="12"/>
      <c r="C54" s="104" t="s">
        <v>81</v>
      </c>
      <c r="D54" s="60">
        <f>IF(D$51&lt;=$K$11,0,SUM(D$55,$D$49))</f>
        <v>0</v>
      </c>
      <c r="E54" s="60">
        <f>IF(E$51&lt;=$K$11,0,SUM(E$55,$D$49))</f>
        <v>0</v>
      </c>
      <c r="F54" s="60">
        <f>IF(F$51&lt;=$K$11,0,SUM(F$55,$D$49))</f>
        <v>0</v>
      </c>
      <c r="G54" s="60">
        <f>IF(G$51&lt;=$K$11,0,SUM(G$55,$D$49))</f>
        <v>5.4169999999999998</v>
      </c>
      <c r="H54" s="60">
        <f>IF(H$51&lt;=$K$11,0,SUM(H$55,$D$49))</f>
        <v>5.4619999999999997</v>
      </c>
      <c r="I54" s="99"/>
      <c r="J54" s="104" t="s">
        <v>3</v>
      </c>
      <c r="K54" s="115">
        <f t="shared" si="4"/>
        <v>0.14285714285714285</v>
      </c>
      <c r="L54" s="117">
        <f t="shared" si="5"/>
        <v>0.14285714285714285</v>
      </c>
      <c r="M54" s="117">
        <f t="shared" si="5"/>
        <v>0.14285714285714285</v>
      </c>
      <c r="N54" s="117">
        <f t="shared" si="5"/>
        <v>0.14285714285714285</v>
      </c>
      <c r="O54" s="117">
        <f t="shared" si="5"/>
        <v>0.14285714285714285</v>
      </c>
      <c r="P54" s="12"/>
      <c r="R54" s="12"/>
      <c r="S54" s="8">
        <v>11</v>
      </c>
      <c r="T54" s="30">
        <v>132.59857497250334</v>
      </c>
      <c r="U54" s="185">
        <v>126.57232388519992</v>
      </c>
      <c r="V54" s="185">
        <v>117.90367908978158</v>
      </c>
      <c r="W54" s="185">
        <v>106.84626403988273</v>
      </c>
      <c r="X54" s="185">
        <v>93.622250585267579</v>
      </c>
      <c r="Z54" s="8">
        <v>10</v>
      </c>
      <c r="AA54" s="30">
        <v>191.97783502819573</v>
      </c>
      <c r="AB54" s="185">
        <v>190.29409733329794</v>
      </c>
      <c r="AC54" s="185">
        <v>185.68091179156636</v>
      </c>
      <c r="AD54" s="185">
        <v>178.41945401959231</v>
      </c>
      <c r="AE54" s="185">
        <v>168.75603131250739</v>
      </c>
    </row>
    <row r="55" spans="1:33" x14ac:dyDescent="0.2">
      <c r="A55" s="12"/>
      <c r="B55" s="12"/>
      <c r="C55" s="111" t="s">
        <v>80</v>
      </c>
      <c r="D55" s="112">
        <f>$D$48*'Center cost &amp; synergy worksheet'!L$11</f>
        <v>1.026</v>
      </c>
      <c r="E55" s="112">
        <f>$D$48*'Center cost &amp; synergy worksheet'!M$11</f>
        <v>2.5575000000000001</v>
      </c>
      <c r="F55" s="112">
        <f>$D$48*'Center cost &amp; synergy worksheet'!N$11</f>
        <v>3.2520000000000007</v>
      </c>
      <c r="G55" s="112">
        <f>$D$48*'Center cost &amp; synergy worksheet'!O$11</f>
        <v>3.4170000000000003</v>
      </c>
      <c r="H55" s="112">
        <f>$D$48*'Center cost &amp; synergy worksheet'!P$11</f>
        <v>3.4619999999999997</v>
      </c>
      <c r="I55" s="99"/>
      <c r="J55" s="104" t="s">
        <v>4</v>
      </c>
      <c r="K55" s="115">
        <f t="shared" si="4"/>
        <v>0.14285714285714285</v>
      </c>
      <c r="L55" s="117">
        <f t="shared" si="5"/>
        <v>0.14285714285714285</v>
      </c>
      <c r="M55" s="117">
        <f t="shared" si="5"/>
        <v>0.14285714285714285</v>
      </c>
      <c r="N55" s="117">
        <f t="shared" si="5"/>
        <v>0.14285714285714285</v>
      </c>
      <c r="O55" s="117">
        <f t="shared" si="5"/>
        <v>0.14285714285714285</v>
      </c>
      <c r="P55" s="12"/>
      <c r="R55" s="12"/>
      <c r="S55" s="8">
        <v>11.5</v>
      </c>
      <c r="T55" s="30">
        <v>157.44396474398081</v>
      </c>
      <c r="U55" s="185">
        <v>153.23470224361813</v>
      </c>
      <c r="V55" s="185">
        <v>146.26293723022616</v>
      </c>
      <c r="W55" s="185">
        <v>136.79382149624109</v>
      </c>
      <c r="X55" s="185">
        <v>125.05962561187073</v>
      </c>
      <c r="Z55" s="8">
        <v>20</v>
      </c>
      <c r="AA55" s="30">
        <v>229.1531664138073</v>
      </c>
      <c r="AB55" s="185">
        <v>230.18812838370366</v>
      </c>
      <c r="AC55" s="185">
        <v>228.11392769182123</v>
      </c>
      <c r="AD55" s="185">
        <v>223.2289894251445</v>
      </c>
      <c r="AE55" s="185">
        <v>215.79473125873983</v>
      </c>
    </row>
    <row r="56" spans="1:33" x14ac:dyDescent="0.2">
      <c r="A56" s="12"/>
      <c r="B56" s="12"/>
      <c r="C56" s="111"/>
      <c r="D56" s="99"/>
      <c r="E56" s="99"/>
      <c r="F56" s="99"/>
      <c r="G56" s="99"/>
      <c r="H56" s="99"/>
      <c r="I56" s="99"/>
      <c r="J56" s="104" t="s">
        <v>5</v>
      </c>
      <c r="K56" s="115">
        <f t="shared" si="4"/>
        <v>0.14285714285714285</v>
      </c>
      <c r="L56" s="117">
        <f t="shared" si="5"/>
        <v>0.14285714285714285</v>
      </c>
      <c r="M56" s="117">
        <f t="shared" si="5"/>
        <v>0.14285714285714285</v>
      </c>
      <c r="N56" s="117">
        <f t="shared" si="5"/>
        <v>0.14285714285714285</v>
      </c>
      <c r="O56" s="117">
        <f t="shared" si="5"/>
        <v>0.14285714285714285</v>
      </c>
      <c r="P56" s="12"/>
      <c r="R56" s="12"/>
    </row>
    <row r="57" spans="1:33" x14ac:dyDescent="0.2">
      <c r="A57" s="12"/>
      <c r="B57" s="12"/>
      <c r="C57" s="104" t="s">
        <v>84</v>
      </c>
      <c r="D57" s="60">
        <f>IF(D$51&lt;=$K$11,0,SUM(D$58,$D$49))</f>
        <v>0</v>
      </c>
      <c r="E57" s="60">
        <f>IF(E$51&lt;=$K$11,0,SUM(E$58,$D$49))</f>
        <v>0</v>
      </c>
      <c r="F57" s="60">
        <f>IF(F$51&lt;=$K$11,0,SUM(F$58,$D$49))</f>
        <v>0</v>
      </c>
      <c r="G57" s="60">
        <f>IF(G$51&lt;=$K$11,0,SUM(G$58,$D$49))</f>
        <v>5.4169999999999998</v>
      </c>
      <c r="H57" s="60">
        <f>IF(H$51&lt;=$K$11,0,SUM(H$58,$D$49))</f>
        <v>5.4619999999999997</v>
      </c>
      <c r="I57" s="99"/>
      <c r="J57" s="118" t="s">
        <v>6</v>
      </c>
      <c r="K57" s="119">
        <f t="shared" si="4"/>
        <v>0.14285714285714285</v>
      </c>
      <c r="L57" s="120">
        <f t="shared" si="5"/>
        <v>0.14285714285714285</v>
      </c>
      <c r="M57" s="120">
        <f t="shared" si="5"/>
        <v>0.14285714285714285</v>
      </c>
      <c r="N57" s="120">
        <f t="shared" si="5"/>
        <v>0.14285714285714285</v>
      </c>
      <c r="O57" s="120">
        <f t="shared" si="5"/>
        <v>0.14285714285714285</v>
      </c>
      <c r="P57" s="12"/>
      <c r="R57" s="12"/>
      <c r="S57" s="54" t="s">
        <v>177</v>
      </c>
      <c r="T57" s="12"/>
      <c r="U57" s="12"/>
      <c r="V57" s="12"/>
      <c r="W57" s="12"/>
      <c r="X57" s="12"/>
      <c r="Z57" s="54" t="s">
        <v>177</v>
      </c>
      <c r="AA57" s="12"/>
      <c r="AB57" s="12"/>
      <c r="AC57" s="12"/>
      <c r="AD57" s="12"/>
      <c r="AE57" s="12"/>
    </row>
    <row r="58" spans="1:33" x14ac:dyDescent="0.2">
      <c r="A58" s="12"/>
      <c r="B58" s="12"/>
      <c r="C58" s="111" t="s">
        <v>80</v>
      </c>
      <c r="D58" s="112">
        <f>$D$48*'Center cost &amp; synergy worksheet'!L$16</f>
        <v>1.026</v>
      </c>
      <c r="E58" s="112">
        <f>$D$48*'Center cost &amp; synergy worksheet'!M$16</f>
        <v>2.5575000000000001</v>
      </c>
      <c r="F58" s="112">
        <f>$D$48*'Center cost &amp; synergy worksheet'!N$16</f>
        <v>3.2520000000000007</v>
      </c>
      <c r="G58" s="112">
        <f>$D$48*'Center cost &amp; synergy worksheet'!O$16</f>
        <v>3.4170000000000003</v>
      </c>
      <c r="H58" s="112">
        <f>$D$48*'Center cost &amp; synergy worksheet'!P$16</f>
        <v>3.4619999999999997</v>
      </c>
      <c r="I58" s="99"/>
      <c r="J58" s="99"/>
      <c r="K58" s="99"/>
      <c r="L58" s="99"/>
      <c r="M58" s="99"/>
      <c r="N58" s="99"/>
      <c r="O58" s="99"/>
      <c r="P58" s="12"/>
      <c r="R58" s="12"/>
      <c r="S58" s="4" t="s">
        <v>175</v>
      </c>
      <c r="Y58" s="12"/>
      <c r="Z58" s="4" t="s">
        <v>187</v>
      </c>
      <c r="AF58" s="12"/>
      <c r="AG58" s="12"/>
    </row>
    <row r="59" spans="1:33" x14ac:dyDescent="0.2">
      <c r="A59" s="12"/>
      <c r="B59" s="12"/>
      <c r="C59" s="111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12"/>
      <c r="R59" s="12"/>
      <c r="S59" s="188">
        <f>$W$19</f>
        <v>41.971795102044297</v>
      </c>
      <c r="T59" s="187">
        <v>6</v>
      </c>
      <c r="U59" s="187">
        <v>6.5</v>
      </c>
      <c r="V59" s="187">
        <v>7</v>
      </c>
      <c r="W59" s="187">
        <v>7.5</v>
      </c>
      <c r="X59" s="187">
        <v>8</v>
      </c>
      <c r="Y59"/>
      <c r="Z59" s="188">
        <f>$W$19</f>
        <v>41.971795102044297</v>
      </c>
      <c r="AA59" s="187">
        <v>6</v>
      </c>
      <c r="AB59" s="187">
        <v>6.5</v>
      </c>
      <c r="AC59" s="187">
        <v>7</v>
      </c>
      <c r="AD59" s="187">
        <v>7.5</v>
      </c>
      <c r="AE59" s="187">
        <v>8</v>
      </c>
      <c r="AF59" s="12"/>
      <c r="AG59" s="12"/>
    </row>
    <row r="60" spans="1:33" x14ac:dyDescent="0.2">
      <c r="A60" s="12"/>
      <c r="B60" s="12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12"/>
      <c r="R60" s="12"/>
      <c r="S60" s="8">
        <v>9.5</v>
      </c>
      <c r="T60" s="186">
        <f t="dataTable" ref="T60:X64" dt2D="1" dtr="1" r1="O24" r2="O17" ca="1"/>
        <v>8.1521498210502727</v>
      </c>
      <c r="U60" s="185">
        <v>7.8840702752485754</v>
      </c>
      <c r="V60" s="185">
        <v>7.4843935913077928</v>
      </c>
      <c r="W60" s="185">
        <v>6.9558405067386957</v>
      </c>
      <c r="X60" s="185">
        <v>6.3010572716426907</v>
      </c>
      <c r="Y60"/>
      <c r="Z60" s="8">
        <v>-10</v>
      </c>
      <c r="AA60" s="186">
        <f t="dataTable" ref="AA60:AE64" dt2D="1" dtr="1" r1="O24" r2="H12" ca="1"/>
        <v>20.001440097619735</v>
      </c>
      <c r="AB60" s="185">
        <v>20.631099645400099</v>
      </c>
      <c r="AC60" s="185">
        <v>21.116702503380452</v>
      </c>
      <c r="AD60" s="185">
        <v>21.4612270071475</v>
      </c>
      <c r="AE60" s="185">
        <v>21.667569952447508</v>
      </c>
    </row>
    <row r="61" spans="1:33" x14ac:dyDescent="0.2">
      <c r="A61" s="12"/>
      <c r="B61" s="12"/>
      <c r="I61" s="12"/>
      <c r="P61" s="12"/>
      <c r="R61" s="12"/>
      <c r="S61" s="8">
        <v>10</v>
      </c>
      <c r="T61" s="30">
        <v>14.739075561231886</v>
      </c>
      <c r="U61" s="185">
        <v>14.970042000924849</v>
      </c>
      <c r="V61" s="185">
        <v>15.062485137313473</v>
      </c>
      <c r="W61" s="185">
        <v>15.019268904619679</v>
      </c>
      <c r="X61" s="185">
        <v>14.843178829266009</v>
      </c>
      <c r="Y61"/>
      <c r="Z61" s="8">
        <v>0</v>
      </c>
      <c r="AA61" s="30">
        <v>29.857238274099899</v>
      </c>
      <c r="AB61" s="185">
        <v>31.233603752359187</v>
      </c>
      <c r="AC61" s="185">
        <v>32.455549149959381</v>
      </c>
      <c r="AD61" s="185">
        <v>33.526267062969168</v>
      </c>
      <c r="AE61" s="185">
        <v>34.448862681667606</v>
      </c>
    </row>
    <row r="62" spans="1:33" x14ac:dyDescent="0.2">
      <c r="A62" s="12"/>
      <c r="B62" s="12"/>
      <c r="C62" s="206" t="s">
        <v>163</v>
      </c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12"/>
      <c r="R62" s="12"/>
      <c r="S62" s="8">
        <v>10.5</v>
      </c>
      <c r="T62" s="30">
        <v>21.32600130141347</v>
      </c>
      <c r="U62" s="185">
        <v>22.056013726601066</v>
      </c>
      <c r="V62" s="185">
        <v>22.640576683319154</v>
      </c>
      <c r="W62" s="185">
        <v>23.082697302500662</v>
      </c>
      <c r="X62" s="185">
        <v>23.385300386889298</v>
      </c>
      <c r="Y62"/>
      <c r="Z62" s="8">
        <v>5</v>
      </c>
      <c r="AA62" s="30">
        <v>34.785137362339981</v>
      </c>
      <c r="AB62" s="185">
        <v>36.534855805838703</v>
      </c>
      <c r="AC62" s="185">
        <v>38.124972473248818</v>
      </c>
      <c r="AD62" s="185">
        <v>39.558787090879974</v>
      </c>
      <c r="AE62" s="185">
        <v>40.839509046277612</v>
      </c>
    </row>
    <row r="63" spans="1:33" x14ac:dyDescent="0.2">
      <c r="A63" s="12"/>
      <c r="B63" s="12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12"/>
      <c r="R63" s="12"/>
      <c r="S63" s="8">
        <v>11</v>
      </c>
      <c r="T63" s="30">
        <v>27.912927041595054</v>
      </c>
      <c r="U63" s="185">
        <v>29.141985452277311</v>
      </c>
      <c r="V63" s="185">
        <v>30.218668229324805</v>
      </c>
      <c r="W63" s="185">
        <v>31.146125700381646</v>
      </c>
      <c r="X63" s="185">
        <v>31.927421944512588</v>
      </c>
      <c r="Y63"/>
      <c r="Z63" s="8">
        <v>10</v>
      </c>
      <c r="AA63" s="30">
        <v>39.713036450580006</v>
      </c>
      <c r="AB63" s="185">
        <v>41.836107859318219</v>
      </c>
      <c r="AC63" s="185">
        <v>43.794395796538254</v>
      </c>
      <c r="AD63" s="185">
        <v>45.59130711879078</v>
      </c>
      <c r="AE63" s="185">
        <v>47.230155410887619</v>
      </c>
    </row>
    <row r="64" spans="1:33" x14ac:dyDescent="0.2">
      <c r="A64" s="12"/>
      <c r="B64" s="12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12"/>
      <c r="R64" s="12"/>
      <c r="S64" s="8">
        <v>11.5</v>
      </c>
      <c r="T64" s="30">
        <v>34.499852781776667</v>
      </c>
      <c r="U64" s="185">
        <v>36.227957177953556</v>
      </c>
      <c r="V64" s="185">
        <v>37.796759775330486</v>
      </c>
      <c r="W64" s="185">
        <v>39.209554098262657</v>
      </c>
      <c r="X64" s="185">
        <v>40.469543502135906</v>
      </c>
      <c r="Y64"/>
      <c r="Z64" s="8">
        <v>20</v>
      </c>
      <c r="AA64" s="30">
        <v>49.568834627060227</v>
      </c>
      <c r="AB64" s="185">
        <v>52.438611966277364</v>
      </c>
      <c r="AC64" s="185">
        <v>55.133242443117211</v>
      </c>
      <c r="AD64" s="185">
        <v>57.656347174612506</v>
      </c>
      <c r="AE64" s="185">
        <v>60.011448140107746</v>
      </c>
    </row>
    <row r="65" spans="1:32" x14ac:dyDescent="0.2">
      <c r="A65" s="12"/>
      <c r="B65" s="12"/>
      <c r="P65" s="12"/>
      <c r="R65" s="12"/>
      <c r="Y65"/>
    </row>
    <row r="66" spans="1:32" x14ac:dyDescent="0.2">
      <c r="A66" s="12"/>
      <c r="B66" s="12"/>
      <c r="P66" s="12"/>
      <c r="R66" s="12"/>
      <c r="S66" s="54" t="s">
        <v>178</v>
      </c>
      <c r="T66" s="12"/>
      <c r="U66" s="12"/>
      <c r="V66" s="12"/>
      <c r="W66" s="12"/>
      <c r="X66" s="12"/>
      <c r="Y66"/>
      <c r="Z66" s="54" t="s">
        <v>179</v>
      </c>
      <c r="AA66" s="12"/>
      <c r="AB66" s="12"/>
      <c r="AC66" s="12"/>
      <c r="AD66" s="12"/>
      <c r="AE66" s="12"/>
    </row>
    <row r="67" spans="1:32" x14ac:dyDescent="0.2">
      <c r="A67" s="12"/>
      <c r="B67" s="12"/>
      <c r="P67" s="12"/>
      <c r="R67" s="12"/>
      <c r="S67" s="4" t="s">
        <v>175</v>
      </c>
      <c r="Y67"/>
      <c r="Z67" s="4" t="s">
        <v>187</v>
      </c>
    </row>
    <row r="68" spans="1:32" x14ac:dyDescent="0.2">
      <c r="A68" s="12"/>
      <c r="B68" s="12"/>
      <c r="P68" s="12"/>
      <c r="R68" s="12"/>
      <c r="S68" s="188">
        <f>$W$13</f>
        <v>82.566450089324007</v>
      </c>
      <c r="T68" s="187">
        <v>6.5</v>
      </c>
      <c r="U68" s="187">
        <v>7</v>
      </c>
      <c r="V68" s="187">
        <v>7.5</v>
      </c>
      <c r="W68" s="187">
        <v>8</v>
      </c>
      <c r="X68" s="187">
        <v>8.5</v>
      </c>
      <c r="Y68" s="12"/>
      <c r="Z68" s="188">
        <f>$W$21</f>
        <v>60.59464814688863</v>
      </c>
      <c r="AA68" s="187">
        <v>7</v>
      </c>
      <c r="AB68" s="187">
        <v>8</v>
      </c>
      <c r="AC68" s="187">
        <v>9</v>
      </c>
      <c r="AD68" s="187">
        <v>10</v>
      </c>
      <c r="AE68" s="187">
        <v>11</v>
      </c>
    </row>
    <row r="69" spans="1:32" ht="12.75" customHeight="1" x14ac:dyDescent="0.2">
      <c r="A69" s="12"/>
      <c r="B69" s="12"/>
      <c r="P69" s="12"/>
      <c r="R69" s="12"/>
      <c r="S69" s="8">
        <v>9.5</v>
      </c>
      <c r="T69" s="186">
        <f t="dataTable" ref="T69:X73" dt2D="1" dtr="1" r1="O18" r2="O17" ca="1"/>
        <v>16.831001825822796</v>
      </c>
      <c r="U69" s="185">
        <v>13.683452342998919</v>
      </c>
      <c r="V69" s="185">
        <v>10.037585848533354</v>
      </c>
      <c r="W69" s="185">
        <v>5.9145040882020226</v>
      </c>
      <c r="X69" s="185">
        <v>1.3341339577214057</v>
      </c>
      <c r="Y69" s="12"/>
      <c r="Z69" s="8">
        <v>-10</v>
      </c>
      <c r="AA69" s="186">
        <f t="dataTable" ref="AA69:AE73" dt2D="1" dtr="1" r1="O26" r2="H12" ca="1"/>
        <v>28.000093081683218</v>
      </c>
      <c r="AB69" s="185">
        <v>29.568242417063516</v>
      </c>
      <c r="AC69" s="185">
        <v>30.601815374425655</v>
      </c>
      <c r="AD69" s="185">
        <v>31.122037433801296</v>
      </c>
      <c r="AE69" s="185">
        <v>31.149025069472088</v>
      </c>
    </row>
    <row r="70" spans="1:32" x14ac:dyDescent="0.2">
      <c r="A70" s="12"/>
      <c r="B70" s="12"/>
      <c r="P70" s="12"/>
      <c r="R70" s="12"/>
      <c r="S70" s="8">
        <v>10</v>
      </c>
      <c r="T70" s="30">
        <v>31.777370342971437</v>
      </c>
      <c r="U70" s="185">
        <v>29.545739308419911</v>
      </c>
      <c r="V70" s="185">
        <v>26.78956405108778</v>
      </c>
      <c r="W70" s="185">
        <v>23.531056934949504</v>
      </c>
      <c r="X70" s="185">
        <v>19.791193639706762</v>
      </c>
      <c r="Y70" s="12"/>
      <c r="Z70" s="8">
        <v>0</v>
      </c>
      <c r="AA70" s="30">
        <v>39.260097071499501</v>
      </c>
      <c r="AB70" s="185">
        <v>42.26187091225836</v>
      </c>
      <c r="AC70" s="185">
        <v>44.690611126278924</v>
      </c>
      <c r="AD70" s="185">
        <v>46.569070147641554</v>
      </c>
      <c r="AE70" s="185">
        <v>47.918811623167954</v>
      </c>
    </row>
    <row r="71" spans="1:32" x14ac:dyDescent="0.2">
      <c r="A71" s="12"/>
      <c r="B71" s="12"/>
      <c r="P71" s="12"/>
      <c r="R71" s="12"/>
      <c r="S71" s="8">
        <v>10.5</v>
      </c>
      <c r="T71" s="30">
        <v>46.723738860119965</v>
      </c>
      <c r="U71" s="185">
        <v>45.408026273840903</v>
      </c>
      <c r="V71" s="185">
        <v>43.541542253642149</v>
      </c>
      <c r="W71" s="185">
        <v>41.147609781696985</v>
      </c>
      <c r="X71" s="185">
        <v>38.248253321692061</v>
      </c>
      <c r="Y71" s="24"/>
      <c r="Z71" s="8">
        <v>5</v>
      </c>
      <c r="AA71" s="30">
        <v>44.890099066407601</v>
      </c>
      <c r="AB71" s="185">
        <v>48.608685159855753</v>
      </c>
      <c r="AC71" s="185">
        <v>51.735009002205516</v>
      </c>
      <c r="AD71" s="185">
        <v>54.292586504561626</v>
      </c>
      <c r="AE71" s="185">
        <v>56.303704900015873</v>
      </c>
    </row>
    <row r="72" spans="1:32" x14ac:dyDescent="0.2">
      <c r="A72" s="12"/>
      <c r="B72" s="12"/>
      <c r="P72" s="12"/>
      <c r="R72" s="12"/>
      <c r="S72" s="8">
        <v>11</v>
      </c>
      <c r="T72" s="30">
        <v>61.670107377268494</v>
      </c>
      <c r="U72" s="185">
        <v>61.270313239261895</v>
      </c>
      <c r="V72" s="185">
        <v>60.293520456196518</v>
      </c>
      <c r="W72" s="185">
        <v>58.76416262844441</v>
      </c>
      <c r="X72" s="185">
        <v>56.705313003677361</v>
      </c>
      <c r="Y72" s="24"/>
      <c r="Z72" s="8">
        <v>10</v>
      </c>
      <c r="AA72" s="30">
        <v>50.5201010613157</v>
      </c>
      <c r="AB72" s="185">
        <v>54.955499407453118</v>
      </c>
      <c r="AC72" s="185">
        <v>58.779406878132079</v>
      </c>
      <c r="AD72" s="185">
        <v>62.016102861481698</v>
      </c>
      <c r="AE72" s="185">
        <v>64.688598176863707</v>
      </c>
    </row>
    <row r="73" spans="1:32" x14ac:dyDescent="0.2">
      <c r="A73" s="12"/>
      <c r="B73" s="12"/>
      <c r="P73" s="12"/>
      <c r="R73" s="12"/>
      <c r="S73" s="8">
        <v>11.5</v>
      </c>
      <c r="T73" s="30">
        <v>76.616475894417135</v>
      </c>
      <c r="U73" s="185">
        <v>77.132600204682888</v>
      </c>
      <c r="V73" s="185">
        <v>77.045498658750944</v>
      </c>
      <c r="W73" s="185">
        <v>76.380715475191892</v>
      </c>
      <c r="X73" s="185">
        <v>75.162372685662774</v>
      </c>
      <c r="Y73" s="24"/>
      <c r="Z73" s="8">
        <v>20</v>
      </c>
      <c r="AA73" s="30">
        <v>61.780105051132011</v>
      </c>
      <c r="AB73" s="185">
        <v>67.649127902648019</v>
      </c>
      <c r="AC73" s="185">
        <v>72.868202629985376</v>
      </c>
      <c r="AD73" s="185">
        <v>77.463135575322013</v>
      </c>
      <c r="AE73" s="185">
        <v>81.458384730559658</v>
      </c>
    </row>
    <row r="74" spans="1:32" x14ac:dyDescent="0.2">
      <c r="A74" s="12"/>
      <c r="B74" s="12"/>
      <c r="P74" s="12"/>
      <c r="R74" s="12"/>
      <c r="S74"/>
      <c r="T74"/>
      <c r="U74"/>
      <c r="V74"/>
      <c r="W74"/>
      <c r="X74"/>
      <c r="Y74" s="12"/>
      <c r="Z74"/>
      <c r="AA74"/>
      <c r="AB74"/>
      <c r="AC74"/>
      <c r="AD74"/>
      <c r="AE74"/>
    </row>
    <row r="75" spans="1:32" x14ac:dyDescent="0.2">
      <c r="A75" s="12"/>
      <c r="B75" s="12"/>
      <c r="P75" s="12"/>
      <c r="R75" s="12"/>
      <c r="S75" s="54" t="s">
        <v>179</v>
      </c>
      <c r="T75" s="12"/>
      <c r="U75" s="12"/>
      <c r="V75" s="12"/>
      <c r="W75" s="12"/>
      <c r="X75" s="12"/>
      <c r="Y75" s="12"/>
      <c r="Z75" s="54" t="s">
        <v>176</v>
      </c>
      <c r="AA75" s="12"/>
      <c r="AB75" s="12"/>
      <c r="AC75" s="12"/>
      <c r="AD75" s="12"/>
      <c r="AE75" s="12"/>
    </row>
    <row r="76" spans="1:32" x14ac:dyDescent="0.2">
      <c r="A76" s="12"/>
      <c r="B76" s="12"/>
      <c r="P76" s="12"/>
      <c r="R76" s="12"/>
      <c r="S76" s="4" t="s">
        <v>175</v>
      </c>
      <c r="Y76" s="12"/>
      <c r="Z76" s="4" t="s">
        <v>185</v>
      </c>
    </row>
    <row r="77" spans="1:32" x14ac:dyDescent="0.2">
      <c r="A77" s="12"/>
      <c r="B77" s="12"/>
      <c r="P77" s="12"/>
      <c r="R77" s="12"/>
      <c r="S77" s="188">
        <f>$W$21</f>
        <v>60.59464814688863</v>
      </c>
      <c r="T77" s="187">
        <v>7</v>
      </c>
      <c r="U77" s="187">
        <v>8</v>
      </c>
      <c r="V77" s="187">
        <v>9</v>
      </c>
      <c r="W77" s="187">
        <v>10</v>
      </c>
      <c r="X77" s="187">
        <v>11</v>
      </c>
      <c r="Y77" s="12"/>
      <c r="Z77" s="188">
        <f>$W$18</f>
        <v>151.81665657717201</v>
      </c>
      <c r="AA77" s="187">
        <v>9.5</v>
      </c>
      <c r="AB77" s="187">
        <v>10</v>
      </c>
      <c r="AC77" s="187">
        <v>10.5</v>
      </c>
      <c r="AD77" s="187">
        <v>11</v>
      </c>
      <c r="AE77" s="187">
        <v>11.5</v>
      </c>
    </row>
    <row r="78" spans="1:32" x14ac:dyDescent="0.2">
      <c r="A78" s="12"/>
      <c r="B78" s="12"/>
      <c r="P78" s="12"/>
      <c r="R78" s="12"/>
      <c r="S78" s="8">
        <v>9.5</v>
      </c>
      <c r="T78" s="186">
        <f t="dataTable" ref="T78:X82" dt2D="1" dtr="1" r1="O26" r2="O17" ca="1"/>
        <v>14.46257400899529</v>
      </c>
      <c r="U78" s="185">
        <v>14.307125457359888</v>
      </c>
      <c r="V78" s="185">
        <v>13.663336367276543</v>
      </c>
      <c r="W78" s="185">
        <v>12.550596413960307</v>
      </c>
      <c r="X78" s="185">
        <v>10.987282185465517</v>
      </c>
      <c r="Y78" s="12"/>
      <c r="Z78" s="8">
        <v>-10</v>
      </c>
      <c r="AA78" s="186">
        <f t="dataTable" ref="AA78:AE82" dt2D="1" dtr="1" r1="O17" r2="H11"/>
        <v>-21.018367233653407</v>
      </c>
      <c r="AB78" s="185">
        <v>5.7175081751016705</v>
      </c>
      <c r="AC78" s="185">
        <v>32.453383583856748</v>
      </c>
      <c r="AD78" s="185">
        <v>59.189258992611826</v>
      </c>
      <c r="AE78" s="185">
        <v>85.925134401367018</v>
      </c>
      <c r="AF78"/>
    </row>
    <row r="79" spans="1:32" x14ac:dyDescent="0.2">
      <c r="A79" s="12"/>
      <c r="B79" s="12"/>
      <c r="P79" s="12"/>
      <c r="R79" s="12"/>
      <c r="S79" s="8">
        <v>10</v>
      </c>
      <c r="T79" s="30">
        <v>21.987972641047691</v>
      </c>
      <c r="U79" s="185">
        <v>22.790658376168324</v>
      </c>
      <c r="V79" s="185">
        <v>23.079301439238463</v>
      </c>
      <c r="W79" s="185">
        <v>22.874312014695107</v>
      </c>
      <c r="X79" s="185">
        <v>22.195033879437432</v>
      </c>
      <c r="Y79" s="12"/>
      <c r="Z79" s="8">
        <v>0</v>
      </c>
      <c r="AA79" s="30">
        <v>14.503491921365139</v>
      </c>
      <c r="AB79" s="185">
        <v>43.108938864594961</v>
      </c>
      <c r="AC79" s="185">
        <v>71.714385807824669</v>
      </c>
      <c r="AD79" s="185">
        <v>100.31983275105438</v>
      </c>
      <c r="AE79" s="185">
        <v>128.9252796942842</v>
      </c>
      <c r="AF79"/>
    </row>
    <row r="80" spans="1:32" x14ac:dyDescent="0.2">
      <c r="A80" s="12"/>
      <c r="B80" s="12"/>
      <c r="P80" s="12"/>
      <c r="S80" s="8">
        <v>10.5</v>
      </c>
      <c r="T80" s="30">
        <v>29.513371273100063</v>
      </c>
      <c r="U80" s="185">
        <v>31.274191294976731</v>
      </c>
      <c r="V80" s="185">
        <v>32.495266511200384</v>
      </c>
      <c r="W80" s="185">
        <v>33.198027615429822</v>
      </c>
      <c r="X80" s="185">
        <v>33.402785573409261</v>
      </c>
      <c r="Z80" s="8">
        <v>5</v>
      </c>
      <c r="AA80" s="30">
        <v>32.264421498874526</v>
      </c>
      <c r="AB80" s="185">
        <v>61.804654209341606</v>
      </c>
      <c r="AC80" s="185">
        <v>91.344886919808687</v>
      </c>
      <c r="AD80" s="185">
        <v>120.88511963027577</v>
      </c>
      <c r="AE80" s="185">
        <v>150.42535234074285</v>
      </c>
      <c r="AF80"/>
    </row>
    <row r="81" spans="1:32" x14ac:dyDescent="0.2">
      <c r="A81" s="12"/>
      <c r="B81" s="12"/>
      <c r="P81" s="12"/>
      <c r="S81" s="8">
        <v>11</v>
      </c>
      <c r="T81" s="30">
        <v>37.038769905152435</v>
      </c>
      <c r="U81" s="185">
        <v>39.757724213785139</v>
      </c>
      <c r="V81" s="185">
        <v>41.911231583162305</v>
      </c>
      <c r="W81" s="185">
        <v>43.521743216164566</v>
      </c>
      <c r="X81" s="185">
        <v>44.610537267381119</v>
      </c>
      <c r="Z81" s="8">
        <v>10</v>
      </c>
      <c r="AA81" s="30">
        <v>50.025351076383799</v>
      </c>
      <c r="AB81" s="185">
        <v>80.500369554088252</v>
      </c>
      <c r="AC81" s="185">
        <v>110.97538803179259</v>
      </c>
      <c r="AD81" s="185">
        <v>141.45040650949704</v>
      </c>
      <c r="AE81" s="185">
        <v>171.9254249872015</v>
      </c>
      <c r="AF81"/>
    </row>
    <row r="82" spans="1:32" x14ac:dyDescent="0.2">
      <c r="A82" s="12"/>
      <c r="B82" s="12"/>
      <c r="P82" s="12"/>
      <c r="S82" s="8">
        <v>11.5</v>
      </c>
      <c r="T82" s="30">
        <v>44.564168537204836</v>
      </c>
      <c r="U82" s="185">
        <v>48.241257132593574</v>
      </c>
      <c r="V82" s="185">
        <v>51.327196655124226</v>
      </c>
      <c r="W82" s="185">
        <v>53.845458816899338</v>
      </c>
      <c r="X82" s="185">
        <v>55.818288961353005</v>
      </c>
      <c r="Z82" s="8">
        <v>20</v>
      </c>
      <c r="AA82" s="30">
        <v>85.547210231402346</v>
      </c>
      <c r="AB82" s="185">
        <v>117.89180024358154</v>
      </c>
      <c r="AC82" s="185">
        <v>150.23639025576051</v>
      </c>
      <c r="AD82" s="185">
        <v>182.58098026793959</v>
      </c>
      <c r="AE82" s="185">
        <v>214.92557028011868</v>
      </c>
      <c r="AF82"/>
    </row>
    <row r="83" spans="1:32" x14ac:dyDescent="0.2">
      <c r="A83" s="12"/>
      <c r="B83" s="12"/>
      <c r="P83" s="12"/>
      <c r="AF83"/>
    </row>
    <row r="84" spans="1:32" x14ac:dyDescent="0.2">
      <c r="A84" s="12"/>
      <c r="B84" s="12"/>
      <c r="P84" s="12"/>
      <c r="S84" s="54" t="s">
        <v>180</v>
      </c>
      <c r="T84" s="12"/>
      <c r="U84" s="12"/>
      <c r="V84" s="12"/>
      <c r="W84" s="12"/>
      <c r="X84" s="12"/>
      <c r="Z84" s="54" t="s">
        <v>177</v>
      </c>
      <c r="AA84" s="12"/>
      <c r="AB84" s="12"/>
      <c r="AC84" s="12"/>
      <c r="AD84" s="12"/>
      <c r="AE84" s="12"/>
      <c r="AF84"/>
    </row>
    <row r="85" spans="1:32" x14ac:dyDescent="0.2">
      <c r="A85" s="12"/>
      <c r="B85" s="12"/>
      <c r="P85" s="12"/>
      <c r="S85" s="4" t="s">
        <v>175</v>
      </c>
      <c r="Z85" s="4" t="s">
        <v>183</v>
      </c>
      <c r="AF85"/>
    </row>
    <row r="86" spans="1:32" x14ac:dyDescent="0.2">
      <c r="A86" s="12"/>
      <c r="B86" s="12"/>
      <c r="P86" s="12"/>
      <c r="S86" s="188">
        <f>$W$20</f>
        <v>44.846351571212892</v>
      </c>
      <c r="T86" s="187">
        <v>7</v>
      </c>
      <c r="U86" s="187">
        <v>7.5</v>
      </c>
      <c r="V86" s="187">
        <v>8</v>
      </c>
      <c r="W86" s="187">
        <v>8.5</v>
      </c>
      <c r="X86" s="187">
        <v>9</v>
      </c>
      <c r="Z86" s="188">
        <f>$W$19</f>
        <v>41.971795102044297</v>
      </c>
      <c r="AA86" s="187">
        <v>9.5</v>
      </c>
      <c r="AB86" s="187">
        <v>10</v>
      </c>
      <c r="AC86" s="187">
        <v>10.5</v>
      </c>
      <c r="AD86" s="187">
        <v>11</v>
      </c>
      <c r="AE86" s="187">
        <v>11.5</v>
      </c>
      <c r="AF86"/>
    </row>
    <row r="87" spans="1:32" x14ac:dyDescent="0.2">
      <c r="A87" s="12"/>
      <c r="B87" s="12"/>
      <c r="P87" s="12"/>
      <c r="S87" s="8">
        <v>9.5</v>
      </c>
      <c r="T87" s="186">
        <f t="dataTable" ref="T87:X91" dt2D="1" dtr="1" r1="O25" r2="O17" ca="1"/>
        <v>8.8005873098426264</v>
      </c>
      <c r="U87" s="185">
        <v>8.4594829982796398</v>
      </c>
      <c r="V87" s="185">
        <v>8.0026119987048219</v>
      </c>
      <c r="W87" s="185">
        <v>7.4322308130988972</v>
      </c>
      <c r="X87" s="185">
        <v>6.750537677608861</v>
      </c>
      <c r="Z87" s="8">
        <v>-10</v>
      </c>
      <c r="AA87" s="186">
        <f t="dataTable" ref="AA87:AE91" dt2D="1" dtr="1" r1="O17" r2="H12" ca="1"/>
        <v>-9.7390175352603023</v>
      </c>
      <c r="AB87" s="185">
        <v>-2.5542658764318844</v>
      </c>
      <c r="AC87" s="185">
        <v>4.6304857823965051</v>
      </c>
      <c r="AD87" s="185">
        <v>11.815237441224923</v>
      </c>
      <c r="AE87" s="185">
        <v>18.999989100053341</v>
      </c>
      <c r="AF87"/>
    </row>
    <row r="88" spans="1:32" x14ac:dyDescent="0.2">
      <c r="A88" s="12"/>
      <c r="B88" s="12"/>
      <c r="P88" s="12"/>
      <c r="S88" s="8">
        <v>10</v>
      </c>
      <c r="T88" s="30">
        <v>16.036897826150152</v>
      </c>
      <c r="U88" s="185">
        <v>16.161635063978594</v>
      </c>
      <c r="V88" s="185">
        <v>16.164512630215626</v>
      </c>
      <c r="W88" s="185">
        <v>16.047905790104124</v>
      </c>
      <c r="X88" s="185">
        <v>15.814128476430398</v>
      </c>
      <c r="Z88" s="8">
        <v>0</v>
      </c>
      <c r="AA88" s="30">
        <v>8.1487195327355266E-2</v>
      </c>
      <c r="AB88" s="185">
        <v>7.783107524186704</v>
      </c>
      <c r="AC88" s="185">
        <v>15.484727853046053</v>
      </c>
      <c r="AD88" s="185">
        <v>23.186348181905402</v>
      </c>
      <c r="AE88" s="185">
        <v>30.887968510764722</v>
      </c>
      <c r="AF88"/>
    </row>
    <row r="89" spans="1:32" x14ac:dyDescent="0.2">
      <c r="A89" s="12"/>
      <c r="B89" s="12"/>
      <c r="P89" s="12"/>
      <c r="S89" s="8">
        <v>10.5</v>
      </c>
      <c r="T89" s="30">
        <v>23.27320834245765</v>
      </c>
      <c r="U89" s="185">
        <v>23.863787129677519</v>
      </c>
      <c r="V89" s="185">
        <v>24.326413261726401</v>
      </c>
      <c r="W89" s="185">
        <v>24.663580767109295</v>
      </c>
      <c r="X89" s="185">
        <v>24.877719275251906</v>
      </c>
      <c r="Z89" s="8">
        <v>5</v>
      </c>
      <c r="AA89" s="30">
        <v>4.9917395606211699</v>
      </c>
      <c r="AB89" s="185">
        <v>12.951794224495984</v>
      </c>
      <c r="AC89" s="185">
        <v>20.911848888370798</v>
      </c>
      <c r="AD89" s="185">
        <v>28.871903552245612</v>
      </c>
      <c r="AE89" s="185">
        <v>36.831958216120398</v>
      </c>
      <c r="AF89"/>
    </row>
    <row r="90" spans="1:32" x14ac:dyDescent="0.2">
      <c r="A90" s="12"/>
      <c r="B90" s="12"/>
      <c r="P90" s="12"/>
      <c r="S90" s="8">
        <v>11</v>
      </c>
      <c r="T90" s="30">
        <v>30.509518858765148</v>
      </c>
      <c r="U90" s="185">
        <v>31.565939195376444</v>
      </c>
      <c r="V90" s="185">
        <v>32.488313893237176</v>
      </c>
      <c r="W90" s="185">
        <v>33.279255744114494</v>
      </c>
      <c r="X90" s="185">
        <v>33.941310074073414</v>
      </c>
      <c r="Z90" s="8">
        <v>10</v>
      </c>
      <c r="AA90" s="30">
        <v>9.9019919259149844</v>
      </c>
      <c r="AB90" s="185">
        <v>18.120480924805264</v>
      </c>
      <c r="AC90" s="185">
        <v>26.338969923695515</v>
      </c>
      <c r="AD90" s="185">
        <v>34.557458922585766</v>
      </c>
      <c r="AE90" s="185">
        <v>42.775947921476046</v>
      </c>
      <c r="AF90"/>
    </row>
    <row r="91" spans="1:32" s="12" customFormat="1" x14ac:dyDescent="0.2">
      <c r="S91" s="8">
        <v>11.5</v>
      </c>
      <c r="T91" s="30">
        <v>37.745829375072674</v>
      </c>
      <c r="U91" s="185">
        <v>39.268091261075398</v>
      </c>
      <c r="V91" s="185">
        <v>40.650214524747952</v>
      </c>
      <c r="W91" s="185">
        <v>41.894930721119721</v>
      </c>
      <c r="X91" s="185">
        <v>43.00490087289495</v>
      </c>
      <c r="Z91" s="8">
        <v>20</v>
      </c>
      <c r="AA91" s="30">
        <v>19.722496656502699</v>
      </c>
      <c r="AB91" s="185">
        <v>28.457854325423881</v>
      </c>
      <c r="AC91" s="185">
        <v>37.193211994345063</v>
      </c>
      <c r="AD91" s="185">
        <v>45.928569663266273</v>
      </c>
      <c r="AE91" s="185">
        <v>54.663927332187484</v>
      </c>
      <c r="AF91"/>
    </row>
    <row r="92" spans="1:32" x14ac:dyDescent="0.2">
      <c r="AF92"/>
    </row>
    <row r="93" spans="1:32" x14ac:dyDescent="0.2">
      <c r="S93" s="54" t="s">
        <v>181</v>
      </c>
      <c r="T93" s="12"/>
      <c r="U93" s="12"/>
      <c r="V93" s="12"/>
      <c r="W93" s="12"/>
      <c r="X93" s="12"/>
      <c r="Z93" s="54" t="s">
        <v>179</v>
      </c>
      <c r="AA93" s="12"/>
      <c r="AB93" s="12"/>
      <c r="AC93" s="12"/>
      <c r="AD93" s="12"/>
      <c r="AE93" s="12"/>
      <c r="AF93"/>
    </row>
    <row r="94" spans="1:32" x14ac:dyDescent="0.2">
      <c r="S94" s="4" t="s">
        <v>175</v>
      </c>
      <c r="Z94" s="4" t="s">
        <v>184</v>
      </c>
      <c r="AF94"/>
    </row>
    <row r="95" spans="1:32" x14ac:dyDescent="0.2">
      <c r="S95" s="188">
        <f>$W$22</f>
        <v>17.516384998963019</v>
      </c>
      <c r="T95" s="187">
        <v>5.5</v>
      </c>
      <c r="U95" s="187">
        <v>6</v>
      </c>
      <c r="V95" s="187">
        <v>6.5</v>
      </c>
      <c r="W95" s="187">
        <v>7</v>
      </c>
      <c r="X95" s="187">
        <v>7.5</v>
      </c>
      <c r="Z95" s="188">
        <f>$W$21</f>
        <v>60.59464814688863</v>
      </c>
      <c r="AA95" s="187">
        <v>9.5</v>
      </c>
      <c r="AB95" s="187">
        <v>10</v>
      </c>
      <c r="AC95" s="187">
        <v>10.5</v>
      </c>
      <c r="AD95" s="187">
        <v>11</v>
      </c>
      <c r="AE95" s="187">
        <v>11.5</v>
      </c>
      <c r="AF95"/>
    </row>
    <row r="96" spans="1:32" x14ac:dyDescent="0.2">
      <c r="S96" s="8">
        <v>9.5</v>
      </c>
      <c r="T96" s="186">
        <f t="dataTable" ref="T96:X100" dt2D="1" dtr="1" r1="O27" r2="O17" ca="1"/>
        <v>2.7496316945979586</v>
      </c>
      <c r="U96" s="185">
        <v>2.8280836323322376</v>
      </c>
      <c r="V96" s="185">
        <v>2.8790984961534036</v>
      </c>
      <c r="W96" s="185">
        <v>2.9029299321410775</v>
      </c>
      <c r="X96" s="185">
        <v>2.8998284694882841</v>
      </c>
      <c r="Z96" s="8">
        <v>-10</v>
      </c>
      <c r="AA96" s="186">
        <f t="dataTable" ref="AA96:AE100" dt2D="1" dtr="1" r1="O17" r2="H12" ca="1"/>
        <v>-14.060212087920291</v>
      </c>
      <c r="AB96" s="185">
        <v>-3.6875916714950279</v>
      </c>
      <c r="AC96" s="185">
        <v>6.6850287449302073</v>
      </c>
      <c r="AD96" s="185">
        <v>17.057649161355442</v>
      </c>
      <c r="AE96" s="185">
        <v>27.430269577780706</v>
      </c>
      <c r="AF96"/>
    </row>
    <row r="97" spans="19:32" x14ac:dyDescent="0.2">
      <c r="S97" s="8">
        <v>10</v>
      </c>
      <c r="T97" s="30">
        <v>5.4183632706815388</v>
      </c>
      <c r="U97" s="185">
        <v>5.730400086722355</v>
      </c>
      <c r="V97" s="185">
        <v>6.0135557723283171</v>
      </c>
      <c r="W97" s="185">
        <v>6.2680973233727144</v>
      </c>
      <c r="X97" s="185">
        <v>6.4942884547955657</v>
      </c>
      <c r="Z97" s="8">
        <v>0</v>
      </c>
      <c r="AA97" s="30">
        <v>0.11764300090891311</v>
      </c>
      <c r="AB97" s="185">
        <v>11.236466316746231</v>
      </c>
      <c r="AC97" s="185">
        <v>22.355289632583521</v>
      </c>
      <c r="AD97" s="185">
        <v>33.474112948420867</v>
      </c>
      <c r="AE97" s="185">
        <v>44.592936264258157</v>
      </c>
      <c r="AF97"/>
    </row>
    <row r="98" spans="19:32" x14ac:dyDescent="0.2">
      <c r="S98" s="8">
        <v>10.5</v>
      </c>
      <c r="T98" s="30">
        <v>8.0870948467651047</v>
      </c>
      <c r="U98" s="185">
        <v>8.6327165411124653</v>
      </c>
      <c r="V98" s="185">
        <v>9.1480130485032305</v>
      </c>
      <c r="W98" s="185">
        <v>9.6332647146043371</v>
      </c>
      <c r="X98" s="185">
        <v>10.088748440102833</v>
      </c>
      <c r="Z98" s="8">
        <v>5</v>
      </c>
      <c r="AA98" s="30">
        <v>7.2065705453234727</v>
      </c>
      <c r="AB98" s="185">
        <v>18.698495310866832</v>
      </c>
      <c r="AC98" s="185">
        <v>30.190420076410163</v>
      </c>
      <c r="AD98" s="185">
        <v>41.682344841953523</v>
      </c>
      <c r="AE98" s="185">
        <v>53.174269607496853</v>
      </c>
      <c r="AF98"/>
    </row>
    <row r="99" spans="19:32" x14ac:dyDescent="0.2">
      <c r="S99" s="8">
        <v>11</v>
      </c>
      <c r="T99" s="30">
        <v>10.755826422848671</v>
      </c>
      <c r="U99" s="185">
        <v>11.535032995502576</v>
      </c>
      <c r="V99" s="185">
        <v>12.28247032467813</v>
      </c>
      <c r="W99" s="185">
        <v>12.998432105835974</v>
      </c>
      <c r="X99" s="185">
        <v>13.683208425410101</v>
      </c>
      <c r="Z99" s="8">
        <v>10</v>
      </c>
      <c r="AA99" s="30">
        <v>14.295498089738032</v>
      </c>
      <c r="AB99" s="185">
        <v>26.160524304987433</v>
      </c>
      <c r="AC99" s="185">
        <v>38.025550520236777</v>
      </c>
      <c r="AD99" s="185">
        <v>49.89057673548615</v>
      </c>
      <c r="AE99" s="185">
        <v>61.755602950735522</v>
      </c>
      <c r="AF99"/>
    </row>
    <row r="100" spans="19:32" x14ac:dyDescent="0.2">
      <c r="S100" s="8">
        <v>11.5</v>
      </c>
      <c r="T100" s="30">
        <v>13.424557998932251</v>
      </c>
      <c r="U100" s="185">
        <v>14.437349449892686</v>
      </c>
      <c r="V100" s="185">
        <v>15.416927600853043</v>
      </c>
      <c r="W100" s="185">
        <v>16.363599497067611</v>
      </c>
      <c r="X100" s="185">
        <v>17.277668410717382</v>
      </c>
      <c r="Z100" s="8">
        <v>20</v>
      </c>
      <c r="AA100" s="30">
        <v>28.473353178567294</v>
      </c>
      <c r="AB100" s="185">
        <v>41.084582293228721</v>
      </c>
      <c r="AC100" s="185">
        <v>53.695811407890119</v>
      </c>
      <c r="AD100" s="185">
        <v>66.307040522551574</v>
      </c>
      <c r="AE100" s="185">
        <v>78.918269637213029</v>
      </c>
      <c r="AF100"/>
    </row>
    <row r="101" spans="19:32" x14ac:dyDescent="0.2">
      <c r="Z101"/>
      <c r="AA101"/>
      <c r="AB101"/>
      <c r="AC101"/>
      <c r="AD101"/>
      <c r="AE101"/>
      <c r="AF101"/>
    </row>
    <row r="102" spans="19:32" x14ac:dyDescent="0.2">
      <c r="S102" s="54" t="s">
        <v>182</v>
      </c>
      <c r="T102" s="12"/>
      <c r="U102" s="12"/>
      <c r="V102" s="12"/>
      <c r="W102" s="12"/>
      <c r="X102" s="12"/>
      <c r="Z102"/>
      <c r="AA102"/>
      <c r="AB102"/>
      <c r="AC102"/>
      <c r="AD102"/>
      <c r="AE102"/>
      <c r="AF102"/>
    </row>
    <row r="103" spans="19:32" x14ac:dyDescent="0.2">
      <c r="S103" s="4" t="s">
        <v>175</v>
      </c>
      <c r="Z103"/>
      <c r="AA103"/>
      <c r="AB103"/>
      <c r="AC103"/>
      <c r="AD103"/>
      <c r="AE103"/>
      <c r="AF103"/>
    </row>
    <row r="104" spans="19:32" x14ac:dyDescent="0.2">
      <c r="S104" s="188">
        <f>$W$23</f>
        <v>6.7076324575647064</v>
      </c>
      <c r="T104" s="187">
        <v>6</v>
      </c>
      <c r="U104" s="187">
        <v>7</v>
      </c>
      <c r="V104" s="187">
        <v>8</v>
      </c>
      <c r="W104" s="187">
        <v>9</v>
      </c>
      <c r="X104" s="187">
        <v>10</v>
      </c>
      <c r="Z104"/>
      <c r="AA104"/>
      <c r="AB104"/>
      <c r="AC104"/>
      <c r="AD104"/>
      <c r="AE104"/>
      <c r="AF104"/>
    </row>
    <row r="105" spans="19:32" x14ac:dyDescent="0.2">
      <c r="S105" s="8">
        <v>9.5</v>
      </c>
      <c r="T105" s="186">
        <f t="dataTable" ref="T105:X109" dt2D="1" dtr="1" r1="O28" r2="O17" ca="1"/>
        <v>0.83147271833547975</v>
      </c>
      <c r="U105" s="185">
        <v>0.93477256720674262</v>
      </c>
      <c r="V105" s="185">
        <v>1.0281410106374551</v>
      </c>
      <c r="W105" s="185">
        <v>1.1116327390622196</v>
      </c>
      <c r="X105" s="185">
        <v>1.1853020420910951</v>
      </c>
      <c r="Z105"/>
      <c r="AA105"/>
      <c r="AB105"/>
      <c r="AC105"/>
      <c r="AD105"/>
      <c r="AE105"/>
      <c r="AF105"/>
    </row>
    <row r="106" spans="19:32" x14ac:dyDescent="0.2">
      <c r="S106" s="8">
        <v>10</v>
      </c>
      <c r="T106" s="30">
        <v>1.6953227985110324</v>
      </c>
      <c r="U106" s="185">
        <v>1.940740874559733</v>
      </c>
      <c r="V106" s="185">
        <v>2.1757048396183762</v>
      </c>
      <c r="W106" s="185">
        <v>2.4002722625654975</v>
      </c>
      <c r="X106" s="185">
        <v>2.6145002903590502</v>
      </c>
      <c r="Z106"/>
      <c r="AA106"/>
      <c r="AB106"/>
      <c r="AC106"/>
      <c r="AD106"/>
      <c r="AE106"/>
      <c r="AF106"/>
    </row>
    <row r="107" spans="19:32" x14ac:dyDescent="0.2">
      <c r="S107" s="8">
        <v>10.5</v>
      </c>
      <c r="T107" s="30">
        <v>2.5591728786865851</v>
      </c>
      <c r="U107" s="185">
        <v>2.9467091819127198</v>
      </c>
      <c r="V107" s="185">
        <v>3.3232686685992938</v>
      </c>
      <c r="W107" s="185">
        <v>3.6889117860687719</v>
      </c>
      <c r="X107" s="185">
        <v>4.0436985386269981</v>
      </c>
      <c r="Z107"/>
      <c r="AA107"/>
      <c r="AB107"/>
      <c r="AC107"/>
      <c r="AD107"/>
      <c r="AE107"/>
      <c r="AF107"/>
    </row>
    <row r="108" spans="19:32" x14ac:dyDescent="0.2">
      <c r="S108" s="8">
        <v>11</v>
      </c>
      <c r="T108" s="30">
        <v>3.4230229588621341</v>
      </c>
      <c r="U108" s="185">
        <v>3.9526774892657031</v>
      </c>
      <c r="V108" s="185">
        <v>4.4708324975802114</v>
      </c>
      <c r="W108" s="185">
        <v>4.9775513095720427</v>
      </c>
      <c r="X108" s="185">
        <v>5.4728967868949496</v>
      </c>
      <c r="Z108"/>
      <c r="AA108"/>
      <c r="AB108"/>
      <c r="AC108"/>
      <c r="AD108"/>
      <c r="AE108"/>
      <c r="AF108"/>
    </row>
    <row r="109" spans="19:32" x14ac:dyDescent="0.2">
      <c r="S109" s="8">
        <v>11.5</v>
      </c>
      <c r="T109" s="30">
        <v>4.2868730390376868</v>
      </c>
      <c r="U109" s="185">
        <v>4.9586457966186934</v>
      </c>
      <c r="V109" s="185">
        <v>5.6183963265611325</v>
      </c>
      <c r="W109" s="185">
        <v>6.2661908330753207</v>
      </c>
      <c r="X109" s="185">
        <v>6.9020950351629082</v>
      </c>
      <c r="Z109"/>
      <c r="AA109"/>
      <c r="AB109"/>
      <c r="AC109"/>
      <c r="AD109"/>
      <c r="AE109"/>
      <c r="AF109"/>
    </row>
    <row r="110" spans="19:32" x14ac:dyDescent="0.2">
      <c r="Z110"/>
      <c r="AA110"/>
      <c r="AB110"/>
      <c r="AC110"/>
      <c r="AD110"/>
      <c r="AE110"/>
      <c r="AF110"/>
    </row>
    <row r="111" spans="19:32" x14ac:dyDescent="0.2">
      <c r="Z111"/>
      <c r="AA111"/>
      <c r="AB111"/>
      <c r="AC111"/>
      <c r="AD111"/>
      <c r="AE111"/>
      <c r="AF111"/>
    </row>
    <row r="112" spans="19:32" x14ac:dyDescent="0.2">
      <c r="Z112"/>
      <c r="AA112"/>
      <c r="AB112"/>
      <c r="AC112"/>
      <c r="AD112"/>
      <c r="AE112"/>
      <c r="AF112"/>
    </row>
    <row r="113" spans="3:32" x14ac:dyDescent="0.2">
      <c r="Z113"/>
      <c r="AA113"/>
      <c r="AB113"/>
      <c r="AC113"/>
      <c r="AD113"/>
      <c r="AE113"/>
      <c r="AF113"/>
    </row>
    <row r="127" spans="3:32" x14ac:dyDescent="0.2">
      <c r="I127"/>
    </row>
    <row r="128" spans="3:32" x14ac:dyDescent="0.2">
      <c r="C128"/>
      <c r="D128"/>
      <c r="E128"/>
      <c r="F128"/>
      <c r="G128"/>
      <c r="H128"/>
      <c r="I128"/>
    </row>
    <row r="129" spans="3:9" x14ac:dyDescent="0.2">
      <c r="C129"/>
      <c r="D129"/>
      <c r="E129"/>
      <c r="F129"/>
      <c r="G129"/>
      <c r="H129"/>
      <c r="I129"/>
    </row>
  </sheetData>
  <mergeCells count="1">
    <mergeCell ref="C62:O64"/>
  </mergeCells>
  <conditionalFormatting sqref="W13:W23 W11">
    <cfRule type="cellIs" dxfId="85" priority="53" operator="greaterThan">
      <formula>0</formula>
    </cfRule>
    <cfRule type="cellIs" dxfId="84" priority="54" operator="lessThan">
      <formula>0</formula>
    </cfRule>
  </conditionalFormatting>
  <conditionalFormatting sqref="T51:X55">
    <cfRule type="cellIs" dxfId="83" priority="47" operator="lessThan">
      <formula>0</formula>
    </cfRule>
    <cfRule type="cellIs" dxfId="82" priority="48" operator="greaterThan">
      <formula>0</formula>
    </cfRule>
  </conditionalFormatting>
  <conditionalFormatting sqref="T78:X82">
    <cfRule type="cellIs" dxfId="81" priority="45" operator="lessThan">
      <formula>0</formula>
    </cfRule>
    <cfRule type="cellIs" dxfId="80" priority="46" operator="greaterThan">
      <formula>0</formula>
    </cfRule>
  </conditionalFormatting>
  <conditionalFormatting sqref="T60:X64">
    <cfRule type="cellIs" dxfId="79" priority="43" operator="lessThan">
      <formula>0</formula>
    </cfRule>
    <cfRule type="cellIs" dxfId="78" priority="44" operator="greaterThan">
      <formula>0</formula>
    </cfRule>
  </conditionalFormatting>
  <conditionalFormatting sqref="T87:X91">
    <cfRule type="cellIs" dxfId="77" priority="41" operator="lessThan">
      <formula>0</formula>
    </cfRule>
    <cfRule type="cellIs" dxfId="76" priority="42" operator="greaterThan">
      <formula>0</formula>
    </cfRule>
  </conditionalFormatting>
  <conditionalFormatting sqref="T96:X100">
    <cfRule type="cellIs" dxfId="75" priority="39" operator="lessThan">
      <formula>0</formula>
    </cfRule>
    <cfRule type="cellIs" dxfId="74" priority="40" operator="greaterThan">
      <formula>0</formula>
    </cfRule>
  </conditionalFormatting>
  <conditionalFormatting sqref="T105:X109">
    <cfRule type="cellIs" dxfId="73" priority="37" operator="lessThan">
      <formula>0</formula>
    </cfRule>
    <cfRule type="cellIs" dxfId="72" priority="38" operator="greaterThan">
      <formula>0</formula>
    </cfRule>
  </conditionalFormatting>
  <conditionalFormatting sqref="T69:X73">
    <cfRule type="cellIs" dxfId="71" priority="35" operator="lessThan">
      <formula>0</formula>
    </cfRule>
    <cfRule type="cellIs" dxfId="70" priority="36" operator="greaterThan">
      <formula>0</formula>
    </cfRule>
  </conditionalFormatting>
  <conditionalFormatting sqref="AA51:AE55">
    <cfRule type="cellIs" dxfId="69" priority="19" operator="lessThan">
      <formula>0</formula>
    </cfRule>
    <cfRule type="cellIs" dxfId="68" priority="20" operator="greaterThan">
      <formula>0</formula>
    </cfRule>
  </conditionalFormatting>
  <conditionalFormatting sqref="AA69:AE73">
    <cfRule type="cellIs" dxfId="67" priority="17" operator="lessThan">
      <formula>0</formula>
    </cfRule>
    <cfRule type="cellIs" dxfId="66" priority="18" operator="greaterThan">
      <formula>0</formula>
    </cfRule>
  </conditionalFormatting>
  <conditionalFormatting sqref="AA60:AE64">
    <cfRule type="cellIs" dxfId="65" priority="15" operator="lessThan">
      <formula>0</formula>
    </cfRule>
    <cfRule type="cellIs" dxfId="64" priority="16" operator="greaterThan">
      <formula>0</formula>
    </cfRule>
  </conditionalFormatting>
  <conditionalFormatting sqref="AA78:AE82">
    <cfRule type="cellIs" dxfId="63" priority="5" operator="lessThan">
      <formula>0</formula>
    </cfRule>
    <cfRule type="cellIs" dxfId="62" priority="6" operator="greaterThan">
      <formula>0</formula>
    </cfRule>
  </conditionalFormatting>
  <conditionalFormatting sqref="AA96:AE100">
    <cfRule type="cellIs" dxfId="61" priority="3" operator="lessThan">
      <formula>0</formula>
    </cfRule>
    <cfRule type="cellIs" dxfId="60" priority="4" operator="greaterThan">
      <formula>0</formula>
    </cfRule>
  </conditionalFormatting>
  <conditionalFormatting sqref="AA87:AE91">
    <cfRule type="cellIs" dxfId="59" priority="1" operator="lessThan">
      <formula>0</formula>
    </cfRule>
    <cfRule type="cellIs" dxfId="58" priority="2" operator="greaterThan">
      <formula>0</formula>
    </cfRule>
  </conditionalFormatting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9"/>
  <sheetViews>
    <sheetView showGridLines="0" zoomScale="85" zoomScaleNormal="85" workbookViewId="0"/>
  </sheetViews>
  <sheetFormatPr defaultRowHeight="12.75" x14ac:dyDescent="0.2"/>
  <cols>
    <col min="1" max="1" width="3.7109375" style="4" customWidth="1"/>
    <col min="2" max="2" width="2.85546875" style="4" customWidth="1"/>
    <col min="3" max="3" width="22.42578125" style="4" customWidth="1"/>
    <col min="4" max="8" width="6.7109375" style="4" customWidth="1"/>
    <col min="9" max="9" width="3.7109375" style="4" customWidth="1"/>
    <col min="10" max="10" width="35.7109375" style="4" customWidth="1"/>
    <col min="11" max="15" width="6.7109375" style="4" customWidth="1"/>
    <col min="16" max="16" width="3.7109375" style="4" customWidth="1"/>
    <col min="17" max="17" width="3.7109375" style="12" customWidth="1"/>
    <col min="18" max="18" width="3.7109375" style="4" customWidth="1"/>
    <col min="19" max="19" width="28.7109375" style="4" customWidth="1"/>
    <col min="20" max="24" width="12.7109375" style="4" customWidth="1"/>
    <col min="25" max="25" width="9.140625" style="4"/>
    <col min="26" max="26" width="28.5703125" style="4" customWidth="1"/>
    <col min="27" max="34" width="12.7109375" style="4" customWidth="1"/>
    <col min="35" max="16384" width="9.140625" style="4"/>
  </cols>
  <sheetData>
    <row r="1" spans="1:29" s="1" customFormat="1" ht="4.5" customHeight="1" x14ac:dyDescent="0.2">
      <c r="Q1" s="134"/>
      <c r="Y1" s="1" t="s">
        <v>195</v>
      </c>
    </row>
    <row r="2" spans="1:29" s="1" customFormat="1" x14ac:dyDescent="0.2">
      <c r="F2" s="2"/>
      <c r="G2" s="2"/>
      <c r="H2" s="2"/>
      <c r="Q2" s="134"/>
    </row>
    <row r="3" spans="1:29" s="1" customFormat="1" x14ac:dyDescent="0.2">
      <c r="F3" s="1" t="s">
        <v>194</v>
      </c>
      <c r="Q3" s="134"/>
    </row>
    <row r="4" spans="1:29" s="1" customFormat="1" x14ac:dyDescent="0.2">
      <c r="F4" s="1" t="s">
        <v>206</v>
      </c>
      <c r="Q4" s="134"/>
    </row>
    <row r="5" spans="1:29" s="3" customFormat="1" ht="4.5" customHeight="1" x14ac:dyDescent="0.2">
      <c r="Q5" s="135"/>
    </row>
    <row r="6" spans="1:29" s="146" customFormat="1" ht="4.5" customHeight="1" x14ac:dyDescent="0.2">
      <c r="Q6" s="79"/>
    </row>
    <row r="7" spans="1:29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8" x14ac:dyDescent="0.25">
      <c r="A8" s="12"/>
      <c r="B8" s="12"/>
      <c r="C8" s="133" t="s">
        <v>107</v>
      </c>
      <c r="E8" s="12"/>
      <c r="F8" s="12"/>
      <c r="G8" s="12"/>
      <c r="H8" s="12"/>
      <c r="I8" s="12"/>
      <c r="P8" s="12"/>
      <c r="R8" s="12"/>
      <c r="S8" s="133" t="s">
        <v>172</v>
      </c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76" customFormat="1" ht="25.5" customHeight="1" x14ac:dyDescent="0.2">
      <c r="A9" s="41"/>
      <c r="B9" s="41"/>
      <c r="C9" s="137" t="s">
        <v>93</v>
      </c>
      <c r="D9" s="138"/>
      <c r="E9" s="138"/>
      <c r="F9" s="138"/>
      <c r="G9" s="138"/>
      <c r="H9" s="138"/>
      <c r="I9" s="139"/>
      <c r="J9" s="140" t="s">
        <v>100</v>
      </c>
      <c r="K9" s="141"/>
      <c r="L9" s="141"/>
      <c r="M9" s="141"/>
      <c r="N9" s="141"/>
      <c r="O9" s="141"/>
      <c r="P9" s="41"/>
      <c r="Q9" s="41"/>
      <c r="R9" s="41"/>
      <c r="S9" s="151" t="s">
        <v>171</v>
      </c>
      <c r="T9" s="152"/>
      <c r="U9" s="152"/>
      <c r="V9" s="152"/>
      <c r="W9" s="152"/>
      <c r="X9" s="152"/>
      <c r="Y9" s="152"/>
      <c r="Z9" s="151" t="s">
        <v>166</v>
      </c>
      <c r="AA9" s="152"/>
      <c r="AB9" s="184"/>
      <c r="AC9"/>
    </row>
    <row r="10" spans="1:29" ht="13.5" thickBot="1" x14ac:dyDescent="0.25">
      <c r="A10" s="12"/>
      <c r="B10" s="12"/>
      <c r="C10" s="65" t="s">
        <v>102</v>
      </c>
      <c r="D10" s="65">
        <v>2015</v>
      </c>
      <c r="E10" s="65">
        <v>2016</v>
      </c>
      <c r="F10" s="65">
        <v>2017</v>
      </c>
      <c r="G10" s="65">
        <v>2018</v>
      </c>
      <c r="H10" s="65">
        <v>2019</v>
      </c>
      <c r="I10" s="12"/>
      <c r="J10" s="83" t="s">
        <v>19</v>
      </c>
      <c r="K10" s="84">
        <v>0.5</v>
      </c>
      <c r="L10" s="83" t="s">
        <v>14</v>
      </c>
      <c r="M10" s="85">
        <v>2017</v>
      </c>
      <c r="N10" s="86"/>
      <c r="O10" s="86"/>
      <c r="P10" s="12"/>
      <c r="R10" s="12"/>
      <c r="S10" s="77" t="s">
        <v>168</v>
      </c>
      <c r="T10" s="143">
        <v>2019</v>
      </c>
      <c r="U10" s="77" t="s">
        <v>15</v>
      </c>
      <c r="V10" s="77" t="s">
        <v>73</v>
      </c>
      <c r="W10" s="78" t="s">
        <v>115</v>
      </c>
      <c r="X10" s="153"/>
      <c r="Y10" s="41"/>
      <c r="Z10" s="77"/>
      <c r="AA10" s="149">
        <f>T10</f>
        <v>2019</v>
      </c>
      <c r="AB10"/>
      <c r="AC10"/>
    </row>
    <row r="11" spans="1:29" ht="13.5" thickBot="1" x14ac:dyDescent="0.25">
      <c r="A11" s="12"/>
      <c r="B11" s="12"/>
      <c r="C11" s="64" t="s">
        <v>1</v>
      </c>
      <c r="D11" s="189">
        <v>0</v>
      </c>
      <c r="E11" s="189">
        <v>0</v>
      </c>
      <c r="F11" s="189">
        <v>1</v>
      </c>
      <c r="G11" s="189">
        <v>2</v>
      </c>
      <c r="H11" s="189">
        <v>3</v>
      </c>
      <c r="I11" s="12"/>
      <c r="J11" s="83" t="s">
        <v>104</v>
      </c>
      <c r="K11" s="85">
        <v>2017</v>
      </c>
      <c r="L11" s="87"/>
      <c r="M11" s="83"/>
      <c r="N11" s="86"/>
      <c r="O11" s="86"/>
      <c r="P11" s="12"/>
      <c r="R11" s="12"/>
      <c r="S11" s="14" t="s">
        <v>72</v>
      </c>
      <c r="T11" s="16">
        <f>SUM(T13,T18:T23)</f>
        <v>1172.1347652219338</v>
      </c>
      <c r="U11" s="39">
        <f>HLOOKUP($T$10,$D$18:$H$19,2,FALSE)</f>
        <v>10</v>
      </c>
      <c r="V11" s="39">
        <f>HLOOKUP($T$10,$D$51:$H$54,MATCH("center - baseline",$C$51:$C$54,FALSE))</f>
        <v>8.6549999999999994</v>
      </c>
      <c r="W11" s="34">
        <f>T11-AA11</f>
        <v>276.82081676899622</v>
      </c>
      <c r="Y11" s="24"/>
      <c r="Z11" s="14" t="s">
        <v>72</v>
      </c>
      <c r="AA11" s="29">
        <f>SUM(AA13,AA18:AA23)</f>
        <v>895.31394845293755</v>
      </c>
      <c r="AB11"/>
      <c r="AC11"/>
    </row>
    <row r="12" spans="1:29" ht="13.5" thickTop="1" x14ac:dyDescent="0.2">
      <c r="A12" s="12"/>
      <c r="B12" s="12"/>
      <c r="C12" s="64" t="s">
        <v>91</v>
      </c>
      <c r="D12" s="189">
        <v>0</v>
      </c>
      <c r="E12" s="189">
        <v>1</v>
      </c>
      <c r="F12" s="189">
        <v>6</v>
      </c>
      <c r="G12" s="189">
        <v>7</v>
      </c>
      <c r="H12" s="189">
        <v>7</v>
      </c>
      <c r="I12" s="12"/>
      <c r="J12" s="83" t="s">
        <v>99</v>
      </c>
      <c r="K12" s="85">
        <v>2019</v>
      </c>
      <c r="L12" s="86"/>
      <c r="M12" s="86"/>
      <c r="N12" s="86"/>
      <c r="O12" s="86"/>
      <c r="P12" s="12"/>
      <c r="R12" s="12"/>
      <c r="S12" s="23" t="s">
        <v>74</v>
      </c>
      <c r="T12" s="12"/>
      <c r="U12" s="12"/>
      <c r="V12" s="12"/>
      <c r="W12" s="150"/>
      <c r="Y12" s="24"/>
      <c r="Z12" s="23" t="s">
        <v>74</v>
      </c>
      <c r="AA12" s="150"/>
      <c r="AB12" s="12"/>
    </row>
    <row r="13" spans="1:29" x14ac:dyDescent="0.2">
      <c r="A13" s="12"/>
      <c r="B13" s="12"/>
      <c r="C13" s="64"/>
      <c r="D13" s="64"/>
      <c r="E13" s="64"/>
      <c r="F13" s="64"/>
      <c r="G13" s="64"/>
      <c r="H13" s="64"/>
      <c r="I13" s="12"/>
      <c r="J13" s="83" t="s">
        <v>103</v>
      </c>
      <c r="K13" s="86"/>
      <c r="L13" s="86"/>
      <c r="M13" s="86"/>
      <c r="N13" s="86"/>
      <c r="O13" s="86"/>
      <c r="P13" s="12"/>
      <c r="R13" s="12"/>
      <c r="S13" s="19" t="s">
        <v>0</v>
      </c>
      <c r="T13" s="7">
        <f t="shared" ref="T13:T23" si="0">INDEX($K$16:$O$17,MATCH($S$24,$J$16:$J$17,0),MATCH(T$10,$K$16:$O$16,0))*(HLOOKUP(T$10,$T$28:$X$29,2,FALSE))*INDEX($K$32:$O$42,MATCH($S13,$J$32:$J$42,0),MATCH($K$12,$K$30:$O$30,0))</f>
        <v>248.03683705575526</v>
      </c>
      <c r="U13" s="61">
        <f t="shared" ref="U13:U23" si="1">INDEX($D$20:$H$42,MATCH($S13,$C$20:$C$42,0),MATCH($T$10,$D$18:$H$18,0))</f>
        <v>0</v>
      </c>
      <c r="V13" s="42">
        <f>INDEX($K$47:$O$57,MATCH($S13,$J$47:$J$57,0),MATCH($T$10,$D$51:$H$51,0))*V$11</f>
        <v>1.2364285714285712</v>
      </c>
      <c r="W13" s="32">
        <f t="shared" ref="W13:W23" si="2">T13-AA13</f>
        <v>53.036837055755257</v>
      </c>
      <c r="Y13" s="24"/>
      <c r="Z13" s="19" t="s">
        <v>0</v>
      </c>
      <c r="AA13" s="30">
        <f>INDEX($K$18:$O$28,MATCH($Z13,$J$18:$J$28,0),MATCH(AA$10,$K$16:$O$16,0))*(INDEX('Company-level data'!$K$29:$O$39,MATCH($Z13,'Company-level data'!$J$29:$J$39,0),MATCH(AA$10,'Company-level data'!$K$27:$O$27,0)))</f>
        <v>195</v>
      </c>
    </row>
    <row r="14" spans="1:29" x14ac:dyDescent="0.2">
      <c r="A14" s="12"/>
      <c r="B14" s="12"/>
      <c r="C14" s="63" t="s">
        <v>97</v>
      </c>
      <c r="D14" s="64"/>
      <c r="E14" s="64"/>
      <c r="F14" s="64"/>
      <c r="G14" s="57">
        <v>0</v>
      </c>
      <c r="H14" s="64"/>
      <c r="I14" s="12"/>
      <c r="J14" s="86"/>
      <c r="K14" s="86"/>
      <c r="L14" s="86"/>
      <c r="M14" s="86"/>
      <c r="N14" s="86"/>
      <c r="O14" s="86"/>
      <c r="P14" s="12"/>
      <c r="R14" s="12"/>
      <c r="S14" s="163" t="s">
        <v>7</v>
      </c>
      <c r="T14" s="164">
        <f t="shared" si="0"/>
        <v>0</v>
      </c>
      <c r="U14" s="165">
        <f t="shared" si="1"/>
        <v>0</v>
      </c>
      <c r="V14" s="167">
        <f t="shared" ref="V14:V23" si="3">INDEX($K$47:$O$57,MATCH($S14,$J$47:$J$57,0),MATCH($T$10,$D$51:$H$51,0))*V$11</f>
        <v>0</v>
      </c>
      <c r="W14" s="166">
        <f t="shared" si="2"/>
        <v>0</v>
      </c>
      <c r="Y14" s="24"/>
      <c r="Z14" s="163" t="s">
        <v>7</v>
      </c>
      <c r="AA14" s="168">
        <f>INDEX($K$18:$O$28,MATCH($Z14,$J$18:$J$28,0),MATCH(AA$10,$K$16:$O$16,0))*(INDEX('Company-level data'!$K$29:$O$39,MATCH($Z14,'Company-level data'!$J$29:$J$39,0),MATCH(AA$10,'Company-level data'!$K$27:$O$27,0)))</f>
        <v>0</v>
      </c>
    </row>
    <row r="15" spans="1:29" x14ac:dyDescent="0.2">
      <c r="A15" s="12"/>
      <c r="B15" s="12"/>
      <c r="C15" s="63" t="s">
        <v>101</v>
      </c>
      <c r="D15" s="64"/>
      <c r="E15" s="64"/>
      <c r="F15" s="64"/>
      <c r="G15" s="56">
        <v>0.5</v>
      </c>
      <c r="H15" s="64"/>
      <c r="I15" s="12"/>
      <c r="J15" s="86"/>
      <c r="K15" s="86"/>
      <c r="L15" s="86"/>
      <c r="M15" s="86"/>
      <c r="N15" s="86"/>
      <c r="O15" s="86"/>
      <c r="P15" s="12"/>
      <c r="R15" s="12"/>
      <c r="S15" s="163" t="s">
        <v>10</v>
      </c>
      <c r="T15" s="164">
        <f t="shared" si="0"/>
        <v>0</v>
      </c>
      <c r="U15" s="165">
        <f t="shared" si="1"/>
        <v>0</v>
      </c>
      <c r="V15" s="167">
        <f t="shared" si="3"/>
        <v>0</v>
      </c>
      <c r="W15" s="166">
        <f t="shared" si="2"/>
        <v>0</v>
      </c>
      <c r="Y15" s="24"/>
      <c r="Z15" s="163" t="s">
        <v>10</v>
      </c>
      <c r="AA15" s="168">
        <f>INDEX($K$18:$O$28,MATCH($Z15,$J$18:$J$28,0),MATCH(AA$10,$K$16:$O$16,0))*(INDEX('Company-level data'!$K$29:$O$39,MATCH($Z15,'Company-level data'!$J$29:$J$39,0),MATCH(AA$10,'Company-level data'!$K$27:$O$27,0)))</f>
        <v>0</v>
      </c>
    </row>
    <row r="16" spans="1:29" ht="13.5" thickBot="1" x14ac:dyDescent="0.25">
      <c r="A16" s="12"/>
      <c r="B16" s="12"/>
      <c r="C16" s="63"/>
      <c r="D16" s="64"/>
      <c r="E16" s="64"/>
      <c r="F16" s="64"/>
      <c r="G16" s="64"/>
      <c r="H16" s="64"/>
      <c r="I16" s="12"/>
      <c r="J16" s="88" t="s">
        <v>13</v>
      </c>
      <c r="K16" s="88">
        <v>2015</v>
      </c>
      <c r="L16" s="88">
        <v>2016</v>
      </c>
      <c r="M16" s="88">
        <v>2017</v>
      </c>
      <c r="N16" s="88">
        <v>2018</v>
      </c>
      <c r="O16" s="88">
        <v>2019</v>
      </c>
      <c r="P16" s="12"/>
      <c r="R16" s="12"/>
      <c r="S16" s="163" t="s">
        <v>8</v>
      </c>
      <c r="T16" s="164">
        <f t="shared" si="0"/>
        <v>0</v>
      </c>
      <c r="U16" s="165">
        <f t="shared" si="1"/>
        <v>0</v>
      </c>
      <c r="V16" s="167">
        <f t="shared" si="3"/>
        <v>0</v>
      </c>
      <c r="W16" s="166">
        <f t="shared" si="2"/>
        <v>0</v>
      </c>
      <c r="Y16" s="12"/>
      <c r="Z16" s="163" t="s">
        <v>8</v>
      </c>
      <c r="AA16" s="168">
        <f>INDEX($K$18:$O$28,MATCH($Z16,$J$18:$J$28,0),MATCH(AA$10,$K$16:$O$16,0))*(INDEX('Company-level data'!$K$29:$O$39,MATCH($Z16,'Company-level data'!$J$29:$J$39,0),MATCH(AA$10,'Company-level data'!$K$27:$O$27,0)))</f>
        <v>0</v>
      </c>
    </row>
    <row r="17" spans="1:27" ht="13.5" thickBot="1" x14ac:dyDescent="0.25">
      <c r="A17" s="12"/>
      <c r="B17" s="12"/>
      <c r="C17" s="64"/>
      <c r="D17" s="64"/>
      <c r="E17" s="64"/>
      <c r="F17" s="64"/>
      <c r="G17" s="64"/>
      <c r="H17" s="64"/>
      <c r="I17" s="12"/>
      <c r="J17" s="147" t="s">
        <v>109</v>
      </c>
      <c r="K17" s="191">
        <f>'Portfolio multiples reference'!N14-K10</f>
        <v>10.123691064076816</v>
      </c>
      <c r="L17" s="148">
        <f>$K$17+$K$10*($M$10&lt;=L$16)</f>
        <v>10.123691064076816</v>
      </c>
      <c r="M17" s="148">
        <f>$K$17+$K$10*($M$10&lt;=M$16)</f>
        <v>10.623691064076816</v>
      </c>
      <c r="N17" s="148">
        <f>$K$17+$K$10*($M$10&lt;=N$16)</f>
        <v>10.623691064076816</v>
      </c>
      <c r="O17" s="148">
        <f>$K$17+$K$10*($M$10&lt;=O$16)</f>
        <v>10.623691064076816</v>
      </c>
      <c r="P17" s="12"/>
      <c r="R17" s="12"/>
      <c r="S17" s="163" t="s">
        <v>9</v>
      </c>
      <c r="T17" s="164">
        <f t="shared" si="0"/>
        <v>0</v>
      </c>
      <c r="U17" s="165">
        <f t="shared" si="1"/>
        <v>0</v>
      </c>
      <c r="V17" s="167">
        <f t="shared" si="3"/>
        <v>0</v>
      </c>
      <c r="W17" s="166">
        <f t="shared" si="2"/>
        <v>0</v>
      </c>
      <c r="Y17" s="12"/>
      <c r="Z17" s="163" t="s">
        <v>9</v>
      </c>
      <c r="AA17" s="168">
        <f>INDEX($K$18:$O$28,MATCH($Z17,$J$18:$J$28,0),MATCH(AA$10,$K$16:$O$16,0))*(INDEX('Company-level data'!$K$29:$O$39,MATCH($Z17,'Company-level data'!$J$29:$J$39,0),MATCH(AA$10,'Company-level data'!$K$27:$O$27,0)))</f>
        <v>0</v>
      </c>
    </row>
    <row r="18" spans="1:27" ht="14.25" thickTop="1" thickBot="1" x14ac:dyDescent="0.25">
      <c r="A18" s="12"/>
      <c r="B18" s="12"/>
      <c r="C18" s="65" t="s">
        <v>20</v>
      </c>
      <c r="D18" s="65">
        <v>2015</v>
      </c>
      <c r="E18" s="65">
        <v>2016</v>
      </c>
      <c r="F18" s="65">
        <v>2017</v>
      </c>
      <c r="G18" s="65">
        <v>2018</v>
      </c>
      <c r="H18" s="65">
        <v>2019</v>
      </c>
      <c r="I18" s="12"/>
      <c r="J18" s="83" t="s">
        <v>0</v>
      </c>
      <c r="K18" s="136">
        <v>7</v>
      </c>
      <c r="L18" s="90">
        <f>($O18-$K18)/($O$16-$K$16)+K18</f>
        <v>6.875</v>
      </c>
      <c r="M18" s="90">
        <f>($O18-$K18)/($O$16-$K$16)+L18</f>
        <v>6.75</v>
      </c>
      <c r="N18" s="90">
        <f>($O18-$K18)/($O$16-$K$16)+M18</f>
        <v>6.625</v>
      </c>
      <c r="O18" s="136">
        <v>6.5</v>
      </c>
      <c r="P18" s="12"/>
      <c r="R18" s="12"/>
      <c r="S18" s="19" t="s">
        <v>1</v>
      </c>
      <c r="T18" s="7">
        <f t="shared" si="0"/>
        <v>475.40393769019755</v>
      </c>
      <c r="U18" s="61">
        <f t="shared" si="1"/>
        <v>3</v>
      </c>
      <c r="V18" s="42">
        <f t="shared" si="3"/>
        <v>1.2364285714285712</v>
      </c>
      <c r="W18" s="32">
        <f t="shared" si="2"/>
        <v>107.90393769019755</v>
      </c>
      <c r="Y18" s="12"/>
      <c r="Z18" s="19" t="s">
        <v>1</v>
      </c>
      <c r="AA18" s="30">
        <f>INDEX($K$18:$O$28,MATCH($Z18,$J$18:$J$28,0),MATCH(AA$10,$K$16:$O$16,0))*(INDEX('Company-level data'!$K$29:$O$39,MATCH($Z18,'Company-level data'!$J$29:$J$39,0),MATCH(AA$10,'Company-level data'!$K$27:$O$27,0)))</f>
        <v>367.5</v>
      </c>
    </row>
    <row r="19" spans="1:27" ht="13.5" thickBot="1" x14ac:dyDescent="0.25">
      <c r="A19" s="12"/>
      <c r="B19" s="12"/>
      <c r="C19" s="66" t="s">
        <v>11</v>
      </c>
      <c r="D19" s="67">
        <f>D20+D25+D28+D31+D34+D37+D40</f>
        <v>0</v>
      </c>
      <c r="E19" s="67">
        <f>E20+E25+E28+E31+E34+E37+E40</f>
        <v>1</v>
      </c>
      <c r="F19" s="67">
        <f>F20+F25+F28+F31+F34+F37+F40</f>
        <v>6.9999999999999991</v>
      </c>
      <c r="G19" s="67">
        <f>G20+G25+G28+G31+G34+G37+G40</f>
        <v>9.0000000000000018</v>
      </c>
      <c r="H19" s="67">
        <f>H20+H25+H28+H31+H34+H37+H40</f>
        <v>10</v>
      </c>
      <c r="I19" s="12"/>
      <c r="J19" s="91" t="s">
        <v>7</v>
      </c>
      <c r="K19" s="92"/>
      <c r="L19" s="90"/>
      <c r="M19" s="90"/>
      <c r="N19" s="90"/>
      <c r="O19" s="90"/>
      <c r="P19" s="12"/>
      <c r="R19" s="12"/>
      <c r="S19" s="19" t="s">
        <v>2</v>
      </c>
      <c r="T19" s="7">
        <f t="shared" si="0"/>
        <v>113.40773950366176</v>
      </c>
      <c r="U19" s="61">
        <f t="shared" si="1"/>
        <v>2.7925650350766151</v>
      </c>
      <c r="V19" s="42">
        <f t="shared" si="3"/>
        <v>1.2364285714285712</v>
      </c>
      <c r="W19" s="32">
        <f t="shared" si="2"/>
        <v>23.792353311161747</v>
      </c>
      <c r="Y19" s="12"/>
      <c r="Z19" s="19" t="s">
        <v>2</v>
      </c>
      <c r="AA19" s="30">
        <f>INDEX($K$18:$O$28,MATCH($Z19,$J$18:$J$28,0),MATCH(AA$10,$K$16:$O$16,0))*(INDEX('Company-level data'!$K$29:$O$39,MATCH($Z19,'Company-level data'!$J$29:$J$39,0),MATCH(AA$10,'Company-level data'!$K$27:$O$27,0)))</f>
        <v>89.615386192500011</v>
      </c>
    </row>
    <row r="20" spans="1:27" ht="13.5" thickTop="1" x14ac:dyDescent="0.2">
      <c r="A20" s="12"/>
      <c r="B20" s="12"/>
      <c r="C20" s="68" t="s">
        <v>0</v>
      </c>
      <c r="D20" s="69">
        <f>INDEX('Company-level data'!$R$13:$V$23,MATCH($C20,'Company-level data'!$Q$13:$Q$23,0),MATCH(D$18,'Company-level data'!$R$11:$V$11,0))*HLOOKUP('Case B - 50-50'!D$18,'Center cost &amp; synergy worksheet'!$D$59:$H$64,6,FALSE)/HLOOKUP(D$18,'Company-level data'!$R$11:$V$12,2,FALSE)+INDEX('Center cost &amp; synergy worksheet'!$D$67:$H$77,MATCH('Case B - 50-50'!$C20,'Center cost &amp; synergy worksheet'!$C$67:$C$77,0),MATCH('Case B - 50-50'!D$18,'Center cost &amp; synergy worksheet'!$D$66:$H$66,0))</f>
        <v>0</v>
      </c>
      <c r="E20" s="69">
        <f>INDEX('Company-level data'!$R$13:$V$23,MATCH($C20,'Company-level data'!$Q$13:$Q$23,0),MATCH(E$18,'Company-level data'!$R$11:$V$11,0))*HLOOKUP('Case B - 50-50'!E$18,'Center cost &amp; synergy worksheet'!$D$59:$H$64,6,FALSE)/HLOOKUP(E$18,'Company-level data'!$R$11:$V$12,2,FALSE)+INDEX('Center cost &amp; synergy worksheet'!$D$67:$H$77,MATCH('Case B - 50-50'!$C20,'Center cost &amp; synergy worksheet'!$C$67:$C$77,0),MATCH('Case B - 50-50'!E$18,'Center cost &amp; synergy worksheet'!$D$66:$H$66,0))</f>
        <v>0</v>
      </c>
      <c r="F20" s="69">
        <f>INDEX('Company-level data'!$R$13:$V$23,MATCH($C20,'Company-level data'!$Q$13:$Q$23,0),MATCH(F$18,'Company-level data'!$R$11:$V$11,0))*HLOOKUP('Case B - 50-50'!F$18,'Center cost &amp; synergy worksheet'!$D$59:$H$64,6,FALSE)/HLOOKUP(F$18,'Company-level data'!$R$11:$V$12,2,FALSE)+INDEX('Center cost &amp; synergy worksheet'!$D$67:$H$77,MATCH('Case B - 50-50'!$C20,'Center cost &amp; synergy worksheet'!$C$67:$C$77,0),MATCH('Case B - 50-50'!F$18,'Center cost &amp; synergy worksheet'!$D$66:$H$66,0))</f>
        <v>0</v>
      </c>
      <c r="G20" s="69">
        <f>INDEX('Company-level data'!$R$13:$V$23,MATCH($C20,'Company-level data'!$Q$13:$Q$23,0),MATCH(G$18,'Company-level data'!$R$11:$V$11,0))*HLOOKUP('Case B - 50-50'!G$18,'Center cost &amp; synergy worksheet'!$D$59:$H$64,6,FALSE)/HLOOKUP(G$18,'Company-level data'!$R$11:$V$12,2,FALSE)+INDEX('Center cost &amp; synergy worksheet'!$D$67:$H$77,MATCH('Case B - 50-50'!$C20,'Center cost &amp; synergy worksheet'!$C$67:$C$77,0),MATCH('Case B - 50-50'!G$18,'Center cost &amp; synergy worksheet'!$D$66:$H$66,0))</f>
        <v>0</v>
      </c>
      <c r="H20" s="69">
        <f>INDEX('Company-level data'!$R$13:$V$23,MATCH($C20,'Company-level data'!$Q$13:$Q$23,0),MATCH(H$18,'Company-level data'!$R$11:$V$11,0))*HLOOKUP('Case B - 50-50'!H$18,'Center cost &amp; synergy worksheet'!$D$59:$H$64,6,FALSE)/HLOOKUP(H$18,'Company-level data'!$R$11:$V$12,2,FALSE)+INDEX('Center cost &amp; synergy worksheet'!$D$67:$H$77,MATCH('Case B - 50-50'!$C20,'Center cost &amp; synergy worksheet'!$C$67:$C$77,0),MATCH('Case B - 50-50'!H$18,'Center cost &amp; synergy worksheet'!$D$66:$H$66,0))</f>
        <v>0</v>
      </c>
      <c r="I20" s="12"/>
      <c r="J20" s="91" t="s">
        <v>10</v>
      </c>
      <c r="K20" s="92"/>
      <c r="L20" s="90"/>
      <c r="M20" s="90"/>
      <c r="N20" s="90"/>
      <c r="O20" s="90"/>
      <c r="P20" s="12"/>
      <c r="R20" s="12"/>
      <c r="S20" s="19" t="s">
        <v>3</v>
      </c>
      <c r="T20" s="7">
        <f t="shared" si="0"/>
        <v>140.08835392057955</v>
      </c>
      <c r="U20" s="61">
        <f t="shared" si="1"/>
        <v>1.4880952252092465</v>
      </c>
      <c r="V20" s="42">
        <f t="shared" si="3"/>
        <v>1.2364285714285712</v>
      </c>
      <c r="W20" s="32">
        <f t="shared" si="2"/>
        <v>28.459567420579532</v>
      </c>
      <c r="Y20" s="12"/>
      <c r="Z20" s="19" t="s">
        <v>3</v>
      </c>
      <c r="AA20" s="30">
        <f>INDEX($K$18:$O$28,MATCH($Z20,$J$18:$J$28,0),MATCH(AA$10,$K$16:$O$16,0))*(INDEX('Company-level data'!$K$29:$O$39,MATCH($Z20,'Company-level data'!$J$29:$J$39,0),MATCH(AA$10,'Company-level data'!$K$27:$O$27,0)))</f>
        <v>111.62878650000002</v>
      </c>
    </row>
    <row r="21" spans="1:27" x14ac:dyDescent="0.2">
      <c r="A21" s="12"/>
      <c r="B21" s="12"/>
      <c r="C21" s="70" t="s">
        <v>7</v>
      </c>
      <c r="D21" s="71"/>
      <c r="E21" s="71"/>
      <c r="F21" s="71"/>
      <c r="G21" s="71"/>
      <c r="H21" s="71"/>
      <c r="I21" s="12"/>
      <c r="J21" s="91" t="s">
        <v>8</v>
      </c>
      <c r="K21" s="92"/>
      <c r="L21" s="90"/>
      <c r="M21" s="90"/>
      <c r="N21" s="90"/>
      <c r="O21" s="90"/>
      <c r="P21" s="12"/>
      <c r="R21" s="12"/>
      <c r="S21" s="19" t="s">
        <v>4</v>
      </c>
      <c r="T21" s="7">
        <f t="shared" si="0"/>
        <v>130.47113685458723</v>
      </c>
      <c r="U21" s="61">
        <f t="shared" si="1"/>
        <v>1.4242149938666959</v>
      </c>
      <c r="V21" s="42">
        <f t="shared" si="3"/>
        <v>1.2364285714285712</v>
      </c>
      <c r="W21" s="32">
        <f t="shared" si="2"/>
        <v>48.824435729587208</v>
      </c>
      <c r="Y21" s="12"/>
      <c r="Z21" s="19" t="s">
        <v>4</v>
      </c>
      <c r="AA21" s="30">
        <f>INDEX($K$18:$O$28,MATCH($Z21,$J$18:$J$28,0),MATCH(AA$10,$K$16:$O$16,0))*(INDEX('Company-level data'!$K$29:$O$39,MATCH($Z21,'Company-level data'!$J$29:$J$39,0),MATCH(AA$10,'Company-level data'!$K$27:$O$27,0)))</f>
        <v>81.646701125000021</v>
      </c>
    </row>
    <row r="22" spans="1:27" x14ac:dyDescent="0.2">
      <c r="A22" s="12"/>
      <c r="B22" s="12"/>
      <c r="C22" s="70" t="s">
        <v>10</v>
      </c>
      <c r="D22" s="71"/>
      <c r="E22" s="71"/>
      <c r="F22" s="71"/>
      <c r="G22" s="71"/>
      <c r="H22" s="71"/>
      <c r="I22" s="12"/>
      <c r="J22" s="91" t="s">
        <v>9</v>
      </c>
      <c r="K22" s="92"/>
      <c r="L22" s="90"/>
      <c r="M22" s="90"/>
      <c r="N22" s="90"/>
      <c r="O22" s="90"/>
      <c r="P22" s="12"/>
      <c r="R22" s="12"/>
      <c r="S22" s="19" t="s">
        <v>5</v>
      </c>
      <c r="T22" s="7">
        <f t="shared" si="0"/>
        <v>57.180758835920102</v>
      </c>
      <c r="U22" s="61">
        <f t="shared" si="1"/>
        <v>0.81164630175820818</v>
      </c>
      <c r="V22" s="42">
        <f t="shared" si="3"/>
        <v>1.2364285714285712</v>
      </c>
      <c r="W22" s="32">
        <f t="shared" si="2"/>
        <v>12.226758835920108</v>
      </c>
      <c r="Y22" s="12"/>
      <c r="Z22" s="19" t="s">
        <v>5</v>
      </c>
      <c r="AA22" s="30">
        <f>INDEX($K$18:$O$28,MATCH($Z22,$J$18:$J$28,0),MATCH(AA$10,$K$16:$O$16,0))*(INDEX('Company-level data'!$K$29:$O$39,MATCH($Z22,'Company-level data'!$J$29:$J$39,0),MATCH(AA$10,'Company-level data'!$K$27:$O$27,0)))</f>
        <v>44.953999999999994</v>
      </c>
    </row>
    <row r="23" spans="1:27" x14ac:dyDescent="0.2">
      <c r="A23" s="12"/>
      <c r="B23" s="12"/>
      <c r="C23" s="70" t="s">
        <v>8</v>
      </c>
      <c r="D23" s="71"/>
      <c r="E23" s="71"/>
      <c r="F23" s="71"/>
      <c r="G23" s="71"/>
      <c r="H23" s="71"/>
      <c r="I23" s="12"/>
      <c r="J23" s="83" t="s">
        <v>1</v>
      </c>
      <c r="K23" s="136">
        <v>10.5</v>
      </c>
      <c r="L23" s="90">
        <f t="shared" ref="L23:N28" si="4">($O23-$K23)/($O$16-$K$16)+K23</f>
        <v>10.5</v>
      </c>
      <c r="M23" s="90">
        <f t="shared" si="4"/>
        <v>10.5</v>
      </c>
      <c r="N23" s="90">
        <f t="shared" si="4"/>
        <v>10.5</v>
      </c>
      <c r="O23" s="136">
        <v>10.5</v>
      </c>
      <c r="P23" s="12"/>
      <c r="R23" s="12"/>
      <c r="S23" s="20" t="s">
        <v>6</v>
      </c>
      <c r="T23" s="15">
        <f t="shared" si="0"/>
        <v>7.5460013612320251</v>
      </c>
      <c r="U23" s="62">
        <f t="shared" si="1"/>
        <v>0.4834784440892354</v>
      </c>
      <c r="V23" s="26">
        <f t="shared" si="3"/>
        <v>1.2364285714285712</v>
      </c>
      <c r="W23" s="33">
        <f t="shared" si="2"/>
        <v>2.5769267257945261</v>
      </c>
      <c r="Y23" s="12"/>
      <c r="Z23" s="20" t="s">
        <v>6</v>
      </c>
      <c r="AA23" s="31">
        <f>INDEX($K$18:$O$28,MATCH($Z23,$J$18:$J$28,0),MATCH(AA$10,$K$16:$O$16,0))*(INDEX('Company-level data'!$K$29:$O$39,MATCH($Z23,'Company-level data'!$J$29:$J$39,0),MATCH(AA$10,'Company-level data'!$K$27:$O$27,0)))</f>
        <v>4.9690746354374991</v>
      </c>
    </row>
    <row r="24" spans="1:27" x14ac:dyDescent="0.2">
      <c r="A24" s="12"/>
      <c r="B24" s="12"/>
      <c r="C24" s="70" t="s">
        <v>9</v>
      </c>
      <c r="D24" s="71"/>
      <c r="E24" s="71"/>
      <c r="F24" s="71"/>
      <c r="G24" s="71"/>
      <c r="H24" s="71"/>
      <c r="I24" s="12"/>
      <c r="J24" s="83" t="s">
        <v>2</v>
      </c>
      <c r="K24" s="136">
        <v>7</v>
      </c>
      <c r="L24" s="90">
        <f t="shared" si="4"/>
        <v>7</v>
      </c>
      <c r="M24" s="90">
        <f t="shared" si="4"/>
        <v>7</v>
      </c>
      <c r="N24" s="90">
        <f t="shared" si="4"/>
        <v>7</v>
      </c>
      <c r="O24" s="136">
        <v>7</v>
      </c>
      <c r="P24" s="12"/>
      <c r="R24" s="12"/>
      <c r="S24" s="23" t="s">
        <v>109</v>
      </c>
      <c r="T24" s="40">
        <f>INDEX($K$16:$O$17,MATCH($S$24,$J$16:$J$17,0),MATCH(T$10,$K$16:$O$16,0))</f>
        <v>10.623691064076816</v>
      </c>
      <c r="U24" s="55"/>
      <c r="V24" s="55"/>
      <c r="X24" s="12"/>
      <c r="Y24" s="12"/>
      <c r="Z24" s="23" t="s">
        <v>111</v>
      </c>
      <c r="AA24" s="40">
        <f>SUM(AA18:AA23,AA13)/(HLOOKUP($AA$10,'Company-level data'!$K27:$O28,2,FALSE))</f>
        <v>8.2148572514163138</v>
      </c>
    </row>
    <row r="25" spans="1:27" x14ac:dyDescent="0.2">
      <c r="A25" s="12"/>
      <c r="B25" s="12"/>
      <c r="C25" s="68" t="s">
        <v>1</v>
      </c>
      <c r="D25" s="69">
        <f>D26+D27</f>
        <v>0</v>
      </c>
      <c r="E25" s="69">
        <f>E26+E27</f>
        <v>0</v>
      </c>
      <c r="F25" s="69">
        <f>F26+F27</f>
        <v>1</v>
      </c>
      <c r="G25" s="69">
        <f>G26+G27</f>
        <v>2</v>
      </c>
      <c r="H25" s="69">
        <f>H26+H27</f>
        <v>3</v>
      </c>
      <c r="I25" s="12"/>
      <c r="J25" s="83" t="s">
        <v>3</v>
      </c>
      <c r="K25" s="136">
        <v>8</v>
      </c>
      <c r="L25" s="90">
        <f t="shared" si="4"/>
        <v>8</v>
      </c>
      <c r="M25" s="90">
        <f t="shared" si="4"/>
        <v>8</v>
      </c>
      <c r="N25" s="90">
        <f t="shared" si="4"/>
        <v>8</v>
      </c>
      <c r="O25" s="136">
        <v>8</v>
      </c>
      <c r="P25" s="12"/>
      <c r="R25" s="12"/>
      <c r="S25" s="23" t="s">
        <v>28</v>
      </c>
      <c r="T25" s="23" t="b">
        <f>(T24*(HLOOKUP(T$10,$T$28:$X$29,2,FALSE)))=T11</f>
        <v>1</v>
      </c>
      <c r="U25" s="23" t="b">
        <f>SUM(U18:U23,U13)=U11</f>
        <v>1</v>
      </c>
      <c r="V25" s="23" t="b">
        <f>SUM(V18:V23,V13)=V11</f>
        <v>1</v>
      </c>
      <c r="W25" s="36"/>
      <c r="X25" s="12"/>
      <c r="Y25" s="12"/>
      <c r="Z25" s="23" t="s">
        <v>112</v>
      </c>
      <c r="AA25" s="40">
        <f>SUM(AA18:AA23)/(HLOOKUP($AA$10,'Company-level data'!$K$27:$O$28,2,FALSE)-INDEX('Company-level data'!$K$29:$O$39,MATCH("Hybrid",'Company-level data'!$J$29:$J$39,0),MATCH($AA$10,'Company-level data'!$K$27:$O$27,0)))</f>
        <v>8.8661747388131662</v>
      </c>
    </row>
    <row r="26" spans="1:27" x14ac:dyDescent="0.2">
      <c r="A26" s="12"/>
      <c r="B26" s="12"/>
      <c r="C26" s="72" t="s">
        <v>17</v>
      </c>
      <c r="D26" s="73">
        <f>D11</f>
        <v>0</v>
      </c>
      <c r="E26" s="73">
        <f>E11</f>
        <v>0</v>
      </c>
      <c r="F26" s="73">
        <f>F11</f>
        <v>1</v>
      </c>
      <c r="G26" s="73">
        <f>G11</f>
        <v>2</v>
      </c>
      <c r="H26" s="73">
        <f>H11</f>
        <v>3</v>
      </c>
      <c r="I26" s="12"/>
      <c r="J26" s="83" t="s">
        <v>4</v>
      </c>
      <c r="K26" s="136">
        <v>8.5</v>
      </c>
      <c r="L26" s="90">
        <f t="shared" si="4"/>
        <v>8.5</v>
      </c>
      <c r="M26" s="90">
        <f t="shared" si="4"/>
        <v>8.5</v>
      </c>
      <c r="N26" s="90">
        <f t="shared" si="4"/>
        <v>8.5</v>
      </c>
      <c r="O26" s="136">
        <v>8.5</v>
      </c>
      <c r="P26" s="12"/>
      <c r="R26" s="12"/>
      <c r="S26" s="23"/>
      <c r="T26" s="24"/>
      <c r="U26" s="24"/>
      <c r="V26" s="24"/>
      <c r="W26" s="24"/>
      <c r="X26" s="24"/>
      <c r="Y26" s="12"/>
      <c r="Z26" s="23" t="s">
        <v>114</v>
      </c>
    </row>
    <row r="27" spans="1:27" x14ac:dyDescent="0.2">
      <c r="A27" s="12"/>
      <c r="B27" s="12"/>
      <c r="C27" s="72" t="s">
        <v>18</v>
      </c>
      <c r="D27" s="73">
        <f>INDEX('Company-level data'!$R$13:$V$23,MATCH($C25,'Company-level data'!$Q$13:$Q$23,0),MATCH(D$18,'Company-level data'!$R$11:$V$11,0))*HLOOKUP('Case B - 50-50'!D$18,'Center cost &amp; synergy worksheet'!$D$59:$H$64,6,FALSE)/HLOOKUP(D$18,'Company-level data'!$R$11:$V$12,2,FALSE)+INDEX('Center cost &amp; synergy worksheet'!$D$67:$H$77,MATCH('Case B - 50-50'!$C25,'Center cost &amp; synergy worksheet'!$C$67:$C$77,0),MATCH('Case B - 50-50'!D$18,'Center cost &amp; synergy worksheet'!$D$66:$H$66,0))</f>
        <v>0</v>
      </c>
      <c r="E27" s="73">
        <f>INDEX('Company-level data'!$R$13:$V$23,MATCH($C25,'Company-level data'!$Q$13:$Q$23,0),MATCH(E$18,'Company-level data'!$R$11:$V$11,0))*HLOOKUP('Case B - 50-50'!E$18,'Center cost &amp; synergy worksheet'!$D$59:$H$64,6,FALSE)/HLOOKUP(E$18,'Company-level data'!$R$11:$V$12,2,FALSE)+INDEX('Center cost &amp; synergy worksheet'!$D$67:$H$77,MATCH('Case B - 50-50'!$C25,'Center cost &amp; synergy worksheet'!$C$67:$C$77,0),MATCH('Case B - 50-50'!E$18,'Center cost &amp; synergy worksheet'!$D$66:$H$66,0))</f>
        <v>0</v>
      </c>
      <c r="F27" s="73">
        <f>INDEX('Company-level data'!$R$13:$V$23,MATCH($C25,'Company-level data'!$Q$13:$Q$23,0),MATCH(F$18,'Company-level data'!$R$11:$V$11,0))*HLOOKUP('Case B - 50-50'!F$18,'Center cost &amp; synergy worksheet'!$D$59:$H$64,6,FALSE)/HLOOKUP(F$18,'Company-level data'!$R$11:$V$12,2,FALSE)+INDEX('Center cost &amp; synergy worksheet'!$D$67:$H$77,MATCH('Case B - 50-50'!$C25,'Center cost &amp; synergy worksheet'!$C$67:$C$77,0),MATCH('Case B - 50-50'!F$18,'Center cost &amp; synergy worksheet'!$D$66:$H$66,0))</f>
        <v>0</v>
      </c>
      <c r="G27" s="73">
        <f>INDEX('Company-level data'!$R$13:$V$23,MATCH($C25,'Company-level data'!$Q$13:$Q$23,0),MATCH(G$18,'Company-level data'!$R$11:$V$11,0))*HLOOKUP('Case B - 50-50'!G$18,'Center cost &amp; synergy worksheet'!$D$59:$H$64,6,FALSE)/HLOOKUP(G$18,'Company-level data'!$R$11:$V$12,2,FALSE)+INDEX('Center cost &amp; synergy worksheet'!$D$67:$H$77,MATCH('Case B - 50-50'!$C25,'Center cost &amp; synergy worksheet'!$C$67:$C$77,0),MATCH('Case B - 50-50'!G$18,'Center cost &amp; synergy worksheet'!$D$66:$H$66,0))</f>
        <v>0</v>
      </c>
      <c r="H27" s="73">
        <f>INDEX('Company-level data'!$R$13:$V$23,MATCH($C25,'Company-level data'!$Q$13:$Q$23,0),MATCH(H$18,'Company-level data'!$R$11:$V$11,0))*HLOOKUP('Case B - 50-50'!H$18,'Center cost &amp; synergy worksheet'!$D$59:$H$64,6,FALSE)/HLOOKUP(H$18,'Company-level data'!$R$11:$V$12,2,FALSE)+INDEX('Center cost &amp; synergy worksheet'!$D$67:$H$77,MATCH('Case B - 50-50'!$C25,'Center cost &amp; synergy worksheet'!$C$67:$C$77,0),MATCH('Case B - 50-50'!H$18,'Center cost &amp; synergy worksheet'!$D$66:$H$66,0))</f>
        <v>0</v>
      </c>
      <c r="I27" s="12"/>
      <c r="J27" s="83" t="s">
        <v>5</v>
      </c>
      <c r="K27" s="136">
        <v>6.75</v>
      </c>
      <c r="L27" s="90">
        <f t="shared" si="4"/>
        <v>6.6875</v>
      </c>
      <c r="M27" s="90">
        <f t="shared" si="4"/>
        <v>6.625</v>
      </c>
      <c r="N27" s="90">
        <f t="shared" si="4"/>
        <v>6.5625</v>
      </c>
      <c r="O27" s="136">
        <v>6.5</v>
      </c>
      <c r="P27" s="12"/>
      <c r="R27" s="12"/>
      <c r="S27" s="24"/>
      <c r="T27" s="24"/>
      <c r="U27" s="24"/>
      <c r="V27" s="24"/>
      <c r="W27" s="24"/>
      <c r="X27" s="24"/>
      <c r="Y27" s="12"/>
      <c r="Z27" s="12"/>
    </row>
    <row r="28" spans="1:27" ht="13.5" thickBot="1" x14ac:dyDescent="0.25">
      <c r="A28" s="12"/>
      <c r="B28" s="12"/>
      <c r="C28" s="74" t="s">
        <v>2</v>
      </c>
      <c r="D28" s="75">
        <f>D29+D30</f>
        <v>0</v>
      </c>
      <c r="E28" s="75">
        <f>E29+E30</f>
        <v>0.46635626429983862</v>
      </c>
      <c r="F28" s="75">
        <f>F29+F30</f>
        <v>2.6706880309733925</v>
      </c>
      <c r="G28" s="75">
        <f>G29+G30</f>
        <v>2.94614025661628</v>
      </c>
      <c r="H28" s="75">
        <f>H29+H30</f>
        <v>2.7925650350766151</v>
      </c>
      <c r="I28" s="12"/>
      <c r="J28" s="93" t="s">
        <v>6</v>
      </c>
      <c r="K28" s="142">
        <v>8.5</v>
      </c>
      <c r="L28" s="94">
        <f t="shared" si="4"/>
        <v>8.125</v>
      </c>
      <c r="M28" s="94">
        <f t="shared" si="4"/>
        <v>7.75</v>
      </c>
      <c r="N28" s="94">
        <f t="shared" si="4"/>
        <v>7.375</v>
      </c>
      <c r="O28" s="142">
        <v>7</v>
      </c>
      <c r="P28" s="12"/>
      <c r="R28" s="12"/>
      <c r="S28" s="10" t="s">
        <v>85</v>
      </c>
      <c r="T28" s="10">
        <v>2015</v>
      </c>
      <c r="U28" s="10">
        <v>2016</v>
      </c>
      <c r="V28" s="10">
        <v>2017</v>
      </c>
      <c r="W28" s="10">
        <v>2018</v>
      </c>
      <c r="X28" s="10">
        <v>2019</v>
      </c>
      <c r="Y28" s="12"/>
      <c r="Z28" s="12"/>
    </row>
    <row r="29" spans="1:27" ht="13.5" thickBot="1" x14ac:dyDescent="0.25">
      <c r="A29" s="12"/>
      <c r="B29" s="12"/>
      <c r="C29" s="72" t="s">
        <v>17</v>
      </c>
      <c r="D29" s="73">
        <f>D$12*INDEX('Company-level data'!$R$19:$V$23,MATCH($C28,'Company-level data'!$Q$19:$Q$23,0),MATCH(D$18,'Company-level data'!$R$11:$V$11,0))/SUM('Company-level data'!R$19:R$23)</f>
        <v>0</v>
      </c>
      <c r="E29" s="73">
        <f>E$12*INDEX('Company-level data'!$R$19:$V$23,MATCH($C28,'Company-level data'!$Q$19:$Q$23,0),MATCH(E$18,'Company-level data'!$R$11:$V$11,0))/SUM('Company-level data'!S$19:S$23)</f>
        <v>0.46635626429983862</v>
      </c>
      <c r="F29" s="73">
        <f>F$12*INDEX('Company-level data'!$R$19:$V$23,MATCH($C28,'Company-level data'!$Q$19:$Q$23,0),MATCH(F$18,'Company-level data'!$R$11:$V$11,0))/SUM('Company-level data'!T$19:T$23)</f>
        <v>2.6706880309733925</v>
      </c>
      <c r="G29" s="73">
        <f>G$12*INDEX('Company-level data'!$R$19:$V$23,MATCH($C28,'Company-level data'!$Q$19:$Q$23,0),MATCH(G$18,'Company-level data'!$R$11:$V$11,0))/SUM('Company-level data'!U$19:U$23)</f>
        <v>2.94614025661628</v>
      </c>
      <c r="H29" s="73">
        <f>H$12*INDEX('Company-level data'!$R$19:$V$23,MATCH($C28,'Company-level data'!$Q$19:$Q$23,0),MATCH(H$18,'Company-level data'!$R$11:$V$11,0))/SUM('Company-level data'!V$19:V$23)</f>
        <v>2.7925650350766151</v>
      </c>
      <c r="I29" s="12"/>
      <c r="J29" s="83"/>
      <c r="K29" s="83"/>
      <c r="L29" s="83"/>
      <c r="M29" s="83"/>
      <c r="N29" s="83"/>
      <c r="O29" s="83"/>
      <c r="P29" s="12"/>
      <c r="R29" s="12"/>
      <c r="S29" s="14" t="s">
        <v>23</v>
      </c>
      <c r="T29" s="21">
        <f>T30+T35+T36+T37+T38+T39+T40</f>
        <v>53.299260988748088</v>
      </c>
      <c r="U29" s="21">
        <f>U30+U35+U36+U37+U38+U39+U40</f>
        <v>62.081655485223493</v>
      </c>
      <c r="V29" s="21">
        <f>V30+V35+V36+V37+V38+V39+V40</f>
        <v>75.922755285650069</v>
      </c>
      <c r="W29" s="21">
        <f>W30+W35+W36+W37+W38+W39+W40</f>
        <v>92.428660375000007</v>
      </c>
      <c r="X29" s="197">
        <f>X30+X35+X36+X37+X38+X39+X40</f>
        <v>110.33215839506252</v>
      </c>
      <c r="Y29" s="12"/>
      <c r="Z29" s="12"/>
    </row>
    <row r="30" spans="1:27" ht="14.25" thickTop="1" thickBot="1" x14ac:dyDescent="0.25">
      <c r="A30" s="12"/>
      <c r="B30" s="12"/>
      <c r="C30" s="72" t="s">
        <v>18</v>
      </c>
      <c r="D30" s="73">
        <f>INDEX('Company-level data'!$R$13:$V$23,MATCH($C28,'Company-level data'!$Q$13:$Q$23,0),MATCH(D$18,'Company-level data'!$R$11:$V$11,0))*HLOOKUP('Case B - 50-50'!D$18,'Center cost &amp; synergy worksheet'!$D$59:$H$64,6,FALSE)/HLOOKUP(D$18,'Company-level data'!$R$11:$V$12,2,FALSE)+INDEX('Center cost &amp; synergy worksheet'!$D$67:$H$77,MATCH('Case B - 50-50'!$C28,'Center cost &amp; synergy worksheet'!$C$67:$C$77,0),MATCH('Case B - 50-50'!D$18,'Center cost &amp; synergy worksheet'!$D$66:$H$66,0))</f>
        <v>0</v>
      </c>
      <c r="E30" s="73">
        <f>INDEX('Company-level data'!$R$13:$V$23,MATCH($C28,'Company-level data'!$Q$13:$Q$23,0),MATCH(E$18,'Company-level data'!$R$11:$V$11,0))*HLOOKUP('Case B - 50-50'!E$18,'Center cost &amp; synergy worksheet'!$D$59:$H$64,6,FALSE)/HLOOKUP(E$18,'Company-level data'!$R$11:$V$12,2,FALSE)+INDEX('Center cost &amp; synergy worksheet'!$D$67:$H$77,MATCH('Case B - 50-50'!$C28,'Center cost &amp; synergy worksheet'!$C$67:$C$77,0),MATCH('Case B - 50-50'!E$18,'Center cost &amp; synergy worksheet'!$D$66:$H$66,0))</f>
        <v>0</v>
      </c>
      <c r="F30" s="73">
        <f>INDEX('Company-level data'!$R$13:$V$23,MATCH($C28,'Company-level data'!$Q$13:$Q$23,0),MATCH(F$18,'Company-level data'!$R$11:$V$11,0))*HLOOKUP('Case B - 50-50'!F$18,'Center cost &amp; synergy worksheet'!$D$59:$H$64,6,FALSE)/HLOOKUP(F$18,'Company-level data'!$R$11:$V$12,2,FALSE)+INDEX('Center cost &amp; synergy worksheet'!$D$67:$H$77,MATCH('Case B - 50-50'!$C28,'Center cost &amp; synergy worksheet'!$C$67:$C$77,0),MATCH('Case B - 50-50'!F$18,'Center cost &amp; synergy worksheet'!$D$66:$H$66,0))</f>
        <v>0</v>
      </c>
      <c r="G30" s="73">
        <f>INDEX('Company-level data'!$R$13:$V$23,MATCH($C28,'Company-level data'!$Q$13:$Q$23,0),MATCH(G$18,'Company-level data'!$R$11:$V$11,0))*HLOOKUP('Case B - 50-50'!G$18,'Center cost &amp; synergy worksheet'!$D$59:$H$64,6,FALSE)/HLOOKUP(G$18,'Company-level data'!$R$11:$V$12,2,FALSE)+INDEX('Center cost &amp; synergy worksheet'!$D$67:$H$77,MATCH('Case B - 50-50'!$C28,'Center cost &amp; synergy worksheet'!$C$67:$C$77,0),MATCH('Case B - 50-50'!G$18,'Center cost &amp; synergy worksheet'!$D$66:$H$66,0))</f>
        <v>0</v>
      </c>
      <c r="H30" s="73">
        <f>INDEX('Company-level data'!$R$13:$V$23,MATCH($C28,'Company-level data'!$Q$13:$Q$23,0),MATCH(H$18,'Company-level data'!$R$11:$V$11,0))*HLOOKUP('Case B - 50-50'!H$18,'Center cost &amp; synergy worksheet'!$D$59:$H$64,6,FALSE)/HLOOKUP(H$18,'Company-level data'!$R$11:$V$12,2,FALSE)+INDEX('Center cost &amp; synergy worksheet'!$D$67:$H$77,MATCH('Case B - 50-50'!$C28,'Center cost &amp; synergy worksheet'!$C$67:$C$77,0),MATCH('Case B - 50-50'!H$18,'Center cost &amp; synergy worksheet'!$D$66:$H$66,0))</f>
        <v>0</v>
      </c>
      <c r="I30" s="12"/>
      <c r="J30" s="88" t="s">
        <v>98</v>
      </c>
      <c r="K30" s="88">
        <v>2015</v>
      </c>
      <c r="L30" s="88">
        <v>2016</v>
      </c>
      <c r="M30" s="88">
        <v>2017</v>
      </c>
      <c r="N30" s="88">
        <v>2018</v>
      </c>
      <c r="O30" s="88">
        <v>2019</v>
      </c>
      <c r="P30" s="12"/>
      <c r="R30" s="12"/>
      <c r="S30" s="12" t="s">
        <v>0</v>
      </c>
      <c r="T30" s="7">
        <f>INDEX('Company-level data'!$K$28:$O$39,MATCH($S30,'Company-level data'!$J$28:$J$39,0),MATCH(T$28,'Company-level data'!$K$27:$O$27,0))+INDEX($D$20:$H$42,MATCH($S30,$C$20:$C$42,0),MATCH(T$28,$D$18:$H$18,0))-INDEX($K$47:$O$57,MATCH($S30,$J$47:$J$57,0),MATCH(T$28,$D$51:$H$51,0))*INDEX($D$52:$H$54,MATCH("center - baseline",$C$52:$C$54,0),MATCH(T$28,$D$51:$H$51,0))</f>
        <v>24.078916485398864</v>
      </c>
      <c r="U30" s="7">
        <f>INDEX('Company-level data'!$K$28:$O$39,MATCH($S30,'Company-level data'!$J$28:$J$39,0),MATCH(U$28,'Company-level data'!$K$27:$O$27,0))+INDEX($D$20:$H$42,MATCH($S30,$C$20:$C$42,0),MATCH(U$28,$D$18:$H$18,0))-INDEX($K$47:$O$57,MATCH($S30,$J$47:$J$57,0),MATCH(U$28,$D$51:$H$51,0))*INDEX($D$52:$H$54,MATCH("center - baseline",$C$52:$C$54,0),MATCH(U$28,$D$51:$H$51,0))</f>
        <v>26.086607142857144</v>
      </c>
      <c r="V30" s="7">
        <f>INDEX('Company-level data'!$K$28:$O$39,MATCH($S30,'Company-level data'!$J$28:$J$39,0),MATCH(V$28,'Company-level data'!$K$27:$O$27,0))+INDEX($D$20:$H$42,MATCH($S30,$C$20:$C$42,0),MATCH(V$28,$D$18:$H$18,0))-INDEX($K$47:$O$57,MATCH($S30,$J$47:$J$57,0),MATCH(V$28,$D$51:$H$51,0))*INDEX($D$52:$H$54,MATCH("center - baseline",$C$52:$C$54,0),MATCH(V$28,$D$51:$H$51,0))</f>
        <v>26.838571428571427</v>
      </c>
      <c r="W30" s="7">
        <f>INDEX('Company-level data'!$K$28:$O$39,MATCH($S30,'Company-level data'!$J$28:$J$39,0),MATCH(W$28,'Company-level data'!$K$27:$O$27,0))+INDEX($D$20:$H$42,MATCH($S30,$C$20:$C$42,0),MATCH(W$28,$D$18:$H$18,0))-INDEX($K$47:$O$57,MATCH($S30,$J$47:$J$57,0),MATCH(W$28,$D$51:$H$51,0))*INDEX($D$52:$H$54,MATCH("center - baseline",$C$52:$C$54,0),MATCH(W$28,$D$51:$H$51,0))</f>
        <v>27.779642857142857</v>
      </c>
      <c r="X30" s="7">
        <f>INDEX('Company-level data'!$K$28:$O$39,MATCH($S30,'Company-level data'!$J$28:$J$39,0),MATCH(X$28,'Company-level data'!$K$27:$O$27,0))+INDEX($D$20:$H$42,MATCH($S30,$C$20:$C$42,0),MATCH(X$28,$D$18:$H$18,0))-INDEX($K$47:$O$57,MATCH($S30,$J$47:$J$57,0),MATCH(X$28,$D$51:$H$51,0))*INDEX($D$52:$H$54,MATCH("center - baseline",$C$52:$C$54,0),MATCH(X$28,$D$51:$H$51,0))</f>
        <v>28.763571428571428</v>
      </c>
      <c r="Y30" s="12"/>
      <c r="Z30" s="12"/>
    </row>
    <row r="31" spans="1:27" ht="13.5" thickBot="1" x14ac:dyDescent="0.25">
      <c r="A31" s="12"/>
      <c r="B31" s="12"/>
      <c r="C31" s="74" t="s">
        <v>3</v>
      </c>
      <c r="D31" s="75">
        <f>D32+D33</f>
        <v>0</v>
      </c>
      <c r="E31" s="75">
        <f>E32+E33</f>
        <v>0.17640952286351402</v>
      </c>
      <c r="F31" s="75">
        <f>F32+F33</f>
        <v>1.1020871318438361</v>
      </c>
      <c r="G31" s="75">
        <f>G32+G33</f>
        <v>1.3815401719808083</v>
      </c>
      <c r="H31" s="75">
        <f>H32+H33</f>
        <v>1.4880952252092465</v>
      </c>
      <c r="J31" s="89" t="s">
        <v>11</v>
      </c>
      <c r="K31" s="95">
        <f>SUM(K32,K37:K42)</f>
        <v>0.99999999999999989</v>
      </c>
      <c r="L31" s="95">
        <f>SUM(L32,L37:L42)</f>
        <v>1</v>
      </c>
      <c r="M31" s="95">
        <f>SUM(M32,M37:M42)</f>
        <v>1</v>
      </c>
      <c r="N31" s="95">
        <f>SUM(N32,N37:N42)</f>
        <v>1</v>
      </c>
      <c r="O31" s="95">
        <f>SUM(O32,O37:O42)</f>
        <v>1</v>
      </c>
      <c r="P31" s="12"/>
      <c r="R31" s="12"/>
      <c r="S31" s="19" t="s">
        <v>7</v>
      </c>
      <c r="T31" s="7">
        <f>INDEX('Company-level data'!$K$28:$O$39,MATCH($S31,'Company-level data'!$J$28:$J$39,0),MATCH(T$28,'Company-level data'!$K$27:$O$27,0))+INDEX($D$20:$H$42,MATCH($S31,$C$20:$C$42,0),MATCH(T$28,$D$18:$H$18,0))-INDEX($K$47:$O$57,MATCH($S31,$J$47:$J$57,0),MATCH(T$28,$D$51:$H$51,0))*INDEX($D$52:$H$54,MATCH("center - baseline",$C$52:$C$54,0),MATCH(T$28,$D$51:$H$51,0))</f>
        <v>0</v>
      </c>
      <c r="U31" s="7">
        <f>INDEX('Company-level data'!$K$28:$O$39,MATCH($S31,'Company-level data'!$J$28:$J$39,0),MATCH(U$28,'Company-level data'!$K$27:$O$27,0))+INDEX($D$20:$H$42,MATCH($S31,$C$20:$C$42,0),MATCH(U$28,$D$18:$H$18,0))-INDEX($K$47:$O$57,MATCH($S31,$J$47:$J$57,0),MATCH(U$28,$D$51:$H$51,0))*INDEX($D$52:$H$54,MATCH("center - baseline",$C$52:$C$54,0),MATCH(U$28,$D$51:$H$51,0))</f>
        <v>0</v>
      </c>
      <c r="V31" s="7">
        <f>INDEX('Company-level data'!$K$28:$O$39,MATCH($S31,'Company-level data'!$J$28:$J$39,0),MATCH(V$28,'Company-level data'!$K$27:$O$27,0))+INDEX($D$20:$H$42,MATCH($S31,$C$20:$C$42,0),MATCH(V$28,$D$18:$H$18,0))-INDEX($K$47:$O$57,MATCH($S31,$J$47:$J$57,0),MATCH(V$28,$D$51:$H$51,0))*INDEX($D$52:$H$54,MATCH("center - baseline",$C$52:$C$54,0),MATCH(V$28,$D$51:$H$51,0))</f>
        <v>0</v>
      </c>
      <c r="W31" s="7">
        <f>INDEX('Company-level data'!$K$28:$O$39,MATCH($S31,'Company-level data'!$J$28:$J$39,0),MATCH(W$28,'Company-level data'!$K$27:$O$27,0))+INDEX($D$20:$H$42,MATCH($S31,$C$20:$C$42,0),MATCH(W$28,$D$18:$H$18,0))-INDEX($K$47:$O$57,MATCH($S31,$J$47:$J$57,0),MATCH(W$28,$D$51:$H$51,0))*INDEX($D$52:$H$54,MATCH("center - baseline",$C$52:$C$54,0),MATCH(W$28,$D$51:$H$51,0))</f>
        <v>0</v>
      </c>
      <c r="X31" s="7">
        <f>INDEX('Company-level data'!$K$28:$O$39,MATCH($S31,'Company-level data'!$J$28:$J$39,0),MATCH(X$28,'Company-level data'!$K$27:$O$27,0))+INDEX($D$20:$H$42,MATCH($S31,$C$20:$C$42,0),MATCH(X$28,$D$18:$H$18,0))-INDEX($K$47:$O$57,MATCH($S31,$J$47:$J$57,0),MATCH(X$28,$D$51:$H$51,0))*INDEX($D$52:$H$54,MATCH("center - baseline",$C$52:$C$54,0),MATCH(X$28,$D$51:$H$51,0))</f>
        <v>0</v>
      </c>
      <c r="Y31" s="12"/>
      <c r="Z31" s="12"/>
    </row>
    <row r="32" spans="1:27" ht="13.5" thickTop="1" x14ac:dyDescent="0.2">
      <c r="A32" s="12"/>
      <c r="B32" s="12"/>
      <c r="C32" s="72" t="s">
        <v>17</v>
      </c>
      <c r="D32" s="73">
        <f>D$12*INDEX('Company-level data'!$R$19:$V$23,MATCH($C31,'Company-level data'!$Q$19:$Q$23,0),MATCH(D$18,'Company-level data'!$R$11:$V$11,0))/SUM('Company-level data'!R$19:R$23)</f>
        <v>0</v>
      </c>
      <c r="E32" s="73">
        <f>E$12*INDEX('Company-level data'!$R$19:$V$23,MATCH($C31,'Company-level data'!$Q$19:$Q$23,0),MATCH(E$18,'Company-level data'!$R$11:$V$11,0))/SUM('Company-level data'!S$19:S$23)</f>
        <v>0.17640952286351402</v>
      </c>
      <c r="F32" s="73">
        <f>F$12*INDEX('Company-level data'!$R$19:$V$23,MATCH($C31,'Company-level data'!$Q$19:$Q$23,0),MATCH(F$18,'Company-level data'!$R$11:$V$11,0))/SUM('Company-level data'!T$19:T$23)</f>
        <v>1.1020871318438361</v>
      </c>
      <c r="G32" s="73">
        <f>G$12*INDEX('Company-level data'!$R$19:$V$23,MATCH($C31,'Company-level data'!$Q$19:$Q$23,0),MATCH(G$18,'Company-level data'!$R$11:$V$11,0))/SUM('Company-level data'!U$19:U$23)</f>
        <v>1.3815401719808083</v>
      </c>
      <c r="H32" s="73">
        <f>H$12*INDEX('Company-level data'!$R$19:$V$23,MATCH($C31,'Company-level data'!$Q$19:$Q$23,0),MATCH(H$18,'Company-level data'!$R$11:$V$11,0))/SUM('Company-level data'!V$19:V$23)</f>
        <v>1.4880952252092465</v>
      </c>
      <c r="I32" s="12"/>
      <c r="J32" s="83" t="s">
        <v>0</v>
      </c>
      <c r="K32" s="96">
        <f>'Company-level data'!K29*'Case A - Stretch'!K$18/SUM(SUMPRODUCT('Company-level data'!K$34:K$39,'Case A - Stretch'!K$23:K$28),'Company-level data'!K$29*'Case A - Stretch'!K$18)</f>
        <v>0.41098288942341288</v>
      </c>
      <c r="L32" s="96">
        <f>'Company-level data'!L29*'Case A - Stretch'!L$18/SUM(SUMPRODUCT('Company-level data'!L$34:L$39,'Case A - Stretch'!L$23:L$28),'Company-level data'!L$29*'Case A - Stretch'!L$18)</f>
        <v>0.35564744068653914</v>
      </c>
      <c r="M32" s="96">
        <f>'Company-level data'!M29*'Case A - Stretch'!M$18/SUM(SUMPRODUCT('Company-level data'!M$34:M$39,'Case A - Stretch'!M$23:M$28),'Company-level data'!M$29*'Case A - Stretch'!M$18)</f>
        <v>0.31047049776586355</v>
      </c>
      <c r="N32" s="96">
        <f>'Company-level data'!N29*'Case A - Stretch'!N$18/SUM(SUMPRODUCT('Company-level data'!N$34:N$39,'Case A - Stretch'!N$23:N$28),'Company-level data'!N$29*'Case A - Stretch'!N$18)</f>
        <v>0.25536239066067401</v>
      </c>
      <c r="O32" s="96">
        <f>'Company-level data'!O29*'Case A - Stretch'!O$18/SUM(SUMPRODUCT('Company-level data'!O$34:O$39,'Case A - Stretch'!O$23:O$28),'Company-level data'!O$29*'Case A - Stretch'!O$18)</f>
        <v>0.21161119387905164</v>
      </c>
      <c r="P32" s="12"/>
      <c r="R32" s="12"/>
      <c r="S32" s="19" t="s">
        <v>10</v>
      </c>
      <c r="T32" s="7">
        <f>INDEX('Company-level data'!$K$28:$O$39,MATCH($S32,'Company-level data'!$J$28:$J$39,0),MATCH(T$28,'Company-level data'!$K$27:$O$27,0))+INDEX($D$20:$H$42,MATCH($S32,$C$20:$C$42,0),MATCH(T$28,$D$18:$H$18,0))-INDEX($K$47:$O$57,MATCH($S32,$J$47:$J$57,0),MATCH(T$28,$D$51:$H$51,0))*INDEX($D$52:$H$54,MATCH("center - baseline",$C$52:$C$54,0),MATCH(T$28,$D$51:$H$51,0))</f>
        <v>0</v>
      </c>
      <c r="U32" s="7">
        <f>INDEX('Company-level data'!$K$28:$O$39,MATCH($S32,'Company-level data'!$J$28:$J$39,0),MATCH(U$28,'Company-level data'!$K$27:$O$27,0))+INDEX($D$20:$H$42,MATCH($S32,$C$20:$C$42,0),MATCH(U$28,$D$18:$H$18,0))-INDEX($K$47:$O$57,MATCH($S32,$J$47:$J$57,0),MATCH(U$28,$D$51:$H$51,0))*INDEX($D$52:$H$54,MATCH("center - baseline",$C$52:$C$54,0),MATCH(U$28,$D$51:$H$51,0))</f>
        <v>0</v>
      </c>
      <c r="V32" s="7">
        <f>INDEX('Company-level data'!$K$28:$O$39,MATCH($S32,'Company-level data'!$J$28:$J$39,0),MATCH(V$28,'Company-level data'!$K$27:$O$27,0))+INDEX($D$20:$H$42,MATCH($S32,$C$20:$C$42,0),MATCH(V$28,$D$18:$H$18,0))-INDEX($K$47:$O$57,MATCH($S32,$J$47:$J$57,0),MATCH(V$28,$D$51:$H$51,0))*INDEX($D$52:$H$54,MATCH("center - baseline",$C$52:$C$54,0),MATCH(V$28,$D$51:$H$51,0))</f>
        <v>0</v>
      </c>
      <c r="W32" s="7">
        <f>INDEX('Company-level data'!$K$28:$O$39,MATCH($S32,'Company-level data'!$J$28:$J$39,0),MATCH(W$28,'Company-level data'!$K$27:$O$27,0))+INDEX($D$20:$H$42,MATCH($S32,$C$20:$C$42,0),MATCH(W$28,$D$18:$H$18,0))-INDEX($K$47:$O$57,MATCH($S32,$J$47:$J$57,0),MATCH(W$28,$D$51:$H$51,0))*INDEX($D$52:$H$54,MATCH("center - baseline",$C$52:$C$54,0),MATCH(W$28,$D$51:$H$51,0))</f>
        <v>0</v>
      </c>
      <c r="X32" s="7">
        <f>INDEX('Company-level data'!$K$28:$O$39,MATCH($S32,'Company-level data'!$J$28:$J$39,0),MATCH(X$28,'Company-level data'!$K$27:$O$27,0))+INDEX($D$20:$H$42,MATCH($S32,$C$20:$C$42,0),MATCH(X$28,$D$18:$H$18,0))-INDEX($K$47:$O$57,MATCH($S32,$J$47:$J$57,0),MATCH(X$28,$D$51:$H$51,0))*INDEX($D$52:$H$54,MATCH("center - baseline",$C$52:$C$54,0),MATCH(X$28,$D$51:$H$51,0))</f>
        <v>0</v>
      </c>
      <c r="Y32" s="12"/>
      <c r="Z32" s="12"/>
    </row>
    <row r="33" spans="1:33" x14ac:dyDescent="0.2">
      <c r="A33" s="12"/>
      <c r="B33" s="12"/>
      <c r="C33" s="72" t="s">
        <v>18</v>
      </c>
      <c r="D33" s="73">
        <f>INDEX('Company-level data'!$R$13:$V$23,MATCH($C31,'Company-level data'!$Q$13:$Q$23,0),MATCH(D$18,'Company-level data'!$R$11:$V$11,0))*HLOOKUP('Case B - 50-50'!D$18,'Center cost &amp; synergy worksheet'!$D$59:$H$64,6,FALSE)/HLOOKUP(D$18,'Company-level data'!$R$11:$V$12,2,FALSE)+INDEX('Center cost &amp; synergy worksheet'!$D$67:$H$77,MATCH('Case B - 50-50'!$C31,'Center cost &amp; synergy worksheet'!$C$67:$C$77,0),MATCH('Case B - 50-50'!D$18,'Center cost &amp; synergy worksheet'!$D$66:$H$66,0))</f>
        <v>0</v>
      </c>
      <c r="E33" s="73">
        <f>INDEX('Company-level data'!$R$13:$V$23,MATCH($C31,'Company-level data'!$Q$13:$Q$23,0),MATCH(E$18,'Company-level data'!$R$11:$V$11,0))*HLOOKUP('Case B - 50-50'!E$18,'Center cost &amp; synergy worksheet'!$D$59:$H$64,6,FALSE)/HLOOKUP(E$18,'Company-level data'!$R$11:$V$12,2,FALSE)+INDEX('Center cost &amp; synergy worksheet'!$D$67:$H$77,MATCH('Case B - 50-50'!$C31,'Center cost &amp; synergy worksheet'!$C$67:$C$77,0),MATCH('Case B - 50-50'!E$18,'Center cost &amp; synergy worksheet'!$D$66:$H$66,0))</f>
        <v>0</v>
      </c>
      <c r="F33" s="73">
        <f>INDEX('Company-level data'!$R$13:$V$23,MATCH($C31,'Company-level data'!$Q$13:$Q$23,0),MATCH(F$18,'Company-level data'!$R$11:$V$11,0))*HLOOKUP('Case B - 50-50'!F$18,'Center cost &amp; synergy worksheet'!$D$59:$H$64,6,FALSE)/HLOOKUP(F$18,'Company-level data'!$R$11:$V$12,2,FALSE)+INDEX('Center cost &amp; synergy worksheet'!$D$67:$H$77,MATCH('Case B - 50-50'!$C31,'Center cost &amp; synergy worksheet'!$C$67:$C$77,0),MATCH('Case B - 50-50'!F$18,'Center cost &amp; synergy worksheet'!$D$66:$H$66,0))</f>
        <v>0</v>
      </c>
      <c r="G33" s="73">
        <f>INDEX('Company-level data'!$R$13:$V$23,MATCH($C31,'Company-level data'!$Q$13:$Q$23,0),MATCH(G$18,'Company-level data'!$R$11:$V$11,0))*HLOOKUP('Case B - 50-50'!G$18,'Center cost &amp; synergy worksheet'!$D$59:$H$64,6,FALSE)/HLOOKUP(G$18,'Company-level data'!$R$11:$V$12,2,FALSE)+INDEX('Center cost &amp; synergy worksheet'!$D$67:$H$77,MATCH('Case B - 50-50'!$C31,'Center cost &amp; synergy worksheet'!$C$67:$C$77,0),MATCH('Case B - 50-50'!G$18,'Center cost &amp; synergy worksheet'!$D$66:$H$66,0))</f>
        <v>0</v>
      </c>
      <c r="H33" s="73">
        <f>INDEX('Company-level data'!$R$13:$V$23,MATCH($C31,'Company-level data'!$Q$13:$Q$23,0),MATCH(H$18,'Company-level data'!$R$11:$V$11,0))*HLOOKUP('Case B - 50-50'!H$18,'Center cost &amp; synergy worksheet'!$D$59:$H$64,6,FALSE)/HLOOKUP(H$18,'Company-level data'!$R$11:$V$12,2,FALSE)+INDEX('Center cost &amp; synergy worksheet'!$D$67:$H$77,MATCH('Case B - 50-50'!$C31,'Center cost &amp; synergy worksheet'!$C$67:$C$77,0),MATCH('Case B - 50-50'!H$18,'Center cost &amp; synergy worksheet'!$D$66:$H$66,0))</f>
        <v>0</v>
      </c>
      <c r="I33" s="12"/>
      <c r="J33" s="91" t="s">
        <v>7</v>
      </c>
      <c r="K33" s="97"/>
      <c r="L33" s="97"/>
      <c r="M33" s="97"/>
      <c r="N33" s="97"/>
      <c r="O33" s="97"/>
      <c r="P33" s="12"/>
      <c r="R33" s="12"/>
      <c r="S33" s="19" t="s">
        <v>8</v>
      </c>
      <c r="T33" s="7">
        <f>INDEX('Company-level data'!$K$28:$O$39,MATCH($S33,'Company-level data'!$J$28:$J$39,0),MATCH(T$28,'Company-level data'!$K$27:$O$27,0))+INDEX($D$20:$H$42,MATCH($S33,$C$20:$C$42,0),MATCH(T$28,$D$18:$H$18,0))-INDEX($K$47:$O$57,MATCH($S33,$J$47:$J$57,0),MATCH(T$28,$D$51:$H$51,0))*INDEX($D$52:$H$54,MATCH("center - baseline",$C$52:$C$54,0),MATCH(T$28,$D$51:$H$51,0))</f>
        <v>0</v>
      </c>
      <c r="U33" s="7">
        <f>INDEX('Company-level data'!$K$28:$O$39,MATCH($S33,'Company-level data'!$J$28:$J$39,0),MATCH(U$28,'Company-level data'!$K$27:$O$27,0))+INDEX($D$20:$H$42,MATCH($S33,$C$20:$C$42,0),MATCH(U$28,$D$18:$H$18,0))-INDEX($K$47:$O$57,MATCH($S33,$J$47:$J$57,0),MATCH(U$28,$D$51:$H$51,0))*INDEX($D$52:$H$54,MATCH("center - baseline",$C$52:$C$54,0),MATCH(U$28,$D$51:$H$51,0))</f>
        <v>0</v>
      </c>
      <c r="V33" s="7">
        <f>INDEX('Company-level data'!$K$28:$O$39,MATCH($S33,'Company-level data'!$J$28:$J$39,0),MATCH(V$28,'Company-level data'!$K$27:$O$27,0))+INDEX($D$20:$H$42,MATCH($S33,$C$20:$C$42,0),MATCH(V$28,$D$18:$H$18,0))-INDEX($K$47:$O$57,MATCH($S33,$J$47:$J$57,0),MATCH(V$28,$D$51:$H$51,0))*INDEX($D$52:$H$54,MATCH("center - baseline",$C$52:$C$54,0),MATCH(V$28,$D$51:$H$51,0))</f>
        <v>0</v>
      </c>
      <c r="W33" s="7">
        <f>INDEX('Company-level data'!$K$28:$O$39,MATCH($S33,'Company-level data'!$J$28:$J$39,0),MATCH(W$28,'Company-level data'!$K$27:$O$27,0))+INDEX($D$20:$H$42,MATCH($S33,$C$20:$C$42,0),MATCH(W$28,$D$18:$H$18,0))-INDEX($K$47:$O$57,MATCH($S33,$J$47:$J$57,0),MATCH(W$28,$D$51:$H$51,0))*INDEX($D$52:$H$54,MATCH("center - baseline",$C$52:$C$54,0),MATCH(W$28,$D$51:$H$51,0))</f>
        <v>0</v>
      </c>
      <c r="X33" s="7">
        <f>INDEX('Company-level data'!$K$28:$O$39,MATCH($S33,'Company-level data'!$J$28:$J$39,0),MATCH(X$28,'Company-level data'!$K$27:$O$27,0))+INDEX($D$20:$H$42,MATCH($S33,$C$20:$C$42,0),MATCH(X$28,$D$18:$H$18,0))-INDEX($K$47:$O$57,MATCH($S33,$J$47:$J$57,0),MATCH(X$28,$D$51:$H$51,0))*INDEX($D$52:$H$54,MATCH("center - baseline",$C$52:$C$54,0),MATCH(X$28,$D$51:$H$51,0))</f>
        <v>0</v>
      </c>
      <c r="Y33" s="12"/>
      <c r="Z33" s="12"/>
    </row>
    <row r="34" spans="1:33" x14ac:dyDescent="0.2">
      <c r="A34" s="12"/>
      <c r="B34" s="12"/>
      <c r="C34" s="74" t="s">
        <v>4</v>
      </c>
      <c r="D34" s="75">
        <f>D35+D36</f>
        <v>0</v>
      </c>
      <c r="E34" s="75">
        <f>E35+E36</f>
        <v>0.16138802232411556</v>
      </c>
      <c r="F34" s="75">
        <f>F35+F36</f>
        <v>1.0987263219179695</v>
      </c>
      <c r="G34" s="75">
        <f>G35+G36</f>
        <v>1.3773271712217769</v>
      </c>
      <c r="H34" s="75">
        <f>H35+H36</f>
        <v>1.4242149938666959</v>
      </c>
      <c r="I34" s="12"/>
      <c r="J34" s="91" t="s">
        <v>10</v>
      </c>
      <c r="K34" s="97"/>
      <c r="L34" s="97"/>
      <c r="M34" s="97"/>
      <c r="N34" s="97"/>
      <c r="O34" s="97"/>
      <c r="P34" s="12"/>
      <c r="R34" s="12"/>
      <c r="S34" s="19" t="s">
        <v>9</v>
      </c>
      <c r="T34" s="7">
        <f>INDEX('Company-level data'!$K$28:$O$39,MATCH($S34,'Company-level data'!$J$28:$J$39,0),MATCH(T$28,'Company-level data'!$K$27:$O$27,0))+INDEX($D$20:$H$42,MATCH($S34,$C$20:$C$42,0),MATCH(T$28,$D$18:$H$18,0))-INDEX($K$47:$O$57,MATCH($S34,$J$47:$J$57,0),MATCH(T$28,$D$51:$H$51,0))*INDEX($D$52:$H$54,MATCH("center - baseline",$C$52:$C$54,0),MATCH(T$28,$D$51:$H$51,0))</f>
        <v>0</v>
      </c>
      <c r="U34" s="7">
        <f>INDEX('Company-level data'!$K$28:$O$39,MATCH($S34,'Company-level data'!$J$28:$J$39,0),MATCH(U$28,'Company-level data'!$K$27:$O$27,0))+INDEX($D$20:$H$42,MATCH($S34,$C$20:$C$42,0),MATCH(U$28,$D$18:$H$18,0))-INDEX($K$47:$O$57,MATCH($S34,$J$47:$J$57,0),MATCH(U$28,$D$51:$H$51,0))*INDEX($D$52:$H$54,MATCH("center - baseline",$C$52:$C$54,0),MATCH(U$28,$D$51:$H$51,0))</f>
        <v>0</v>
      </c>
      <c r="V34" s="7">
        <f>INDEX('Company-level data'!$K$28:$O$39,MATCH($S34,'Company-level data'!$J$28:$J$39,0),MATCH(V$28,'Company-level data'!$K$27:$O$27,0))+INDEX($D$20:$H$42,MATCH($S34,$C$20:$C$42,0),MATCH(V$28,$D$18:$H$18,0))-INDEX($K$47:$O$57,MATCH($S34,$J$47:$J$57,0),MATCH(V$28,$D$51:$H$51,0))*INDEX($D$52:$H$54,MATCH("center - baseline",$C$52:$C$54,0),MATCH(V$28,$D$51:$H$51,0))</f>
        <v>0</v>
      </c>
      <c r="W34" s="7">
        <f>INDEX('Company-level data'!$K$28:$O$39,MATCH($S34,'Company-level data'!$J$28:$J$39,0),MATCH(W$28,'Company-level data'!$K$27:$O$27,0))+INDEX($D$20:$H$42,MATCH($S34,$C$20:$C$42,0),MATCH(W$28,$D$18:$H$18,0))-INDEX($K$47:$O$57,MATCH($S34,$J$47:$J$57,0),MATCH(W$28,$D$51:$H$51,0))*INDEX($D$52:$H$54,MATCH("center - baseline",$C$52:$C$54,0),MATCH(W$28,$D$51:$H$51,0))</f>
        <v>0</v>
      </c>
      <c r="X34" s="7">
        <f>INDEX('Company-level data'!$K$28:$O$39,MATCH($S34,'Company-level data'!$J$28:$J$39,0),MATCH(X$28,'Company-level data'!$K$27:$O$27,0))+INDEX($D$20:$H$42,MATCH($S34,$C$20:$C$42,0),MATCH(X$28,$D$18:$H$18,0))-INDEX($K$47:$O$57,MATCH($S34,$J$47:$J$57,0),MATCH(X$28,$D$51:$H$51,0))*INDEX($D$52:$H$54,MATCH("center - baseline",$C$52:$C$54,0),MATCH(X$28,$D$51:$H$51,0))</f>
        <v>0</v>
      </c>
      <c r="Y34" s="12"/>
      <c r="Z34" s="12"/>
    </row>
    <row r="35" spans="1:33" x14ac:dyDescent="0.2">
      <c r="A35" s="12"/>
      <c r="B35" s="12"/>
      <c r="C35" s="72" t="s">
        <v>17</v>
      </c>
      <c r="D35" s="73">
        <f>D$12*INDEX('Company-level data'!$R$19:$V$23,MATCH($C34,'Company-level data'!$Q$19:$Q$23,0),MATCH(D$18,'Company-level data'!$R$11:$V$11,0))/SUM('Company-level data'!R$19:R$23)</f>
        <v>0</v>
      </c>
      <c r="E35" s="73">
        <f>E$12*INDEX('Company-level data'!$R$19:$V$23,MATCH($C34,'Company-level data'!$Q$19:$Q$23,0),MATCH(E$18,'Company-level data'!$R$11:$V$11,0))/SUM('Company-level data'!S$19:S$23)</f>
        <v>0.16138802232411556</v>
      </c>
      <c r="F35" s="73">
        <f>F$12*INDEX('Company-level data'!$R$19:$V$23,MATCH($C34,'Company-level data'!$Q$19:$Q$23,0),MATCH(F$18,'Company-level data'!$R$11:$V$11,0))/SUM('Company-level data'!T$19:T$23)</f>
        <v>1.0987263219179695</v>
      </c>
      <c r="G35" s="73">
        <f>G$12*INDEX('Company-level data'!$R$19:$V$23,MATCH($C34,'Company-level data'!$Q$19:$Q$23,0),MATCH(G$18,'Company-level data'!$R$11:$V$11,0))/SUM('Company-level data'!U$19:U$23)</f>
        <v>1.3773271712217769</v>
      </c>
      <c r="H35" s="73">
        <f>H$12*INDEX('Company-level data'!$R$19:$V$23,MATCH($C34,'Company-level data'!$Q$19:$Q$23,0),MATCH(H$18,'Company-level data'!$R$11:$V$11,0))/SUM('Company-level data'!V$19:V$23)</f>
        <v>1.4242149938666959</v>
      </c>
      <c r="I35" s="12"/>
      <c r="J35" s="91" t="s">
        <v>8</v>
      </c>
      <c r="K35" s="97"/>
      <c r="L35" s="97"/>
      <c r="M35" s="97"/>
      <c r="N35" s="97"/>
      <c r="O35" s="97"/>
      <c r="P35" s="12"/>
      <c r="R35" s="12"/>
      <c r="S35" s="12" t="s">
        <v>1</v>
      </c>
      <c r="T35" s="7">
        <f>INDEX('Company-level data'!$K$28:$O$39,MATCH($S35,'Company-level data'!$J$28:$J$39,0),MATCH(T$28,'Company-level data'!$K$27:$O$27,0))+INDEX($D$20:$H$42,MATCH($S35,$C$20:$C$42,0),MATCH(T$28,$D$18:$H$18,0))-INDEX($K$47:$O$57,MATCH($S35,$J$47:$J$57,0),MATCH(T$28,$D$51:$H$51,0))*INDEX($D$52:$H$54,MATCH("center - baseline",$C$52:$C$54,0),MATCH(T$28,$D$51:$H$51,0))</f>
        <v>7.8787468777018148</v>
      </c>
      <c r="U35" s="7">
        <f>INDEX('Company-level data'!$K$28:$O$39,MATCH($S35,'Company-level data'!$J$28:$J$39,0),MATCH(U$28,'Company-level data'!$K$27:$O$27,0))+INDEX($D$20:$H$42,MATCH($S35,$C$20:$C$42,0),MATCH(U$28,$D$18:$H$18,0))-INDEX($K$47:$O$57,MATCH($S35,$J$47:$J$57,0),MATCH(U$28,$D$51:$H$51,0))*INDEX($D$52:$H$54,MATCH("center - baseline",$C$52:$C$54,0),MATCH(U$28,$D$51:$H$51,0))</f>
        <v>13.651298628080625</v>
      </c>
      <c r="V35" s="7">
        <f>INDEX('Company-level data'!$K$28:$O$39,MATCH($S35,'Company-level data'!$J$28:$J$39,0),MATCH(V$28,'Company-level data'!$K$27:$O$27,0))+INDEX($D$20:$H$42,MATCH($S35,$C$20:$C$42,0),MATCH(V$28,$D$18:$H$18,0))-INDEX($K$47:$O$57,MATCH($S35,$J$47:$J$57,0),MATCH(V$28,$D$51:$H$51,0))*INDEX($D$52:$H$54,MATCH("center - baseline",$C$52:$C$54,0),MATCH(V$28,$D$51:$H$51,0))</f>
        <v>17.9654699892215</v>
      </c>
      <c r="W35" s="7">
        <f>INDEX('Company-level data'!$K$28:$O$39,MATCH($S35,'Company-level data'!$J$28:$J$39,0),MATCH(W$28,'Company-level data'!$K$27:$O$27,0))+INDEX($D$20:$H$42,MATCH($S35,$C$20:$C$42,0),MATCH(W$28,$D$18:$H$18,0))-INDEX($K$47:$O$57,MATCH($S35,$J$47:$J$57,0),MATCH(W$28,$D$51:$H$51,0))*INDEX($D$52:$H$54,MATCH("center - baseline",$C$52:$C$54,0),MATCH(W$28,$D$51:$H$51,0))</f>
        <v>26.779642857142857</v>
      </c>
      <c r="X35" s="7">
        <f>INDEX('Company-level data'!$K$28:$O$39,MATCH($S35,'Company-level data'!$J$28:$J$39,0),MATCH(X$28,'Company-level data'!$K$27:$O$27,0))+INDEX($D$20:$H$42,MATCH($S35,$C$20:$C$42,0),MATCH(X$28,$D$18:$H$18,0))-INDEX($K$47:$O$57,MATCH($S35,$J$47:$J$57,0),MATCH(X$28,$D$51:$H$51,0))*INDEX($D$52:$H$54,MATCH("center - baseline",$C$52:$C$54,0),MATCH(X$28,$D$51:$H$51,0))</f>
        <v>36.763571428571431</v>
      </c>
      <c r="Y35" s="12"/>
      <c r="Z35" s="12"/>
    </row>
    <row r="36" spans="1:33" x14ac:dyDescent="0.2">
      <c r="A36" s="12"/>
      <c r="B36" s="12"/>
      <c r="C36" s="72" t="s">
        <v>18</v>
      </c>
      <c r="D36" s="73">
        <f>INDEX('Company-level data'!$R$13:$V$23,MATCH($C34,'Company-level data'!$Q$13:$Q$23,0),MATCH(D$18,'Company-level data'!$R$11:$V$11,0))*HLOOKUP('Case B - 50-50'!D$18,'Center cost &amp; synergy worksheet'!$D$59:$H$64,6,FALSE)/HLOOKUP(D$18,'Company-level data'!$R$11:$V$12,2,FALSE)+INDEX('Center cost &amp; synergy worksheet'!$D$67:$H$77,MATCH('Case B - 50-50'!$C34,'Center cost &amp; synergy worksheet'!$C$67:$C$77,0),MATCH('Case B - 50-50'!D$18,'Center cost &amp; synergy worksheet'!$D$66:$H$66,0))</f>
        <v>0</v>
      </c>
      <c r="E36" s="73">
        <f>INDEX('Company-level data'!$R$13:$V$23,MATCH($C34,'Company-level data'!$Q$13:$Q$23,0),MATCH(E$18,'Company-level data'!$R$11:$V$11,0))*HLOOKUP('Case B - 50-50'!E$18,'Center cost &amp; synergy worksheet'!$D$59:$H$64,6,FALSE)/HLOOKUP(E$18,'Company-level data'!$R$11:$V$12,2,FALSE)+INDEX('Center cost &amp; synergy worksheet'!$D$67:$H$77,MATCH('Case B - 50-50'!$C34,'Center cost &amp; synergy worksheet'!$C$67:$C$77,0),MATCH('Case B - 50-50'!E$18,'Center cost &amp; synergy worksheet'!$D$66:$H$66,0))</f>
        <v>0</v>
      </c>
      <c r="F36" s="73">
        <f>INDEX('Company-level data'!$R$13:$V$23,MATCH($C34,'Company-level data'!$Q$13:$Q$23,0),MATCH(F$18,'Company-level data'!$R$11:$V$11,0))*HLOOKUP('Case B - 50-50'!F$18,'Center cost &amp; synergy worksheet'!$D$59:$H$64,6,FALSE)/HLOOKUP(F$18,'Company-level data'!$R$11:$V$12,2,FALSE)+INDEX('Center cost &amp; synergy worksheet'!$D$67:$H$77,MATCH('Case B - 50-50'!$C34,'Center cost &amp; synergy worksheet'!$C$67:$C$77,0),MATCH('Case B - 50-50'!F$18,'Center cost &amp; synergy worksheet'!$D$66:$H$66,0))</f>
        <v>0</v>
      </c>
      <c r="G36" s="73">
        <f>INDEX('Company-level data'!$R$13:$V$23,MATCH($C34,'Company-level data'!$Q$13:$Q$23,0),MATCH(G$18,'Company-level data'!$R$11:$V$11,0))*HLOOKUP('Case B - 50-50'!G$18,'Center cost &amp; synergy worksheet'!$D$59:$H$64,6,FALSE)/HLOOKUP(G$18,'Company-level data'!$R$11:$V$12,2,FALSE)+INDEX('Center cost &amp; synergy worksheet'!$D$67:$H$77,MATCH('Case B - 50-50'!$C34,'Center cost &amp; synergy worksheet'!$C$67:$C$77,0),MATCH('Case B - 50-50'!G$18,'Center cost &amp; synergy worksheet'!$D$66:$H$66,0))</f>
        <v>0</v>
      </c>
      <c r="H36" s="73">
        <f>INDEX('Company-level data'!$R$13:$V$23,MATCH($C34,'Company-level data'!$Q$13:$Q$23,0),MATCH(H$18,'Company-level data'!$R$11:$V$11,0))*HLOOKUP('Case B - 50-50'!H$18,'Center cost &amp; synergy worksheet'!$D$59:$H$64,6,FALSE)/HLOOKUP(H$18,'Company-level data'!$R$11:$V$12,2,FALSE)+INDEX('Center cost &amp; synergy worksheet'!$D$67:$H$77,MATCH('Case B - 50-50'!$C34,'Center cost &amp; synergy worksheet'!$C$67:$C$77,0),MATCH('Case B - 50-50'!H$18,'Center cost &amp; synergy worksheet'!$D$66:$H$66,0))</f>
        <v>0</v>
      </c>
      <c r="I36" s="12"/>
      <c r="J36" s="91" t="s">
        <v>9</v>
      </c>
      <c r="K36" s="97"/>
      <c r="L36" s="97"/>
      <c r="M36" s="97"/>
      <c r="N36" s="97"/>
      <c r="O36" s="97"/>
      <c r="P36" s="12"/>
      <c r="R36" s="12"/>
      <c r="S36" s="12" t="s">
        <v>2</v>
      </c>
      <c r="T36" s="7">
        <f>INDEX('Company-level data'!$K$28:$O$39,MATCH($S36,'Company-level data'!$J$28:$J$39,0),MATCH(T$28,'Company-level data'!$K$27:$O$27,0))+INDEX($D$20:$H$42,MATCH($S36,$C$20:$C$42,0),MATCH(T$28,$D$18:$H$18,0))-INDEX($K$47:$O$57,MATCH($S36,$J$47:$J$57,0),MATCH(T$28,$D$51:$H$51,0))*INDEX($D$52:$H$54,MATCH("center - baseline",$C$52:$C$54,0),MATCH(T$28,$D$51:$H$51,0))</f>
        <v>6.7225714285714293</v>
      </c>
      <c r="U36" s="7">
        <f>INDEX('Company-level data'!$K$28:$O$39,MATCH($S36,'Company-level data'!$J$28:$J$39,0),MATCH(U$28,'Company-level data'!$K$27:$O$27,0))+INDEX($D$20:$H$42,MATCH($S36,$C$20:$C$42,0),MATCH(U$28,$D$18:$H$18,0))-INDEX($K$47:$O$57,MATCH($S36,$J$47:$J$57,0),MATCH(U$28,$D$51:$H$51,0))*INDEX($D$52:$H$54,MATCH("center - baseline",$C$52:$C$54,0),MATCH(U$28,$D$51:$H$51,0))</f>
        <v>7.294277407156982</v>
      </c>
      <c r="V36" s="7">
        <f>INDEX('Company-level data'!$K$28:$O$39,MATCH($S36,'Company-level data'!$J$28:$J$39,0),MATCH(V$28,'Company-level data'!$K$27:$O$27,0))+INDEX($D$20:$H$42,MATCH($S36,$C$20:$C$42,0),MATCH(V$28,$D$18:$H$18,0))-INDEX($K$47:$O$57,MATCH($S36,$J$47:$J$57,0),MATCH(V$28,$D$51:$H$51,0))*INDEX($D$52:$H$54,MATCH("center - baseline",$C$52:$C$54,0),MATCH(V$28,$D$51:$H$51,0))</f>
        <v>10.798836259544823</v>
      </c>
      <c r="W36" s="7">
        <f>INDEX('Company-level data'!$K$28:$O$39,MATCH($S36,'Company-level data'!$J$28:$J$39,0),MATCH(W$28,'Company-level data'!$K$27:$O$27,0))+INDEX($D$20:$H$42,MATCH($S36,$C$20:$C$42,0),MATCH(W$28,$D$18:$H$18,0))-INDEX($K$47:$O$57,MATCH($S36,$J$47:$J$57,0),MATCH(W$28,$D$51:$H$51,0))*INDEX($D$52:$H$54,MATCH("center - baseline",$C$52:$C$54,0),MATCH(W$28,$D$51:$H$51,0))</f>
        <v>12.699095708759137</v>
      </c>
      <c r="X36" s="7">
        <f>INDEX('Company-level data'!$K$28:$O$39,MATCH($S36,'Company-level data'!$J$28:$J$39,0),MATCH(X$28,'Company-level data'!$K$27:$O$27,0))+INDEX($D$20:$H$42,MATCH($S36,$C$20:$C$42,0),MATCH(X$28,$D$18:$H$18,0))-INDEX($K$47:$O$57,MATCH($S36,$J$47:$J$57,0),MATCH(X$28,$D$51:$H$51,0))*INDEX($D$52:$H$54,MATCH("center - baseline",$C$52:$C$54,0),MATCH(X$28,$D$51:$H$51,0))</f>
        <v>14.358334491148046</v>
      </c>
      <c r="Y36" s="12"/>
      <c r="Z36" s="12"/>
    </row>
    <row r="37" spans="1:33" x14ac:dyDescent="0.2">
      <c r="A37" s="12"/>
      <c r="B37" s="12"/>
      <c r="C37" s="74" t="s">
        <v>5</v>
      </c>
      <c r="D37" s="75">
        <f>D38+D39</f>
        <v>0</v>
      </c>
      <c r="E37" s="75">
        <f>E38+E39</f>
        <v>0.11126086584297444</v>
      </c>
      <c r="F37" s="75">
        <f>F38+F39</f>
        <v>0.66612070932506073</v>
      </c>
      <c r="G37" s="75">
        <f>G38+G39</f>
        <v>0.78492538672000756</v>
      </c>
      <c r="H37" s="75">
        <f>H38+H39</f>
        <v>0.81164630175820818</v>
      </c>
      <c r="I37" s="12"/>
      <c r="J37" s="83" t="s">
        <v>1</v>
      </c>
      <c r="K37" s="96">
        <f>'Company-level data'!K34*'Case A - Stretch'!K$23/SUM(SUMPRODUCT('Company-level data'!K$34:K$39,'Case A - Stretch'!K$23:K$28),'Company-level data'!K$29*'Case A - Stretch'!K$18)</f>
        <v>0.19406870432030321</v>
      </c>
      <c r="L37" s="96">
        <f>'Company-level data'!L34*'Case A - Stretch'!L$23/SUM(SUMPRODUCT('Company-level data'!L$34:L$39,'Case A - Stretch'!L$23:L$28),'Company-level data'!L$29*'Case A - Stretch'!L$18)</f>
        <v>0.27964280702784272</v>
      </c>
      <c r="M37" s="96">
        <f>'Company-level data'!M34*'Case A - Stretch'!M$23/SUM(SUMPRODUCT('Company-level data'!M$34:M$39,'Case A - Stretch'!M$23:M$28),'Company-level data'!M$29*'Case A - Stretch'!M$18)</f>
        <v>0.30495832221595953</v>
      </c>
      <c r="N37" s="96">
        <f>'Company-level data'!N34*'Case A - Stretch'!N$23/SUM(SUMPRODUCT('Company-level data'!N$34:N$39,'Case A - Stretch'!N$23:N$28),'Company-level data'!N$29*'Case A - Stretch'!N$18)</f>
        <v>0.36149303941075445</v>
      </c>
      <c r="O37" s="96">
        <f>'Company-level data'!O34*'Case A - Stretch'!O$23/SUM(SUMPRODUCT('Company-level data'!O$34:O$39,'Case A - Stretch'!O$23:O$28),'Company-level data'!O$29*'Case A - Stretch'!O$18)</f>
        <v>0.40558812160151564</v>
      </c>
      <c r="P37" s="12"/>
      <c r="R37" s="12"/>
      <c r="S37" s="12" t="s">
        <v>3</v>
      </c>
      <c r="T37" s="7">
        <f>INDEX('Company-level data'!$K$28:$O$39,MATCH($S37,'Company-level data'!$J$28:$J$39,0),MATCH(T$28,'Company-level data'!$K$27:$O$27,0))+INDEX($D$20:$H$42,MATCH($S37,$C$20:$C$42,0),MATCH(T$28,$D$18:$H$18,0))-INDEX($K$47:$O$57,MATCH($S37,$J$47:$J$57,0),MATCH(T$28,$D$51:$H$51,0))*INDEX($D$52:$H$54,MATCH("center - baseline",$C$52:$C$54,0),MATCH(T$28,$D$51:$H$51,0))</f>
        <v>8.0335714285714293</v>
      </c>
      <c r="U37" s="7">
        <f>INDEX('Company-level data'!$K$28:$O$39,MATCH($S37,'Company-level data'!$J$28:$J$39,0),MATCH(U$28,'Company-level data'!$K$27:$O$27,0))+INDEX($D$20:$H$42,MATCH($S37,$C$20:$C$42,0),MATCH(U$28,$D$18:$H$18,0))-INDEX($K$47:$O$57,MATCH($S37,$J$47:$J$57,0),MATCH(U$28,$D$51:$H$51,0))*INDEX($D$52:$H$54,MATCH("center - baseline",$C$52:$C$54,0),MATCH(U$28,$D$51:$H$51,0))</f>
        <v>7.7890166657206583</v>
      </c>
      <c r="V37" s="7">
        <f>INDEX('Company-level data'!$K$28:$O$39,MATCH($S37,'Company-level data'!$J$28:$J$39,0),MATCH(V$28,'Company-level data'!$K$27:$O$27,0))+INDEX($D$20:$H$42,MATCH($S37,$C$20:$C$42,0),MATCH(V$28,$D$18:$H$18,0))-INDEX($K$47:$O$57,MATCH($S37,$J$47:$J$57,0),MATCH(V$28,$D$51:$H$51,0))*INDEX($D$52:$H$54,MATCH("center - baseline",$C$52:$C$54,0),MATCH(V$28,$D$51:$H$51,0))</f>
        <v>10.022653560415266</v>
      </c>
      <c r="W37" s="7">
        <f>INDEX('Company-level data'!$K$28:$O$39,MATCH($S37,'Company-level data'!$J$28:$J$39,0),MATCH(W$28,'Company-level data'!$K$27:$O$27,0))+INDEX($D$20:$H$42,MATCH($S37,$C$20:$C$42,0),MATCH(W$28,$D$18:$H$18,0))-INDEX($K$47:$O$57,MATCH($S37,$J$47:$J$57,0),MATCH(W$28,$D$51:$H$51,0))*INDEX($D$52:$H$54,MATCH("center - baseline",$C$52:$C$54,0),MATCH(W$28,$D$51:$H$51,0))</f>
        <v>12.030973654123667</v>
      </c>
      <c r="X37" s="7">
        <f>INDEX('Company-level data'!$K$28:$O$39,MATCH($S37,'Company-level data'!$J$28:$J$39,0),MATCH(X$28,'Company-level data'!$K$27:$O$27,0))+INDEX($D$20:$H$42,MATCH($S37,$C$20:$C$42,0),MATCH(X$28,$D$18:$H$18,0))-INDEX($K$47:$O$57,MATCH($S37,$J$47:$J$57,0),MATCH(X$28,$D$51:$H$51,0))*INDEX($D$52:$H$54,MATCH("center - baseline",$C$52:$C$54,0),MATCH(X$28,$D$51:$H$51,0))</f>
        <v>14.205264966280676</v>
      </c>
      <c r="Y37" s="12"/>
      <c r="Z37" s="12"/>
    </row>
    <row r="38" spans="1:33" x14ac:dyDescent="0.2">
      <c r="A38" s="12"/>
      <c r="B38" s="12"/>
      <c r="C38" s="72" t="s">
        <v>17</v>
      </c>
      <c r="D38" s="73">
        <f>D$12*INDEX('Company-level data'!$R$19:$V$23,MATCH($C37,'Company-level data'!$Q$19:$Q$23,0),MATCH(D$18,'Company-level data'!$R$11:$V$11,0))/SUM('Company-level data'!R$19:R$23)</f>
        <v>0</v>
      </c>
      <c r="E38" s="73">
        <f>E$12*INDEX('Company-level data'!$R$19:$V$23,MATCH($C37,'Company-level data'!$Q$19:$Q$23,0),MATCH(E$18,'Company-level data'!$R$11:$V$11,0))/SUM('Company-level data'!S$19:S$23)</f>
        <v>0.11126086584297444</v>
      </c>
      <c r="F38" s="73">
        <f>F$12*INDEX('Company-level data'!$R$19:$V$23,MATCH($C37,'Company-level data'!$Q$19:$Q$23,0),MATCH(F$18,'Company-level data'!$R$11:$V$11,0))/SUM('Company-level data'!T$19:T$23)</f>
        <v>0.66612070932506073</v>
      </c>
      <c r="G38" s="73">
        <f>G$12*INDEX('Company-level data'!$R$19:$V$23,MATCH($C37,'Company-level data'!$Q$19:$Q$23,0),MATCH(G$18,'Company-level data'!$R$11:$V$11,0))/SUM('Company-level data'!U$19:U$23)</f>
        <v>0.78492538672000756</v>
      </c>
      <c r="H38" s="73">
        <f>H$12*INDEX('Company-level data'!$R$19:$V$23,MATCH($C37,'Company-level data'!$Q$19:$Q$23,0),MATCH(H$18,'Company-level data'!$R$11:$V$11,0))/SUM('Company-level data'!V$19:V$23)</f>
        <v>0.81164630175820818</v>
      </c>
      <c r="I38" s="12"/>
      <c r="J38" s="83" t="s">
        <v>2</v>
      </c>
      <c r="K38" s="96">
        <f>'Company-level data'!K35*'Case A - Stretch'!K$24/SUM(SUMPRODUCT('Company-level data'!K$34:K$39,'Case A - Stretch'!K$23:K$28),'Company-level data'!K$29*'Case A - Stretch'!K$18)</f>
        <v>0.11123701396972532</v>
      </c>
      <c r="L38" s="96">
        <f>'Company-level data'!L35*'Case A - Stretch'!L$24/SUM(SUMPRODUCT('Company-level data'!L$34:L$39,'Case A - Stretch'!L$23:L$28),'Company-level data'!L$29*'Case A - Stretch'!L$18)</f>
        <v>9.8512978759635841E-2</v>
      </c>
      <c r="M38" s="96">
        <f>'Company-level data'!M35*'Case A - Stretch'!M$24/SUM(SUMPRODUCT('Company-level data'!M$34:M$39,'Case A - Stretch'!M$23:M$28),'Company-level data'!M$29*'Case A - Stretch'!M$18)</f>
        <v>0.10300498332607923</v>
      </c>
      <c r="N38" s="96">
        <f>'Company-level data'!N35*'Case A - Stretch'!N$24/SUM(SUMPRODUCT('Company-level data'!N$34:N$39,'Case A - Stretch'!N$23:N$28),'Company-level data'!N$29*'Case A - Stretch'!N$18)</f>
        <v>0.10001700479482091</v>
      </c>
      <c r="O38" s="96">
        <f>'Company-level data'!O35*'Case A - Stretch'!O$24/SUM(SUMPRODUCT('Company-level data'!O$34:O$39,'Case A - Stretch'!O$23:O$28),'Company-level data'!O$29*'Case A - Stretch'!O$18)</f>
        <v>9.6753157459832692E-2</v>
      </c>
      <c r="P38" s="12"/>
      <c r="R38" s="12"/>
      <c r="S38" s="12" t="s">
        <v>4</v>
      </c>
      <c r="T38" s="7">
        <f>INDEX('Company-level data'!$K$28:$O$39,MATCH($S38,'Company-level data'!$J$28:$J$39,0),MATCH(T$28,'Company-level data'!$K$27:$O$27,0))+INDEX($D$20:$H$42,MATCH($S38,$C$20:$C$42,0),MATCH(T$28,$D$18:$H$18,0))-INDEX($K$47:$O$57,MATCH($S38,$J$47:$J$57,0),MATCH(T$28,$D$51:$H$51,0))*INDEX($D$52:$H$54,MATCH("center - baseline",$C$52:$C$54,0),MATCH(T$28,$D$51:$H$51,0))</f>
        <v>4.0655714285714293</v>
      </c>
      <c r="U38" s="7">
        <f>INDEX('Company-level data'!$K$28:$O$39,MATCH($S38,'Company-level data'!$J$28:$J$39,0),MATCH(U$28,'Company-level data'!$K$27:$O$27,0))+INDEX($D$20:$H$42,MATCH($S38,$C$20:$C$42,0),MATCH(U$28,$D$18:$H$18,0))-INDEX($K$47:$O$57,MATCH($S38,$J$47:$J$57,0),MATCH(U$28,$D$51:$H$51,0))*INDEX($D$52:$H$54,MATCH("center - baseline",$C$52:$C$54,0),MATCH(U$28,$D$51:$H$51,0))</f>
        <v>5.0213951651812589</v>
      </c>
      <c r="V38" s="7">
        <f>INDEX('Company-level data'!$K$28:$O$39,MATCH($S38,'Company-level data'!$J$28:$J$39,0),MATCH(V$28,'Company-level data'!$K$27:$O$27,0))+INDEX($D$20:$H$42,MATCH($S38,$C$20:$C$42,0),MATCH(V$28,$D$18:$H$18,0))-INDEX($K$47:$O$57,MATCH($S38,$J$47:$J$57,0),MATCH(V$28,$D$51:$H$51,0))*INDEX($D$52:$H$54,MATCH("center - baseline",$C$52:$C$54,0),MATCH(V$28,$D$51:$H$51,0))</f>
        <v>6.6849590004893997</v>
      </c>
      <c r="W38" s="7">
        <f>INDEX('Company-level data'!$K$28:$O$39,MATCH($S38,'Company-level data'!$J$28:$J$39,0),MATCH(W$28,'Company-level data'!$K$27:$O$27,0))+INDEX($D$20:$H$42,MATCH($S38,$C$20:$C$42,0),MATCH(W$28,$D$18:$H$18,0))-INDEX($K$47:$O$57,MATCH($S38,$J$47:$J$57,0),MATCH(W$28,$D$51:$H$51,0))*INDEX($D$52:$H$54,MATCH("center - baseline",$C$52:$C$54,0),MATCH(W$28,$D$51:$H$51,0))</f>
        <v>8.2343174658646365</v>
      </c>
      <c r="X38" s="7">
        <f>INDEX('Company-level data'!$K$28:$O$39,MATCH($S38,'Company-level data'!$J$28:$J$39,0),MATCH(X$28,'Company-level data'!$K$27:$O$27,0))+INDEX($D$20:$H$42,MATCH($S38,$C$20:$C$42,0),MATCH(X$28,$D$18:$H$18,0))-INDEX($K$47:$O$57,MATCH($S38,$J$47:$J$57,0),MATCH(X$28,$D$51:$H$51,0))*INDEX($D$52:$H$54,MATCH("center - baseline",$C$52:$C$54,0),MATCH(X$28,$D$51:$H$51,0))</f>
        <v>9.7932806724381294</v>
      </c>
      <c r="Y38" s="12"/>
      <c r="Z38" s="12"/>
    </row>
    <row r="39" spans="1:33" x14ac:dyDescent="0.2">
      <c r="A39" s="12"/>
      <c r="B39" s="12"/>
      <c r="C39" s="72" t="s">
        <v>18</v>
      </c>
      <c r="D39" s="73">
        <f>INDEX('Company-level data'!$R$13:$V$23,MATCH($C37,'Company-level data'!$Q$13:$Q$23,0),MATCH(D$18,'Company-level data'!$R$11:$V$11,0))*HLOOKUP('Case B - 50-50'!D$18,'Center cost &amp; synergy worksheet'!$D$59:$H$64,6,FALSE)/HLOOKUP(D$18,'Company-level data'!$R$11:$V$12,2,FALSE)+INDEX('Center cost &amp; synergy worksheet'!$D$67:$H$77,MATCH('Case B - 50-50'!$C37,'Center cost &amp; synergy worksheet'!$C$67:$C$77,0),MATCH('Case B - 50-50'!D$18,'Center cost &amp; synergy worksheet'!$D$66:$H$66,0))</f>
        <v>0</v>
      </c>
      <c r="E39" s="73">
        <f>INDEX('Company-level data'!$R$13:$V$23,MATCH($C37,'Company-level data'!$Q$13:$Q$23,0),MATCH(E$18,'Company-level data'!$R$11:$V$11,0))*HLOOKUP('Case B - 50-50'!E$18,'Center cost &amp; synergy worksheet'!$D$59:$H$64,6,FALSE)/HLOOKUP(E$18,'Company-level data'!$R$11:$V$12,2,FALSE)+INDEX('Center cost &amp; synergy worksheet'!$D$67:$H$77,MATCH('Case B - 50-50'!$C37,'Center cost &amp; synergy worksheet'!$C$67:$C$77,0),MATCH('Case B - 50-50'!E$18,'Center cost &amp; synergy worksheet'!$D$66:$H$66,0))</f>
        <v>0</v>
      </c>
      <c r="F39" s="73">
        <f>INDEX('Company-level data'!$R$13:$V$23,MATCH($C37,'Company-level data'!$Q$13:$Q$23,0),MATCH(F$18,'Company-level data'!$R$11:$V$11,0))*HLOOKUP('Case B - 50-50'!F$18,'Center cost &amp; synergy worksheet'!$D$59:$H$64,6,FALSE)/HLOOKUP(F$18,'Company-level data'!$R$11:$V$12,2,FALSE)+INDEX('Center cost &amp; synergy worksheet'!$D$67:$H$77,MATCH('Case B - 50-50'!$C37,'Center cost &amp; synergy worksheet'!$C$67:$C$77,0),MATCH('Case B - 50-50'!F$18,'Center cost &amp; synergy worksheet'!$D$66:$H$66,0))</f>
        <v>0</v>
      </c>
      <c r="G39" s="73">
        <f>INDEX('Company-level data'!$R$13:$V$23,MATCH($C37,'Company-level data'!$Q$13:$Q$23,0),MATCH(G$18,'Company-level data'!$R$11:$V$11,0))*HLOOKUP('Case B - 50-50'!G$18,'Center cost &amp; synergy worksheet'!$D$59:$H$64,6,FALSE)/HLOOKUP(G$18,'Company-level data'!$R$11:$V$12,2,FALSE)+INDEX('Center cost &amp; synergy worksheet'!$D$67:$H$77,MATCH('Case B - 50-50'!$C37,'Center cost &amp; synergy worksheet'!$C$67:$C$77,0),MATCH('Case B - 50-50'!G$18,'Center cost &amp; synergy worksheet'!$D$66:$H$66,0))</f>
        <v>0</v>
      </c>
      <c r="H39" s="73">
        <f>INDEX('Company-level data'!$R$13:$V$23,MATCH($C37,'Company-level data'!$Q$13:$Q$23,0),MATCH(H$18,'Company-level data'!$R$11:$V$11,0))*HLOOKUP('Case B - 50-50'!H$18,'Center cost &amp; synergy worksheet'!$D$59:$H$64,6,FALSE)/HLOOKUP(H$18,'Company-level data'!$R$11:$V$12,2,FALSE)+INDEX('Center cost &amp; synergy worksheet'!$D$67:$H$77,MATCH('Case B - 50-50'!$C37,'Center cost &amp; synergy worksheet'!$C$67:$C$77,0),MATCH('Case B - 50-50'!H$18,'Center cost &amp; synergy worksheet'!$D$66:$H$66,0))</f>
        <v>0</v>
      </c>
      <c r="I39" s="12"/>
      <c r="J39" s="83" t="s">
        <v>3</v>
      </c>
      <c r="K39" s="96">
        <f>'Company-level data'!K36*'Case A - Stretch'!K$25/SUM(SUMPRODUCT('Company-level data'!K$34:K$39,'Case A - Stretch'!K$23:K$28),'Company-level data'!K$29*'Case A - Stretch'!K$18)</f>
        <v>0.15063836000978462</v>
      </c>
      <c r="L39" s="96">
        <f>'Company-level data'!L36*'Case A - Stretch'!L$25/SUM(SUMPRODUCT('Company-level data'!L$34:L$39,'Case A - Stretch'!L$23:L$28),'Company-level data'!L$29*'Case A - Stretch'!L$18)</f>
        <v>0.12372646274580863</v>
      </c>
      <c r="M39" s="96">
        <f>'Company-level data'!M36*'Case A - Stretch'!M$25/SUM(SUMPRODUCT('Company-level data'!M$34:M$39,'Case A - Stretch'!M$23:M$28),'Company-level data'!M$29*'Case A - Stretch'!M$18)</f>
        <v>0.12721101749021832</v>
      </c>
      <c r="N39" s="96">
        <f>'Company-level data'!N36*'Case A - Stretch'!N$25/SUM(SUMPRODUCT('Company-level data'!N$34:N$39,'Case A - Stretch'!N$23:N$28),'Company-level data'!N$29*'Case A - Stretch'!N$18)</f>
        <v>0.12285757617240832</v>
      </c>
      <c r="O39" s="96">
        <f>'Company-level data'!O36*'Case A - Stretch'!O$25/SUM(SUMPRODUCT('Company-level data'!O$34:O$39,'Case A - Stretch'!O$23:O$28),'Company-level data'!O$29*'Case A - Stretch'!O$18)</f>
        <v>0.11951556943544375</v>
      </c>
      <c r="P39" s="12"/>
      <c r="R39" s="12"/>
      <c r="S39" s="12" t="s">
        <v>5</v>
      </c>
      <c r="T39" s="7">
        <f>INDEX('Company-level data'!$K$28:$O$39,MATCH($S39,'Company-level data'!$J$28:$J$39,0),MATCH(T$28,'Company-level data'!$K$27:$O$27,0))+INDEX($D$20:$H$42,MATCH($S39,$C$20:$C$42,0),MATCH(T$28,$D$18:$H$18,0))-INDEX($K$47:$O$57,MATCH($S39,$J$47:$J$57,0),MATCH(T$28,$D$51:$H$51,0))*INDEX($D$52:$H$54,MATCH("center - baseline",$C$52:$C$54,0),MATCH(T$28,$D$51:$H$51,0))</f>
        <v>3.0371219113616932</v>
      </c>
      <c r="U39" s="7">
        <f>INDEX('Company-level data'!$K$28:$O$39,MATCH($S39,'Company-level data'!$J$28:$J$39,0),MATCH(U$28,'Company-level data'!$K$27:$O$27,0))+INDEX($D$20:$H$42,MATCH($S39,$C$20:$C$42,0),MATCH(U$28,$D$18:$H$18,0))-INDEX($K$47:$O$57,MATCH($S39,$J$47:$J$57,0),MATCH(U$28,$D$51:$H$51,0))*INDEX($D$52:$H$54,MATCH("center - baseline",$C$52:$C$54,0),MATCH(U$28,$D$51:$H$51,0))</f>
        <v>3.0678680087001164</v>
      </c>
      <c r="V39" s="7">
        <f>INDEX('Company-level data'!$K$28:$O$39,MATCH($S39,'Company-level data'!$J$28:$J$39,0),MATCH(V$28,'Company-level data'!$K$27:$O$27,0))+INDEX($D$20:$H$42,MATCH($S39,$C$20:$C$42,0),MATCH(V$28,$D$18:$H$18,0))-INDEX($K$47:$O$57,MATCH($S39,$J$47:$J$57,0),MATCH(V$28,$D$51:$H$51,0))*INDEX($D$52:$H$54,MATCH("center - baseline",$C$52:$C$54,0),MATCH(V$28,$D$51:$H$51,0))</f>
        <v>4.0966921378964898</v>
      </c>
      <c r="W39" s="7">
        <f>INDEX('Company-level data'!$K$28:$O$39,MATCH($S39,'Company-level data'!$J$28:$J$39,0),MATCH(W$28,'Company-level data'!$K$27:$O$27,0))+INDEX($D$20:$H$42,MATCH($S39,$C$20:$C$42,0),MATCH(W$28,$D$18:$H$18,0))-INDEX($K$47:$O$57,MATCH($S39,$J$47:$J$57,0),MATCH(W$28,$D$51:$H$51,0))*INDEX($D$52:$H$54,MATCH("center - baseline",$C$52:$C$54,0),MATCH(W$28,$D$51:$H$51,0))</f>
        <v>5.1645682438628633</v>
      </c>
      <c r="X39" s="7">
        <f>INDEX('Company-level data'!$K$28:$O$39,MATCH($S39,'Company-level data'!$J$28:$J$39,0),MATCH(X$28,'Company-level data'!$K$27:$O$27,0))+INDEX($D$20:$H$42,MATCH($S39,$C$20:$C$42,0),MATCH(X$28,$D$18:$H$18,0))-INDEX($K$47:$O$57,MATCH($S39,$J$47:$J$57,0),MATCH(X$28,$D$51:$H$51,0))*INDEX($D$52:$H$54,MATCH("center - baseline",$C$52:$C$54,0),MATCH(X$28,$D$51:$H$51,0))</f>
        <v>6.4912177303296357</v>
      </c>
      <c r="Y39" s="12"/>
      <c r="Z39" s="12"/>
    </row>
    <row r="40" spans="1:33" x14ac:dyDescent="0.2">
      <c r="A40" s="12"/>
      <c r="B40" s="12"/>
      <c r="C40" s="74" t="s">
        <v>6</v>
      </c>
      <c r="D40" s="75">
        <f>D41+D42</f>
        <v>0</v>
      </c>
      <c r="E40" s="75">
        <f>E41+E42</f>
        <v>8.4585324669557316E-2</v>
      </c>
      <c r="F40" s="75">
        <f>F41+F42</f>
        <v>0.46237780593974043</v>
      </c>
      <c r="G40" s="75">
        <f>G41+G42</f>
        <v>0.51006701346112815</v>
      </c>
      <c r="H40" s="75">
        <f>H41+H42</f>
        <v>0.4834784440892354</v>
      </c>
      <c r="I40" s="12"/>
      <c r="J40" s="83" t="s">
        <v>4</v>
      </c>
      <c r="K40" s="96">
        <f>'Company-level data'!K37*'Case A - Stretch'!K$26/SUM(SUMPRODUCT('Company-level data'!K$34:K$39,'Case A - Stretch'!K$23:K$28),'Company-level data'!K$29*'Case A - Stretch'!K$18)</f>
        <v>8.4447147295961394E-2</v>
      </c>
      <c r="L40" s="96">
        <f>'Company-level data'!L37*'Case A - Stretch'!L$26/SUM(SUMPRODUCT('Company-level data'!L$34:L$39,'Case A - Stretch'!L$23:L$28),'Company-level data'!L$29*'Case A - Stretch'!L$18)</f>
        <v>9.5382187771760968E-2</v>
      </c>
      <c r="M40" s="96">
        <f>'Company-level data'!M37*'Case A - Stretch'!M$26/SUM(SUMPRODUCT('Company-level data'!M$34:M$39,'Case A - Stretch'!M$23:M$28),'Company-level data'!M$29*'Case A - Stretch'!M$18)</f>
        <v>0.10319949492822314</v>
      </c>
      <c r="N40" s="96">
        <f>'Company-level data'!N37*'Case A - Stretch'!N$26/SUM(SUMPRODUCT('Company-level data'!N$34:N$39,'Case A - Stretch'!N$23:N$28),'Company-level data'!N$29*'Case A - Stretch'!N$18)</f>
        <v>0.1073127432897585</v>
      </c>
      <c r="O40" s="96">
        <f>'Company-level data'!O37*'Case A - Stretch'!O$26/SUM(SUMPRODUCT('Company-level data'!O$34:O$39,'Case A - Stretch'!O$23:O$28),'Company-level data'!O$29*'Case A - Stretch'!O$18)</f>
        <v>0.11131069628319031</v>
      </c>
      <c r="P40" s="12"/>
      <c r="R40" s="12"/>
      <c r="S40" s="6" t="s">
        <v>6</v>
      </c>
      <c r="T40" s="15">
        <f>INDEX('Company-level data'!$K$28:$O$39,MATCH($S40,'Company-level data'!$J$28:$J$39,0),MATCH(T$28,'Company-level data'!$K$27:$O$27,0))+INDEX($D$20:$H$42,MATCH($S40,$C$20:$C$42,0),MATCH(T$28,$D$18:$H$18,0))-INDEX($K$47:$O$57,MATCH($S40,$J$47:$J$57,0),MATCH(T$28,$D$51:$H$51,0))*INDEX($D$52:$H$54,MATCH("center - baseline",$C$52:$C$54,0),MATCH(T$28,$D$51:$H$51,0))</f>
        <v>-0.51723857142857144</v>
      </c>
      <c r="U40" s="15">
        <f>INDEX('Company-level data'!$K$28:$O$39,MATCH($S40,'Company-level data'!$J$28:$J$39,0),MATCH(U$28,'Company-level data'!$K$27:$O$27,0))+INDEX($D$20:$H$42,MATCH($S40,$C$20:$C$42,0),MATCH(U$28,$D$18:$H$18,0))-INDEX($K$47:$O$57,MATCH($S40,$J$47:$J$57,0),MATCH(U$28,$D$51:$H$51,0))*INDEX($D$52:$H$54,MATCH("center - baseline",$C$52:$C$54,0),MATCH(U$28,$D$51:$H$51,0))</f>
        <v>-0.82880753247329975</v>
      </c>
      <c r="V40" s="15">
        <f>INDEX('Company-level data'!$K$28:$O$39,MATCH($S40,'Company-level data'!$J$28:$J$39,0),MATCH(V$28,'Company-level data'!$K$27:$O$27,0))+INDEX($D$20:$H$42,MATCH($S40,$C$20:$C$42,0),MATCH(V$28,$D$18:$H$18,0))-INDEX($K$47:$O$57,MATCH($S40,$J$47:$J$57,0),MATCH(V$28,$D$51:$H$51,0))*INDEX($D$52:$H$54,MATCH("center - baseline",$C$52:$C$54,0),MATCH(V$28,$D$51:$H$51,0))</f>
        <v>-0.48442709048883104</v>
      </c>
      <c r="W40" s="15">
        <f>INDEX('Company-level data'!$K$28:$O$39,MATCH($S40,'Company-level data'!$J$28:$J$39,0),MATCH(W$28,'Company-level data'!$K$27:$O$27,0))+INDEX($D$20:$H$42,MATCH($S40,$C$20:$C$42,0),MATCH(W$28,$D$18:$H$18,0))-INDEX($K$47:$O$57,MATCH($S40,$J$47:$J$57,0),MATCH(W$28,$D$51:$H$51,0))*INDEX($D$52:$H$54,MATCH("center - baseline",$C$52:$C$54,0),MATCH(W$28,$D$51:$H$51,0))</f>
        <v>-0.25958041189601477</v>
      </c>
      <c r="X40" s="15">
        <f>INDEX('Company-level data'!$K$28:$O$39,MATCH($S40,'Company-level data'!$J$28:$J$39,0),MATCH(X$28,'Company-level data'!$K$27:$O$27,0))+INDEX($D$20:$H$42,MATCH($S40,$C$20:$C$42,0),MATCH(X$28,$D$18:$H$18,0))-INDEX($K$47:$O$57,MATCH($S40,$J$47:$J$57,0),MATCH(X$28,$D$51:$H$51,0))*INDEX($D$52:$H$54,MATCH("center - baseline",$C$52:$C$54,0),MATCH(X$28,$D$51:$H$51,0))</f>
        <v>-4.3082322276835949E-2</v>
      </c>
      <c r="Y40" s="12"/>
      <c r="Z40" s="12"/>
    </row>
    <row r="41" spans="1:33" x14ac:dyDescent="0.2">
      <c r="A41" s="12"/>
      <c r="B41" s="12"/>
      <c r="C41" s="72" t="s">
        <v>17</v>
      </c>
      <c r="D41" s="73">
        <f>D$12*INDEX('Company-level data'!$R$19:$V$23,MATCH($C40,'Company-level data'!$Q$19:$Q$23,0),MATCH(D$18,'Company-level data'!$R$11:$V$11,0))/SUM('Company-level data'!R$19:R$23)</f>
        <v>0</v>
      </c>
      <c r="E41" s="73">
        <f>E$12*INDEX('Company-level data'!$R$19:$V$23,MATCH($C40,'Company-level data'!$Q$19:$Q$23,0),MATCH(E$18,'Company-level data'!$R$11:$V$11,0))/SUM('Company-level data'!S$19:S$23)</f>
        <v>8.4585324669557316E-2</v>
      </c>
      <c r="F41" s="73">
        <f>F$12*INDEX('Company-level data'!$R$19:$V$23,MATCH($C40,'Company-level data'!$Q$19:$Q$23,0),MATCH(F$18,'Company-level data'!$R$11:$V$11,0))/SUM('Company-level data'!T$19:T$23)</f>
        <v>0.46237780593974043</v>
      </c>
      <c r="G41" s="73">
        <f>G$12*INDEX('Company-level data'!$R$19:$V$23,MATCH($C40,'Company-level data'!$Q$19:$Q$23,0),MATCH(G$18,'Company-level data'!$R$11:$V$11,0))/SUM('Company-level data'!U$19:U$23)</f>
        <v>0.51006701346112815</v>
      </c>
      <c r="H41" s="73">
        <f>H$12*INDEX('Company-level data'!$R$19:$V$23,MATCH($C40,'Company-level data'!$Q$19:$Q$23,0),MATCH(H$18,'Company-level data'!$R$11:$V$11,0))/SUM('Company-level data'!V$19:V$23)</f>
        <v>0.4834784440892354</v>
      </c>
      <c r="I41" s="12"/>
      <c r="J41" s="83" t="s">
        <v>5</v>
      </c>
      <c r="K41" s="96">
        <f>'Company-level data'!K38*'Case A - Stretch'!K$27/SUM(SUMPRODUCT('Company-level data'!K$34:K$39,'Case A - Stretch'!K$23:K$28),'Company-level data'!K$29*'Case A - Stretch'!K$18)</f>
        <v>5.1499412571900945E-2</v>
      </c>
      <c r="L41" s="96">
        <f>'Company-level data'!L38*'Case A - Stretch'!L$27/SUM(SUMPRODUCT('Company-level data'!L$34:L$39,'Case A - Stretch'!L$23:L$28),'Company-level data'!L$29*'Case A - Stretch'!L$18)</f>
        <v>4.7088123008412676E-2</v>
      </c>
      <c r="M41" s="96">
        <f>'Company-level data'!M38*'Case A - Stretch'!M$27/SUM(SUMPRODUCT('Company-level data'!M$34:M$39,'Case A - Stretch'!M$23:M$28),'Company-level data'!M$29*'Case A - Stretch'!M$18)</f>
        <v>4.8283515342208434E-2</v>
      </c>
      <c r="N41" s="96">
        <f>'Company-level data'!N38*'Case A - Stretch'!N$27/SUM(SUMPRODUCT('Company-level data'!N$34:N$39,'Case A - Stretch'!N$23:N$28),'Company-level data'!N$29*'Case A - Stretch'!N$18)</f>
        <v>4.801369087558225E-2</v>
      </c>
      <c r="O41" s="96">
        <f>'Company-level data'!O38*'Case A - Stretch'!O$27/SUM(SUMPRODUCT('Company-level data'!O$34:O$39,'Case A - Stretch'!O$23:O$28),'Company-level data'!O$29*'Case A - Stretch'!O$18)</f>
        <v>4.8783433895584032E-2</v>
      </c>
      <c r="P41" s="12"/>
      <c r="R41" s="12"/>
      <c r="S41" s="19" t="s">
        <v>24</v>
      </c>
      <c r="T41" s="22">
        <f>'Company-level data'!K28</f>
        <v>55.864260988748086</v>
      </c>
      <c r="U41" s="22">
        <f>'Company-level data'!L28</f>
        <v>67.47540548522349</v>
      </c>
      <c r="V41" s="22">
        <f>'Company-level data'!M28</f>
        <v>77.052755285650079</v>
      </c>
      <c r="W41" s="22">
        <f>'Company-level data'!N28</f>
        <v>91.971160374999997</v>
      </c>
      <c r="X41" s="22">
        <f>'Company-level data'!O28</f>
        <v>108.98715839506251</v>
      </c>
      <c r="Y41" s="12"/>
      <c r="Z41" s="12"/>
    </row>
    <row r="42" spans="1:33" x14ac:dyDescent="0.2">
      <c r="A42" s="12"/>
      <c r="B42" s="12"/>
      <c r="C42" s="72" t="s">
        <v>18</v>
      </c>
      <c r="D42" s="73">
        <f>INDEX('Company-level data'!$R$13:$V$23,MATCH($C40,'Company-level data'!$Q$13:$Q$23,0),MATCH(D$18,'Company-level data'!$R$11:$V$11,0))*HLOOKUP('Case B - 50-50'!D$18,'Center cost &amp; synergy worksheet'!$D$59:$H$64,6,FALSE)/HLOOKUP(D$18,'Company-level data'!$R$11:$V$12,2,FALSE)+INDEX('Center cost &amp; synergy worksheet'!$D$67:$H$77,MATCH('Case B - 50-50'!$C40,'Center cost &amp; synergy worksheet'!$C$67:$C$77,0),MATCH('Case B - 50-50'!D$18,'Center cost &amp; synergy worksheet'!$D$66:$H$66,0))</f>
        <v>0</v>
      </c>
      <c r="E42" s="73">
        <f>INDEX('Company-level data'!$R$13:$V$23,MATCH($C40,'Company-level data'!$Q$13:$Q$23,0),MATCH(E$18,'Company-level data'!$R$11:$V$11,0))*HLOOKUP('Case B - 50-50'!E$18,'Center cost &amp; synergy worksheet'!$D$59:$H$64,6,FALSE)/HLOOKUP(E$18,'Company-level data'!$R$11:$V$12,2,FALSE)+INDEX('Center cost &amp; synergy worksheet'!$D$67:$H$77,MATCH('Case B - 50-50'!$C40,'Center cost &amp; synergy worksheet'!$C$67:$C$77,0),MATCH('Case B - 50-50'!E$18,'Center cost &amp; synergy worksheet'!$D$66:$H$66,0))</f>
        <v>0</v>
      </c>
      <c r="F42" s="73">
        <f>INDEX('Company-level data'!$R$13:$V$23,MATCH($C40,'Company-level data'!$Q$13:$Q$23,0),MATCH(F$18,'Company-level data'!$R$11:$V$11,0))*HLOOKUP('Case B - 50-50'!F$18,'Center cost &amp; synergy worksheet'!$D$59:$H$64,6,FALSE)/HLOOKUP(F$18,'Company-level data'!$R$11:$V$12,2,FALSE)+INDEX('Center cost &amp; synergy worksheet'!$D$67:$H$77,MATCH('Case B - 50-50'!$C40,'Center cost &amp; synergy worksheet'!$C$67:$C$77,0),MATCH('Case B - 50-50'!F$18,'Center cost &amp; synergy worksheet'!$D$66:$H$66,0))</f>
        <v>0</v>
      </c>
      <c r="G42" s="73">
        <f>INDEX('Company-level data'!$R$13:$V$23,MATCH($C40,'Company-level data'!$Q$13:$Q$23,0),MATCH(G$18,'Company-level data'!$R$11:$V$11,0))*HLOOKUP('Case B - 50-50'!G$18,'Center cost &amp; synergy worksheet'!$D$59:$H$64,6,FALSE)/HLOOKUP(G$18,'Company-level data'!$R$11:$V$12,2,FALSE)+INDEX('Center cost &amp; synergy worksheet'!$D$67:$H$77,MATCH('Case B - 50-50'!$C40,'Center cost &amp; synergy worksheet'!$C$67:$C$77,0),MATCH('Case B - 50-50'!G$18,'Center cost &amp; synergy worksheet'!$D$66:$H$66,0))</f>
        <v>0</v>
      </c>
      <c r="H42" s="73">
        <f>INDEX('Company-level data'!$R$13:$V$23,MATCH($C40,'Company-level data'!$Q$13:$Q$23,0),MATCH(H$18,'Company-level data'!$R$11:$V$11,0))*HLOOKUP('Case B - 50-50'!H$18,'Center cost &amp; synergy worksheet'!$D$59:$H$64,6,FALSE)/HLOOKUP(H$18,'Company-level data'!$R$11:$V$12,2,FALSE)+INDEX('Center cost &amp; synergy worksheet'!$D$67:$H$77,MATCH('Case B - 50-50'!$C40,'Center cost &amp; synergy worksheet'!$C$67:$C$77,0),MATCH('Case B - 50-50'!H$18,'Center cost &amp; synergy worksheet'!$D$66:$H$66,0))</f>
        <v>0</v>
      </c>
      <c r="I42" s="12"/>
      <c r="J42" s="93" t="s">
        <v>6</v>
      </c>
      <c r="K42" s="98">
        <f>'Company-level data'!K39*'Case A - Stretch'!K$28/SUM(SUMPRODUCT('Company-level data'!K$34:K$39,'Case A - Stretch'!K$23:K$28),'Company-level data'!K$29*'Case A - Stretch'!K$18)</f>
        <v>-2.8735275910884333E-3</v>
      </c>
      <c r="L42" s="98">
        <f>'Company-level data'!L39*'Case A - Stretch'!L$28/SUM(SUMPRODUCT('Company-level data'!L$34:L$39,'Case A - Stretch'!L$23:L$28),'Company-level data'!L$29*'Case A - Stretch'!L$18)</f>
        <v>0</v>
      </c>
      <c r="M42" s="98">
        <f>'Company-level data'!M39*'Case A - Stretch'!M$28/SUM(SUMPRODUCT('Company-level data'!M$34:M$39,'Case A - Stretch'!M$23:M$28),'Company-level data'!M$29*'Case A - Stretch'!M$18)</f>
        <v>2.8721689314477987E-3</v>
      </c>
      <c r="N42" s="98">
        <f>'Company-level data'!N39*'Case A - Stretch'!N$28/SUM(SUMPRODUCT('Company-level data'!N$34:N$39,'Case A - Stretch'!N$23:N$28),'Company-level data'!N$29*'Case A - Stretch'!N$18)</f>
        <v>4.9435547960015652E-3</v>
      </c>
      <c r="O42" s="98">
        <f>'Company-level data'!O39*'Case A - Stretch'!O$28/SUM(SUMPRODUCT('Company-level data'!O$34:O$39,'Case A - Stretch'!O$23:O$28),'Company-level data'!O$29*'Case A - Stretch'!O$18)</f>
        <v>6.437827445381893E-3</v>
      </c>
      <c r="P42" s="12"/>
      <c r="R42" s="12"/>
      <c r="S42" s="19" t="s">
        <v>25</v>
      </c>
      <c r="T42" s="35">
        <f>$D$52</f>
        <v>2.5649999999999999</v>
      </c>
      <c r="U42" s="35">
        <f>$E$52</f>
        <v>6.3937499999999998</v>
      </c>
      <c r="V42" s="35">
        <f>$F$52</f>
        <v>8.1300000000000008</v>
      </c>
      <c r="W42" s="35">
        <f>$G$52</f>
        <v>8.5425000000000004</v>
      </c>
      <c r="X42" s="35">
        <f>$H$52</f>
        <v>8.6549999999999994</v>
      </c>
      <c r="Y42" s="12"/>
      <c r="Z42" s="12"/>
    </row>
    <row r="43" spans="1:33" ht="13.5" thickBot="1" x14ac:dyDescent="0.25">
      <c r="A43" s="12"/>
      <c r="B43" s="12"/>
      <c r="I43" s="12"/>
      <c r="P43" s="12"/>
      <c r="R43" s="12"/>
      <c r="S43" s="27" t="s">
        <v>26</v>
      </c>
      <c r="T43" s="51">
        <f>+$D$19</f>
        <v>0</v>
      </c>
      <c r="U43" s="51">
        <f>+$E$19</f>
        <v>1</v>
      </c>
      <c r="V43" s="51">
        <f>+$F$19</f>
        <v>6.9999999999999991</v>
      </c>
      <c r="W43" s="51">
        <f>+$G$19</f>
        <v>9.0000000000000018</v>
      </c>
      <c r="X43" s="51">
        <f>+$H$19</f>
        <v>10</v>
      </c>
      <c r="Y43" s="12"/>
      <c r="Z43" s="12"/>
    </row>
    <row r="44" spans="1:33" ht="13.5" thickTop="1" x14ac:dyDescent="0.2">
      <c r="A44" s="12"/>
      <c r="B44" s="12"/>
      <c r="C44" s="100" t="s">
        <v>92</v>
      </c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2"/>
      <c r="R44" s="12"/>
      <c r="S44" s="6" t="s">
        <v>27</v>
      </c>
      <c r="T44" s="28">
        <f>T41-T42+T43</f>
        <v>53.299260988748088</v>
      </c>
      <c r="U44" s="28">
        <f>U41-U42+U43</f>
        <v>62.081655485223493</v>
      </c>
      <c r="V44" s="28">
        <f>V41-V42+V43</f>
        <v>75.922755285650084</v>
      </c>
      <c r="W44" s="28">
        <f>W41-W42+W43</f>
        <v>92.428660374999993</v>
      </c>
      <c r="X44" s="28">
        <f>X41-X42+X43</f>
        <v>110.33215839506251</v>
      </c>
      <c r="Y44" s="12"/>
      <c r="Z44" s="12"/>
    </row>
    <row r="45" spans="1:33" ht="13.5" thickBot="1" x14ac:dyDescent="0.25">
      <c r="A45" s="12"/>
      <c r="B45" s="12"/>
      <c r="C45" s="102" t="s">
        <v>76</v>
      </c>
      <c r="D45" s="103">
        <v>5</v>
      </c>
      <c r="E45" s="99"/>
      <c r="F45" s="99"/>
      <c r="G45" s="99"/>
      <c r="H45" s="99"/>
      <c r="I45" s="99"/>
      <c r="J45" s="107" t="s">
        <v>79</v>
      </c>
      <c r="K45" s="109"/>
      <c r="L45" s="109"/>
      <c r="M45" s="109"/>
      <c r="N45" s="109"/>
      <c r="O45" s="109"/>
      <c r="P45" s="12"/>
      <c r="R45" s="12"/>
      <c r="S45" s="36" t="s">
        <v>28</v>
      </c>
      <c r="T45" s="36" t="b">
        <f>ROUND(T44,8)=ROUND(T29,8)</f>
        <v>1</v>
      </c>
      <c r="U45" s="36" t="b">
        <f>ROUND(U44,8)=ROUND(U29,8)</f>
        <v>1</v>
      </c>
      <c r="V45" s="36" t="b">
        <f>ROUND(V44,8)=ROUND(V29,8)</f>
        <v>1</v>
      </c>
      <c r="W45" s="36" t="b">
        <f>ROUND(W44,8)=ROUND(W29,8)</f>
        <v>1</v>
      </c>
      <c r="X45" s="36" t="b">
        <f>ROUND(X44,8)=ROUND(X29,8)</f>
        <v>1</v>
      </c>
      <c r="Y45" s="12"/>
      <c r="Z45" s="12"/>
    </row>
    <row r="46" spans="1:33" x14ac:dyDescent="0.2">
      <c r="A46" s="12"/>
      <c r="B46" s="12"/>
      <c r="C46" s="99" t="s">
        <v>96</v>
      </c>
      <c r="D46" s="99"/>
      <c r="E46" s="99"/>
      <c r="F46" s="99"/>
      <c r="G46" s="99"/>
      <c r="H46" s="99"/>
      <c r="I46" s="99"/>
      <c r="J46" s="113" t="s">
        <v>22</v>
      </c>
      <c r="K46" s="114">
        <f>SUM(K47,K52:K57)</f>
        <v>0.99999999999999978</v>
      </c>
      <c r="L46" s="114">
        <f>SUM(L47,L52:L57)</f>
        <v>0.99999999999999978</v>
      </c>
      <c r="M46" s="114">
        <f>SUM(M47,M52:M57)</f>
        <v>0.99999999999999978</v>
      </c>
      <c r="N46" s="114">
        <f>SUM(N47,N52:N57)</f>
        <v>0.99999999999999978</v>
      </c>
      <c r="O46" s="114">
        <f>SUM(O47,O52:O57)</f>
        <v>0.99999999999999978</v>
      </c>
      <c r="P46" s="12"/>
      <c r="R46" s="12"/>
      <c r="S46" s="23"/>
      <c r="T46" s="12"/>
      <c r="U46" s="12"/>
      <c r="V46" s="12"/>
      <c r="W46" s="12"/>
      <c r="X46" s="12"/>
      <c r="Y46" s="12"/>
      <c r="Z46" s="12"/>
    </row>
    <row r="47" spans="1:33" x14ac:dyDescent="0.2">
      <c r="A47" s="12"/>
      <c r="B47" s="12"/>
      <c r="C47" s="104" t="s">
        <v>66</v>
      </c>
      <c r="D47" s="198">
        <v>1.5</v>
      </c>
      <c r="E47" s="99"/>
      <c r="F47" s="99"/>
      <c r="G47" s="99"/>
      <c r="H47" s="99"/>
      <c r="I47" s="99"/>
      <c r="J47" s="104" t="s">
        <v>0</v>
      </c>
      <c r="K47" s="115">
        <f>1/7</f>
        <v>0.14285714285714285</v>
      </c>
      <c r="L47" s="116">
        <f>K47</f>
        <v>0.14285714285714285</v>
      </c>
      <c r="M47" s="116">
        <f>L47</f>
        <v>0.14285714285714285</v>
      </c>
      <c r="N47" s="116">
        <f>M47</f>
        <v>0.14285714285714285</v>
      </c>
      <c r="O47" s="116">
        <f>N47</f>
        <v>0.14285714285714285</v>
      </c>
      <c r="P47" s="12"/>
      <c r="R47" s="12"/>
      <c r="S47" s="12"/>
      <c r="T47" s="12"/>
      <c r="U47" s="12"/>
      <c r="V47" s="12"/>
      <c r="W47" s="12"/>
      <c r="X47" s="12"/>
      <c r="Y47" s="12"/>
      <c r="AD47" s="12"/>
      <c r="AE47" s="12"/>
      <c r="AF47" s="12"/>
      <c r="AG47" s="12"/>
    </row>
    <row r="48" spans="1:33" x14ac:dyDescent="0.2">
      <c r="A48" s="12"/>
      <c r="B48" s="12"/>
      <c r="C48" s="104" t="s">
        <v>95</v>
      </c>
      <c r="D48" s="105">
        <v>0.4</v>
      </c>
      <c r="E48" s="104" t="s">
        <v>106</v>
      </c>
      <c r="F48" s="99"/>
      <c r="G48" s="99"/>
      <c r="H48" s="99"/>
      <c r="I48" s="99"/>
      <c r="J48" s="169" t="s">
        <v>7</v>
      </c>
      <c r="K48" s="99"/>
      <c r="L48" s="99"/>
      <c r="M48" s="99"/>
      <c r="N48" s="99"/>
      <c r="O48" s="99"/>
      <c r="P48" s="12"/>
      <c r="R48" s="12"/>
      <c r="S48" s="54" t="s">
        <v>176</v>
      </c>
      <c r="T48" s="12"/>
      <c r="U48" s="12"/>
      <c r="V48" s="12"/>
      <c r="W48" s="12"/>
      <c r="X48" s="12"/>
      <c r="Y48" s="12"/>
      <c r="Z48" s="54" t="s">
        <v>176</v>
      </c>
      <c r="AA48" s="12"/>
      <c r="AB48" s="12"/>
      <c r="AC48" s="12"/>
      <c r="AD48" s="12"/>
      <c r="AE48" s="12"/>
      <c r="AF48" s="12"/>
      <c r="AG48" s="12"/>
    </row>
    <row r="49" spans="1:33" x14ac:dyDescent="0.2">
      <c r="A49" s="12"/>
      <c r="B49" s="12"/>
      <c r="C49" s="104" t="s">
        <v>105</v>
      </c>
      <c r="D49" s="106">
        <v>2</v>
      </c>
      <c r="E49" s="99"/>
      <c r="F49" s="99"/>
      <c r="G49" s="99"/>
      <c r="H49" s="99"/>
      <c r="I49" s="99"/>
      <c r="J49" s="169" t="s">
        <v>10</v>
      </c>
      <c r="K49" s="99"/>
      <c r="L49" s="99"/>
      <c r="M49" s="99"/>
      <c r="N49" s="99"/>
      <c r="O49" s="99"/>
      <c r="P49" s="12"/>
      <c r="R49" s="12"/>
      <c r="S49" s="4" t="s">
        <v>175</v>
      </c>
      <c r="Y49" s="12"/>
      <c r="Z49" s="4" t="s">
        <v>186</v>
      </c>
      <c r="AF49" s="12"/>
      <c r="AG49" s="12"/>
    </row>
    <row r="50" spans="1:33" x14ac:dyDescent="0.2">
      <c r="A50" s="12"/>
      <c r="B50" s="12"/>
      <c r="C50" s="99"/>
      <c r="D50" s="99"/>
      <c r="E50" s="99"/>
      <c r="F50" s="99"/>
      <c r="G50" s="99"/>
      <c r="H50" s="99"/>
      <c r="I50" s="99"/>
      <c r="J50" s="169" t="s">
        <v>8</v>
      </c>
      <c r="K50" s="104"/>
      <c r="L50" s="104"/>
      <c r="M50" s="104"/>
      <c r="N50" s="104"/>
      <c r="O50" s="104"/>
      <c r="P50" s="12"/>
      <c r="R50" s="12"/>
      <c r="S50" s="188">
        <f>$W$18</f>
        <v>107.90393769019755</v>
      </c>
      <c r="T50" s="187">
        <v>9</v>
      </c>
      <c r="U50" s="187">
        <v>10</v>
      </c>
      <c r="V50" s="187">
        <v>11</v>
      </c>
      <c r="W50" s="187">
        <v>12</v>
      </c>
      <c r="X50" s="187">
        <v>13</v>
      </c>
      <c r="Z50" s="188">
        <f>$W$18</f>
        <v>107.90393769019755</v>
      </c>
      <c r="AA50" s="187">
        <v>9</v>
      </c>
      <c r="AB50" s="187">
        <v>10</v>
      </c>
      <c r="AC50" s="187">
        <v>11</v>
      </c>
      <c r="AD50" s="187">
        <v>12</v>
      </c>
      <c r="AE50" s="187">
        <v>13</v>
      </c>
    </row>
    <row r="51" spans="1:33" ht="13.5" thickBot="1" x14ac:dyDescent="0.25">
      <c r="A51" s="12"/>
      <c r="B51" s="12"/>
      <c r="C51" s="107" t="s">
        <v>21</v>
      </c>
      <c r="D51" s="107">
        <v>2015</v>
      </c>
      <c r="E51" s="107">
        <v>2016</v>
      </c>
      <c r="F51" s="107">
        <v>2017</v>
      </c>
      <c r="G51" s="107">
        <v>2018</v>
      </c>
      <c r="H51" s="107">
        <v>2019</v>
      </c>
      <c r="I51" s="99"/>
      <c r="J51" s="169" t="s">
        <v>9</v>
      </c>
      <c r="K51" s="104"/>
      <c r="L51" s="104"/>
      <c r="M51" s="104"/>
      <c r="N51" s="104"/>
      <c r="O51" s="104"/>
      <c r="P51" s="12"/>
      <c r="R51" s="12"/>
      <c r="S51" s="8">
        <v>9.5</v>
      </c>
      <c r="T51" s="186">
        <v>79.694086713675119</v>
      </c>
      <c r="U51" s="185">
        <v>68.970297861566223</v>
      </c>
      <c r="V51" s="185">
        <v>55.815147387193292</v>
      </c>
      <c r="W51" s="185">
        <v>40.471628419476133</v>
      </c>
      <c r="X51" s="185">
        <v>23.151397985606081</v>
      </c>
      <c r="Z51" s="8">
        <v>-10</v>
      </c>
      <c r="AA51" s="186">
        <v>134.21256664884652</v>
      </c>
      <c r="AB51" s="185">
        <v>127.38431849980179</v>
      </c>
      <c r="AC51" s="185">
        <v>117.85621424296869</v>
      </c>
      <c r="AD51" s="185">
        <v>105.89808066069725</v>
      </c>
      <c r="AE51" s="185">
        <v>91.744947997927738</v>
      </c>
    </row>
    <row r="52" spans="1:33" x14ac:dyDescent="0.2">
      <c r="A52" s="12"/>
      <c r="B52" s="12"/>
      <c r="C52" s="104" t="s">
        <v>77</v>
      </c>
      <c r="D52" s="108">
        <f>'Center cost &amp; synergy worksheet'!L10</f>
        <v>2.5649999999999999</v>
      </c>
      <c r="E52" s="108">
        <f>'Center cost &amp; synergy worksheet'!M10</f>
        <v>6.3937499999999998</v>
      </c>
      <c r="F52" s="108">
        <f>'Center cost &amp; synergy worksheet'!N10</f>
        <v>8.1300000000000008</v>
      </c>
      <c r="G52" s="108">
        <f>'Center cost &amp; synergy worksheet'!O10</f>
        <v>8.5425000000000004</v>
      </c>
      <c r="H52" s="108">
        <f>'Center cost &amp; synergy worksheet'!P10</f>
        <v>8.6549999999999994</v>
      </c>
      <c r="I52" s="99"/>
      <c r="J52" s="104" t="s">
        <v>1</v>
      </c>
      <c r="K52" s="115">
        <f t="shared" ref="K52:K57" si="5">1/7</f>
        <v>0.14285714285714285</v>
      </c>
      <c r="L52" s="117">
        <f t="shared" ref="L52:O57" si="6">K52</f>
        <v>0.14285714285714285</v>
      </c>
      <c r="M52" s="117">
        <f t="shared" si="6"/>
        <v>0.14285714285714285</v>
      </c>
      <c r="N52" s="117">
        <f t="shared" si="6"/>
        <v>0.14285714285714285</v>
      </c>
      <c r="O52" s="117">
        <f t="shared" si="6"/>
        <v>0.14285714285714285</v>
      </c>
      <c r="P52" s="12"/>
      <c r="R52" s="12"/>
      <c r="S52" s="8">
        <v>10</v>
      </c>
      <c r="T52" s="30">
        <v>105.67798601439495</v>
      </c>
      <c r="U52" s="185">
        <v>96.810839854280289</v>
      </c>
      <c r="V52" s="185">
        <v>85.384365670729835</v>
      </c>
      <c r="W52" s="185">
        <v>71.654345704711773</v>
      </c>
      <c r="X52" s="185">
        <v>55.843576826953836</v>
      </c>
      <c r="Z52" s="8">
        <v>0</v>
      </c>
      <c r="AA52" s="30">
        <v>173.09141202335309</v>
      </c>
      <c r="AB52" s="185">
        <v>169.04119665923963</v>
      </c>
      <c r="AC52" s="185">
        <v>162.09965331213118</v>
      </c>
      <c r="AD52" s="185">
        <v>152.55574468789905</v>
      </c>
      <c r="AE52" s="185">
        <v>140.66116920931711</v>
      </c>
    </row>
    <row r="53" spans="1:33" ht="13.5" thickBot="1" x14ac:dyDescent="0.25">
      <c r="A53" s="12"/>
      <c r="B53" s="12"/>
      <c r="C53" s="109" t="s">
        <v>78</v>
      </c>
      <c r="D53" s="110">
        <f>'Center cost &amp; synergy worksheet'!L15</f>
        <v>2.5649999999999999</v>
      </c>
      <c r="E53" s="110">
        <f>'Center cost &amp; synergy worksheet'!M15</f>
        <v>6.3937499999999998</v>
      </c>
      <c r="F53" s="110">
        <f>'Center cost &amp; synergy worksheet'!N15</f>
        <v>8.1300000000000008</v>
      </c>
      <c r="G53" s="110">
        <f>'Center cost &amp; synergy worksheet'!O15</f>
        <v>8.5425000000000004</v>
      </c>
      <c r="H53" s="110">
        <f>'Center cost &amp; synergy worksheet'!P15</f>
        <v>8.6549999999999994</v>
      </c>
      <c r="I53" s="99"/>
      <c r="J53" s="104" t="s">
        <v>2</v>
      </c>
      <c r="K53" s="115">
        <f t="shared" si="5"/>
        <v>0.14285714285714285</v>
      </c>
      <c r="L53" s="117">
        <f t="shared" si="6"/>
        <v>0.14285714285714285</v>
      </c>
      <c r="M53" s="117">
        <f t="shared" si="6"/>
        <v>0.14285714285714285</v>
      </c>
      <c r="N53" s="117">
        <f t="shared" si="6"/>
        <v>0.14285714285714285</v>
      </c>
      <c r="O53" s="117">
        <f t="shared" si="6"/>
        <v>0.14285714285714285</v>
      </c>
      <c r="P53" s="12"/>
      <c r="R53" s="12"/>
      <c r="S53" s="8">
        <v>10.5</v>
      </c>
      <c r="T53" s="30">
        <v>131.66188531511466</v>
      </c>
      <c r="U53" s="185">
        <v>124.65138184699424</v>
      </c>
      <c r="V53" s="185">
        <v>114.95358395426626</v>
      </c>
      <c r="W53" s="185">
        <v>102.8370629899473</v>
      </c>
      <c r="X53" s="185">
        <v>88.535755668301476</v>
      </c>
      <c r="Z53" s="8">
        <v>5</v>
      </c>
      <c r="AA53" s="30">
        <v>192.53083471060643</v>
      </c>
      <c r="AB53" s="185">
        <v>189.86963573895855</v>
      </c>
      <c r="AC53" s="185">
        <v>184.22137284671237</v>
      </c>
      <c r="AD53" s="185">
        <v>175.88457670150001</v>
      </c>
      <c r="AE53" s="185">
        <v>165.11927981501174</v>
      </c>
    </row>
    <row r="54" spans="1:33" x14ac:dyDescent="0.2">
      <c r="A54" s="12"/>
      <c r="B54" s="12"/>
      <c r="C54" s="104" t="s">
        <v>81</v>
      </c>
      <c r="D54" s="60">
        <f>IF(D$51&lt;=$K$11,0,SUM(D$55,$D$49))</f>
        <v>0</v>
      </c>
      <c r="E54" s="60">
        <f>IF(E$51&lt;=$K$11,0,SUM(E$55,$D$49))</f>
        <v>0</v>
      </c>
      <c r="F54" s="60">
        <f>IF(F$51&lt;=$K$11,0,SUM(F$55,$D$49))</f>
        <v>0</v>
      </c>
      <c r="G54" s="60">
        <f>IF(G$51&lt;=$K$11,0,SUM(G$55,$D$49))</f>
        <v>5.4169999999999998</v>
      </c>
      <c r="H54" s="60">
        <f>IF(H$51&lt;=$K$11,0,SUM(H$55,$D$49))</f>
        <v>5.4619999999999997</v>
      </c>
      <c r="I54" s="99"/>
      <c r="J54" s="104" t="s">
        <v>3</v>
      </c>
      <c r="K54" s="115">
        <f t="shared" si="5"/>
        <v>0.14285714285714285</v>
      </c>
      <c r="L54" s="117">
        <f t="shared" si="6"/>
        <v>0.14285714285714285</v>
      </c>
      <c r="M54" s="117">
        <f t="shared" si="6"/>
        <v>0.14285714285714285</v>
      </c>
      <c r="N54" s="117">
        <f t="shared" si="6"/>
        <v>0.14285714285714285</v>
      </c>
      <c r="O54" s="117">
        <f t="shared" si="6"/>
        <v>0.14285714285714285</v>
      </c>
      <c r="P54" s="12"/>
      <c r="R54" s="12"/>
      <c r="S54" s="8">
        <v>11</v>
      </c>
      <c r="T54" s="30">
        <v>157.64578461583449</v>
      </c>
      <c r="U54" s="185">
        <v>152.49192383970831</v>
      </c>
      <c r="V54" s="185">
        <v>144.52280223780281</v>
      </c>
      <c r="W54" s="185">
        <v>134.01978027518294</v>
      </c>
      <c r="X54" s="185">
        <v>121.22793450964923</v>
      </c>
      <c r="Z54" s="8">
        <v>10</v>
      </c>
      <c r="AA54" s="30">
        <v>211.97025739785965</v>
      </c>
      <c r="AB54" s="185">
        <v>210.69807481867747</v>
      </c>
      <c r="AC54" s="185">
        <v>206.34309238129367</v>
      </c>
      <c r="AD54" s="185">
        <v>199.21340871510097</v>
      </c>
      <c r="AE54" s="185">
        <v>189.57739042070648</v>
      </c>
    </row>
    <row r="55" spans="1:33" x14ac:dyDescent="0.2">
      <c r="A55" s="12"/>
      <c r="B55" s="12"/>
      <c r="C55" s="111" t="s">
        <v>80</v>
      </c>
      <c r="D55" s="112">
        <f>$D$48*'Center cost &amp; synergy worksheet'!L$11</f>
        <v>1.026</v>
      </c>
      <c r="E55" s="112">
        <f>$D$48*'Center cost &amp; synergy worksheet'!M$11</f>
        <v>2.5575000000000001</v>
      </c>
      <c r="F55" s="112">
        <f>$D$48*'Center cost &amp; synergy worksheet'!N$11</f>
        <v>3.2520000000000007</v>
      </c>
      <c r="G55" s="112">
        <f>$D$48*'Center cost &amp; synergy worksheet'!O$11</f>
        <v>3.4170000000000003</v>
      </c>
      <c r="H55" s="112">
        <f>$D$48*'Center cost &amp; synergy worksheet'!P$11</f>
        <v>3.4619999999999997</v>
      </c>
      <c r="I55" s="99"/>
      <c r="J55" s="104" t="s">
        <v>4</v>
      </c>
      <c r="K55" s="115">
        <f t="shared" si="5"/>
        <v>0.14285714285714285</v>
      </c>
      <c r="L55" s="117">
        <f t="shared" si="6"/>
        <v>0.14285714285714285</v>
      </c>
      <c r="M55" s="117">
        <f t="shared" si="6"/>
        <v>0.14285714285714285</v>
      </c>
      <c r="N55" s="117">
        <f t="shared" si="6"/>
        <v>0.14285714285714285</v>
      </c>
      <c r="O55" s="117">
        <f t="shared" si="6"/>
        <v>0.14285714285714285</v>
      </c>
      <c r="P55" s="12"/>
      <c r="R55" s="12"/>
      <c r="S55" s="8">
        <v>11.5</v>
      </c>
      <c r="T55" s="30">
        <v>183.6296839165542</v>
      </c>
      <c r="U55" s="185">
        <v>180.33246583242237</v>
      </c>
      <c r="V55" s="185">
        <v>174.09202052133924</v>
      </c>
      <c r="W55" s="185">
        <v>165.20249756041846</v>
      </c>
      <c r="X55" s="185">
        <v>153.92011335099687</v>
      </c>
      <c r="Z55" s="8">
        <v>20</v>
      </c>
      <c r="AA55" s="30">
        <v>250.849102772366</v>
      </c>
      <c r="AB55" s="185">
        <v>252.35495297811508</v>
      </c>
      <c r="AC55" s="185">
        <v>250.58653145045582</v>
      </c>
      <c r="AD55" s="185">
        <v>245.87107274230254</v>
      </c>
      <c r="AE55" s="185">
        <v>238.49361163209551</v>
      </c>
    </row>
    <row r="56" spans="1:33" x14ac:dyDescent="0.2">
      <c r="A56" s="12"/>
      <c r="B56" s="12"/>
      <c r="C56" s="111"/>
      <c r="D56" s="99"/>
      <c r="E56" s="99"/>
      <c r="F56" s="99"/>
      <c r="G56" s="99"/>
      <c r="H56" s="99"/>
      <c r="I56" s="99"/>
      <c r="J56" s="104" t="s">
        <v>5</v>
      </c>
      <c r="K56" s="115">
        <f t="shared" si="5"/>
        <v>0.14285714285714285</v>
      </c>
      <c r="L56" s="117">
        <f t="shared" si="6"/>
        <v>0.14285714285714285</v>
      </c>
      <c r="M56" s="117">
        <f t="shared" si="6"/>
        <v>0.14285714285714285</v>
      </c>
      <c r="N56" s="117">
        <f t="shared" si="6"/>
        <v>0.14285714285714285</v>
      </c>
      <c r="O56" s="117">
        <f t="shared" si="6"/>
        <v>0.14285714285714285</v>
      </c>
      <c r="P56" s="12"/>
      <c r="R56" s="12"/>
    </row>
    <row r="57" spans="1:33" x14ac:dyDescent="0.2">
      <c r="A57" s="12"/>
      <c r="B57" s="12"/>
      <c r="C57" s="104" t="s">
        <v>84</v>
      </c>
      <c r="D57" s="60">
        <f>IF(D$51&lt;=$K$11,0,SUM(D$58,$D$49))</f>
        <v>0</v>
      </c>
      <c r="E57" s="60">
        <f>IF(E$51&lt;=$K$11,0,SUM(E$58,$D$49))</f>
        <v>0</v>
      </c>
      <c r="F57" s="60">
        <f>IF(F$51&lt;=$K$11,0,SUM(F$58,$D$49))</f>
        <v>0</v>
      </c>
      <c r="G57" s="60">
        <f>IF(G$51&lt;=$K$11,0,SUM(G$58,$D$49))</f>
        <v>5.4169999999999998</v>
      </c>
      <c r="H57" s="60">
        <f>IF(H$51&lt;=$K$11,0,SUM(H$58,$D$49))</f>
        <v>5.4619999999999997</v>
      </c>
      <c r="I57" s="99"/>
      <c r="J57" s="118" t="s">
        <v>6</v>
      </c>
      <c r="K57" s="119">
        <f t="shared" si="5"/>
        <v>0.14285714285714285</v>
      </c>
      <c r="L57" s="120">
        <f t="shared" si="6"/>
        <v>0.14285714285714285</v>
      </c>
      <c r="M57" s="120">
        <f t="shared" si="6"/>
        <v>0.14285714285714285</v>
      </c>
      <c r="N57" s="120">
        <f t="shared" si="6"/>
        <v>0.14285714285714285</v>
      </c>
      <c r="O57" s="120">
        <f t="shared" si="6"/>
        <v>0.14285714285714285</v>
      </c>
      <c r="P57" s="12"/>
      <c r="R57" s="12"/>
      <c r="S57" s="54" t="s">
        <v>177</v>
      </c>
      <c r="T57" s="12"/>
      <c r="U57" s="12"/>
      <c r="V57" s="12"/>
      <c r="W57" s="12"/>
      <c r="X57" s="12"/>
      <c r="Z57" s="54" t="s">
        <v>177</v>
      </c>
      <c r="AA57" s="12"/>
      <c r="AB57" s="12"/>
      <c r="AC57" s="12"/>
      <c r="AD57" s="12"/>
      <c r="AE57" s="12"/>
    </row>
    <row r="58" spans="1:33" x14ac:dyDescent="0.2">
      <c r="A58" s="12"/>
      <c r="B58" s="12"/>
      <c r="C58" s="111" t="s">
        <v>80</v>
      </c>
      <c r="D58" s="112">
        <f>$D$48*'Center cost &amp; synergy worksheet'!L$16</f>
        <v>1.026</v>
      </c>
      <c r="E58" s="112">
        <f>$D$48*'Center cost &amp; synergy worksheet'!M$16</f>
        <v>2.5575000000000001</v>
      </c>
      <c r="F58" s="112">
        <f>$D$48*'Center cost &amp; synergy worksheet'!N$16</f>
        <v>3.2520000000000007</v>
      </c>
      <c r="G58" s="112">
        <f>$D$48*'Center cost &amp; synergy worksheet'!O$16</f>
        <v>3.4170000000000003</v>
      </c>
      <c r="H58" s="112">
        <f>$D$48*'Center cost &amp; synergy worksheet'!P$16</f>
        <v>3.4619999999999997</v>
      </c>
      <c r="I58" s="99"/>
      <c r="J58" s="99"/>
      <c r="K58" s="99"/>
      <c r="L58" s="99"/>
      <c r="M58" s="99"/>
      <c r="N58" s="99"/>
      <c r="O58" s="99"/>
      <c r="P58" s="12"/>
      <c r="R58" s="12"/>
      <c r="S58" s="4" t="s">
        <v>175</v>
      </c>
      <c r="Y58" s="12"/>
      <c r="Z58" s="4" t="s">
        <v>187</v>
      </c>
      <c r="AF58" s="12"/>
      <c r="AG58" s="12"/>
    </row>
    <row r="59" spans="1:33" x14ac:dyDescent="0.2">
      <c r="A59" s="12"/>
      <c r="B59" s="12"/>
      <c r="C59" s="111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12"/>
      <c r="R59" s="12"/>
      <c r="S59" s="188">
        <f>$W$19</f>
        <v>23.792353311161747</v>
      </c>
      <c r="T59" s="187">
        <v>6</v>
      </c>
      <c r="U59" s="187">
        <v>6.5</v>
      </c>
      <c r="V59" s="187">
        <v>7</v>
      </c>
      <c r="W59" s="187">
        <v>7.5</v>
      </c>
      <c r="X59" s="187">
        <v>8</v>
      </c>
      <c r="Y59"/>
      <c r="Z59" s="188">
        <f>$W$19</f>
        <v>23.792353311161747</v>
      </c>
      <c r="AA59" s="187">
        <v>6</v>
      </c>
      <c r="AB59" s="187">
        <v>6.5</v>
      </c>
      <c r="AC59" s="187">
        <v>7</v>
      </c>
      <c r="AD59" s="187">
        <v>7.5</v>
      </c>
      <c r="AE59" s="187">
        <v>8</v>
      </c>
      <c r="AF59" s="12"/>
      <c r="AG59" s="12"/>
    </row>
    <row r="60" spans="1:33" x14ac:dyDescent="0.2">
      <c r="A60" s="12"/>
      <c r="B60" s="12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12"/>
      <c r="R60" s="12"/>
      <c r="S60" s="8">
        <v>9.5</v>
      </c>
      <c r="T60" s="186">
        <v>17.177968803832471</v>
      </c>
      <c r="U60" s="185">
        <v>17.521006752412092</v>
      </c>
      <c r="V60" s="185">
        <v>17.714013798059568</v>
      </c>
      <c r="W60" s="185">
        <v>17.760310543214132</v>
      </c>
      <c r="X60" s="185">
        <v>17.663120315706863</v>
      </c>
      <c r="Y60"/>
      <c r="Z60" s="8">
        <v>-10</v>
      </c>
      <c r="AA60" s="186">
        <v>31.995137016269126</v>
      </c>
      <c r="AB60" s="185">
        <v>33.452740753776311</v>
      </c>
      <c r="AC60" s="185">
        <v>34.743745723774282</v>
      </c>
      <c r="AD60" s="185">
        <v>35.871839221766578</v>
      </c>
      <c r="AE60" s="185">
        <v>36.840600526644579</v>
      </c>
    </row>
    <row r="61" spans="1:33" x14ac:dyDescent="0.2">
      <c r="A61" s="12"/>
      <c r="B61" s="12"/>
      <c r="I61" s="12"/>
      <c r="P61" s="12"/>
      <c r="R61" s="12"/>
      <c r="S61" s="8">
        <v>10</v>
      </c>
      <c r="T61" s="30">
        <v>24.23993764837104</v>
      </c>
      <c r="U61" s="185">
        <v>25.114185661096968</v>
      </c>
      <c r="V61" s="185">
        <v>25.830506407578497</v>
      </c>
      <c r="W61" s="185">
        <v>26.392395258804385</v>
      </c>
      <c r="X61" s="185">
        <v>26.803245191438805</v>
      </c>
      <c r="Y61"/>
      <c r="Z61" s="8">
        <v>0</v>
      </c>
      <c r="AA61" s="30">
        <v>42.561726409524397</v>
      </c>
      <c r="AB61" s="185">
        <v>44.814162119950794</v>
      </c>
      <c r="AC61" s="185">
        <v>46.8881839967502</v>
      </c>
      <c r="AD61" s="185">
        <v>48.787740835801031</v>
      </c>
      <c r="AE61" s="185">
        <v>50.516665755908377</v>
      </c>
    </row>
    <row r="62" spans="1:33" x14ac:dyDescent="0.2">
      <c r="A62" s="12"/>
      <c r="B62" s="12"/>
      <c r="C62" s="206" t="s">
        <v>163</v>
      </c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12"/>
      <c r="R62" s="12"/>
      <c r="S62" s="8">
        <v>10.5</v>
      </c>
      <c r="T62" s="30">
        <v>31.30190649290958</v>
      </c>
      <c r="U62" s="185">
        <v>32.707364569781788</v>
      </c>
      <c r="V62" s="185">
        <v>33.946999017097426</v>
      </c>
      <c r="W62" s="185">
        <v>35.02447997439458</v>
      </c>
      <c r="X62" s="185">
        <v>35.943370067170747</v>
      </c>
      <c r="Y62"/>
      <c r="Z62" s="8">
        <v>5</v>
      </c>
      <c r="AA62" s="30">
        <v>47.845021106152018</v>
      </c>
      <c r="AB62" s="185">
        <v>50.494872803038021</v>
      </c>
      <c r="AC62" s="185">
        <v>52.960403133238117</v>
      </c>
      <c r="AD62" s="185">
        <v>55.24569164281823</v>
      </c>
      <c r="AE62" s="185">
        <v>57.354698370540206</v>
      </c>
    </row>
    <row r="63" spans="1:33" x14ac:dyDescent="0.2">
      <c r="A63" s="12"/>
      <c r="B63" s="12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12"/>
      <c r="R63" s="12"/>
      <c r="S63" s="8">
        <v>11</v>
      </c>
      <c r="T63" s="30">
        <v>38.36387533744815</v>
      </c>
      <c r="U63" s="185">
        <v>40.300543478466665</v>
      </c>
      <c r="V63" s="185">
        <v>42.063491626616354</v>
      </c>
      <c r="W63" s="185">
        <v>43.656564689984833</v>
      </c>
      <c r="X63" s="185">
        <v>45.083494942902718</v>
      </c>
      <c r="Y63"/>
      <c r="Z63" s="8">
        <v>10</v>
      </c>
      <c r="AA63" s="30">
        <v>53.128315802779582</v>
      </c>
      <c r="AB63" s="185">
        <v>56.17558348612522</v>
      </c>
      <c r="AC63" s="185">
        <v>59.032622269726005</v>
      </c>
      <c r="AD63" s="185">
        <v>61.703642449835371</v>
      </c>
      <c r="AE63" s="185">
        <v>64.192730985172034</v>
      </c>
    </row>
    <row r="64" spans="1:33" x14ac:dyDescent="0.2">
      <c r="A64" s="12"/>
      <c r="B64" s="12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12"/>
      <c r="R64" s="12"/>
      <c r="S64" s="8">
        <v>11.5</v>
      </c>
      <c r="T64" s="30">
        <v>45.42584418198669</v>
      </c>
      <c r="U64" s="185">
        <v>47.893722387151485</v>
      </c>
      <c r="V64" s="185">
        <v>50.179984236135283</v>
      </c>
      <c r="W64" s="185">
        <v>52.288649405575029</v>
      </c>
      <c r="X64" s="185">
        <v>54.223619818634631</v>
      </c>
      <c r="Y64"/>
      <c r="Z64" s="8">
        <v>20</v>
      </c>
      <c r="AA64" s="30">
        <v>63.694905196034881</v>
      </c>
      <c r="AB64" s="185">
        <v>67.537004852299731</v>
      </c>
      <c r="AC64" s="185">
        <v>71.177060542701952</v>
      </c>
      <c r="AD64" s="185">
        <v>74.619544063869853</v>
      </c>
      <c r="AE64" s="185">
        <v>77.868796214435832</v>
      </c>
    </row>
    <row r="65" spans="1:31" x14ac:dyDescent="0.2">
      <c r="A65" s="12"/>
      <c r="B65" s="12"/>
      <c r="P65" s="12"/>
      <c r="R65" s="12"/>
      <c r="Y65"/>
    </row>
    <row r="66" spans="1:31" x14ac:dyDescent="0.2">
      <c r="A66" s="12"/>
      <c r="B66" s="12"/>
      <c r="P66" s="12"/>
      <c r="R66" s="12"/>
      <c r="S66" s="54" t="s">
        <v>178</v>
      </c>
      <c r="T66" s="12"/>
      <c r="U66" s="12"/>
      <c r="V66" s="12"/>
      <c r="W66" s="12"/>
      <c r="X66" s="12"/>
      <c r="Y66"/>
      <c r="Z66" s="54" t="s">
        <v>179</v>
      </c>
      <c r="AA66" s="12"/>
      <c r="AB66" s="12"/>
      <c r="AC66" s="12"/>
      <c r="AD66" s="12"/>
      <c r="AE66" s="12"/>
    </row>
    <row r="67" spans="1:31" x14ac:dyDescent="0.2">
      <c r="A67" s="12"/>
      <c r="B67" s="12"/>
      <c r="P67" s="12"/>
      <c r="R67" s="12"/>
      <c r="S67" s="4" t="s">
        <v>175</v>
      </c>
      <c r="Y67"/>
      <c r="Z67" s="4" t="s">
        <v>187</v>
      </c>
    </row>
    <row r="68" spans="1:31" x14ac:dyDescent="0.2">
      <c r="A68" s="12"/>
      <c r="B68" s="12"/>
      <c r="P68" s="12"/>
      <c r="R68" s="12"/>
      <c r="S68" s="188">
        <f>$W$13</f>
        <v>53.036837055755257</v>
      </c>
      <c r="T68" s="187">
        <v>6.5</v>
      </c>
      <c r="U68" s="187">
        <v>7</v>
      </c>
      <c r="V68" s="187">
        <v>7.5</v>
      </c>
      <c r="W68" s="187">
        <v>8</v>
      </c>
      <c r="X68" s="187">
        <v>8.5</v>
      </c>
      <c r="Y68" s="12"/>
      <c r="Z68" s="188">
        <f>$W$21</f>
        <v>48.824435729587208</v>
      </c>
      <c r="AA68" s="187">
        <v>7</v>
      </c>
      <c r="AB68" s="187">
        <v>8</v>
      </c>
      <c r="AC68" s="187">
        <v>9</v>
      </c>
      <c r="AD68" s="187">
        <v>10</v>
      </c>
      <c r="AE68" s="187">
        <v>11</v>
      </c>
    </row>
    <row r="69" spans="1:31" ht="12.75" customHeight="1" x14ac:dyDescent="0.2">
      <c r="A69" s="12"/>
      <c r="B69" s="12"/>
      <c r="P69" s="12"/>
      <c r="R69" s="12"/>
      <c r="S69" s="8">
        <v>9.5</v>
      </c>
      <c r="T69" s="186">
        <v>44.431075420056061</v>
      </c>
      <c r="U69" s="185">
        <v>42.508704752551239</v>
      </c>
      <c r="V69" s="185">
        <v>40.002717389872657</v>
      </c>
      <c r="W69" s="185">
        <v>36.940117975549924</v>
      </c>
      <c r="X69" s="185">
        <v>33.346270409894771</v>
      </c>
      <c r="Y69" s="12"/>
      <c r="Z69" s="8">
        <v>-10</v>
      </c>
      <c r="AA69" s="186">
        <v>36.17021244353117</v>
      </c>
      <c r="AB69" s="185">
        <v>38.684548642975869</v>
      </c>
      <c r="AC69" s="185">
        <v>40.618634965923292</v>
      </c>
      <c r="AD69" s="185">
        <v>41.996333814325226</v>
      </c>
      <c r="AE69" s="185">
        <v>42.840216849241557</v>
      </c>
    </row>
    <row r="70" spans="1:31" x14ac:dyDescent="0.2">
      <c r="A70" s="12"/>
      <c r="B70" s="12"/>
      <c r="P70" s="12"/>
      <c r="R70" s="12"/>
      <c r="S70" s="8">
        <v>10</v>
      </c>
      <c r="T70" s="30">
        <v>60.830079389532727</v>
      </c>
      <c r="U70" s="185">
        <v>59.888110265843409</v>
      </c>
      <c r="V70" s="185">
        <v>58.331807778813356</v>
      </c>
      <c r="W70" s="185">
        <v>56.189597868999954</v>
      </c>
      <c r="X70" s="185">
        <v>53.488179378836662</v>
      </c>
      <c r="Y70" s="12"/>
      <c r="Z70" s="8">
        <v>0</v>
      </c>
      <c r="AA70" s="30">
        <v>47.849925193326783</v>
      </c>
      <c r="AB70" s="185">
        <v>51.844654471599853</v>
      </c>
      <c r="AC70" s="185">
        <v>55.217982964769448</v>
      </c>
      <c r="AD70" s="185">
        <v>57.995465379364504</v>
      </c>
      <c r="AE70" s="185">
        <v>60.201274142595707</v>
      </c>
    </row>
    <row r="71" spans="1:31" x14ac:dyDescent="0.2">
      <c r="A71" s="12"/>
      <c r="B71" s="12"/>
      <c r="P71" s="12"/>
      <c r="R71" s="12"/>
      <c r="S71" s="8">
        <v>10.5</v>
      </c>
      <c r="T71" s="30">
        <v>77.229083359009394</v>
      </c>
      <c r="U71" s="185">
        <v>77.267515779135579</v>
      </c>
      <c r="V71" s="185">
        <v>76.660898167753999</v>
      </c>
      <c r="W71" s="185">
        <v>75.439077762449926</v>
      </c>
      <c r="X71" s="185">
        <v>73.63008834777844</v>
      </c>
      <c r="Y71" s="24"/>
      <c r="Z71" s="8">
        <v>5</v>
      </c>
      <c r="AA71" s="30">
        <v>53.689781568224561</v>
      </c>
      <c r="AB71" s="185">
        <v>58.424707385911773</v>
      </c>
      <c r="AC71" s="185">
        <v>62.517656964192469</v>
      </c>
      <c r="AD71" s="185">
        <v>65.995031161884071</v>
      </c>
      <c r="AE71" s="185">
        <v>68.881802789272797</v>
      </c>
    </row>
    <row r="72" spans="1:31" x14ac:dyDescent="0.2">
      <c r="A72" s="12"/>
      <c r="B72" s="12"/>
      <c r="P72" s="12"/>
      <c r="R72" s="12"/>
      <c r="S72" s="8">
        <v>11</v>
      </c>
      <c r="T72" s="30">
        <v>93.62808732848606</v>
      </c>
      <c r="U72" s="185">
        <v>94.646921292427805</v>
      </c>
      <c r="V72" s="185">
        <v>94.989988556694698</v>
      </c>
      <c r="W72" s="185">
        <v>94.688557655899956</v>
      </c>
      <c r="X72" s="185">
        <v>93.771997316720331</v>
      </c>
      <c r="Y72" s="24"/>
      <c r="Z72" s="8">
        <v>10</v>
      </c>
      <c r="AA72" s="30">
        <v>59.52963794312231</v>
      </c>
      <c r="AB72" s="185">
        <v>65.004760300223694</v>
      </c>
      <c r="AC72" s="185">
        <v>69.81733096361549</v>
      </c>
      <c r="AD72" s="185">
        <v>73.994596944403639</v>
      </c>
      <c r="AE72" s="185">
        <v>77.562331435949773</v>
      </c>
    </row>
    <row r="73" spans="1:31" x14ac:dyDescent="0.2">
      <c r="A73" s="12"/>
      <c r="B73" s="12"/>
      <c r="P73" s="12"/>
      <c r="R73" s="12"/>
      <c r="S73" s="8">
        <v>11.5</v>
      </c>
      <c r="T73" s="30">
        <v>110.02709129796267</v>
      </c>
      <c r="U73" s="185">
        <v>112.02632680571992</v>
      </c>
      <c r="V73" s="185">
        <v>113.31907894563534</v>
      </c>
      <c r="W73" s="185">
        <v>113.93803754934993</v>
      </c>
      <c r="X73" s="185">
        <v>113.91390628566211</v>
      </c>
      <c r="Y73" s="24"/>
      <c r="Z73" s="8">
        <v>20</v>
      </c>
      <c r="AA73" s="30">
        <v>71.209350692917951</v>
      </c>
      <c r="AB73" s="185">
        <v>78.164866128847706</v>
      </c>
      <c r="AC73" s="185">
        <v>84.416678962461674</v>
      </c>
      <c r="AD73" s="185">
        <v>89.993728509442946</v>
      </c>
      <c r="AE73" s="185">
        <v>94.923388729304008</v>
      </c>
    </row>
    <row r="74" spans="1:31" x14ac:dyDescent="0.2">
      <c r="A74" s="12"/>
      <c r="B74" s="12"/>
      <c r="P74" s="12"/>
      <c r="R74" s="12"/>
      <c r="S74"/>
      <c r="T74"/>
      <c r="U74"/>
      <c r="V74"/>
      <c r="W74"/>
      <c r="X74"/>
      <c r="Y74" s="12"/>
      <c r="Z74"/>
      <c r="AA74"/>
      <c r="AB74"/>
      <c r="AC74"/>
      <c r="AD74"/>
      <c r="AE74"/>
    </row>
    <row r="75" spans="1:31" x14ac:dyDescent="0.2">
      <c r="A75" s="12"/>
      <c r="B75" s="12"/>
      <c r="P75" s="12"/>
      <c r="R75" s="12"/>
      <c r="S75" s="54" t="s">
        <v>179</v>
      </c>
      <c r="T75" s="12"/>
      <c r="U75" s="12"/>
      <c r="V75" s="12"/>
      <c r="W75" s="12"/>
      <c r="X75" s="12"/>
      <c r="Y75" s="12"/>
      <c r="Z75" s="54" t="s">
        <v>176</v>
      </c>
      <c r="AA75" s="12"/>
      <c r="AB75" s="12"/>
      <c r="AC75" s="12"/>
      <c r="AD75" s="12"/>
      <c r="AE75" s="12"/>
    </row>
    <row r="76" spans="1:31" x14ac:dyDescent="0.2">
      <c r="A76" s="12"/>
      <c r="B76" s="12"/>
      <c r="P76" s="12"/>
      <c r="R76" s="12"/>
      <c r="S76" s="4" t="s">
        <v>175</v>
      </c>
      <c r="Y76" s="12"/>
      <c r="Z76" s="4" t="s">
        <v>185</v>
      </c>
    </row>
    <row r="77" spans="1:31" x14ac:dyDescent="0.2">
      <c r="A77" s="12"/>
      <c r="B77" s="12"/>
      <c r="P77" s="12"/>
      <c r="R77" s="12"/>
      <c r="S77" s="188">
        <f>$W$21</f>
        <v>48.824435729587208</v>
      </c>
      <c r="T77" s="187">
        <v>7</v>
      </c>
      <c r="U77" s="187">
        <v>8</v>
      </c>
      <c r="V77" s="187">
        <v>9</v>
      </c>
      <c r="W77" s="187">
        <v>10</v>
      </c>
      <c r="X77" s="187">
        <v>11</v>
      </c>
      <c r="Y77" s="12"/>
      <c r="Z77" s="188">
        <f>$W$18</f>
        <v>107.90393769019755</v>
      </c>
      <c r="AA77" s="187">
        <v>9.5</v>
      </c>
      <c r="AB77" s="187">
        <v>10</v>
      </c>
      <c r="AC77" s="187">
        <v>10.5</v>
      </c>
      <c r="AD77" s="187">
        <v>11</v>
      </c>
      <c r="AE77" s="187">
        <v>11.5</v>
      </c>
    </row>
    <row r="78" spans="1:31" x14ac:dyDescent="0.2">
      <c r="A78" s="12"/>
      <c r="B78" s="12"/>
      <c r="P78" s="12"/>
      <c r="R78" s="12"/>
      <c r="S78" s="8">
        <v>9.5</v>
      </c>
      <c r="T78" s="186">
        <v>19.792149281814261</v>
      </c>
      <c r="U78" s="185">
        <v>20.230580716422736</v>
      </c>
      <c r="V78" s="185">
        <v>20.146466791310246</v>
      </c>
      <c r="W78" s="185">
        <v>19.561296847391503</v>
      </c>
      <c r="X78" s="185">
        <v>18.49539784590462</v>
      </c>
      <c r="Y78" s="12"/>
      <c r="Z78" s="8">
        <v>-10</v>
      </c>
      <c r="AA78" s="186">
        <v>10.213166400827447</v>
      </c>
      <c r="AB78" s="185">
        <v>36.171754106134244</v>
      </c>
      <c r="AC78" s="185">
        <v>62.130341811440871</v>
      </c>
      <c r="AD78" s="185">
        <v>88.088929516747612</v>
      </c>
      <c r="AE78" s="185">
        <v>114.04751722205435</v>
      </c>
    </row>
    <row r="79" spans="1:31" x14ac:dyDescent="0.2">
      <c r="A79" s="12"/>
      <c r="B79" s="12"/>
      <c r="P79" s="12"/>
      <c r="R79" s="12"/>
      <c r="S79" s="8">
        <v>10</v>
      </c>
      <c r="T79" s="30">
        <v>27.598051875593967</v>
      </c>
      <c r="U79" s="185">
        <v>29.025874438339713</v>
      </c>
      <c r="V79" s="185">
        <v>29.903649254010816</v>
      </c>
      <c r="W79" s="185">
        <v>30.253996681464741</v>
      </c>
      <c r="X79" s="185">
        <v>30.098313522004872</v>
      </c>
      <c r="Y79" s="12"/>
      <c r="Z79" s="8">
        <v>0</v>
      </c>
      <c r="AA79" s="30">
        <v>45.19149342165133</v>
      </c>
      <c r="AB79" s="185">
        <v>72.99104570700149</v>
      </c>
      <c r="AC79" s="185">
        <v>100.79059799235154</v>
      </c>
      <c r="AD79" s="185">
        <v>128.59015027770158</v>
      </c>
      <c r="AE79" s="185">
        <v>156.38970256305163</v>
      </c>
    </row>
    <row r="80" spans="1:31" x14ac:dyDescent="0.2">
      <c r="A80" s="12"/>
      <c r="B80" s="12"/>
      <c r="P80" s="12"/>
      <c r="S80" s="8">
        <v>10.5</v>
      </c>
      <c r="T80" s="30">
        <v>35.403954469373673</v>
      </c>
      <c r="U80" s="185">
        <v>37.82116816025669</v>
      </c>
      <c r="V80" s="185">
        <v>39.660831716711328</v>
      </c>
      <c r="W80" s="185">
        <v>40.94669651553798</v>
      </c>
      <c r="X80" s="185">
        <v>41.701229198105096</v>
      </c>
      <c r="Z80" s="8">
        <v>5</v>
      </c>
      <c r="AA80" s="30">
        <v>62.680656932063243</v>
      </c>
      <c r="AB80" s="185">
        <v>91.400691507435113</v>
      </c>
      <c r="AC80" s="185">
        <v>120.12072608280675</v>
      </c>
      <c r="AD80" s="185">
        <v>148.84076065817862</v>
      </c>
      <c r="AE80" s="185">
        <v>177.56079523355027</v>
      </c>
    </row>
    <row r="81" spans="1:31" x14ac:dyDescent="0.2">
      <c r="A81" s="12"/>
      <c r="B81" s="12"/>
      <c r="P81" s="12"/>
      <c r="S81" s="8">
        <v>11</v>
      </c>
      <c r="T81" s="30">
        <v>43.209857063153379</v>
      </c>
      <c r="U81" s="185">
        <v>46.616461882173695</v>
      </c>
      <c r="V81" s="185">
        <v>49.418014179411898</v>
      </c>
      <c r="W81" s="185">
        <v>51.639396349611218</v>
      </c>
      <c r="X81" s="185">
        <v>53.304144874205349</v>
      </c>
      <c r="Z81" s="8">
        <v>10</v>
      </c>
      <c r="AA81" s="30">
        <v>80.169820442475157</v>
      </c>
      <c r="AB81" s="185">
        <v>109.81033730786862</v>
      </c>
      <c r="AC81" s="185">
        <v>139.45085417326209</v>
      </c>
      <c r="AD81" s="185">
        <v>169.09137103865555</v>
      </c>
      <c r="AE81" s="185">
        <v>198.7318879040489</v>
      </c>
    </row>
    <row r="82" spans="1:31" x14ac:dyDescent="0.2">
      <c r="A82" s="12"/>
      <c r="B82" s="12"/>
      <c r="P82" s="12"/>
      <c r="S82" s="8">
        <v>11.5</v>
      </c>
      <c r="T82" s="30">
        <v>51.015759656933056</v>
      </c>
      <c r="U82" s="185">
        <v>55.411755604090672</v>
      </c>
      <c r="V82" s="185">
        <v>59.175196642112439</v>
      </c>
      <c r="W82" s="185">
        <v>62.332096183684456</v>
      </c>
      <c r="X82" s="185">
        <v>64.907060550305573</v>
      </c>
      <c r="Z82" s="8">
        <v>20</v>
      </c>
      <c r="AA82" s="30">
        <v>115.14814746329887</v>
      </c>
      <c r="AB82" s="185">
        <v>146.62962890873564</v>
      </c>
      <c r="AC82" s="185">
        <v>178.11111035417252</v>
      </c>
      <c r="AD82" s="185">
        <v>209.59259179960918</v>
      </c>
      <c r="AE82" s="185">
        <v>241.07407324504595</v>
      </c>
    </row>
    <row r="83" spans="1:31" x14ac:dyDescent="0.2">
      <c r="A83" s="12"/>
      <c r="B83" s="12"/>
      <c r="P83" s="12"/>
    </row>
    <row r="84" spans="1:31" x14ac:dyDescent="0.2">
      <c r="A84" s="12"/>
      <c r="B84" s="12"/>
      <c r="P84" s="12"/>
      <c r="S84" s="54" t="s">
        <v>180</v>
      </c>
      <c r="T84" s="12"/>
      <c r="U84" s="12"/>
      <c r="V84" s="12"/>
      <c r="W84" s="12"/>
      <c r="X84" s="12"/>
      <c r="Z84" s="54" t="s">
        <v>177</v>
      </c>
      <c r="AA84" s="12"/>
      <c r="AB84" s="12"/>
      <c r="AC84" s="12"/>
      <c r="AD84" s="12"/>
      <c r="AE84" s="12"/>
    </row>
    <row r="85" spans="1:31" x14ac:dyDescent="0.2">
      <c r="A85" s="12"/>
      <c r="B85" s="12"/>
      <c r="P85" s="12"/>
      <c r="S85" s="4" t="s">
        <v>175</v>
      </c>
      <c r="Z85" s="4" t="s">
        <v>183</v>
      </c>
    </row>
    <row r="86" spans="1:31" x14ac:dyDescent="0.2">
      <c r="A86" s="12"/>
      <c r="B86" s="12"/>
      <c r="P86" s="12"/>
      <c r="S86" s="188">
        <f>$W$20</f>
        <v>28.459567420579532</v>
      </c>
      <c r="T86" s="187">
        <v>7</v>
      </c>
      <c r="U86" s="187">
        <v>7.5</v>
      </c>
      <c r="V86" s="187">
        <v>8</v>
      </c>
      <c r="W86" s="187">
        <v>8.5</v>
      </c>
      <c r="X86" s="187">
        <v>9</v>
      </c>
      <c r="Z86" s="188">
        <f>$W$19</f>
        <v>23.792353311161747</v>
      </c>
      <c r="AA86" s="187">
        <v>9.5</v>
      </c>
      <c r="AB86" s="187">
        <v>10</v>
      </c>
      <c r="AC86" s="187">
        <v>10.5</v>
      </c>
      <c r="AD86" s="187">
        <v>11</v>
      </c>
      <c r="AE86" s="187">
        <v>11.5</v>
      </c>
    </row>
    <row r="87" spans="1:31" x14ac:dyDescent="0.2">
      <c r="A87" s="12"/>
      <c r="B87" s="12"/>
      <c r="P87" s="12"/>
      <c r="S87" s="8">
        <v>9.5</v>
      </c>
      <c r="T87" s="186">
        <v>18.766980580250703</v>
      </c>
      <c r="U87" s="185">
        <v>18.992611922258561</v>
      </c>
      <c r="V87" s="185">
        <v>19.086260035813268</v>
      </c>
      <c r="W87" s="185">
        <v>19.050680102211203</v>
      </c>
      <c r="X87" s="185">
        <v>18.888551145925902</v>
      </c>
      <c r="Z87" s="8">
        <v>-10</v>
      </c>
      <c r="AA87" s="186">
        <v>2.8863158014157761</v>
      </c>
      <c r="AB87" s="185">
        <v>10.222403253216612</v>
      </c>
      <c r="AC87" s="185">
        <v>17.558490705017448</v>
      </c>
      <c r="AD87" s="185">
        <v>24.894578156818255</v>
      </c>
      <c r="AE87" s="185">
        <v>32.23066560861912</v>
      </c>
    </row>
    <row r="88" spans="1:31" x14ac:dyDescent="0.2">
      <c r="A88" s="12"/>
      <c r="B88" s="12"/>
      <c r="P88" s="12"/>
      <c r="S88" s="8">
        <v>10</v>
      </c>
      <c r="T88" s="30">
        <v>26.527838110790213</v>
      </c>
      <c r="U88" s="185">
        <v>27.249139194482694</v>
      </c>
      <c r="V88" s="185">
        <v>27.831510564013968</v>
      </c>
      <c r="W88" s="185">
        <v>28.277852410222323</v>
      </c>
      <c r="X88" s="185">
        <v>28.590984758869382</v>
      </c>
      <c r="Z88" s="8">
        <v>0</v>
      </c>
      <c r="AA88" s="30">
        <v>12.771447799178304</v>
      </c>
      <c r="AB88" s="185">
        <v>20.627805356124554</v>
      </c>
      <c r="AC88" s="185">
        <v>28.484162913070776</v>
      </c>
      <c r="AD88" s="185">
        <v>36.340520470016997</v>
      </c>
      <c r="AE88" s="185">
        <v>44.196878026963219</v>
      </c>
    </row>
    <row r="89" spans="1:31" x14ac:dyDescent="0.2">
      <c r="A89" s="12"/>
      <c r="B89" s="12"/>
      <c r="P89" s="12"/>
      <c r="S89" s="8">
        <v>10.5</v>
      </c>
      <c r="T89" s="30">
        <v>34.288695641329724</v>
      </c>
      <c r="U89" s="185">
        <v>35.505666466706828</v>
      </c>
      <c r="V89" s="185">
        <v>36.576761092214667</v>
      </c>
      <c r="W89" s="185">
        <v>37.505024718233415</v>
      </c>
      <c r="X89" s="185">
        <v>38.293418371812834</v>
      </c>
      <c r="Z89" s="8">
        <v>5</v>
      </c>
      <c r="AA89" s="30">
        <v>17.714013798059568</v>
      </c>
      <c r="AB89" s="185">
        <v>25.830506407578497</v>
      </c>
      <c r="AC89" s="185">
        <v>33.946999017097426</v>
      </c>
      <c r="AD89" s="185">
        <v>42.063491626616354</v>
      </c>
      <c r="AE89" s="185">
        <v>50.179984236135283</v>
      </c>
    </row>
    <row r="90" spans="1:31" x14ac:dyDescent="0.2">
      <c r="A90" s="12"/>
      <c r="B90" s="12"/>
      <c r="P90" s="12"/>
      <c r="S90" s="8">
        <v>11</v>
      </c>
      <c r="T90" s="30">
        <v>42.049553171869235</v>
      </c>
      <c r="U90" s="185">
        <v>43.762193738930989</v>
      </c>
      <c r="V90" s="185">
        <v>45.322011620415367</v>
      </c>
      <c r="W90" s="185">
        <v>46.732197026244563</v>
      </c>
      <c r="X90" s="185">
        <v>47.995851984756314</v>
      </c>
      <c r="Z90" s="8">
        <v>10</v>
      </c>
      <c r="AA90" s="30">
        <v>22.656579796940804</v>
      </c>
      <c r="AB90" s="185">
        <v>31.03320745903244</v>
      </c>
      <c r="AC90" s="185">
        <v>39.409835121124047</v>
      </c>
      <c r="AD90" s="185">
        <v>47.786462783215654</v>
      </c>
      <c r="AE90" s="185">
        <v>56.16309044530729</v>
      </c>
    </row>
    <row r="91" spans="1:31" s="12" customFormat="1" x14ac:dyDescent="0.2">
      <c r="S91" s="8">
        <v>11.5</v>
      </c>
      <c r="T91" s="30">
        <v>49.810410702408745</v>
      </c>
      <c r="U91" s="185">
        <v>52.018721011155122</v>
      </c>
      <c r="V91" s="185">
        <v>54.067262148616066</v>
      </c>
      <c r="W91" s="185">
        <v>55.959369334255655</v>
      </c>
      <c r="X91" s="185">
        <v>57.698285597699794</v>
      </c>
      <c r="Z91" s="8">
        <v>20</v>
      </c>
      <c r="AA91" s="30">
        <v>32.541711794703389</v>
      </c>
      <c r="AB91" s="185">
        <v>41.438609561940382</v>
      </c>
      <c r="AC91" s="185">
        <v>50.335507329177403</v>
      </c>
      <c r="AD91" s="185">
        <v>59.232405096414425</v>
      </c>
      <c r="AE91" s="185">
        <v>68.129302863651475</v>
      </c>
    </row>
    <row r="93" spans="1:31" x14ac:dyDescent="0.2">
      <c r="S93" s="54" t="s">
        <v>181</v>
      </c>
      <c r="T93" s="12"/>
      <c r="U93" s="12"/>
      <c r="V93" s="12"/>
      <c r="W93" s="12"/>
      <c r="X93" s="12"/>
      <c r="Z93" s="54" t="s">
        <v>179</v>
      </c>
      <c r="AA93" s="12"/>
      <c r="AB93" s="12"/>
      <c r="AC93" s="12"/>
      <c r="AD93" s="12"/>
      <c r="AE93" s="12"/>
    </row>
    <row r="94" spans="1:31" x14ac:dyDescent="0.2">
      <c r="S94" s="4" t="s">
        <v>175</v>
      </c>
      <c r="Z94" s="4" t="s">
        <v>184</v>
      </c>
    </row>
    <row r="95" spans="1:31" x14ac:dyDescent="0.2">
      <c r="S95" s="188">
        <f>$W$22</f>
        <v>12.226758835920108</v>
      </c>
      <c r="T95" s="187">
        <v>5.5</v>
      </c>
      <c r="U95" s="187">
        <v>6</v>
      </c>
      <c r="V95" s="187">
        <v>6.5</v>
      </c>
      <c r="W95" s="187">
        <v>7</v>
      </c>
      <c r="X95" s="187">
        <v>7.5</v>
      </c>
      <c r="Z95" s="188">
        <f>$W$21</f>
        <v>48.824435729587208</v>
      </c>
      <c r="AA95" s="187">
        <v>9.5</v>
      </c>
      <c r="AB95" s="187">
        <v>10</v>
      </c>
      <c r="AC95" s="187">
        <v>10.5</v>
      </c>
      <c r="AD95" s="187">
        <v>11</v>
      </c>
      <c r="AE95" s="187">
        <v>11.5</v>
      </c>
    </row>
    <row r="96" spans="1:31" x14ac:dyDescent="0.2">
      <c r="S96" s="8">
        <v>9.5</v>
      </c>
      <c r="T96" s="186">
        <v>6.6773803549003787</v>
      </c>
      <c r="U96" s="185">
        <v>7.0853475221841649</v>
      </c>
      <c r="V96" s="185">
        <v>7.4615725929457994</v>
      </c>
      <c r="W96" s="185">
        <v>7.8063715160436971</v>
      </c>
      <c r="X96" s="185">
        <v>8.1200560610881212</v>
      </c>
      <c r="Z96" s="8">
        <v>-10</v>
      </c>
      <c r="AA96" s="186">
        <v>3.2999311563418701</v>
      </c>
      <c r="AB96" s="185">
        <v>11.687295954044089</v>
      </c>
      <c r="AC96" s="185">
        <v>20.074660751746279</v>
      </c>
      <c r="AD96" s="185">
        <v>28.462025549448498</v>
      </c>
      <c r="AE96" s="185">
        <v>36.849390347150717</v>
      </c>
    </row>
    <row r="97" spans="19:31" x14ac:dyDescent="0.2">
      <c r="S97" s="8">
        <v>10</v>
      </c>
      <c r="T97" s="30">
        <v>9.5528355446840862</v>
      </c>
      <c r="U97" s="185">
        <v>10.211730497092802</v>
      </c>
      <c r="V97" s="185">
        <v>10.837212716320309</v>
      </c>
      <c r="W97" s="185">
        <v>11.429614780112317</v>
      </c>
      <c r="X97" s="185">
        <v>11.989264867005915</v>
      </c>
      <c r="Z97" s="8">
        <v>0</v>
      </c>
      <c r="AA97" s="30">
        <v>14.601624147790716</v>
      </c>
      <c r="AB97" s="185">
        <v>23.583814892411283</v>
      </c>
      <c r="AC97" s="185">
        <v>32.566005637031822</v>
      </c>
      <c r="AD97" s="185">
        <v>41.548196381652417</v>
      </c>
      <c r="AE97" s="185">
        <v>50.530387126272956</v>
      </c>
    </row>
    <row r="98" spans="19:31" x14ac:dyDescent="0.2">
      <c r="S98" s="8">
        <v>10.5</v>
      </c>
      <c r="T98" s="30">
        <v>12.42829073446778</v>
      </c>
      <c r="U98" s="185">
        <v>13.338113472001432</v>
      </c>
      <c r="V98" s="185">
        <v>14.212852839694818</v>
      </c>
      <c r="W98" s="185">
        <v>15.052858044180923</v>
      </c>
      <c r="X98" s="185">
        <v>15.858473672923694</v>
      </c>
      <c r="Z98" s="8">
        <v>5</v>
      </c>
      <c r="AA98" s="30">
        <v>20.252470643515096</v>
      </c>
      <c r="AB98" s="185">
        <v>29.532074361594852</v>
      </c>
      <c r="AC98" s="185">
        <v>38.811678079674607</v>
      </c>
      <c r="AD98" s="185">
        <v>48.091281797754363</v>
      </c>
      <c r="AE98" s="185">
        <v>57.37088551583409</v>
      </c>
    </row>
    <row r="99" spans="19:31" x14ac:dyDescent="0.2">
      <c r="S99" s="8">
        <v>11</v>
      </c>
      <c r="T99" s="30">
        <v>15.30374592425148</v>
      </c>
      <c r="U99" s="185">
        <v>16.464496446910069</v>
      </c>
      <c r="V99" s="185">
        <v>17.588492963069342</v>
      </c>
      <c r="W99" s="185">
        <v>18.676101308249528</v>
      </c>
      <c r="X99" s="185">
        <v>19.727682478841487</v>
      </c>
      <c r="Z99" s="8">
        <v>10</v>
      </c>
      <c r="AA99" s="30">
        <v>25.903317139239476</v>
      </c>
      <c r="AB99" s="185">
        <v>35.48033383077842</v>
      </c>
      <c r="AC99" s="185">
        <v>45.057350522317336</v>
      </c>
      <c r="AD99" s="185">
        <v>54.634367213856223</v>
      </c>
      <c r="AE99" s="185">
        <v>64.211383905395166</v>
      </c>
    </row>
    <row r="100" spans="19:31" x14ac:dyDescent="0.2">
      <c r="S100" s="8">
        <v>11.5</v>
      </c>
      <c r="T100" s="30">
        <v>18.17920111403518</v>
      </c>
      <c r="U100" s="185">
        <v>19.590879421818705</v>
      </c>
      <c r="V100" s="185">
        <v>20.964133086443837</v>
      </c>
      <c r="W100" s="185">
        <v>22.299344572318134</v>
      </c>
      <c r="X100" s="185">
        <v>23.59689128475928</v>
      </c>
      <c r="Z100" s="8">
        <v>20</v>
      </c>
      <c r="AA100" s="30">
        <v>37.205010130688351</v>
      </c>
      <c r="AB100" s="185">
        <v>47.376852769145614</v>
      </c>
      <c r="AC100" s="185">
        <v>57.548695407602906</v>
      </c>
      <c r="AD100" s="185">
        <v>67.720538046060199</v>
      </c>
      <c r="AE100" s="185">
        <v>77.892380684517491</v>
      </c>
    </row>
    <row r="101" spans="19:31" x14ac:dyDescent="0.2">
      <c r="Z101"/>
      <c r="AA101"/>
      <c r="AB101"/>
      <c r="AC101"/>
      <c r="AD101"/>
      <c r="AE101"/>
    </row>
    <row r="102" spans="19:31" x14ac:dyDescent="0.2">
      <c r="S102" s="54" t="s">
        <v>182</v>
      </c>
      <c r="T102" s="12"/>
      <c r="U102" s="12"/>
      <c r="V102" s="12"/>
      <c r="W102" s="12"/>
      <c r="X102" s="12"/>
      <c r="Z102"/>
      <c r="AA102"/>
      <c r="AB102"/>
      <c r="AC102"/>
      <c r="AD102"/>
      <c r="AE102"/>
    </row>
    <row r="103" spans="19:31" x14ac:dyDescent="0.2">
      <c r="S103" s="4" t="s">
        <v>175</v>
      </c>
      <c r="Z103"/>
      <c r="AA103"/>
      <c r="AB103"/>
      <c r="AC103"/>
      <c r="AD103"/>
      <c r="AE103"/>
    </row>
    <row r="104" spans="19:31" x14ac:dyDescent="0.2">
      <c r="S104" s="188">
        <f>$W$23</f>
        <v>2.5769267257945261</v>
      </c>
      <c r="T104" s="187">
        <v>6</v>
      </c>
      <c r="U104" s="187">
        <v>7</v>
      </c>
      <c r="V104" s="187">
        <v>8</v>
      </c>
      <c r="W104" s="187">
        <v>9</v>
      </c>
      <c r="X104" s="187">
        <v>10</v>
      </c>
      <c r="Z104"/>
      <c r="AA104"/>
      <c r="AB104"/>
      <c r="AC104"/>
      <c r="AD104"/>
      <c r="AE104"/>
    </row>
    <row r="105" spans="19:31" x14ac:dyDescent="0.2">
      <c r="S105" s="8">
        <v>9.5</v>
      </c>
      <c r="T105" s="186">
        <v>2.1096479833929855</v>
      </c>
      <c r="U105" s="185">
        <v>2.4202742737052994</v>
      </c>
      <c r="V105" s="185">
        <v>2.719377128575001</v>
      </c>
      <c r="W105" s="185">
        <v>3.0070249178883017</v>
      </c>
      <c r="X105" s="185">
        <v>3.2832854717369635</v>
      </c>
      <c r="Z105"/>
      <c r="AA105"/>
      <c r="AB105"/>
      <c r="AC105"/>
      <c r="AD105"/>
      <c r="AE105"/>
    </row>
    <row r="106" spans="19:31" x14ac:dyDescent="0.2">
      <c r="S106" s="8">
        <v>10</v>
      </c>
      <c r="T106" s="30">
        <v>3.0407704459399874</v>
      </c>
      <c r="U106" s="185">
        <v>3.5044268814003168</v>
      </c>
      <c r="V106" s="185">
        <v>3.9559533848157926</v>
      </c>
      <c r="W106" s="185">
        <v>4.3954219244876889</v>
      </c>
      <c r="X106" s="185">
        <v>4.8229039005125962</v>
      </c>
      <c r="Z106"/>
      <c r="AA106"/>
      <c r="AB106"/>
      <c r="AC106"/>
      <c r="AD106"/>
      <c r="AE106"/>
    </row>
    <row r="107" spans="19:31" x14ac:dyDescent="0.2">
      <c r="S107" s="8">
        <v>10.5</v>
      </c>
      <c r="T107" s="30">
        <v>3.9718929084869856</v>
      </c>
      <c r="U107" s="185">
        <v>4.5885794890953306</v>
      </c>
      <c r="V107" s="185">
        <v>5.1925296410565807</v>
      </c>
      <c r="W107" s="185">
        <v>5.7838189310870689</v>
      </c>
      <c r="X107" s="185">
        <v>6.3625223292882254</v>
      </c>
      <c r="Z107"/>
      <c r="AA107"/>
      <c r="AB107"/>
      <c r="AC107"/>
      <c r="AD107"/>
      <c r="AE107"/>
    </row>
    <row r="108" spans="19:31" x14ac:dyDescent="0.2">
      <c r="S108" s="8">
        <v>11</v>
      </c>
      <c r="T108" s="30">
        <v>4.9030153710339839</v>
      </c>
      <c r="U108" s="185">
        <v>5.6727320967903481</v>
      </c>
      <c r="V108" s="185">
        <v>6.4291058972973723</v>
      </c>
      <c r="W108" s="185">
        <v>7.172215937686456</v>
      </c>
      <c r="X108" s="185">
        <v>7.9021407580638581</v>
      </c>
      <c r="Z108"/>
      <c r="AA108"/>
      <c r="AB108"/>
      <c r="AC108"/>
      <c r="AD108"/>
      <c r="AE108"/>
    </row>
    <row r="109" spans="19:31" x14ac:dyDescent="0.2">
      <c r="S109" s="8">
        <v>11.5</v>
      </c>
      <c r="T109" s="30">
        <v>5.8341378335809821</v>
      </c>
      <c r="U109" s="185">
        <v>6.7568847044853655</v>
      </c>
      <c r="V109" s="185">
        <v>7.6656821535381603</v>
      </c>
      <c r="W109" s="185">
        <v>8.5606129442858396</v>
      </c>
      <c r="X109" s="185">
        <v>9.4417591868394837</v>
      </c>
      <c r="Z109"/>
      <c r="AA109"/>
      <c r="AB109"/>
      <c r="AC109"/>
      <c r="AD109"/>
      <c r="AE109"/>
    </row>
    <row r="127" spans="3:9" x14ac:dyDescent="0.2">
      <c r="I127"/>
    </row>
    <row r="128" spans="3:9" x14ac:dyDescent="0.2">
      <c r="C128"/>
      <c r="D128"/>
      <c r="E128"/>
      <c r="F128"/>
      <c r="G128"/>
      <c r="H128"/>
      <c r="I128"/>
    </row>
    <row r="129" spans="3:9" x14ac:dyDescent="0.2">
      <c r="C129"/>
      <c r="D129"/>
      <c r="E129"/>
      <c r="F129"/>
      <c r="G129"/>
      <c r="H129"/>
      <c r="I129"/>
    </row>
  </sheetData>
  <mergeCells count="1">
    <mergeCell ref="C62:O64"/>
  </mergeCells>
  <conditionalFormatting sqref="W13:W23 W11">
    <cfRule type="cellIs" dxfId="57" priority="29" operator="greaterThan">
      <formula>0</formula>
    </cfRule>
    <cfRule type="cellIs" dxfId="56" priority="30" operator="lessThan">
      <formula>0</formula>
    </cfRule>
  </conditionalFormatting>
  <conditionalFormatting sqref="T51:X55">
    <cfRule type="cellIs" dxfId="55" priority="25" operator="lessThan">
      <formula>0</formula>
    </cfRule>
    <cfRule type="cellIs" dxfId="54" priority="26" operator="greaterThan">
      <formula>0</formula>
    </cfRule>
  </conditionalFormatting>
  <conditionalFormatting sqref="T78:X82">
    <cfRule type="cellIs" dxfId="53" priority="23" operator="lessThan">
      <formula>0</formula>
    </cfRule>
    <cfRule type="cellIs" dxfId="52" priority="24" operator="greaterThan">
      <formula>0</formula>
    </cfRule>
  </conditionalFormatting>
  <conditionalFormatting sqref="T60:X64">
    <cfRule type="cellIs" dxfId="51" priority="21" operator="lessThan">
      <formula>0</formula>
    </cfRule>
    <cfRule type="cellIs" dxfId="50" priority="22" operator="greaterThan">
      <formula>0</formula>
    </cfRule>
  </conditionalFormatting>
  <conditionalFormatting sqref="T87:X91">
    <cfRule type="cellIs" dxfId="49" priority="19" operator="lessThan">
      <formula>0</formula>
    </cfRule>
    <cfRule type="cellIs" dxfId="48" priority="20" operator="greaterThan">
      <formula>0</formula>
    </cfRule>
  </conditionalFormatting>
  <conditionalFormatting sqref="T96:X100">
    <cfRule type="cellIs" dxfId="47" priority="17" operator="lessThan">
      <formula>0</formula>
    </cfRule>
    <cfRule type="cellIs" dxfId="46" priority="18" operator="greaterThan">
      <formula>0</formula>
    </cfRule>
  </conditionalFormatting>
  <conditionalFormatting sqref="T105:X109">
    <cfRule type="cellIs" dxfId="45" priority="15" operator="lessThan">
      <formula>0</formula>
    </cfRule>
    <cfRule type="cellIs" dxfId="44" priority="16" operator="greaterThan">
      <formula>0</formula>
    </cfRule>
  </conditionalFormatting>
  <conditionalFormatting sqref="T69:X73">
    <cfRule type="cellIs" dxfId="43" priority="13" operator="lessThan">
      <formula>0</formula>
    </cfRule>
    <cfRule type="cellIs" dxfId="42" priority="14" operator="greaterThan">
      <formula>0</formula>
    </cfRule>
  </conditionalFormatting>
  <conditionalFormatting sqref="AA51:AE55">
    <cfRule type="cellIs" dxfId="41" priority="11" operator="lessThan">
      <formula>0</formula>
    </cfRule>
    <cfRule type="cellIs" dxfId="40" priority="12" operator="greaterThan">
      <formula>0</formula>
    </cfRule>
  </conditionalFormatting>
  <conditionalFormatting sqref="AA69:AE73">
    <cfRule type="cellIs" dxfId="39" priority="9" operator="lessThan">
      <formula>0</formula>
    </cfRule>
    <cfRule type="cellIs" dxfId="38" priority="10" operator="greaterThan">
      <formula>0</formula>
    </cfRule>
  </conditionalFormatting>
  <conditionalFormatting sqref="AA60:AE64">
    <cfRule type="cellIs" dxfId="37" priority="7" operator="lessThan">
      <formula>0</formula>
    </cfRule>
    <cfRule type="cellIs" dxfId="36" priority="8" operator="greaterThan">
      <formula>0</formula>
    </cfRule>
  </conditionalFormatting>
  <conditionalFormatting sqref="AA78:AE82">
    <cfRule type="cellIs" dxfId="35" priority="5" operator="lessThan">
      <formula>0</formula>
    </cfRule>
    <cfRule type="cellIs" dxfId="34" priority="6" operator="greaterThan">
      <formula>0</formula>
    </cfRule>
  </conditionalFormatting>
  <conditionalFormatting sqref="AA96:AE100">
    <cfRule type="cellIs" dxfId="33" priority="3" operator="lessThan">
      <formula>0</formula>
    </cfRule>
    <cfRule type="cellIs" dxfId="32" priority="4" operator="greaterThan">
      <formula>0</formula>
    </cfRule>
  </conditionalFormatting>
  <conditionalFormatting sqref="AA87:AE91">
    <cfRule type="cellIs" dxfId="31" priority="1" operator="lessThan">
      <formula>0</formula>
    </cfRule>
    <cfRule type="cellIs" dxfId="30" priority="2" operator="greaterThan">
      <formula>0</formula>
    </cfRule>
  </conditionalFormatting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9"/>
  <sheetViews>
    <sheetView showGridLines="0" zoomScale="85" zoomScaleNormal="85" workbookViewId="0"/>
  </sheetViews>
  <sheetFormatPr defaultRowHeight="12.75" x14ac:dyDescent="0.2"/>
  <cols>
    <col min="1" max="1" width="3.7109375" style="4" customWidth="1"/>
    <col min="2" max="2" width="2.85546875" style="4" customWidth="1"/>
    <col min="3" max="3" width="22.42578125" style="4" customWidth="1"/>
    <col min="4" max="8" width="6.7109375" style="4" customWidth="1"/>
    <col min="9" max="9" width="3.7109375" style="4" customWidth="1"/>
    <col min="10" max="10" width="35.7109375" style="4" customWidth="1"/>
    <col min="11" max="15" width="6.7109375" style="4" customWidth="1"/>
    <col min="16" max="16" width="3.7109375" style="4" customWidth="1"/>
    <col min="17" max="17" width="3.7109375" style="12" customWidth="1"/>
    <col min="18" max="18" width="3.7109375" style="4" customWidth="1"/>
    <col min="19" max="19" width="28.7109375" style="4" customWidth="1"/>
    <col min="20" max="24" width="12.7109375" style="4" customWidth="1"/>
    <col min="25" max="25" width="9.140625" style="4"/>
    <col min="26" max="26" width="28.5703125" style="4" customWidth="1"/>
    <col min="27" max="34" width="12.7109375" style="4" customWidth="1"/>
    <col min="35" max="16384" width="9.140625" style="4"/>
  </cols>
  <sheetData>
    <row r="1" spans="1:29" s="1" customFormat="1" ht="4.5" customHeight="1" x14ac:dyDescent="0.2">
      <c r="Q1" s="134"/>
    </row>
    <row r="2" spans="1:29" s="1" customFormat="1" x14ac:dyDescent="0.2">
      <c r="F2" s="2"/>
      <c r="G2" s="2"/>
      <c r="H2" s="2"/>
      <c r="Q2" s="134"/>
    </row>
    <row r="3" spans="1:29" s="1" customFormat="1" x14ac:dyDescent="0.2">
      <c r="F3" s="1" t="s">
        <v>174</v>
      </c>
      <c r="Q3" s="134"/>
    </row>
    <row r="4" spans="1:29" s="1" customFormat="1" x14ac:dyDescent="0.2">
      <c r="F4" s="1" t="s">
        <v>206</v>
      </c>
      <c r="Q4" s="134"/>
    </row>
    <row r="5" spans="1:29" s="3" customFormat="1" ht="4.5" customHeight="1" x14ac:dyDescent="0.2">
      <c r="Q5" s="135"/>
    </row>
    <row r="6" spans="1:29" s="146" customFormat="1" ht="4.5" customHeight="1" x14ac:dyDescent="0.2">
      <c r="Q6" s="79"/>
    </row>
    <row r="7" spans="1:29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8" x14ac:dyDescent="0.25">
      <c r="A8" s="12"/>
      <c r="B8" s="12"/>
      <c r="C8" s="133" t="s">
        <v>107</v>
      </c>
      <c r="E8" s="12"/>
      <c r="F8" s="12"/>
      <c r="G8" s="12"/>
      <c r="H8" s="12"/>
      <c r="I8" s="12"/>
      <c r="P8" s="12"/>
      <c r="R8" s="12"/>
      <c r="S8" s="133" t="s">
        <v>172</v>
      </c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76" customFormat="1" ht="25.5" customHeight="1" x14ac:dyDescent="0.2">
      <c r="A9" s="41"/>
      <c r="B9" s="41"/>
      <c r="C9" s="137" t="s">
        <v>93</v>
      </c>
      <c r="D9" s="138"/>
      <c r="E9" s="138"/>
      <c r="F9" s="138"/>
      <c r="G9" s="138"/>
      <c r="H9" s="138"/>
      <c r="I9" s="139"/>
      <c r="J9" s="140" t="s">
        <v>100</v>
      </c>
      <c r="K9" s="141"/>
      <c r="L9" s="141"/>
      <c r="M9" s="141"/>
      <c r="N9" s="141"/>
      <c r="O9" s="141"/>
      <c r="P9" s="41"/>
      <c r="Q9" s="41"/>
      <c r="R9" s="41"/>
      <c r="S9" s="151" t="s">
        <v>171</v>
      </c>
      <c r="T9" s="152"/>
      <c r="U9" s="152"/>
      <c r="V9" s="152"/>
      <c r="W9" s="152"/>
      <c r="X9" s="152"/>
      <c r="Y9" s="152"/>
      <c r="Z9" s="151" t="s">
        <v>166</v>
      </c>
      <c r="AA9" s="152"/>
      <c r="AB9" s="184"/>
      <c r="AC9"/>
    </row>
    <row r="10" spans="1:29" ht="13.5" thickBot="1" x14ac:dyDescent="0.25">
      <c r="A10" s="12"/>
      <c r="B10" s="12"/>
      <c r="C10" s="65" t="s">
        <v>102</v>
      </c>
      <c r="D10" s="65">
        <v>2015</v>
      </c>
      <c r="E10" s="65">
        <v>2016</v>
      </c>
      <c r="F10" s="65">
        <v>2017</v>
      </c>
      <c r="G10" s="65">
        <v>2018</v>
      </c>
      <c r="H10" s="65">
        <v>2019</v>
      </c>
      <c r="I10" s="12"/>
      <c r="J10" s="83" t="s">
        <v>19</v>
      </c>
      <c r="K10" s="84">
        <v>0.5</v>
      </c>
      <c r="L10" s="83" t="s">
        <v>14</v>
      </c>
      <c r="M10" s="85">
        <v>2017</v>
      </c>
      <c r="N10" s="86"/>
      <c r="O10" s="86"/>
      <c r="P10" s="12"/>
      <c r="R10" s="12"/>
      <c r="S10" s="77" t="s">
        <v>168</v>
      </c>
      <c r="T10" s="143">
        <v>2019</v>
      </c>
      <c r="U10" s="77" t="s">
        <v>15</v>
      </c>
      <c r="V10" s="77" t="s">
        <v>73</v>
      </c>
      <c r="W10" s="78" t="s">
        <v>115</v>
      </c>
      <c r="X10" s="153"/>
      <c r="Y10" s="41"/>
      <c r="Z10" s="77"/>
      <c r="AA10" s="149">
        <f>T10</f>
        <v>2019</v>
      </c>
      <c r="AB10"/>
      <c r="AC10"/>
    </row>
    <row r="11" spans="1:29" ht="13.5" thickBot="1" x14ac:dyDescent="0.25">
      <c r="A11" s="12"/>
      <c r="B11" s="12"/>
      <c r="C11" s="64" t="s">
        <v>1</v>
      </c>
      <c r="D11" s="189">
        <v>0</v>
      </c>
      <c r="E11" s="189">
        <v>0</v>
      </c>
      <c r="F11" s="189">
        <v>1</v>
      </c>
      <c r="G11" s="189">
        <v>2</v>
      </c>
      <c r="H11" s="189">
        <v>3</v>
      </c>
      <c r="I11" s="12"/>
      <c r="J11" s="83" t="s">
        <v>104</v>
      </c>
      <c r="K11" s="85">
        <v>2017</v>
      </c>
      <c r="L11" s="87"/>
      <c r="M11" s="83"/>
      <c r="N11" s="86"/>
      <c r="O11" s="86"/>
      <c r="P11" s="12"/>
      <c r="R11" s="12"/>
      <c r="S11" s="14" t="s">
        <v>72</v>
      </c>
      <c r="T11" s="16">
        <f>SUM(T13,T18:T23)</f>
        <v>570.37348543911969</v>
      </c>
      <c r="U11" s="39">
        <f>HLOOKUP($T$10,$D$18:$H$19,2,FALSE)</f>
        <v>10</v>
      </c>
      <c r="V11" s="39">
        <f>HLOOKUP($T$10,$D$51:$H$54,MATCH("center - baseline",$C$51:$C$54,FALSE))</f>
        <v>8.6549999999999994</v>
      </c>
      <c r="W11" s="34">
        <f>T11-AA11</f>
        <v>80.453381897520046</v>
      </c>
      <c r="Y11" s="24"/>
      <c r="Z11" s="14" t="s">
        <v>72</v>
      </c>
      <c r="AA11" s="29">
        <f>SUM(AA13,AA18:AA23)</f>
        <v>489.92010354159964</v>
      </c>
      <c r="AB11"/>
      <c r="AC11"/>
    </row>
    <row r="12" spans="1:29" ht="13.5" thickTop="1" x14ac:dyDescent="0.2">
      <c r="A12" s="12"/>
      <c r="B12" s="12"/>
      <c r="C12" s="64" t="s">
        <v>91</v>
      </c>
      <c r="D12" s="189">
        <v>0</v>
      </c>
      <c r="E12" s="189">
        <v>1</v>
      </c>
      <c r="F12" s="189">
        <v>6</v>
      </c>
      <c r="G12" s="189">
        <v>7</v>
      </c>
      <c r="H12" s="189">
        <v>7</v>
      </c>
      <c r="I12" s="12"/>
      <c r="J12" s="83" t="s">
        <v>99</v>
      </c>
      <c r="K12" s="85">
        <v>2019</v>
      </c>
      <c r="L12" s="86"/>
      <c r="M12" s="86"/>
      <c r="N12" s="86"/>
      <c r="O12" s="86"/>
      <c r="P12" s="12"/>
      <c r="R12" s="12"/>
      <c r="S12" s="23" t="s">
        <v>74</v>
      </c>
      <c r="T12" s="12"/>
      <c r="U12" s="12"/>
      <c r="V12" s="12"/>
      <c r="W12" s="150"/>
      <c r="Y12" s="24"/>
      <c r="Z12" s="23" t="s">
        <v>74</v>
      </c>
      <c r="AA12" s="150"/>
      <c r="AB12" s="12"/>
    </row>
    <row r="13" spans="1:29" x14ac:dyDescent="0.2">
      <c r="A13" s="12"/>
      <c r="B13" s="12"/>
      <c r="C13" s="64"/>
      <c r="D13" s="64"/>
      <c r="E13" s="64"/>
      <c r="F13" s="64"/>
      <c r="G13" s="64"/>
      <c r="H13" s="64"/>
      <c r="I13" s="12"/>
      <c r="J13" s="83" t="s">
        <v>103</v>
      </c>
      <c r="K13" s="86"/>
      <c r="L13" s="86"/>
      <c r="M13" s="86"/>
      <c r="N13" s="86"/>
      <c r="O13" s="86"/>
      <c r="P13" s="12"/>
      <c r="R13" s="12"/>
      <c r="S13" s="19" t="s">
        <v>0</v>
      </c>
      <c r="T13" s="7">
        <f t="shared" ref="T13:T23" si="0">INDEX($K$16:$O$17,MATCH($S$24,$J$16:$J$17,0),MATCH(T$10,$K$16:$O$16,0))*(HLOOKUP(T$10,$T$28:$X$29,2,FALSE))*INDEX($K$32:$O$42,MATCH($S13,$J$32:$J$42,0),MATCH($K$12,$K$30:$O$30,0))</f>
        <v>127.40341095428386</v>
      </c>
      <c r="U13" s="61">
        <f t="shared" ref="U13:U23" si="1">INDEX($D$20:$H$42,MATCH($S13,$C$20:$C$42,0),MATCH($T$10,$D$18:$H$18,0))</f>
        <v>0</v>
      </c>
      <c r="V13" s="42">
        <f t="shared" ref="V13:V23" si="2">INDEX($K$47:$O$57,MATCH($S13,$J$47:$J$57,0),MATCH($T$10,$D$51:$H$51,0))*V$11</f>
        <v>1.2364285714285712</v>
      </c>
      <c r="W13" s="32">
        <f t="shared" ref="W13:W23" si="3">T13-AA13</f>
        <v>8.8794857214862191</v>
      </c>
      <c r="Y13" s="24"/>
      <c r="Z13" s="19" t="s">
        <v>0</v>
      </c>
      <c r="AA13" s="30">
        <f>INDEX($K$18:$O$28,MATCH($Z13,$J$18:$J$28,0),MATCH(AA$10,$K$16:$O$16,0))*(INDEX('Company-level data'!$K$45:$O$55,MATCH($Z13,'Company-level data'!$J$45:$J$55,0),MATCH(AA$10,'Company-level data'!$K$43:$O$43,0)))</f>
        <v>118.52392523279764</v>
      </c>
    </row>
    <row r="14" spans="1:29" x14ac:dyDescent="0.2">
      <c r="A14" s="12"/>
      <c r="B14" s="12"/>
      <c r="C14" s="63" t="s">
        <v>97</v>
      </c>
      <c r="D14" s="64"/>
      <c r="E14" s="64"/>
      <c r="F14" s="64"/>
      <c r="G14" s="57">
        <v>0</v>
      </c>
      <c r="H14" s="64"/>
      <c r="I14" s="12"/>
      <c r="J14" s="86"/>
      <c r="K14" s="86"/>
      <c r="L14" s="86"/>
      <c r="M14" s="86"/>
      <c r="N14" s="86"/>
      <c r="O14" s="86"/>
      <c r="P14" s="12"/>
      <c r="R14" s="12"/>
      <c r="S14" s="163" t="s">
        <v>7</v>
      </c>
      <c r="T14" s="164">
        <f t="shared" si="0"/>
        <v>0</v>
      </c>
      <c r="U14" s="165">
        <f t="shared" si="1"/>
        <v>0</v>
      </c>
      <c r="V14" s="167">
        <f t="shared" si="2"/>
        <v>0</v>
      </c>
      <c r="W14" s="166">
        <f t="shared" si="3"/>
        <v>0</v>
      </c>
      <c r="Y14" s="24"/>
      <c r="Z14" s="163" t="s">
        <v>7</v>
      </c>
      <c r="AA14" s="168">
        <f>INDEX($K$18:$O$28,MATCH($Z14,$J$18:$J$28,0),MATCH(AA$10,$K$16:$O$16,0))*(INDEX('Company-level data'!$K$45:$O$55,MATCH($Z14,'Company-level data'!$J$45:$J$55,0),MATCH(AA$10,'Company-level data'!$K$43:$O$43,0)))</f>
        <v>0</v>
      </c>
    </row>
    <row r="15" spans="1:29" x14ac:dyDescent="0.2">
      <c r="A15" s="12"/>
      <c r="B15" s="12"/>
      <c r="C15" s="63" t="s">
        <v>101</v>
      </c>
      <c r="D15" s="64"/>
      <c r="E15" s="64"/>
      <c r="F15" s="64"/>
      <c r="G15" s="56">
        <v>0.5</v>
      </c>
      <c r="H15" s="64"/>
      <c r="I15" s="12"/>
      <c r="J15" s="86"/>
      <c r="K15" s="86"/>
      <c r="L15" s="86"/>
      <c r="M15" s="86"/>
      <c r="N15" s="86"/>
      <c r="O15" s="86"/>
      <c r="P15" s="12"/>
      <c r="R15" s="12"/>
      <c r="S15" s="163" t="s">
        <v>10</v>
      </c>
      <c r="T15" s="164">
        <f t="shared" si="0"/>
        <v>0</v>
      </c>
      <c r="U15" s="165">
        <f t="shared" si="1"/>
        <v>0</v>
      </c>
      <c r="V15" s="167">
        <f t="shared" si="2"/>
        <v>0</v>
      </c>
      <c r="W15" s="166">
        <f t="shared" si="3"/>
        <v>0</v>
      </c>
      <c r="Y15" s="24"/>
      <c r="Z15" s="163" t="s">
        <v>10</v>
      </c>
      <c r="AA15" s="168">
        <f>INDEX($K$18:$O$28,MATCH($Z15,$J$18:$J$28,0),MATCH(AA$10,$K$16:$O$16,0))*(INDEX('Company-level data'!$K$45:$O$55,MATCH($Z15,'Company-level data'!$J$45:$J$55,0),MATCH(AA$10,'Company-level data'!$K$43:$O$43,0)))</f>
        <v>0</v>
      </c>
    </row>
    <row r="16" spans="1:29" ht="13.5" thickBot="1" x14ac:dyDescent="0.25">
      <c r="A16" s="12"/>
      <c r="B16" s="12"/>
      <c r="C16" s="63"/>
      <c r="D16" s="64"/>
      <c r="E16" s="64"/>
      <c r="F16" s="64"/>
      <c r="G16" s="57"/>
      <c r="H16" s="64"/>
      <c r="I16" s="12"/>
      <c r="J16" s="88" t="s">
        <v>13</v>
      </c>
      <c r="K16" s="88">
        <v>2015</v>
      </c>
      <c r="L16" s="88">
        <v>2016</v>
      </c>
      <c r="M16" s="88">
        <v>2017</v>
      </c>
      <c r="N16" s="88">
        <v>2018</v>
      </c>
      <c r="O16" s="88">
        <v>2019</v>
      </c>
      <c r="P16" s="12"/>
      <c r="R16" s="12"/>
      <c r="S16" s="163" t="s">
        <v>8</v>
      </c>
      <c r="T16" s="164">
        <f t="shared" si="0"/>
        <v>0</v>
      </c>
      <c r="U16" s="165">
        <f t="shared" si="1"/>
        <v>0</v>
      </c>
      <c r="V16" s="167">
        <f t="shared" si="2"/>
        <v>0</v>
      </c>
      <c r="W16" s="166">
        <f t="shared" si="3"/>
        <v>0</v>
      </c>
      <c r="Y16" s="12"/>
      <c r="Z16" s="163" t="s">
        <v>8</v>
      </c>
      <c r="AA16" s="168">
        <f>INDEX($K$18:$O$28,MATCH($Z16,$J$18:$J$28,0),MATCH(AA$10,$K$16:$O$16,0))*(INDEX('Company-level data'!$K$45:$O$55,MATCH($Z16,'Company-level data'!$J$45:$J$55,0),MATCH(AA$10,'Company-level data'!$K$43:$O$43,0)))</f>
        <v>0</v>
      </c>
    </row>
    <row r="17" spans="1:27" ht="13.5" thickBot="1" x14ac:dyDescent="0.25">
      <c r="A17" s="12"/>
      <c r="B17" s="12"/>
      <c r="C17" s="64"/>
      <c r="D17" s="64"/>
      <c r="E17" s="64"/>
      <c r="F17" s="64"/>
      <c r="G17" s="64"/>
      <c r="H17" s="64"/>
      <c r="I17" s="12"/>
      <c r="J17" s="147" t="s">
        <v>109</v>
      </c>
      <c r="K17" s="148">
        <f>'Portfolio multiples reference'!T12-K10</f>
        <v>7.6379241377840543</v>
      </c>
      <c r="L17" s="148">
        <f>$K$17+$K$10*($M$10&lt;=L$16)</f>
        <v>7.6379241377840543</v>
      </c>
      <c r="M17" s="148">
        <f>$K$17+$K$10*($M$10&lt;=M$16)</f>
        <v>8.1379241377840543</v>
      </c>
      <c r="N17" s="148">
        <f>$K$17+$K$10*($M$10&lt;=N$16)</f>
        <v>8.1379241377840543</v>
      </c>
      <c r="O17" s="148">
        <f>$K$17+$K$10*($M$10&lt;=O$16)</f>
        <v>8.1379241377840543</v>
      </c>
      <c r="P17" s="12"/>
      <c r="R17" s="12"/>
      <c r="S17" s="163" t="s">
        <v>9</v>
      </c>
      <c r="T17" s="164">
        <f t="shared" si="0"/>
        <v>0</v>
      </c>
      <c r="U17" s="165">
        <f t="shared" si="1"/>
        <v>0</v>
      </c>
      <c r="V17" s="167">
        <f t="shared" si="2"/>
        <v>0</v>
      </c>
      <c r="W17" s="166">
        <f t="shared" si="3"/>
        <v>0</v>
      </c>
      <c r="Y17" s="12"/>
      <c r="Z17" s="163" t="s">
        <v>9</v>
      </c>
      <c r="AA17" s="168">
        <f>INDEX($K$18:$O$28,MATCH($Z17,$J$18:$J$28,0),MATCH(AA$10,$K$16:$O$16,0))*(INDEX('Company-level data'!$K$45:$O$55,MATCH($Z17,'Company-level data'!$J$45:$J$55,0),MATCH(AA$10,'Company-level data'!$K$43:$O$43,0)))</f>
        <v>0</v>
      </c>
    </row>
    <row r="18" spans="1:27" ht="14.25" thickTop="1" thickBot="1" x14ac:dyDescent="0.25">
      <c r="A18" s="12"/>
      <c r="B18" s="12"/>
      <c r="C18" s="65" t="s">
        <v>20</v>
      </c>
      <c r="D18" s="65">
        <v>2015</v>
      </c>
      <c r="E18" s="65">
        <v>2016</v>
      </c>
      <c r="F18" s="65">
        <v>2017</v>
      </c>
      <c r="G18" s="65">
        <v>2018</v>
      </c>
      <c r="H18" s="65">
        <v>2019</v>
      </c>
      <c r="I18" s="12"/>
      <c r="J18" s="83" t="s">
        <v>0</v>
      </c>
      <c r="K18" s="136">
        <v>7.5</v>
      </c>
      <c r="L18" s="90">
        <f>($O18-$K18)/($O$16-$K$16)+K18</f>
        <v>7.125</v>
      </c>
      <c r="M18" s="90">
        <f>($O18-$K18)/($O$16-$K$16)+L18</f>
        <v>6.75</v>
      </c>
      <c r="N18" s="90">
        <f>($O18-$K18)/($O$16-$K$16)+M18</f>
        <v>6.375</v>
      </c>
      <c r="O18" s="136">
        <v>6</v>
      </c>
      <c r="P18" s="12"/>
      <c r="R18" s="12"/>
      <c r="S18" s="19" t="s">
        <v>1</v>
      </c>
      <c r="T18" s="7">
        <f t="shared" si="0"/>
        <v>221.86676331543529</v>
      </c>
      <c r="U18" s="61">
        <f t="shared" si="1"/>
        <v>3</v>
      </c>
      <c r="V18" s="42">
        <f t="shared" si="2"/>
        <v>1.2364285714285712</v>
      </c>
      <c r="W18" s="32">
        <f t="shared" si="3"/>
        <v>33.411323991414775</v>
      </c>
      <c r="Y18" s="12"/>
      <c r="Z18" s="19" t="s">
        <v>1</v>
      </c>
      <c r="AA18" s="30">
        <f>INDEX($K$18:$O$28,MATCH($Z18,$J$18:$J$28,0),MATCH(AA$10,$K$16:$O$16,0))*(INDEX('Company-level data'!$K$45:$O$55,MATCH($Z18,'Company-level data'!$J$45:$J$55,0),MATCH(AA$10,'Company-level data'!$K$43:$O$43,0)))</f>
        <v>188.45543932402052</v>
      </c>
    </row>
    <row r="19" spans="1:27" ht="13.5" thickBot="1" x14ac:dyDescent="0.25">
      <c r="A19" s="12"/>
      <c r="B19" s="12"/>
      <c r="C19" s="66" t="s">
        <v>11</v>
      </c>
      <c r="D19" s="67">
        <f>D20+D25+D28+D31+D34+D37+D40</f>
        <v>0</v>
      </c>
      <c r="E19" s="67">
        <f>E20+E25+E28+E31+E34+E37+E40</f>
        <v>1</v>
      </c>
      <c r="F19" s="67">
        <f>F20+F25+F28+F31+F34+F37+F40</f>
        <v>6.9999999999999991</v>
      </c>
      <c r="G19" s="67">
        <f>G20+G25+G28+G31+G34+G37+G40</f>
        <v>9.0000000000000018</v>
      </c>
      <c r="H19" s="67">
        <f>H20+H25+H28+H31+H34+H37+H40</f>
        <v>10</v>
      </c>
      <c r="I19" s="12"/>
      <c r="J19" s="91" t="s">
        <v>7</v>
      </c>
      <c r="K19" s="92"/>
      <c r="L19" s="90"/>
      <c r="M19" s="90"/>
      <c r="N19" s="90"/>
      <c r="O19" s="90"/>
      <c r="P19" s="12"/>
      <c r="R19" s="12"/>
      <c r="S19" s="19" t="s">
        <v>2</v>
      </c>
      <c r="T19" s="7">
        <f t="shared" si="0"/>
        <v>63.024226144847304</v>
      </c>
      <c r="U19" s="61">
        <f t="shared" si="1"/>
        <v>2.7925650350766151</v>
      </c>
      <c r="V19" s="42">
        <f t="shared" si="2"/>
        <v>1.2364285714285712</v>
      </c>
      <c r="W19" s="32">
        <f t="shared" si="3"/>
        <v>3.7410620385304938</v>
      </c>
      <c r="Y19" s="12"/>
      <c r="Z19" s="19" t="s">
        <v>2</v>
      </c>
      <c r="AA19" s="30">
        <f>INDEX($K$18:$O$28,MATCH($Z19,$J$18:$J$28,0),MATCH(AA$10,$K$16:$O$16,0))*(INDEX('Company-level data'!$K$45:$O$55,MATCH($Z19,'Company-level data'!$J$45:$J$55,0),MATCH(AA$10,'Company-level data'!$K$43:$O$43,0)))</f>
        <v>59.283164106316811</v>
      </c>
    </row>
    <row r="20" spans="1:27" ht="13.5" thickTop="1" x14ac:dyDescent="0.2">
      <c r="A20" s="12"/>
      <c r="B20" s="12"/>
      <c r="C20" s="68" t="s">
        <v>0</v>
      </c>
      <c r="D20" s="69">
        <f>INDEX('Company-level data'!$R$13:$V$23,MATCH($C20,'Company-level data'!$Q$13:$Q$23,0),MATCH(D$18,'Company-level data'!$R$11:$V$11,0))*HLOOKUP('Case C - Downside'!D$18,'Center cost &amp; synergy worksheet'!$D$59:$H$64,6,FALSE)/HLOOKUP(D$18,'Company-level data'!$R$11:$V$12,2,FALSE)+INDEX('Center cost &amp; synergy worksheet'!$D$67:$H$77,MATCH('Case C - Downside'!$C20,'Center cost &amp; synergy worksheet'!$C$67:$C$77,0),MATCH('Case C - Downside'!D$18,'Center cost &amp; synergy worksheet'!$D$66:$H$66,0))</f>
        <v>0</v>
      </c>
      <c r="E20" s="69">
        <f>INDEX('Company-level data'!$R$13:$V$23,MATCH($C20,'Company-level data'!$Q$13:$Q$23,0),MATCH(E$18,'Company-level data'!$R$11:$V$11,0))*HLOOKUP('Case C - Downside'!E$18,'Center cost &amp; synergy worksheet'!$D$59:$H$64,6,FALSE)/HLOOKUP(E$18,'Company-level data'!$R$11:$V$12,2,FALSE)+INDEX('Center cost &amp; synergy worksheet'!$D$67:$H$77,MATCH('Case C - Downside'!$C20,'Center cost &amp; synergy worksheet'!$C$67:$C$77,0),MATCH('Case C - Downside'!E$18,'Center cost &amp; synergy worksheet'!$D$66:$H$66,0))</f>
        <v>0</v>
      </c>
      <c r="F20" s="69">
        <f>INDEX('Company-level data'!$R$13:$V$23,MATCH($C20,'Company-level data'!$Q$13:$Q$23,0),MATCH(F$18,'Company-level data'!$R$11:$V$11,0))*HLOOKUP('Case C - Downside'!F$18,'Center cost &amp; synergy worksheet'!$D$59:$H$64,6,FALSE)/HLOOKUP(F$18,'Company-level data'!$R$11:$V$12,2,FALSE)+INDEX('Center cost &amp; synergy worksheet'!$D$67:$H$77,MATCH('Case C - Downside'!$C20,'Center cost &amp; synergy worksheet'!$C$67:$C$77,0),MATCH('Case C - Downside'!F$18,'Center cost &amp; synergy worksheet'!$D$66:$H$66,0))</f>
        <v>0</v>
      </c>
      <c r="G20" s="69">
        <f>INDEX('Company-level data'!$R$13:$V$23,MATCH($C20,'Company-level data'!$Q$13:$Q$23,0),MATCH(G$18,'Company-level data'!$R$11:$V$11,0))*HLOOKUP('Case C - Downside'!G$18,'Center cost &amp; synergy worksheet'!$D$59:$H$64,6,FALSE)/HLOOKUP(G$18,'Company-level data'!$R$11:$V$12,2,FALSE)+INDEX('Center cost &amp; synergy worksheet'!$D$67:$H$77,MATCH('Case C - Downside'!$C20,'Center cost &amp; synergy worksheet'!$C$67:$C$77,0),MATCH('Case C - Downside'!G$18,'Center cost &amp; synergy worksheet'!$D$66:$H$66,0))</f>
        <v>0</v>
      </c>
      <c r="H20" s="69">
        <f>INDEX('Company-level data'!$R$13:$V$23,MATCH($C20,'Company-level data'!$Q$13:$Q$23,0),MATCH(H$18,'Company-level data'!$R$11:$V$11,0))*HLOOKUP('Case C - Downside'!H$18,'Center cost &amp; synergy worksheet'!$D$59:$H$64,6,FALSE)/HLOOKUP(H$18,'Company-level data'!$R$11:$V$12,2,FALSE)+INDEX('Center cost &amp; synergy worksheet'!$D$67:$H$77,MATCH('Case C - Downside'!$C20,'Center cost &amp; synergy worksheet'!$C$67:$C$77,0),MATCH('Case C - Downside'!H$18,'Center cost &amp; synergy worksheet'!$D$66:$H$66,0))</f>
        <v>0</v>
      </c>
      <c r="I20" s="12"/>
      <c r="J20" s="91" t="s">
        <v>10</v>
      </c>
      <c r="K20" s="92"/>
      <c r="L20" s="90"/>
      <c r="M20" s="90"/>
      <c r="N20" s="90"/>
      <c r="O20" s="90"/>
      <c r="P20" s="12"/>
      <c r="R20" s="12"/>
      <c r="S20" s="19" t="s">
        <v>3</v>
      </c>
      <c r="T20" s="7">
        <f t="shared" si="0"/>
        <v>65.784935278574309</v>
      </c>
      <c r="U20" s="61">
        <f t="shared" si="1"/>
        <v>1.4880952252092465</v>
      </c>
      <c r="V20" s="42">
        <f t="shared" si="2"/>
        <v>1.2364285714285712</v>
      </c>
      <c r="W20" s="32">
        <f t="shared" si="3"/>
        <v>11.184935278574308</v>
      </c>
      <c r="Y20" s="12"/>
      <c r="Z20" s="19" t="s">
        <v>3</v>
      </c>
      <c r="AA20" s="30">
        <f>INDEX($K$18:$O$28,MATCH($Z20,$J$18:$J$28,0),MATCH(AA$10,$K$16:$O$16,0))*(INDEX('Company-level data'!$K$45:$O$55,MATCH($Z20,'Company-level data'!$J$45:$J$55,0),MATCH(AA$10,'Company-level data'!$K$43:$O$43,0)))</f>
        <v>54.6</v>
      </c>
    </row>
    <row r="21" spans="1:27" x14ac:dyDescent="0.2">
      <c r="A21" s="12"/>
      <c r="B21" s="12"/>
      <c r="C21" s="70" t="s">
        <v>7</v>
      </c>
      <c r="D21" s="71"/>
      <c r="E21" s="71"/>
      <c r="F21" s="71"/>
      <c r="G21" s="71"/>
      <c r="H21" s="71"/>
      <c r="I21" s="12"/>
      <c r="J21" s="91" t="s">
        <v>8</v>
      </c>
      <c r="K21" s="92"/>
      <c r="L21" s="90"/>
      <c r="M21" s="90"/>
      <c r="N21" s="90"/>
      <c r="O21" s="90"/>
      <c r="P21" s="12"/>
      <c r="R21" s="12"/>
      <c r="S21" s="19" t="s">
        <v>4</v>
      </c>
      <c r="T21" s="7">
        <f t="shared" si="0"/>
        <v>62.317252508118997</v>
      </c>
      <c r="U21" s="61">
        <f t="shared" si="1"/>
        <v>1.4242149938666959</v>
      </c>
      <c r="V21" s="42">
        <f t="shared" si="2"/>
        <v>1.2364285714285712</v>
      </c>
      <c r="W21" s="32">
        <f t="shared" si="3"/>
        <v>21.147310310118982</v>
      </c>
      <c r="Y21" s="12"/>
      <c r="Z21" s="19" t="s">
        <v>4</v>
      </c>
      <c r="AA21" s="30">
        <f>INDEX($K$18:$O$28,MATCH($Z21,$J$18:$J$28,0),MATCH(AA$10,$K$16:$O$16,0))*(INDEX('Company-level data'!$K$45:$O$55,MATCH($Z21,'Company-level data'!$J$45:$J$55,0),MATCH(AA$10,'Company-level data'!$K$43:$O$43,0)))</f>
        <v>41.169942198000015</v>
      </c>
    </row>
    <row r="22" spans="1:27" x14ac:dyDescent="0.2">
      <c r="A22" s="12"/>
      <c r="B22" s="12"/>
      <c r="C22" s="70" t="s">
        <v>10</v>
      </c>
      <c r="D22" s="71"/>
      <c r="E22" s="71"/>
      <c r="F22" s="71"/>
      <c r="G22" s="71"/>
      <c r="H22" s="71"/>
      <c r="I22" s="12"/>
      <c r="J22" s="91" t="s">
        <v>9</v>
      </c>
      <c r="K22" s="92"/>
      <c r="L22" s="90"/>
      <c r="M22" s="90"/>
      <c r="N22" s="90"/>
      <c r="O22" s="90"/>
      <c r="P22" s="12"/>
      <c r="R22" s="12"/>
      <c r="S22" s="19" t="s">
        <v>5</v>
      </c>
      <c r="T22" s="7">
        <f t="shared" si="0"/>
        <v>29.976897237859816</v>
      </c>
      <c r="U22" s="61">
        <f t="shared" si="1"/>
        <v>0.81164630175820818</v>
      </c>
      <c r="V22" s="42">
        <f t="shared" si="2"/>
        <v>1.2364285714285712</v>
      </c>
      <c r="W22" s="32">
        <f t="shared" si="3"/>
        <v>2.0892645573951683</v>
      </c>
      <c r="Y22" s="12"/>
      <c r="Z22" s="19" t="s">
        <v>5</v>
      </c>
      <c r="AA22" s="30">
        <f>INDEX($K$18:$O$28,MATCH($Z22,$J$18:$J$28,0),MATCH(AA$10,$K$16:$O$16,0))*(INDEX('Company-level data'!$K$45:$O$55,MATCH($Z22,'Company-level data'!$J$45:$J$55,0),MATCH(AA$10,'Company-level data'!$K$43:$O$43,0)))</f>
        <v>27.887632680464648</v>
      </c>
    </row>
    <row r="23" spans="1:27" x14ac:dyDescent="0.2">
      <c r="A23" s="12"/>
      <c r="B23" s="12"/>
      <c r="C23" s="70" t="s">
        <v>8</v>
      </c>
      <c r="D23" s="71"/>
      <c r="E23" s="71"/>
      <c r="F23" s="71"/>
      <c r="G23" s="71"/>
      <c r="H23" s="71"/>
      <c r="I23" s="12"/>
      <c r="J23" s="83" t="s">
        <v>1</v>
      </c>
      <c r="K23" s="136">
        <v>10.5</v>
      </c>
      <c r="L23" s="90">
        <f t="shared" ref="L23:N28" si="4">($O23-$K23)/($O$16-$K$16)+K23</f>
        <v>10.125</v>
      </c>
      <c r="M23" s="90">
        <f t="shared" si="4"/>
        <v>9.75</v>
      </c>
      <c r="N23" s="90">
        <f t="shared" si="4"/>
        <v>9.375</v>
      </c>
      <c r="O23" s="136">
        <v>9</v>
      </c>
      <c r="P23" s="12"/>
      <c r="R23" s="12"/>
      <c r="S23" s="20" t="s">
        <v>6</v>
      </c>
      <c r="T23" s="15">
        <f t="shared" si="0"/>
        <v>0</v>
      </c>
      <c r="U23" s="62">
        <f t="shared" si="1"/>
        <v>0.4834784440892354</v>
      </c>
      <c r="V23" s="26">
        <f t="shared" si="2"/>
        <v>1.2364285714285712</v>
      </c>
      <c r="W23" s="33">
        <f t="shared" si="3"/>
        <v>0</v>
      </c>
      <c r="Y23" s="12"/>
      <c r="Z23" s="20" t="s">
        <v>6</v>
      </c>
      <c r="AA23" s="31">
        <f>INDEX($K$18:$O$28,MATCH($Z23,$J$18:$J$28,0),MATCH(AA$10,$K$16:$O$16,0))*(INDEX('Company-level data'!$K$45:$O$55,MATCH($Z23,'Company-level data'!$J$45:$J$55,0),MATCH(AA$10,'Company-level data'!$K$43:$O$43,0)))</f>
        <v>0</v>
      </c>
    </row>
    <row r="24" spans="1:27" x14ac:dyDescent="0.2">
      <c r="A24" s="12"/>
      <c r="B24" s="12"/>
      <c r="C24" s="70" t="s">
        <v>9</v>
      </c>
      <c r="D24" s="71"/>
      <c r="E24" s="71"/>
      <c r="F24" s="71"/>
      <c r="G24" s="71"/>
      <c r="H24" s="71"/>
      <c r="I24" s="12"/>
      <c r="J24" s="83" t="s">
        <v>2</v>
      </c>
      <c r="K24" s="136">
        <v>7</v>
      </c>
      <c r="L24" s="90">
        <f t="shared" si="4"/>
        <v>6.875</v>
      </c>
      <c r="M24" s="90">
        <f t="shared" si="4"/>
        <v>6.75</v>
      </c>
      <c r="N24" s="90">
        <f t="shared" si="4"/>
        <v>6.625</v>
      </c>
      <c r="O24" s="136">
        <v>6.5</v>
      </c>
      <c r="P24" s="12"/>
      <c r="R24" s="12"/>
      <c r="S24" s="23" t="s">
        <v>109</v>
      </c>
      <c r="T24" s="40">
        <f>INDEX($K$16:$O$17,MATCH($S$24,$J$16:$J$17,0),MATCH(T$10,$K$16:$O$16,0))</f>
        <v>8.1379241377840543</v>
      </c>
      <c r="U24" s="55"/>
      <c r="V24" s="55"/>
      <c r="X24" s="12"/>
      <c r="Y24" s="12"/>
      <c r="Z24" s="23" t="s">
        <v>111</v>
      </c>
      <c r="AA24" s="40">
        <f>SUM(AA18:AA23,AA13)/(HLOOKUP($AA$10,'Company-level data'!$K43:$O44,2,FALSE))</f>
        <v>7.1268023708799406</v>
      </c>
    </row>
    <row r="25" spans="1:27" x14ac:dyDescent="0.2">
      <c r="A25" s="12"/>
      <c r="B25" s="12"/>
      <c r="C25" s="68" t="s">
        <v>1</v>
      </c>
      <c r="D25" s="69">
        <f>D26+D27</f>
        <v>0</v>
      </c>
      <c r="E25" s="69">
        <f>E26+E27</f>
        <v>0</v>
      </c>
      <c r="F25" s="69">
        <f>F26+F27</f>
        <v>1</v>
      </c>
      <c r="G25" s="69">
        <f>G26+G27</f>
        <v>2</v>
      </c>
      <c r="H25" s="69">
        <f>H26+H27</f>
        <v>3</v>
      </c>
      <c r="I25" s="12"/>
      <c r="J25" s="83" t="s">
        <v>3</v>
      </c>
      <c r="K25" s="136">
        <v>8</v>
      </c>
      <c r="L25" s="90">
        <f t="shared" si="4"/>
        <v>7.625</v>
      </c>
      <c r="M25" s="90">
        <f t="shared" si="4"/>
        <v>7.25</v>
      </c>
      <c r="N25" s="90">
        <f t="shared" si="4"/>
        <v>6.875</v>
      </c>
      <c r="O25" s="136">
        <v>6.5</v>
      </c>
      <c r="P25" s="12"/>
      <c r="R25" s="12"/>
      <c r="S25" s="23" t="s">
        <v>28</v>
      </c>
      <c r="T25" s="23" t="b">
        <f>(T24*(HLOOKUP(T$10,$T$28:$X$29,2,FALSE)))=T11</f>
        <v>1</v>
      </c>
      <c r="U25" s="23" t="b">
        <f>SUM(U18:U23,U13)=U11</f>
        <v>1</v>
      </c>
      <c r="V25" s="23" t="b">
        <f>SUM(V18:V23,V13)=V11</f>
        <v>1</v>
      </c>
      <c r="W25" s="36"/>
      <c r="X25" s="12"/>
      <c r="Y25" s="12"/>
      <c r="Z25" s="23" t="s">
        <v>112</v>
      </c>
      <c r="AA25" s="40">
        <f>SUM(AA18:AA23)/(HLOOKUP($AA$10,'Company-level data'!$K$43:$O$44,2,FALSE)-INDEX('Company-level data'!$K$45:$O$55,MATCH("Hybrid",'Company-level data'!$J$45:$J$55,0),MATCH($AA$10,'Company-level data'!$K$43:$O$43,0)))</f>
        <v>7.5811632662249613</v>
      </c>
    </row>
    <row r="26" spans="1:27" x14ac:dyDescent="0.2">
      <c r="A26" s="12"/>
      <c r="B26" s="12"/>
      <c r="C26" s="72" t="s">
        <v>17</v>
      </c>
      <c r="D26" s="73">
        <f>D11</f>
        <v>0</v>
      </c>
      <c r="E26" s="73">
        <f>E11</f>
        <v>0</v>
      </c>
      <c r="F26" s="73">
        <f>F11</f>
        <v>1</v>
      </c>
      <c r="G26" s="73">
        <f>G11</f>
        <v>2</v>
      </c>
      <c r="H26" s="73">
        <f>H11</f>
        <v>3</v>
      </c>
      <c r="I26" s="12"/>
      <c r="J26" s="83" t="s">
        <v>4</v>
      </c>
      <c r="K26" s="136">
        <v>8.5</v>
      </c>
      <c r="L26" s="90">
        <f t="shared" si="4"/>
        <v>8.125</v>
      </c>
      <c r="M26" s="90">
        <f t="shared" si="4"/>
        <v>7.75</v>
      </c>
      <c r="N26" s="90">
        <f t="shared" si="4"/>
        <v>7.375</v>
      </c>
      <c r="O26" s="136">
        <v>7</v>
      </c>
      <c r="P26" s="12"/>
      <c r="R26" s="12"/>
      <c r="S26" s="23"/>
      <c r="T26" s="24"/>
      <c r="U26" s="24"/>
      <c r="V26" s="24"/>
      <c r="W26" s="24"/>
      <c r="X26" s="24"/>
      <c r="Y26" s="12"/>
      <c r="Z26" s="23" t="s">
        <v>114</v>
      </c>
    </row>
    <row r="27" spans="1:27" x14ac:dyDescent="0.2">
      <c r="A27" s="12"/>
      <c r="B27" s="12"/>
      <c r="C27" s="72" t="s">
        <v>18</v>
      </c>
      <c r="D27" s="73">
        <f>INDEX('Company-level data'!$R$13:$V$23,MATCH($C25,'Company-level data'!$Q$13:$Q$23,0),MATCH(D$18,'Company-level data'!$R$11:$V$11,0))*HLOOKUP('Case C - Downside'!D$18,'Center cost &amp; synergy worksheet'!$D$59:$H$64,6,FALSE)/HLOOKUP(D$18,'Company-level data'!$R$11:$V$12,2,FALSE)+INDEX('Center cost &amp; synergy worksheet'!$D$67:$H$77,MATCH('Case C - Downside'!$C25,'Center cost &amp; synergy worksheet'!$C$67:$C$77,0),MATCH('Case C - Downside'!D$18,'Center cost &amp; synergy worksheet'!$D$66:$H$66,0))</f>
        <v>0</v>
      </c>
      <c r="E27" s="73">
        <f>INDEX('Company-level data'!$R$13:$V$23,MATCH($C25,'Company-level data'!$Q$13:$Q$23,0),MATCH(E$18,'Company-level data'!$R$11:$V$11,0))*HLOOKUP('Case C - Downside'!E$18,'Center cost &amp; synergy worksheet'!$D$59:$H$64,6,FALSE)/HLOOKUP(E$18,'Company-level data'!$R$11:$V$12,2,FALSE)+INDEX('Center cost &amp; synergy worksheet'!$D$67:$H$77,MATCH('Case C - Downside'!$C25,'Center cost &amp; synergy worksheet'!$C$67:$C$77,0),MATCH('Case C - Downside'!E$18,'Center cost &amp; synergy worksheet'!$D$66:$H$66,0))</f>
        <v>0</v>
      </c>
      <c r="F27" s="73">
        <f>INDEX('Company-level data'!$R$13:$V$23,MATCH($C25,'Company-level data'!$Q$13:$Q$23,0),MATCH(F$18,'Company-level data'!$R$11:$V$11,0))*HLOOKUP('Case C - Downside'!F$18,'Center cost &amp; synergy worksheet'!$D$59:$H$64,6,FALSE)/HLOOKUP(F$18,'Company-level data'!$R$11:$V$12,2,FALSE)+INDEX('Center cost &amp; synergy worksheet'!$D$67:$H$77,MATCH('Case C - Downside'!$C25,'Center cost &amp; synergy worksheet'!$C$67:$C$77,0),MATCH('Case C - Downside'!F$18,'Center cost &amp; synergy worksheet'!$D$66:$H$66,0))</f>
        <v>0</v>
      </c>
      <c r="G27" s="73">
        <f>INDEX('Company-level data'!$R$13:$V$23,MATCH($C25,'Company-level data'!$Q$13:$Q$23,0),MATCH(G$18,'Company-level data'!$R$11:$V$11,0))*HLOOKUP('Case C - Downside'!G$18,'Center cost &amp; synergy worksheet'!$D$59:$H$64,6,FALSE)/HLOOKUP(G$18,'Company-level data'!$R$11:$V$12,2,FALSE)+INDEX('Center cost &amp; synergy worksheet'!$D$67:$H$77,MATCH('Case C - Downside'!$C25,'Center cost &amp; synergy worksheet'!$C$67:$C$77,0),MATCH('Case C - Downside'!G$18,'Center cost &amp; synergy worksheet'!$D$66:$H$66,0))</f>
        <v>0</v>
      </c>
      <c r="H27" s="73">
        <f>INDEX('Company-level data'!$R$13:$V$23,MATCH($C25,'Company-level data'!$Q$13:$Q$23,0),MATCH(H$18,'Company-level data'!$R$11:$V$11,0))*HLOOKUP('Case C - Downside'!H$18,'Center cost &amp; synergy worksheet'!$D$59:$H$64,6,FALSE)/HLOOKUP(H$18,'Company-level data'!$R$11:$V$12,2,FALSE)+INDEX('Center cost &amp; synergy worksheet'!$D$67:$H$77,MATCH('Case C - Downside'!$C25,'Center cost &amp; synergy worksheet'!$C$67:$C$77,0),MATCH('Case C - Downside'!H$18,'Center cost &amp; synergy worksheet'!$D$66:$H$66,0))</f>
        <v>0</v>
      </c>
      <c r="I27" s="12"/>
      <c r="J27" s="83" t="s">
        <v>5</v>
      </c>
      <c r="K27" s="136">
        <v>6.75</v>
      </c>
      <c r="L27" s="90">
        <f t="shared" si="4"/>
        <v>6.5625</v>
      </c>
      <c r="M27" s="90">
        <f t="shared" si="4"/>
        <v>6.375</v>
      </c>
      <c r="N27" s="90">
        <f t="shared" si="4"/>
        <v>6.1875</v>
      </c>
      <c r="O27" s="136">
        <v>6</v>
      </c>
      <c r="P27" s="12"/>
      <c r="R27" s="12"/>
      <c r="S27" s="24"/>
      <c r="T27" s="24"/>
      <c r="U27" s="24"/>
      <c r="V27" s="24"/>
      <c r="W27" s="24"/>
      <c r="X27" s="24"/>
      <c r="Y27" s="12"/>
      <c r="Z27" s="12"/>
    </row>
    <row r="28" spans="1:27" ht="13.5" thickBot="1" x14ac:dyDescent="0.25">
      <c r="A28" s="12"/>
      <c r="B28" s="12"/>
      <c r="C28" s="74" t="s">
        <v>2</v>
      </c>
      <c r="D28" s="75">
        <f>D29+D30</f>
        <v>0</v>
      </c>
      <c r="E28" s="75">
        <f>E29+E30</f>
        <v>0.46635626429983862</v>
      </c>
      <c r="F28" s="75">
        <f>F29+F30</f>
        <v>2.6706880309733925</v>
      </c>
      <c r="G28" s="75">
        <f>G29+G30</f>
        <v>2.94614025661628</v>
      </c>
      <c r="H28" s="75">
        <f>H29+H30</f>
        <v>2.7925650350766151</v>
      </c>
      <c r="I28" s="12"/>
      <c r="J28" s="93" t="s">
        <v>6</v>
      </c>
      <c r="K28" s="142">
        <v>8.5</v>
      </c>
      <c r="L28" s="94">
        <f t="shared" si="4"/>
        <v>7.625</v>
      </c>
      <c r="M28" s="94">
        <f t="shared" si="4"/>
        <v>6.75</v>
      </c>
      <c r="N28" s="94">
        <f t="shared" si="4"/>
        <v>5.875</v>
      </c>
      <c r="O28" s="142">
        <v>5</v>
      </c>
      <c r="P28" s="12"/>
      <c r="R28" s="12"/>
      <c r="S28" s="10" t="s">
        <v>85</v>
      </c>
      <c r="T28" s="10">
        <v>2015</v>
      </c>
      <c r="U28" s="10">
        <v>2016</v>
      </c>
      <c r="V28" s="10">
        <v>2017</v>
      </c>
      <c r="W28" s="10">
        <v>2018</v>
      </c>
      <c r="X28" s="10">
        <v>2019</v>
      </c>
      <c r="Y28" s="12"/>
      <c r="Z28" s="12"/>
    </row>
    <row r="29" spans="1:27" ht="13.5" thickBot="1" x14ac:dyDescent="0.25">
      <c r="A29" s="12"/>
      <c r="B29" s="12"/>
      <c r="C29" s="72" t="s">
        <v>17</v>
      </c>
      <c r="D29" s="73">
        <f>D$12*INDEX('Company-level data'!$R$19:$V$23,MATCH($C28,'Company-level data'!$Q$19:$Q$23,0),MATCH(D$18,'Company-level data'!$R$11:$V$11,0))/SUM('Company-level data'!R$19:R$23)</f>
        <v>0</v>
      </c>
      <c r="E29" s="73">
        <f>E$12*INDEX('Company-level data'!$R$19:$V$23,MATCH($C28,'Company-level data'!$Q$19:$Q$23,0),MATCH(E$18,'Company-level data'!$R$11:$V$11,0))/SUM('Company-level data'!S$19:S$23)</f>
        <v>0.46635626429983862</v>
      </c>
      <c r="F29" s="73">
        <f>F$12*INDEX('Company-level data'!$R$19:$V$23,MATCH($C28,'Company-level data'!$Q$19:$Q$23,0),MATCH(F$18,'Company-level data'!$R$11:$V$11,0))/SUM('Company-level data'!T$19:T$23)</f>
        <v>2.6706880309733925</v>
      </c>
      <c r="G29" s="73">
        <f>G$12*INDEX('Company-level data'!$R$19:$V$23,MATCH($C28,'Company-level data'!$Q$19:$Q$23,0),MATCH(G$18,'Company-level data'!$R$11:$V$11,0))/SUM('Company-level data'!U$19:U$23)</f>
        <v>2.94614025661628</v>
      </c>
      <c r="H29" s="73">
        <f>H$12*INDEX('Company-level data'!$R$19:$V$23,MATCH($C28,'Company-level data'!$Q$19:$Q$23,0),MATCH(H$18,'Company-level data'!$R$11:$V$11,0))/SUM('Company-level data'!V$19:V$23)</f>
        <v>2.7925650350766151</v>
      </c>
      <c r="I29" s="12"/>
      <c r="J29" s="83"/>
      <c r="K29" s="83"/>
      <c r="L29" s="83"/>
      <c r="M29" s="83"/>
      <c r="N29" s="83"/>
      <c r="O29" s="83"/>
      <c r="P29" s="12"/>
      <c r="R29" s="12"/>
      <c r="S29" s="14" t="s">
        <v>23</v>
      </c>
      <c r="T29" s="21">
        <f>T30+T35+T36+T37+T38+T39+T40</f>
        <v>53.299260988748088</v>
      </c>
      <c r="U29" s="21">
        <f>U30+U35+U36+U37+U38+U39+U40</f>
        <v>54.887458201056525</v>
      </c>
      <c r="V29" s="21">
        <f>V30+V35+V36+V37+V38+V39+V40</f>
        <v>61.720301228982215</v>
      </c>
      <c r="W29" s="21">
        <f>W30+W35+W36+W37+W38+W39+W40</f>
        <v>67.309917590341797</v>
      </c>
      <c r="X29" s="21">
        <f>X30+X35+X36+X37+X38+X39+X40</f>
        <v>70.088326676688766</v>
      </c>
      <c r="Y29" s="12"/>
      <c r="Z29" s="12"/>
    </row>
    <row r="30" spans="1:27" ht="14.25" thickTop="1" thickBot="1" x14ac:dyDescent="0.25">
      <c r="A30" s="12"/>
      <c r="B30" s="12"/>
      <c r="C30" s="72" t="s">
        <v>18</v>
      </c>
      <c r="D30" s="73">
        <f>INDEX('Company-level data'!$R$13:$V$23,MATCH($C28,'Company-level data'!$Q$13:$Q$23,0),MATCH(D$18,'Company-level data'!$R$11:$V$11,0))*HLOOKUP('Case C - Downside'!D$18,'Center cost &amp; synergy worksheet'!$D$59:$H$64,6,FALSE)/HLOOKUP(D$18,'Company-level data'!$R$11:$V$12,2,FALSE)+INDEX('Center cost &amp; synergy worksheet'!$D$67:$H$77,MATCH('Case C - Downside'!$C28,'Center cost &amp; synergy worksheet'!$C$67:$C$77,0),MATCH('Case C - Downside'!D$18,'Center cost &amp; synergy worksheet'!$D$66:$H$66,0))</f>
        <v>0</v>
      </c>
      <c r="E30" s="73">
        <f>INDEX('Company-level data'!$R$13:$V$23,MATCH($C28,'Company-level data'!$Q$13:$Q$23,0),MATCH(E$18,'Company-level data'!$R$11:$V$11,0))*HLOOKUP('Case C - Downside'!E$18,'Center cost &amp; synergy worksheet'!$D$59:$H$64,6,FALSE)/HLOOKUP(E$18,'Company-level data'!$R$11:$V$12,2,FALSE)+INDEX('Center cost &amp; synergy worksheet'!$D$67:$H$77,MATCH('Case C - Downside'!$C28,'Center cost &amp; synergy worksheet'!$C$67:$C$77,0),MATCH('Case C - Downside'!E$18,'Center cost &amp; synergy worksheet'!$D$66:$H$66,0))</f>
        <v>0</v>
      </c>
      <c r="F30" s="73">
        <f>INDEX('Company-level data'!$R$13:$V$23,MATCH($C28,'Company-level data'!$Q$13:$Q$23,0),MATCH(F$18,'Company-level data'!$R$11:$V$11,0))*HLOOKUP('Case C - Downside'!F$18,'Center cost &amp; synergy worksheet'!$D$59:$H$64,6,FALSE)/HLOOKUP(F$18,'Company-level data'!$R$11:$V$12,2,FALSE)+INDEX('Center cost &amp; synergy worksheet'!$D$67:$H$77,MATCH('Case C - Downside'!$C28,'Center cost &amp; synergy worksheet'!$C$67:$C$77,0),MATCH('Case C - Downside'!F$18,'Center cost &amp; synergy worksheet'!$D$66:$H$66,0))</f>
        <v>0</v>
      </c>
      <c r="G30" s="73">
        <f>INDEX('Company-level data'!$R$13:$V$23,MATCH($C28,'Company-level data'!$Q$13:$Q$23,0),MATCH(G$18,'Company-level data'!$R$11:$V$11,0))*HLOOKUP('Case C - Downside'!G$18,'Center cost &amp; synergy worksheet'!$D$59:$H$64,6,FALSE)/HLOOKUP(G$18,'Company-level data'!$R$11:$V$12,2,FALSE)+INDEX('Center cost &amp; synergy worksheet'!$D$67:$H$77,MATCH('Case C - Downside'!$C28,'Center cost &amp; synergy worksheet'!$C$67:$C$77,0),MATCH('Case C - Downside'!G$18,'Center cost &amp; synergy worksheet'!$D$66:$H$66,0))</f>
        <v>0</v>
      </c>
      <c r="H30" s="73">
        <f>INDEX('Company-level data'!$R$13:$V$23,MATCH($C28,'Company-level data'!$Q$13:$Q$23,0),MATCH(H$18,'Company-level data'!$R$11:$V$11,0))*HLOOKUP('Case C - Downside'!H$18,'Center cost &amp; synergy worksheet'!$D$59:$H$64,6,FALSE)/HLOOKUP(H$18,'Company-level data'!$R$11:$V$12,2,FALSE)+INDEX('Center cost &amp; synergy worksheet'!$D$67:$H$77,MATCH('Case C - Downside'!$C28,'Center cost &amp; synergy worksheet'!$C$67:$C$77,0),MATCH('Case C - Downside'!H$18,'Center cost &amp; synergy worksheet'!$D$66:$H$66,0))</f>
        <v>0</v>
      </c>
      <c r="I30" s="12"/>
      <c r="J30" s="88" t="s">
        <v>98</v>
      </c>
      <c r="K30" s="88">
        <v>2015</v>
      </c>
      <c r="L30" s="88">
        <v>2016</v>
      </c>
      <c r="M30" s="88">
        <v>2017</v>
      </c>
      <c r="N30" s="88">
        <v>2018</v>
      </c>
      <c r="O30" s="88">
        <v>2019</v>
      </c>
      <c r="P30" s="12"/>
      <c r="R30" s="12"/>
      <c r="S30" s="12" t="s">
        <v>0</v>
      </c>
      <c r="T30" s="7">
        <f>INDEX('Company-level data'!$K$44:$O$55,MATCH($S30,'Company-level data'!$J$44:$J$55,0),MATCH(T$28,'Company-level data'!$K$43:$O$43,0))+INDEX($D$20:$H$42,MATCH($S30,$C$20:$C$42,0),MATCH(T$28,$D$18:$H$18,0))-INDEX($K$47:$O$57,MATCH($S30,$J$47:$J$57,0),MATCH(T$28,$D$51:$H$51,0))*INDEX($D$52:$H$54,MATCH("center - baseline",$C$52:$C$54,0),MATCH(T$28,$D$51:$H$51,0))</f>
        <v>24.078916485398864</v>
      </c>
      <c r="U30" s="7">
        <f>INDEX('Company-level data'!$K$44:$O$55,MATCH($S30,'Company-level data'!$J$44:$J$55,0),MATCH(U$28,'Company-level data'!$K$43:$O$43,0))+INDEX($D$20:$H$42,MATCH($S30,$C$20:$C$42,0),MATCH(U$28,$D$18:$H$18,0))-INDEX($K$47:$O$57,MATCH($S30,$J$47:$J$57,0),MATCH(U$28,$D$51:$H$51,0))*INDEX($D$52:$H$54,MATCH("center - baseline",$C$52:$C$54,0),MATCH(U$28,$D$51:$H$51,0))</f>
        <v>20.598642374615341</v>
      </c>
      <c r="V30" s="7">
        <f>INDEX('Company-level data'!$K$44:$O$55,MATCH($S30,'Company-level data'!$J$44:$J$55,0),MATCH(V$28,'Company-level data'!$K$43:$O$43,0))+INDEX($D$20:$H$42,MATCH($S30,$C$20:$C$42,0),MATCH(V$28,$D$18:$H$18,0))-INDEX($K$47:$O$57,MATCH($S30,$J$47:$J$57,0),MATCH(V$28,$D$51:$H$51,0))*INDEX($D$52:$H$54,MATCH("center - baseline",$C$52:$C$54,0),MATCH(V$28,$D$51:$H$51,0))</f>
        <v>19.48689035044125</v>
      </c>
      <c r="W30" s="7">
        <f>INDEX('Company-level data'!$K$44:$O$55,MATCH($S30,'Company-level data'!$J$44:$J$55,0),MATCH(W$28,'Company-level data'!$K$43:$O$43,0))+INDEX($D$20:$H$42,MATCH($S30,$C$20:$C$42,0),MATCH(W$28,$D$18:$H$18,0))-INDEX($K$47:$O$57,MATCH($S30,$J$47:$J$57,0),MATCH(W$28,$D$51:$H$51,0))*INDEX($D$52:$H$54,MATCH("center - baseline",$C$52:$C$54,0),MATCH(W$28,$D$51:$H$51,0))</f>
        <v>18.992869743740343</v>
      </c>
      <c r="X30" s="7">
        <f>INDEX('Company-level data'!$K$44:$O$55,MATCH($S30,'Company-level data'!$J$44:$J$55,0),MATCH(X$28,'Company-level data'!$K$43:$O$43,0))+INDEX($D$20:$H$42,MATCH($S30,$C$20:$C$42,0),MATCH(X$28,$D$18:$H$18,0))-INDEX($K$47:$O$57,MATCH($S30,$J$47:$J$57,0),MATCH(X$28,$D$51:$H$51,0))*INDEX($D$52:$H$54,MATCH("center - baseline",$C$52:$C$54,0),MATCH(X$28,$D$51:$H$51,0))</f>
        <v>18.517558967371034</v>
      </c>
      <c r="Y30" s="12"/>
      <c r="Z30" s="12"/>
    </row>
    <row r="31" spans="1:27" ht="13.5" thickBot="1" x14ac:dyDescent="0.25">
      <c r="A31" s="12"/>
      <c r="B31" s="12"/>
      <c r="C31" s="74" t="s">
        <v>3</v>
      </c>
      <c r="D31" s="75">
        <f>D32+D33</f>
        <v>0</v>
      </c>
      <c r="E31" s="75">
        <f>E32+E33</f>
        <v>0.17640952286351402</v>
      </c>
      <c r="F31" s="75">
        <f>F32+F33</f>
        <v>1.1020871318438361</v>
      </c>
      <c r="G31" s="75">
        <f>G32+G33</f>
        <v>1.3815401719808083</v>
      </c>
      <c r="H31" s="75">
        <f>H32+H33</f>
        <v>1.4880952252092465</v>
      </c>
      <c r="J31" s="89" t="s">
        <v>11</v>
      </c>
      <c r="K31" s="95">
        <f>SUM(K32,K37:K42)</f>
        <v>0.99999999999999989</v>
      </c>
      <c r="L31" s="95">
        <f>SUM(L32,L37:L42)</f>
        <v>1</v>
      </c>
      <c r="M31" s="95">
        <f>SUM(M32,M37:M42)</f>
        <v>1</v>
      </c>
      <c r="N31" s="95">
        <f>SUM(N32,N37:N42)</f>
        <v>1</v>
      </c>
      <c r="O31" s="95">
        <f>SUM(O32,O37:O42)</f>
        <v>1.0000000000000002</v>
      </c>
      <c r="P31" s="12"/>
      <c r="R31" s="12"/>
      <c r="S31" s="19" t="s">
        <v>7</v>
      </c>
      <c r="T31" s="7">
        <f>INDEX('Company-level data'!$K$44:$O$55,MATCH($S31,'Company-level data'!$J$44:$J$55,0),MATCH(T$28,'Company-level data'!$K$43:$O$43,0))+INDEX($D$20:$H$42,MATCH($S31,$C$20:$C$42,0),MATCH(T$28,$D$18:$H$18,0))-INDEX($K$47:$O$57,MATCH($S31,$J$47:$J$57,0),MATCH(T$28,$D$51:$H$51,0))*INDEX($D$52:$H$54,MATCH("center - baseline",$C$52:$C$54,0),MATCH(T$28,$D$51:$H$51,0))</f>
        <v>0</v>
      </c>
      <c r="U31" s="7">
        <f>INDEX('Company-level data'!$K$44:$O$55,MATCH($S31,'Company-level data'!$J$44:$J$55,0),MATCH(U$28,'Company-level data'!$K$43:$O$43,0))+INDEX($D$20:$H$42,MATCH($S31,$C$20:$C$42,0),MATCH(U$28,$D$18:$H$18,0))-INDEX($K$47:$O$57,MATCH($S31,$J$47:$J$57,0),MATCH(U$28,$D$51:$H$51,0))*INDEX($D$52:$H$54,MATCH("center - baseline",$C$52:$C$54,0),MATCH(U$28,$D$51:$H$51,0))</f>
        <v>0</v>
      </c>
      <c r="V31" s="7">
        <f>INDEX('Company-level data'!$K$44:$O$55,MATCH($S31,'Company-level data'!$J$44:$J$55,0),MATCH(V$28,'Company-level data'!$K$43:$O$43,0))+INDEX($D$20:$H$42,MATCH($S31,$C$20:$C$42,0),MATCH(V$28,$D$18:$H$18,0))-INDEX($K$47:$O$57,MATCH($S31,$J$47:$J$57,0),MATCH(V$28,$D$51:$H$51,0))*INDEX($D$52:$H$54,MATCH("center - baseline",$C$52:$C$54,0),MATCH(V$28,$D$51:$H$51,0))</f>
        <v>0</v>
      </c>
      <c r="W31" s="7">
        <f>INDEX('Company-level data'!$K$44:$O$55,MATCH($S31,'Company-level data'!$J$44:$J$55,0),MATCH(W$28,'Company-level data'!$K$43:$O$43,0))+INDEX($D$20:$H$42,MATCH($S31,$C$20:$C$42,0),MATCH(W$28,$D$18:$H$18,0))-INDEX($K$47:$O$57,MATCH($S31,$J$47:$J$57,0),MATCH(W$28,$D$51:$H$51,0))*INDEX($D$52:$H$54,MATCH("center - baseline",$C$52:$C$54,0),MATCH(W$28,$D$51:$H$51,0))</f>
        <v>0</v>
      </c>
      <c r="X31" s="7">
        <f>INDEX('Company-level data'!$K$44:$O$55,MATCH($S31,'Company-level data'!$J$44:$J$55,0),MATCH(X$28,'Company-level data'!$K$43:$O$43,0))+INDEX($D$20:$H$42,MATCH($S31,$C$20:$C$42,0),MATCH(X$28,$D$18:$H$18,0))-INDEX($K$47:$O$57,MATCH($S31,$J$47:$J$57,0),MATCH(X$28,$D$51:$H$51,0))*INDEX($D$52:$H$54,MATCH("center - baseline",$C$52:$C$54,0),MATCH(X$28,$D$51:$H$51,0))</f>
        <v>0</v>
      </c>
      <c r="Y31" s="12"/>
      <c r="Z31" s="12"/>
    </row>
    <row r="32" spans="1:27" ht="13.5" thickTop="1" x14ac:dyDescent="0.2">
      <c r="A32" s="12"/>
      <c r="B32" s="12"/>
      <c r="C32" s="72" t="s">
        <v>17</v>
      </c>
      <c r="D32" s="73">
        <f>D$12*INDEX('Company-level data'!$R$19:$V$23,MATCH($C31,'Company-level data'!$Q$19:$Q$23,0),MATCH(D$18,'Company-level data'!$R$11:$V$11,0))/SUM('Company-level data'!R$19:R$23)</f>
        <v>0</v>
      </c>
      <c r="E32" s="73">
        <f>E$12*INDEX('Company-level data'!$R$19:$V$23,MATCH($C31,'Company-level data'!$Q$19:$Q$23,0),MATCH(E$18,'Company-level data'!$R$11:$V$11,0))/SUM('Company-level data'!S$19:S$23)</f>
        <v>0.17640952286351402</v>
      </c>
      <c r="F32" s="73">
        <f>F$12*INDEX('Company-level data'!$R$19:$V$23,MATCH($C31,'Company-level data'!$Q$19:$Q$23,0),MATCH(F$18,'Company-level data'!$R$11:$V$11,0))/SUM('Company-level data'!T$19:T$23)</f>
        <v>1.1020871318438361</v>
      </c>
      <c r="G32" s="73">
        <f>G$12*INDEX('Company-level data'!$R$19:$V$23,MATCH($C31,'Company-level data'!$Q$19:$Q$23,0),MATCH(G$18,'Company-level data'!$R$11:$V$11,0))/SUM('Company-level data'!U$19:U$23)</f>
        <v>1.3815401719808083</v>
      </c>
      <c r="H32" s="73">
        <f>H$12*INDEX('Company-level data'!$R$19:$V$23,MATCH($C31,'Company-level data'!$Q$19:$Q$23,0),MATCH(H$18,'Company-level data'!$R$11:$V$11,0))/SUM('Company-level data'!V$19:V$23)</f>
        <v>1.4880952252092465</v>
      </c>
      <c r="I32" s="12"/>
      <c r="J32" s="83" t="s">
        <v>0</v>
      </c>
      <c r="K32" s="96">
        <f>'Company-level data'!K45*'Case A - Stretch'!K$18/SUM(SUMPRODUCT('Company-level data'!K$50:K$55,'Case A - Stretch'!K$23:K$28),'Company-level data'!K$45*'Case A - Stretch'!K$18)</f>
        <v>0.41098288942341288</v>
      </c>
      <c r="L32" s="96">
        <f>'Company-level data'!L45*'Case A - Stretch'!L$18/SUM(SUMPRODUCT('Company-level data'!L$50:L$55,'Case A - Stretch'!L$23:L$28),'Company-level data'!L$45*'Case A - Stretch'!L$18)</f>
        <v>0.31468353154375661</v>
      </c>
      <c r="M32" s="96">
        <f>'Company-level data'!M45*'Case A - Stretch'!M$18/SUM(SUMPRODUCT('Company-level data'!M$50:M$55,'Case A - Stretch'!M$23:M$28),'Company-level data'!M$45*'Case A - Stretch'!M$18)</f>
        <v>0.27806470801941552</v>
      </c>
      <c r="N32" s="96">
        <f>'Company-level data'!N45*'Case A - Stretch'!N$18/SUM(SUMPRODUCT('Company-level data'!N$50:N$55,'Case A - Stretch'!N$23:N$28),'Company-level data'!N$45*'Case A - Stretch'!N$18)</f>
        <v>0.24467379268425149</v>
      </c>
      <c r="O32" s="96">
        <f>'Company-level data'!O45*'Case A - Stretch'!O$18/SUM(SUMPRODUCT('Company-level data'!O$50:O$55,'Case A - Stretch'!O$23:O$28),'Company-level data'!O$45*'Case A - Stretch'!O$18)</f>
        <v>0.22336839668519728</v>
      </c>
      <c r="P32" s="12"/>
      <c r="R32" s="12"/>
      <c r="S32" s="19" t="s">
        <v>10</v>
      </c>
      <c r="T32" s="7">
        <f>INDEX('Company-level data'!$K$44:$O$55,MATCH($S32,'Company-level data'!$J$44:$J$55,0),MATCH(T$28,'Company-level data'!$K$43:$O$43,0))+INDEX($D$20:$H$42,MATCH($S32,$C$20:$C$42,0),MATCH(T$28,$D$18:$H$18,0))-INDEX($K$47:$O$57,MATCH($S32,$J$47:$J$57,0),MATCH(T$28,$D$51:$H$51,0))*INDEX($D$52:$H$54,MATCH("center - baseline",$C$52:$C$54,0),MATCH(T$28,$D$51:$H$51,0))</f>
        <v>0</v>
      </c>
      <c r="U32" s="7">
        <f>INDEX('Company-level data'!$K$44:$O$55,MATCH($S32,'Company-level data'!$J$44:$J$55,0),MATCH(U$28,'Company-level data'!$K$43:$O$43,0))+INDEX($D$20:$H$42,MATCH($S32,$C$20:$C$42,0),MATCH(U$28,$D$18:$H$18,0))-INDEX($K$47:$O$57,MATCH($S32,$J$47:$J$57,0),MATCH(U$28,$D$51:$H$51,0))*INDEX($D$52:$H$54,MATCH("center - baseline",$C$52:$C$54,0),MATCH(U$28,$D$51:$H$51,0))</f>
        <v>0</v>
      </c>
      <c r="V32" s="7">
        <f>INDEX('Company-level data'!$K$44:$O$55,MATCH($S32,'Company-level data'!$J$44:$J$55,0),MATCH(V$28,'Company-level data'!$K$43:$O$43,0))+INDEX($D$20:$H$42,MATCH($S32,$C$20:$C$42,0),MATCH(V$28,$D$18:$H$18,0))-INDEX($K$47:$O$57,MATCH($S32,$J$47:$J$57,0),MATCH(V$28,$D$51:$H$51,0))*INDEX($D$52:$H$54,MATCH("center - baseline",$C$52:$C$54,0),MATCH(V$28,$D$51:$H$51,0))</f>
        <v>0</v>
      </c>
      <c r="W32" s="7">
        <f>INDEX('Company-level data'!$K$44:$O$55,MATCH($S32,'Company-level data'!$J$44:$J$55,0),MATCH(W$28,'Company-level data'!$K$43:$O$43,0))+INDEX($D$20:$H$42,MATCH($S32,$C$20:$C$42,0),MATCH(W$28,$D$18:$H$18,0))-INDEX($K$47:$O$57,MATCH($S32,$J$47:$J$57,0),MATCH(W$28,$D$51:$H$51,0))*INDEX($D$52:$H$54,MATCH("center - baseline",$C$52:$C$54,0),MATCH(W$28,$D$51:$H$51,0))</f>
        <v>0</v>
      </c>
      <c r="X32" s="7">
        <f>INDEX('Company-level data'!$K$44:$O$55,MATCH($S32,'Company-level data'!$J$44:$J$55,0),MATCH(X$28,'Company-level data'!$K$43:$O$43,0))+INDEX($D$20:$H$42,MATCH($S32,$C$20:$C$42,0),MATCH(X$28,$D$18:$H$18,0))-INDEX($K$47:$O$57,MATCH($S32,$J$47:$J$57,0),MATCH(X$28,$D$51:$H$51,0))*INDEX($D$52:$H$54,MATCH("center - baseline",$C$52:$C$54,0),MATCH(X$28,$D$51:$H$51,0))</f>
        <v>0</v>
      </c>
      <c r="Y32" s="12"/>
      <c r="Z32" s="12"/>
    </row>
    <row r="33" spans="1:33" x14ac:dyDescent="0.2">
      <c r="A33" s="12"/>
      <c r="B33" s="12"/>
      <c r="C33" s="72" t="s">
        <v>18</v>
      </c>
      <c r="D33" s="73">
        <f>INDEX('Company-level data'!$R$13:$V$23,MATCH($C31,'Company-level data'!$Q$13:$Q$23,0),MATCH(D$18,'Company-level data'!$R$11:$V$11,0))*HLOOKUP('Case C - Downside'!D$18,'Center cost &amp; synergy worksheet'!$D$59:$H$64,6,FALSE)/HLOOKUP(D$18,'Company-level data'!$R$11:$V$12,2,FALSE)+INDEX('Center cost &amp; synergy worksheet'!$D$67:$H$77,MATCH('Case C - Downside'!$C31,'Center cost &amp; synergy worksheet'!$C$67:$C$77,0),MATCH('Case C - Downside'!D$18,'Center cost &amp; synergy worksheet'!$D$66:$H$66,0))</f>
        <v>0</v>
      </c>
      <c r="E33" s="73">
        <f>INDEX('Company-level data'!$R$13:$V$23,MATCH($C31,'Company-level data'!$Q$13:$Q$23,0),MATCH(E$18,'Company-level data'!$R$11:$V$11,0))*HLOOKUP('Case C - Downside'!E$18,'Center cost &amp; synergy worksheet'!$D$59:$H$64,6,FALSE)/HLOOKUP(E$18,'Company-level data'!$R$11:$V$12,2,FALSE)+INDEX('Center cost &amp; synergy worksheet'!$D$67:$H$77,MATCH('Case C - Downside'!$C31,'Center cost &amp; synergy worksheet'!$C$67:$C$77,0),MATCH('Case C - Downside'!E$18,'Center cost &amp; synergy worksheet'!$D$66:$H$66,0))</f>
        <v>0</v>
      </c>
      <c r="F33" s="73">
        <f>INDEX('Company-level data'!$R$13:$V$23,MATCH($C31,'Company-level data'!$Q$13:$Q$23,0),MATCH(F$18,'Company-level data'!$R$11:$V$11,0))*HLOOKUP('Case C - Downside'!F$18,'Center cost &amp; synergy worksheet'!$D$59:$H$64,6,FALSE)/HLOOKUP(F$18,'Company-level data'!$R$11:$V$12,2,FALSE)+INDEX('Center cost &amp; synergy worksheet'!$D$67:$H$77,MATCH('Case C - Downside'!$C31,'Center cost &amp; synergy worksheet'!$C$67:$C$77,0),MATCH('Case C - Downside'!F$18,'Center cost &amp; synergy worksheet'!$D$66:$H$66,0))</f>
        <v>0</v>
      </c>
      <c r="G33" s="73">
        <f>INDEX('Company-level data'!$R$13:$V$23,MATCH($C31,'Company-level data'!$Q$13:$Q$23,0),MATCH(G$18,'Company-level data'!$R$11:$V$11,0))*HLOOKUP('Case C - Downside'!G$18,'Center cost &amp; synergy worksheet'!$D$59:$H$64,6,FALSE)/HLOOKUP(G$18,'Company-level data'!$R$11:$V$12,2,FALSE)+INDEX('Center cost &amp; synergy worksheet'!$D$67:$H$77,MATCH('Case C - Downside'!$C31,'Center cost &amp; synergy worksheet'!$C$67:$C$77,0),MATCH('Case C - Downside'!G$18,'Center cost &amp; synergy worksheet'!$D$66:$H$66,0))</f>
        <v>0</v>
      </c>
      <c r="H33" s="73">
        <f>INDEX('Company-level data'!$R$13:$V$23,MATCH($C31,'Company-level data'!$Q$13:$Q$23,0),MATCH(H$18,'Company-level data'!$R$11:$V$11,0))*HLOOKUP('Case C - Downside'!H$18,'Center cost &amp; synergy worksheet'!$D$59:$H$64,6,FALSE)/HLOOKUP(H$18,'Company-level data'!$R$11:$V$12,2,FALSE)+INDEX('Center cost &amp; synergy worksheet'!$D$67:$H$77,MATCH('Case C - Downside'!$C31,'Center cost &amp; synergy worksheet'!$C$67:$C$77,0),MATCH('Case C - Downside'!H$18,'Center cost &amp; synergy worksheet'!$D$66:$H$66,0))</f>
        <v>0</v>
      </c>
      <c r="I33" s="12"/>
      <c r="J33" s="91" t="s">
        <v>7</v>
      </c>
      <c r="K33" s="97"/>
      <c r="L33" s="97"/>
      <c r="M33" s="97"/>
      <c r="N33" s="97"/>
      <c r="O33" s="97"/>
      <c r="P33" s="12"/>
      <c r="R33" s="12"/>
      <c r="S33" s="19" t="s">
        <v>8</v>
      </c>
      <c r="T33" s="7">
        <f>INDEX('Company-level data'!$K$44:$O$55,MATCH($S33,'Company-level data'!$J$44:$J$55,0),MATCH(T$28,'Company-level data'!$K$43:$O$43,0))+INDEX($D$20:$H$42,MATCH($S33,$C$20:$C$42,0),MATCH(T$28,$D$18:$H$18,0))-INDEX($K$47:$O$57,MATCH($S33,$J$47:$J$57,0),MATCH(T$28,$D$51:$H$51,0))*INDEX($D$52:$H$54,MATCH("center - baseline",$C$52:$C$54,0),MATCH(T$28,$D$51:$H$51,0))</f>
        <v>0</v>
      </c>
      <c r="U33" s="7">
        <f>INDEX('Company-level data'!$K$44:$O$55,MATCH($S33,'Company-level data'!$J$44:$J$55,0),MATCH(U$28,'Company-level data'!$K$43:$O$43,0))+INDEX($D$20:$H$42,MATCH($S33,$C$20:$C$42,0),MATCH(U$28,$D$18:$H$18,0))-INDEX($K$47:$O$57,MATCH($S33,$J$47:$J$57,0),MATCH(U$28,$D$51:$H$51,0))*INDEX($D$52:$H$54,MATCH("center - baseline",$C$52:$C$54,0),MATCH(U$28,$D$51:$H$51,0))</f>
        <v>0</v>
      </c>
      <c r="V33" s="7">
        <f>INDEX('Company-level data'!$K$44:$O$55,MATCH($S33,'Company-level data'!$J$44:$J$55,0),MATCH(V$28,'Company-level data'!$K$43:$O$43,0))+INDEX($D$20:$H$42,MATCH($S33,$C$20:$C$42,0),MATCH(V$28,$D$18:$H$18,0))-INDEX($K$47:$O$57,MATCH($S33,$J$47:$J$57,0),MATCH(V$28,$D$51:$H$51,0))*INDEX($D$52:$H$54,MATCH("center - baseline",$C$52:$C$54,0),MATCH(V$28,$D$51:$H$51,0))</f>
        <v>0</v>
      </c>
      <c r="W33" s="7">
        <f>INDEX('Company-level data'!$K$44:$O$55,MATCH($S33,'Company-level data'!$J$44:$J$55,0),MATCH(W$28,'Company-level data'!$K$43:$O$43,0))+INDEX($D$20:$H$42,MATCH($S33,$C$20:$C$42,0),MATCH(W$28,$D$18:$H$18,0))-INDEX($K$47:$O$57,MATCH($S33,$J$47:$J$57,0),MATCH(W$28,$D$51:$H$51,0))*INDEX($D$52:$H$54,MATCH("center - baseline",$C$52:$C$54,0),MATCH(W$28,$D$51:$H$51,0))</f>
        <v>0</v>
      </c>
      <c r="X33" s="7">
        <f>INDEX('Company-level data'!$K$44:$O$55,MATCH($S33,'Company-level data'!$J$44:$J$55,0),MATCH(X$28,'Company-level data'!$K$43:$O$43,0))+INDEX($D$20:$H$42,MATCH($S33,$C$20:$C$42,0),MATCH(X$28,$D$18:$H$18,0))-INDEX($K$47:$O$57,MATCH($S33,$J$47:$J$57,0),MATCH(X$28,$D$51:$H$51,0))*INDEX($D$52:$H$54,MATCH("center - baseline",$C$52:$C$54,0),MATCH(X$28,$D$51:$H$51,0))</f>
        <v>0</v>
      </c>
      <c r="Y33" s="12"/>
      <c r="Z33" s="12"/>
    </row>
    <row r="34" spans="1:33" x14ac:dyDescent="0.2">
      <c r="A34" s="12"/>
      <c r="B34" s="12"/>
      <c r="C34" s="74" t="s">
        <v>4</v>
      </c>
      <c r="D34" s="75">
        <f>D35+D36</f>
        <v>0</v>
      </c>
      <c r="E34" s="75">
        <f>E35+E36</f>
        <v>0.16138802232411556</v>
      </c>
      <c r="F34" s="75">
        <f>F35+F36</f>
        <v>1.0987263219179695</v>
      </c>
      <c r="G34" s="75">
        <f>G35+G36</f>
        <v>1.3773271712217769</v>
      </c>
      <c r="H34" s="75">
        <f>H35+H36</f>
        <v>1.4242149938666959</v>
      </c>
      <c r="I34" s="12"/>
      <c r="J34" s="91" t="s">
        <v>10</v>
      </c>
      <c r="K34" s="97"/>
      <c r="L34" s="97"/>
      <c r="M34" s="97"/>
      <c r="N34" s="97"/>
      <c r="O34" s="97"/>
      <c r="P34" s="12"/>
      <c r="R34" s="12"/>
      <c r="S34" s="19" t="s">
        <v>9</v>
      </c>
      <c r="T34" s="7">
        <f>INDEX('Company-level data'!$K$44:$O$55,MATCH($S34,'Company-level data'!$J$44:$J$55,0),MATCH(T$28,'Company-level data'!$K$43:$O$43,0))+INDEX($D$20:$H$42,MATCH($S34,$C$20:$C$42,0),MATCH(T$28,$D$18:$H$18,0))-INDEX($K$47:$O$57,MATCH($S34,$J$47:$J$57,0),MATCH(T$28,$D$51:$H$51,0))*INDEX($D$52:$H$54,MATCH("center - baseline",$C$52:$C$54,0),MATCH(T$28,$D$51:$H$51,0))</f>
        <v>0</v>
      </c>
      <c r="U34" s="7">
        <f>INDEX('Company-level data'!$K$44:$O$55,MATCH($S34,'Company-level data'!$J$44:$J$55,0),MATCH(U$28,'Company-level data'!$K$43:$O$43,0))+INDEX($D$20:$H$42,MATCH($S34,$C$20:$C$42,0),MATCH(U$28,$D$18:$H$18,0))-INDEX($K$47:$O$57,MATCH($S34,$J$47:$J$57,0),MATCH(U$28,$D$51:$H$51,0))*INDEX($D$52:$H$54,MATCH("center - baseline",$C$52:$C$54,0),MATCH(U$28,$D$51:$H$51,0))</f>
        <v>0</v>
      </c>
      <c r="V34" s="7">
        <f>INDEX('Company-level data'!$K$44:$O$55,MATCH($S34,'Company-level data'!$J$44:$J$55,0),MATCH(V$28,'Company-level data'!$K$43:$O$43,0))+INDEX($D$20:$H$42,MATCH($S34,$C$20:$C$42,0),MATCH(V$28,$D$18:$H$18,0))-INDEX($K$47:$O$57,MATCH($S34,$J$47:$J$57,0),MATCH(V$28,$D$51:$H$51,0))*INDEX($D$52:$H$54,MATCH("center - baseline",$C$52:$C$54,0),MATCH(V$28,$D$51:$H$51,0))</f>
        <v>0</v>
      </c>
      <c r="W34" s="7">
        <f>INDEX('Company-level data'!$K$44:$O$55,MATCH($S34,'Company-level data'!$J$44:$J$55,0),MATCH(W$28,'Company-level data'!$K$43:$O$43,0))+INDEX($D$20:$H$42,MATCH($S34,$C$20:$C$42,0),MATCH(W$28,$D$18:$H$18,0))-INDEX($K$47:$O$57,MATCH($S34,$J$47:$J$57,0),MATCH(W$28,$D$51:$H$51,0))*INDEX($D$52:$H$54,MATCH("center - baseline",$C$52:$C$54,0),MATCH(W$28,$D$51:$H$51,0))</f>
        <v>0</v>
      </c>
      <c r="X34" s="7">
        <f>INDEX('Company-level data'!$K$44:$O$55,MATCH($S34,'Company-level data'!$J$44:$J$55,0),MATCH(X$28,'Company-level data'!$K$43:$O$43,0))+INDEX($D$20:$H$42,MATCH($S34,$C$20:$C$42,0),MATCH(X$28,$D$18:$H$18,0))-INDEX($K$47:$O$57,MATCH($S34,$J$47:$J$57,0),MATCH(X$28,$D$51:$H$51,0))*INDEX($D$52:$H$54,MATCH("center - baseline",$C$52:$C$54,0),MATCH(X$28,$D$51:$H$51,0))</f>
        <v>0</v>
      </c>
      <c r="Y34" s="12"/>
      <c r="Z34" s="12"/>
    </row>
    <row r="35" spans="1:33" x14ac:dyDescent="0.2">
      <c r="A35" s="12"/>
      <c r="B35" s="12"/>
      <c r="C35" s="72" t="s">
        <v>17</v>
      </c>
      <c r="D35" s="73">
        <f>D$12*INDEX('Company-level data'!$R$19:$V$23,MATCH($C34,'Company-level data'!$Q$19:$Q$23,0),MATCH(D$18,'Company-level data'!$R$11:$V$11,0))/SUM('Company-level data'!R$19:R$23)</f>
        <v>0</v>
      </c>
      <c r="E35" s="73">
        <f>E$12*INDEX('Company-level data'!$R$19:$V$23,MATCH($C34,'Company-level data'!$Q$19:$Q$23,0),MATCH(E$18,'Company-level data'!$R$11:$V$11,0))/SUM('Company-level data'!S$19:S$23)</f>
        <v>0.16138802232411556</v>
      </c>
      <c r="F35" s="73">
        <f>F$12*INDEX('Company-level data'!$R$19:$V$23,MATCH($C34,'Company-level data'!$Q$19:$Q$23,0),MATCH(F$18,'Company-level data'!$R$11:$V$11,0))/SUM('Company-level data'!T$19:T$23)</f>
        <v>1.0987263219179695</v>
      </c>
      <c r="G35" s="73">
        <f>G$12*INDEX('Company-level data'!$R$19:$V$23,MATCH($C34,'Company-level data'!$Q$19:$Q$23,0),MATCH(G$18,'Company-level data'!$R$11:$V$11,0))/SUM('Company-level data'!U$19:U$23)</f>
        <v>1.3773271712217769</v>
      </c>
      <c r="H35" s="73">
        <f>H$12*INDEX('Company-level data'!$R$19:$V$23,MATCH($C34,'Company-level data'!$Q$19:$Q$23,0),MATCH(H$18,'Company-level data'!$R$11:$V$11,0))/SUM('Company-level data'!V$19:V$23)</f>
        <v>1.4242149938666959</v>
      </c>
      <c r="I35" s="12"/>
      <c r="J35" s="91" t="s">
        <v>8</v>
      </c>
      <c r="K35" s="97"/>
      <c r="L35" s="97"/>
      <c r="M35" s="97"/>
      <c r="N35" s="97"/>
      <c r="O35" s="97"/>
      <c r="P35" s="12"/>
      <c r="R35" s="12"/>
      <c r="S35" s="12" t="s">
        <v>1</v>
      </c>
      <c r="T35" s="7">
        <f>INDEX('Company-level data'!$K$44:$O$55,MATCH($S35,'Company-level data'!$J$44:$J$55,0),MATCH(T$28,'Company-level data'!$K$43:$O$43,0))+INDEX($D$20:$H$42,MATCH($S35,$C$20:$C$42,0),MATCH(T$28,$D$18:$H$18,0))-INDEX($K$47:$O$57,MATCH($S35,$J$47:$J$57,0),MATCH(T$28,$D$51:$H$51,0))*INDEX($D$52:$H$54,MATCH("center - baseline",$C$52:$C$54,0),MATCH(T$28,$D$51:$H$51,0))</f>
        <v>7.8787468777018148</v>
      </c>
      <c r="U35" s="7">
        <f>INDEX('Company-level data'!$K$44:$O$55,MATCH($S35,'Company-level data'!$J$44:$J$55,0),MATCH(U$28,'Company-level data'!$K$43:$O$43,0))+INDEX($D$20:$H$42,MATCH($S35,$C$20:$C$42,0),MATCH(U$28,$D$18:$H$18,0))-INDEX($K$47:$O$57,MATCH($S35,$J$47:$J$57,0),MATCH(U$28,$D$51:$H$51,0))*INDEX($D$52:$H$54,MATCH("center - baseline",$C$52:$C$54,0),MATCH(U$28,$D$51:$H$51,0))</f>
        <v>13.2164025139305</v>
      </c>
      <c r="V35" s="7">
        <f>INDEX('Company-level data'!$K$44:$O$55,MATCH($S35,'Company-level data'!$J$44:$J$55,0),MATCH(V$28,'Company-level data'!$K$43:$O$43,0))+INDEX($D$20:$H$42,MATCH($S35,$C$20:$C$42,0),MATCH(V$28,$D$18:$H$18,0))-INDEX($K$47:$O$57,MATCH($S35,$J$47:$J$57,0),MATCH(V$28,$D$51:$H$51,0))*INDEX($D$52:$H$54,MATCH("center - baseline",$C$52:$C$54,0),MATCH(V$28,$D$51:$H$51,0))</f>
        <v>16.135171521060144</v>
      </c>
      <c r="W35" s="7">
        <f>INDEX('Company-level data'!$K$44:$O$55,MATCH($S35,'Company-level data'!$J$44:$J$55,0),MATCH(W$28,'Company-level data'!$K$43:$O$43,0))+INDEX($D$20:$H$42,MATCH($S35,$C$20:$C$42,0),MATCH(W$28,$D$18:$H$18,0))-INDEX($K$47:$O$57,MATCH($S35,$J$47:$J$57,0),MATCH(W$28,$D$51:$H$51,0))*INDEX($D$52:$H$54,MATCH("center - baseline",$C$52:$C$54,0),MATCH(W$28,$D$51:$H$51,0))</f>
        <v>20.18755031886047</v>
      </c>
      <c r="X35" s="7">
        <f>INDEX('Company-level data'!$K$44:$O$55,MATCH($S35,'Company-level data'!$J$44:$J$55,0),MATCH(X$28,'Company-level data'!$K$43:$O$43,0))+INDEX($D$20:$H$42,MATCH($S35,$C$20:$C$42,0),MATCH(X$28,$D$18:$H$18,0))-INDEX($K$47:$O$57,MATCH($S35,$J$47:$J$57,0),MATCH(X$28,$D$51:$H$51,0))*INDEX($D$52:$H$54,MATCH("center - baseline",$C$52:$C$54,0),MATCH(X$28,$D$51:$H$51,0))</f>
        <v>22.70306468679593</v>
      </c>
      <c r="Y35" s="12"/>
      <c r="Z35" s="12"/>
    </row>
    <row r="36" spans="1:33" x14ac:dyDescent="0.2">
      <c r="A36" s="12"/>
      <c r="B36" s="12"/>
      <c r="C36" s="72" t="s">
        <v>18</v>
      </c>
      <c r="D36" s="73">
        <f>INDEX('Company-level data'!$R$13:$V$23,MATCH($C34,'Company-level data'!$Q$13:$Q$23,0),MATCH(D$18,'Company-level data'!$R$11:$V$11,0))*HLOOKUP('Case C - Downside'!D$18,'Center cost &amp; synergy worksheet'!$D$59:$H$64,6,FALSE)/HLOOKUP(D$18,'Company-level data'!$R$11:$V$12,2,FALSE)+INDEX('Center cost &amp; synergy worksheet'!$D$67:$H$77,MATCH('Case C - Downside'!$C34,'Center cost &amp; synergy worksheet'!$C$67:$C$77,0),MATCH('Case C - Downside'!D$18,'Center cost &amp; synergy worksheet'!$D$66:$H$66,0))</f>
        <v>0</v>
      </c>
      <c r="E36" s="73">
        <f>INDEX('Company-level data'!$R$13:$V$23,MATCH($C34,'Company-level data'!$Q$13:$Q$23,0),MATCH(E$18,'Company-level data'!$R$11:$V$11,0))*HLOOKUP('Case C - Downside'!E$18,'Center cost &amp; synergy worksheet'!$D$59:$H$64,6,FALSE)/HLOOKUP(E$18,'Company-level data'!$R$11:$V$12,2,FALSE)+INDEX('Center cost &amp; synergy worksheet'!$D$67:$H$77,MATCH('Case C - Downside'!$C34,'Center cost &amp; synergy worksheet'!$C$67:$C$77,0),MATCH('Case C - Downside'!E$18,'Center cost &amp; synergy worksheet'!$D$66:$H$66,0))</f>
        <v>0</v>
      </c>
      <c r="F36" s="73">
        <f>INDEX('Company-level data'!$R$13:$V$23,MATCH($C34,'Company-level data'!$Q$13:$Q$23,0),MATCH(F$18,'Company-level data'!$R$11:$V$11,0))*HLOOKUP('Case C - Downside'!F$18,'Center cost &amp; synergy worksheet'!$D$59:$H$64,6,FALSE)/HLOOKUP(F$18,'Company-level data'!$R$11:$V$12,2,FALSE)+INDEX('Center cost &amp; synergy worksheet'!$D$67:$H$77,MATCH('Case C - Downside'!$C34,'Center cost &amp; synergy worksheet'!$C$67:$C$77,0),MATCH('Case C - Downside'!F$18,'Center cost &amp; synergy worksheet'!$D$66:$H$66,0))</f>
        <v>0</v>
      </c>
      <c r="G36" s="73">
        <f>INDEX('Company-level data'!$R$13:$V$23,MATCH($C34,'Company-level data'!$Q$13:$Q$23,0),MATCH(G$18,'Company-level data'!$R$11:$V$11,0))*HLOOKUP('Case C - Downside'!G$18,'Center cost &amp; synergy worksheet'!$D$59:$H$64,6,FALSE)/HLOOKUP(G$18,'Company-level data'!$R$11:$V$12,2,FALSE)+INDEX('Center cost &amp; synergy worksheet'!$D$67:$H$77,MATCH('Case C - Downside'!$C34,'Center cost &amp; synergy worksheet'!$C$67:$C$77,0),MATCH('Case C - Downside'!G$18,'Center cost &amp; synergy worksheet'!$D$66:$H$66,0))</f>
        <v>0</v>
      </c>
      <c r="H36" s="73">
        <f>INDEX('Company-level data'!$R$13:$V$23,MATCH($C34,'Company-level data'!$Q$13:$Q$23,0),MATCH(H$18,'Company-level data'!$R$11:$V$11,0))*HLOOKUP('Case C - Downside'!H$18,'Center cost &amp; synergy worksheet'!$D$59:$H$64,6,FALSE)/HLOOKUP(H$18,'Company-level data'!$R$11:$V$12,2,FALSE)+INDEX('Center cost &amp; synergy worksheet'!$D$67:$H$77,MATCH('Case C - Downside'!$C34,'Center cost &amp; synergy worksheet'!$C$67:$C$77,0),MATCH('Case C - Downside'!H$18,'Center cost &amp; synergy worksheet'!$D$66:$H$66,0))</f>
        <v>0</v>
      </c>
      <c r="I36" s="12"/>
      <c r="J36" s="91" t="s">
        <v>9</v>
      </c>
      <c r="K36" s="97"/>
      <c r="L36" s="97"/>
      <c r="M36" s="97"/>
      <c r="N36" s="97"/>
      <c r="O36" s="97"/>
      <c r="P36" s="12"/>
      <c r="R36" s="12"/>
      <c r="S36" s="12" t="s">
        <v>2</v>
      </c>
      <c r="T36" s="7">
        <f>INDEX('Company-level data'!$K$44:$O$55,MATCH($S36,'Company-level data'!$J$44:$J$55,0),MATCH(T$28,'Company-level data'!$K$43:$O$43,0))+INDEX($D$20:$H$42,MATCH($S36,$C$20:$C$42,0),MATCH(T$28,$D$18:$H$18,0))-INDEX($K$47:$O$57,MATCH($S36,$J$47:$J$57,0),MATCH(T$28,$D$51:$H$51,0))*INDEX($D$52:$H$54,MATCH("center - baseline",$C$52:$C$54,0),MATCH(T$28,$D$51:$H$51,0))</f>
        <v>6.7225714285714293</v>
      </c>
      <c r="U36" s="7">
        <f>INDEX('Company-level data'!$K$44:$O$55,MATCH($S36,'Company-level data'!$J$44:$J$55,0),MATCH(U$28,'Company-level data'!$K$43:$O$43,0))+INDEX($D$20:$H$42,MATCH($S36,$C$20:$C$42,0),MATCH(U$28,$D$18:$H$18,0))-INDEX($K$47:$O$57,MATCH($S36,$J$47:$J$57,0),MATCH(U$28,$D$51:$H$51,0))*INDEX($D$52:$H$54,MATCH("center - baseline",$C$52:$C$54,0),MATCH(U$28,$D$51:$H$51,0))</f>
        <v>7.0730970071569823</v>
      </c>
      <c r="V36" s="7">
        <f>INDEX('Company-level data'!$K$44:$O$55,MATCH($S36,'Company-level data'!$J$44:$J$55,0),MATCH(V$28,'Company-level data'!$K$43:$O$43,0))+INDEX($D$20:$H$42,MATCH($S36,$C$20:$C$42,0),MATCH(V$28,$D$18:$H$18,0))-INDEX($K$47:$O$57,MATCH($S36,$J$47:$J$57,0),MATCH(V$28,$D$51:$H$51,0))*INDEX($D$52:$H$54,MATCH("center - baseline",$C$52:$C$54,0),MATCH(V$28,$D$51:$H$51,0))</f>
        <v>9.7276911795448218</v>
      </c>
      <c r="W36" s="7">
        <f>INDEX('Company-level data'!$K$44:$O$55,MATCH($S36,'Company-level data'!$J$44:$J$55,0),MATCH(W$28,'Company-level data'!$K$43:$O$43,0))+INDEX($D$20:$H$42,MATCH($S36,$C$20:$C$42,0),MATCH(W$28,$D$18:$H$18,0))-INDEX($K$47:$O$57,MATCH($S36,$J$47:$J$57,0),MATCH(W$28,$D$51:$H$51,0))*INDEX($D$52:$H$54,MATCH("center - baseline",$C$52:$C$54,0),MATCH(W$28,$D$51:$H$51,0))</f>
        <v>10.667436825119138</v>
      </c>
      <c r="X36" s="7">
        <f>INDEX('Company-level data'!$K$44:$O$55,MATCH($S36,'Company-level data'!$J$44:$J$55,0),MATCH(X$28,'Company-level data'!$K$43:$O$43,0))+INDEX($D$20:$H$42,MATCH($S36,$C$20:$C$42,0),MATCH(X$28,$D$18:$H$18,0))-INDEX($K$47:$O$57,MATCH($S36,$J$47:$J$57,0),MATCH(X$28,$D$51:$H$51,0))*INDEX($D$52:$H$54,MATCH("center - baseline",$C$52:$C$54,0),MATCH(X$28,$D$51:$H$51,0))</f>
        <v>10.676623249235245</v>
      </c>
      <c r="Y36" s="12"/>
      <c r="Z36" s="12"/>
    </row>
    <row r="37" spans="1:33" x14ac:dyDescent="0.2">
      <c r="A37" s="12"/>
      <c r="B37" s="12"/>
      <c r="C37" s="74" t="s">
        <v>5</v>
      </c>
      <c r="D37" s="75">
        <f>D38+D39</f>
        <v>0</v>
      </c>
      <c r="E37" s="75">
        <f>E38+E39</f>
        <v>0.11126086584297444</v>
      </c>
      <c r="F37" s="75">
        <f>F38+F39</f>
        <v>0.66612070932506073</v>
      </c>
      <c r="G37" s="75">
        <f>G38+G39</f>
        <v>0.78492538672000756</v>
      </c>
      <c r="H37" s="75">
        <f>H38+H39</f>
        <v>0.81164630175820818</v>
      </c>
      <c r="I37" s="12"/>
      <c r="J37" s="83" t="s">
        <v>1</v>
      </c>
      <c r="K37" s="96">
        <f>'Company-level data'!K50*'Case A - Stretch'!K$23/SUM(SUMPRODUCT('Company-level data'!K$50:K$55,'Case A - Stretch'!K$23:K$28),'Company-level data'!K$45*'Case A - Stretch'!K$18)</f>
        <v>0.19406870432030321</v>
      </c>
      <c r="L37" s="96">
        <f>'Company-level data'!L50*'Case A - Stretch'!L$23/SUM(SUMPRODUCT('Company-level data'!L$50:L$55,'Case A - Stretch'!L$23:L$28),'Company-level data'!L$45*'Case A - Stretch'!L$18)</f>
        <v>0.30128313859005962</v>
      </c>
      <c r="M37" s="96">
        <f>'Company-level data'!M50*'Case A - Stretch'!M$23/SUM(SUMPRODUCT('Company-level data'!M$50:M$55,'Case A - Stretch'!M$23:M$28),'Company-level data'!M$45*'Case A - Stretch'!M$18)</f>
        <v>0.33297594429581284</v>
      </c>
      <c r="N37" s="96">
        <f>'Company-level data'!N50*'Case A - Stretch'!N$23/SUM(SUMPRODUCT('Company-level data'!N$50:N$55,'Case A - Stretch'!N$23:N$28),'Company-level data'!N$45*'Case A - Stretch'!N$18)</f>
        <v>0.37093530416061327</v>
      </c>
      <c r="O37" s="96">
        <f>'Company-level data'!O50*'Case A - Stretch'!O$23/SUM(SUMPRODUCT('Company-level data'!O$50:O$55,'Case A - Stretch'!O$23:O$28),'Company-level data'!O$45*'Case A - Stretch'!O$18)</f>
        <v>0.38898505800041588</v>
      </c>
      <c r="P37" s="12"/>
      <c r="R37" s="12"/>
      <c r="S37" s="12" t="s">
        <v>3</v>
      </c>
      <c r="T37" s="7">
        <f>INDEX('Company-level data'!$K$44:$O$55,MATCH($S37,'Company-level data'!$J$44:$J$55,0),MATCH(T$28,'Company-level data'!$K$43:$O$43,0))+INDEX($D$20:$H$42,MATCH($S37,$C$20:$C$42,0),MATCH(T$28,$D$18:$H$18,0))-INDEX($K$47:$O$57,MATCH($S37,$J$47:$J$57,0),MATCH(T$28,$D$51:$H$51,0))*INDEX($D$52:$H$54,MATCH("center - baseline",$C$52:$C$54,0),MATCH(T$28,$D$51:$H$51,0))</f>
        <v>8.0335714285714293</v>
      </c>
      <c r="U37" s="7">
        <f>INDEX('Company-level data'!$K$44:$O$55,MATCH($S37,'Company-level data'!$J$44:$J$55,0),MATCH(U$28,'Company-level data'!$K$43:$O$43,0))+INDEX($D$20:$H$42,MATCH($S37,$C$20:$C$42,0),MATCH(U$28,$D$18:$H$18,0))-INDEX($K$47:$O$57,MATCH($S37,$J$47:$J$57,0),MATCH(U$28,$D$51:$H$51,0))*INDEX($D$52:$H$54,MATCH("center - baseline",$C$52:$C$54,0),MATCH(U$28,$D$51:$H$51,0))</f>
        <v>7.6630166657206571</v>
      </c>
      <c r="V37" s="7">
        <f>INDEX('Company-level data'!$K$44:$O$55,MATCH($S37,'Company-level data'!$J$44:$J$55,0),MATCH(V$28,'Company-level data'!$K$43:$O$43,0))+INDEX($D$20:$H$42,MATCH($S37,$C$20:$C$42,0),MATCH(V$28,$D$18:$H$18,0))-INDEX($K$47:$O$57,MATCH($S37,$J$47:$J$57,0),MATCH(V$28,$D$51:$H$51,0))*INDEX($D$52:$H$54,MATCH("center - baseline",$C$52:$C$54,0),MATCH(V$28,$D$51:$H$51,0))</f>
        <v>8.3406585604152657</v>
      </c>
      <c r="W37" s="7">
        <f>INDEX('Company-level data'!$K$44:$O$55,MATCH($S37,'Company-level data'!$J$44:$J$55,0),MATCH(W$28,'Company-level data'!$K$43:$O$43,0))+INDEX($D$20:$H$42,MATCH($S37,$C$20:$C$42,0),MATCH(W$28,$D$18:$H$18,0))-INDEX($K$47:$O$57,MATCH($S37,$J$47:$J$57,0),MATCH(W$28,$D$51:$H$51,0))*INDEX($D$52:$H$54,MATCH("center - baseline",$C$52:$C$54,0),MATCH(W$28,$D$51:$H$51,0))</f>
        <v>8.561183029123665</v>
      </c>
      <c r="X37" s="7">
        <f>INDEX('Company-level data'!$K$44:$O$55,MATCH($S37,'Company-level data'!$J$44:$J$55,0),MATCH(X$28,'Company-level data'!$K$43:$O$43,0))+INDEX($D$20:$H$42,MATCH($S37,$C$20:$C$42,0),MATCH(X$28,$D$18:$H$18,0))-INDEX($K$47:$O$57,MATCH($S37,$J$47:$J$57,0),MATCH(X$28,$D$51:$H$51,0))*INDEX($D$52:$H$54,MATCH("center - baseline",$C$52:$C$54,0),MATCH(X$28,$D$51:$H$51,0))</f>
        <v>8.6516666537806763</v>
      </c>
      <c r="Y37" s="12"/>
      <c r="Z37" s="12"/>
    </row>
    <row r="38" spans="1:33" x14ac:dyDescent="0.2">
      <c r="A38" s="12"/>
      <c r="B38" s="12"/>
      <c r="C38" s="72" t="s">
        <v>17</v>
      </c>
      <c r="D38" s="73">
        <f>D$12*INDEX('Company-level data'!$R$19:$V$23,MATCH($C37,'Company-level data'!$Q$19:$Q$23,0),MATCH(D$18,'Company-level data'!$R$11:$V$11,0))/SUM('Company-level data'!R$19:R$23)</f>
        <v>0</v>
      </c>
      <c r="E38" s="73">
        <f>E$12*INDEX('Company-level data'!$R$19:$V$23,MATCH($C37,'Company-level data'!$Q$19:$Q$23,0),MATCH(E$18,'Company-level data'!$R$11:$V$11,0))/SUM('Company-level data'!S$19:S$23)</f>
        <v>0.11126086584297444</v>
      </c>
      <c r="F38" s="73">
        <f>F$12*INDEX('Company-level data'!$R$19:$V$23,MATCH($C37,'Company-level data'!$Q$19:$Q$23,0),MATCH(F$18,'Company-level data'!$R$11:$V$11,0))/SUM('Company-level data'!T$19:T$23)</f>
        <v>0.66612070932506073</v>
      </c>
      <c r="G38" s="73">
        <f>G$12*INDEX('Company-level data'!$R$19:$V$23,MATCH($C37,'Company-level data'!$Q$19:$Q$23,0),MATCH(G$18,'Company-level data'!$R$11:$V$11,0))/SUM('Company-level data'!U$19:U$23)</f>
        <v>0.78492538672000756</v>
      </c>
      <c r="H38" s="73">
        <f>H$12*INDEX('Company-level data'!$R$19:$V$23,MATCH($C37,'Company-level data'!$Q$19:$Q$23,0),MATCH(H$18,'Company-level data'!$R$11:$V$11,0))/SUM('Company-level data'!V$19:V$23)</f>
        <v>0.81164630175820818</v>
      </c>
      <c r="I38" s="12"/>
      <c r="J38" s="83" t="s">
        <v>2</v>
      </c>
      <c r="K38" s="96">
        <f>'Company-level data'!K51*'Case A - Stretch'!K$24/SUM(SUMPRODUCT('Company-level data'!K$50:K$55,'Case A - Stretch'!K$23:K$28),'Company-level data'!K$45*'Case A - Stretch'!K$18)</f>
        <v>0.11123701396972532</v>
      </c>
      <c r="L38" s="96">
        <f>'Company-level data'!L51*'Case A - Stretch'!L$24/SUM(SUMPRODUCT('Company-level data'!L$50:L$55,'Case A - Stretch'!L$23:L$28),'Company-level data'!L$45*'Case A - Stretch'!L$18)</f>
        <v>0.10627739852168318</v>
      </c>
      <c r="M38" s="96">
        <f>'Company-level data'!M51*'Case A - Stretch'!M$24/SUM(SUMPRODUCT('Company-level data'!M$50:M$55,'Case A - Stretch'!M$23:M$28),'Company-level data'!M$45*'Case A - Stretch'!M$18)</f>
        <v>0.11067515109808077</v>
      </c>
      <c r="N38" s="96">
        <f>'Company-level data'!N51*'Case A - Stretch'!N$24/SUM(SUMPRODUCT('Company-level data'!N$50:N$55,'Case A - Stretch'!N$23:N$28),'Company-level data'!N$45*'Case A - Stretch'!N$18)</f>
        <v>0.11203321675525563</v>
      </c>
      <c r="O38" s="96">
        <f>'Company-level data'!O51*'Case A - Stretch'!O$24/SUM(SUMPRODUCT('Company-level data'!O$50:O$55,'Case A - Stretch'!O$23:O$28),'Company-level data'!O$45*'Case A - Stretch'!O$18)</f>
        <v>0.11049641638991364</v>
      </c>
      <c r="P38" s="12"/>
      <c r="R38" s="12"/>
      <c r="S38" s="12" t="s">
        <v>4</v>
      </c>
      <c r="T38" s="7">
        <f>INDEX('Company-level data'!$K$44:$O$55,MATCH($S38,'Company-level data'!$J$44:$J$55,0),MATCH(T$28,'Company-level data'!$K$43:$O$43,0))+INDEX($D$20:$H$42,MATCH($S38,$C$20:$C$42,0),MATCH(T$28,$D$18:$H$18,0))-INDEX($K$47:$O$57,MATCH($S38,$J$47:$J$57,0),MATCH(T$28,$D$51:$H$51,0))*INDEX($D$52:$H$54,MATCH("center - baseline",$C$52:$C$54,0),MATCH(T$28,$D$51:$H$51,0))</f>
        <v>4.0655714285714293</v>
      </c>
      <c r="U38" s="7">
        <f>INDEX('Company-level data'!$K$44:$O$55,MATCH($S38,'Company-level data'!$J$44:$J$55,0),MATCH(U$28,'Company-level data'!$K$43:$O$43,0))+INDEX($D$20:$H$42,MATCH($S38,$C$20:$C$42,0),MATCH(U$28,$D$18:$H$18,0))-INDEX($K$47:$O$57,MATCH($S38,$J$47:$J$57,0),MATCH(U$28,$D$51:$H$51,0))*INDEX($D$52:$H$54,MATCH("center - baseline",$C$52:$C$54,0),MATCH(U$28,$D$51:$H$51,0))</f>
        <v>4.3285871651812586</v>
      </c>
      <c r="V38" s="7">
        <f>INDEX('Company-level data'!$K$44:$O$55,MATCH($S38,'Company-level data'!$J$44:$J$55,0),MATCH(V$28,'Company-level data'!$K$43:$O$43,0))+INDEX($D$20:$H$42,MATCH($S38,$C$20:$C$42,0),MATCH(V$28,$D$18:$H$18,0))-INDEX($K$47:$O$57,MATCH($S38,$J$47:$J$57,0),MATCH(V$28,$D$51:$H$51,0))*INDEX($D$52:$H$54,MATCH("center - baseline",$C$52:$C$54,0),MATCH(V$28,$D$51:$H$51,0))</f>
        <v>5.271919350489398</v>
      </c>
      <c r="W38" s="7">
        <f>INDEX('Company-level data'!$K$44:$O$55,MATCH($S38,'Company-level data'!$J$44:$J$55,0),MATCH(W$28,'Company-level data'!$K$43:$O$43,0))+INDEX($D$20:$H$42,MATCH($S38,$C$20:$C$42,0),MATCH(W$28,$D$18:$H$18,0))-INDEX($K$47:$O$57,MATCH($S38,$J$47:$J$57,0),MATCH(W$28,$D$51:$H$51,0))*INDEX($D$52:$H$54,MATCH("center - baseline",$C$52:$C$54,0),MATCH(W$28,$D$51:$H$51,0))</f>
        <v>5.758322708364636</v>
      </c>
      <c r="X38" s="7">
        <f>INDEX('Company-level data'!$K$44:$O$55,MATCH($S38,'Company-level data'!$J$44:$J$55,0),MATCH(X$28,'Company-level data'!$K$43:$O$43,0))+INDEX($D$20:$H$42,MATCH($S38,$C$20:$C$42,0),MATCH(X$28,$D$18:$H$18,0))-INDEX($K$47:$O$57,MATCH($S38,$J$47:$J$57,0),MATCH(X$28,$D$51:$H$51,0))*INDEX($D$52:$H$54,MATCH("center - baseline",$C$52:$C$54,0),MATCH(X$28,$D$51:$H$51,0))</f>
        <v>6.0692067364381268</v>
      </c>
      <c r="Y38" s="12"/>
      <c r="Z38" s="12"/>
    </row>
    <row r="39" spans="1:33" x14ac:dyDescent="0.2">
      <c r="A39" s="12"/>
      <c r="B39" s="12"/>
      <c r="C39" s="72" t="s">
        <v>18</v>
      </c>
      <c r="D39" s="73">
        <f>INDEX('Company-level data'!$R$13:$V$23,MATCH($C37,'Company-level data'!$Q$13:$Q$23,0),MATCH(D$18,'Company-level data'!$R$11:$V$11,0))*HLOOKUP('Case C - Downside'!D$18,'Center cost &amp; synergy worksheet'!$D$59:$H$64,6,FALSE)/HLOOKUP(D$18,'Company-level data'!$R$11:$V$12,2,FALSE)+INDEX('Center cost &amp; synergy worksheet'!$D$67:$H$77,MATCH('Case C - Downside'!$C37,'Center cost &amp; synergy worksheet'!$C$67:$C$77,0),MATCH('Case C - Downside'!D$18,'Center cost &amp; synergy worksheet'!$D$66:$H$66,0))</f>
        <v>0</v>
      </c>
      <c r="E39" s="73">
        <f>INDEX('Company-level data'!$R$13:$V$23,MATCH($C37,'Company-level data'!$Q$13:$Q$23,0),MATCH(E$18,'Company-level data'!$R$11:$V$11,0))*HLOOKUP('Case C - Downside'!E$18,'Center cost &amp; synergy worksheet'!$D$59:$H$64,6,FALSE)/HLOOKUP(E$18,'Company-level data'!$R$11:$V$12,2,FALSE)+INDEX('Center cost &amp; synergy worksheet'!$D$67:$H$77,MATCH('Case C - Downside'!$C37,'Center cost &amp; synergy worksheet'!$C$67:$C$77,0),MATCH('Case C - Downside'!E$18,'Center cost &amp; synergy worksheet'!$D$66:$H$66,0))</f>
        <v>0</v>
      </c>
      <c r="F39" s="73">
        <f>INDEX('Company-level data'!$R$13:$V$23,MATCH($C37,'Company-level data'!$Q$13:$Q$23,0),MATCH(F$18,'Company-level data'!$R$11:$V$11,0))*HLOOKUP('Case C - Downside'!F$18,'Center cost &amp; synergy worksheet'!$D$59:$H$64,6,FALSE)/HLOOKUP(F$18,'Company-level data'!$R$11:$V$12,2,FALSE)+INDEX('Center cost &amp; synergy worksheet'!$D$67:$H$77,MATCH('Case C - Downside'!$C37,'Center cost &amp; synergy worksheet'!$C$67:$C$77,0),MATCH('Case C - Downside'!F$18,'Center cost &amp; synergy worksheet'!$D$66:$H$66,0))</f>
        <v>0</v>
      </c>
      <c r="G39" s="73">
        <f>INDEX('Company-level data'!$R$13:$V$23,MATCH($C37,'Company-level data'!$Q$13:$Q$23,0),MATCH(G$18,'Company-level data'!$R$11:$V$11,0))*HLOOKUP('Case C - Downside'!G$18,'Center cost &amp; synergy worksheet'!$D$59:$H$64,6,FALSE)/HLOOKUP(G$18,'Company-level data'!$R$11:$V$12,2,FALSE)+INDEX('Center cost &amp; synergy worksheet'!$D$67:$H$77,MATCH('Case C - Downside'!$C37,'Center cost &amp; synergy worksheet'!$C$67:$C$77,0),MATCH('Case C - Downside'!G$18,'Center cost &amp; synergy worksheet'!$D$66:$H$66,0))</f>
        <v>0</v>
      </c>
      <c r="H39" s="73">
        <f>INDEX('Company-level data'!$R$13:$V$23,MATCH($C37,'Company-level data'!$Q$13:$Q$23,0),MATCH(H$18,'Company-level data'!$R$11:$V$11,0))*HLOOKUP('Case C - Downside'!H$18,'Center cost &amp; synergy worksheet'!$D$59:$H$64,6,FALSE)/HLOOKUP(H$18,'Company-level data'!$R$11:$V$12,2,FALSE)+INDEX('Center cost &amp; synergy worksheet'!$D$67:$H$77,MATCH('Case C - Downside'!$C37,'Center cost &amp; synergy worksheet'!$C$67:$C$77,0),MATCH('Case C - Downside'!H$18,'Center cost &amp; synergy worksheet'!$D$66:$H$66,0))</f>
        <v>0</v>
      </c>
      <c r="I39" s="12"/>
      <c r="J39" s="83" t="s">
        <v>3</v>
      </c>
      <c r="K39" s="96">
        <f>'Company-level data'!K52*'Case A - Stretch'!K$25/SUM(SUMPRODUCT('Company-level data'!K$50:K$55,'Case A - Stretch'!K$23:K$28),'Company-level data'!K$45*'Case A - Stretch'!K$18)</f>
        <v>0.15063836000978462</v>
      </c>
      <c r="L39" s="96">
        <f>'Company-level data'!L52*'Case A - Stretch'!L$25/SUM(SUMPRODUCT('Company-level data'!L$50:L$55,'Case A - Stretch'!L$23:L$28),'Company-level data'!L$45*'Case A - Stretch'!L$18)</f>
        <v>0.13537334056032094</v>
      </c>
      <c r="M39" s="96">
        <f>'Company-level data'!M52*'Case A - Stretch'!M$25/SUM(SUMPRODUCT('Company-level data'!M$50:M$55,'Case A - Stretch'!M$23:M$28),'Company-level data'!M$45*'Case A - Stretch'!M$18)</f>
        <v>0.12872307335015826</v>
      </c>
      <c r="N39" s="96">
        <f>'Company-level data'!N52*'Case A - Stretch'!N$25/SUM(SUMPRODUCT('Company-level data'!N$50:N$55,'Case A - Stretch'!N$23:N$28),'Company-level data'!N$45*'Case A - Stretch'!N$18)</f>
        <v>0.11951737231811892</v>
      </c>
      <c r="O39" s="96">
        <f>'Company-level data'!O52*'Case A - Stretch'!O$25/SUM(SUMPRODUCT('Company-level data'!O$50:O$55,'Case A - Stretch'!O$23:O$28),'Company-level data'!O$45*'Case A - Stretch'!O$18)</f>
        <v>0.11533659428072424</v>
      </c>
      <c r="P39" s="12"/>
      <c r="R39" s="12"/>
      <c r="S39" s="12" t="s">
        <v>5</v>
      </c>
      <c r="T39" s="7">
        <f>INDEX('Company-level data'!$K$44:$O$55,MATCH($S39,'Company-level data'!$J$44:$J$55,0),MATCH(T$28,'Company-level data'!$K$43:$O$43,0))+INDEX($D$20:$H$42,MATCH($S39,$C$20:$C$42,0),MATCH(T$28,$D$18:$H$18,0))-INDEX($K$47:$O$57,MATCH($S39,$J$47:$J$57,0),MATCH(T$28,$D$51:$H$51,0))*INDEX($D$52:$H$54,MATCH("center - baseline",$C$52:$C$54,0),MATCH(T$28,$D$51:$H$51,0))</f>
        <v>3.0371219113616932</v>
      </c>
      <c r="U39" s="7">
        <f>INDEX('Company-level data'!$K$44:$O$55,MATCH($S39,'Company-level data'!$J$44:$J$55,0),MATCH(U$28,'Company-level data'!$K$43:$O$43,0))+INDEX($D$20:$H$42,MATCH($S39,$C$20:$C$42,0),MATCH(U$28,$D$18:$H$18,0))-INDEX($K$47:$O$57,MATCH($S39,$J$47:$J$57,0),MATCH(U$28,$D$51:$H$51,0))*INDEX($D$52:$H$54,MATCH("center - baseline",$C$52:$C$54,0),MATCH(U$28,$D$51:$H$51,0))</f>
        <v>2.8365200069250873</v>
      </c>
      <c r="V39" s="7">
        <f>INDEX('Company-level data'!$K$44:$O$55,MATCH($S39,'Company-level data'!$J$44:$J$55,0),MATCH(V$28,'Company-level data'!$K$43:$O$43,0))+INDEX($D$20:$H$42,MATCH($S39,$C$20:$C$42,0),MATCH(V$28,$D$18:$H$18,0))-INDEX($K$47:$O$57,MATCH($S39,$J$47:$J$57,0),MATCH(V$28,$D$51:$H$51,0))*INDEX($D$52:$H$54,MATCH("center - baseline",$C$52:$C$54,0),MATCH(V$28,$D$51:$H$51,0))</f>
        <v>3.457021032520164</v>
      </c>
      <c r="W39" s="7">
        <f>INDEX('Company-level data'!$K$44:$O$55,MATCH($S39,'Company-level data'!$J$44:$J$55,0),MATCH(W$28,'Company-level data'!$K$43:$O$43,0))+INDEX($D$20:$H$42,MATCH($S39,$C$20:$C$42,0),MATCH(W$28,$D$18:$H$18,0))-INDEX($K$47:$O$57,MATCH($S39,$J$47:$J$57,0),MATCH(W$28,$D$51:$H$51,0))*INDEX($D$52:$H$54,MATCH("center - baseline",$C$52:$C$54,0),MATCH(W$28,$D$51:$H$51,0))</f>
        <v>3.8528450945295516</v>
      </c>
      <c r="X39" s="7">
        <f>INDEX('Company-level data'!$K$44:$O$55,MATCH($S39,'Company-level data'!$J$44:$J$55,0),MATCH(X$28,'Company-level data'!$K$43:$O$43,0))+INDEX($D$20:$H$42,MATCH($S39,$C$20:$C$42,0),MATCH(X$28,$D$18:$H$18,0))-INDEX($K$47:$O$57,MATCH($S39,$J$47:$J$57,0),MATCH(X$28,$D$51:$H$51,0))*INDEX($D$52:$H$54,MATCH("center - baseline",$C$52:$C$54,0),MATCH(X$28,$D$51:$H$51,0))</f>
        <v>4.2231565104070787</v>
      </c>
      <c r="Y39" s="12"/>
      <c r="Z39" s="12"/>
    </row>
    <row r="40" spans="1:33" x14ac:dyDescent="0.2">
      <c r="A40" s="12"/>
      <c r="B40" s="12"/>
      <c r="C40" s="74" t="s">
        <v>6</v>
      </c>
      <c r="D40" s="75">
        <f>D41+D42</f>
        <v>0</v>
      </c>
      <c r="E40" s="75">
        <f>E41+E42</f>
        <v>8.4585324669557316E-2</v>
      </c>
      <c r="F40" s="75">
        <f>F41+F42</f>
        <v>0.46237780593974043</v>
      </c>
      <c r="G40" s="75">
        <f>G41+G42</f>
        <v>0.51006701346112815</v>
      </c>
      <c r="H40" s="75">
        <f>H41+H42</f>
        <v>0.4834784440892354</v>
      </c>
      <c r="I40" s="12"/>
      <c r="J40" s="83" t="s">
        <v>4</v>
      </c>
      <c r="K40" s="96">
        <f>'Company-level data'!K53*'Case A - Stretch'!K$26/SUM(SUMPRODUCT('Company-level data'!K$50:K$55,'Case A - Stretch'!K$23:K$28),'Company-level data'!K$45*'Case A - Stretch'!K$18)</f>
        <v>8.4447147295961394E-2</v>
      </c>
      <c r="L40" s="96">
        <f>'Company-level data'!L53*'Case A - Stretch'!L$26/SUM(SUMPRODUCT('Company-level data'!L$50:L$55,'Case A - Stretch'!L$23:L$28),'Company-level data'!L$45*'Case A - Stretch'!L$18)</f>
        <v>9.3215158642379337E-2</v>
      </c>
      <c r="M40" s="96">
        <f>'Company-level data'!M53*'Case A - Stretch'!M$26/SUM(SUMPRODUCT('Company-level data'!M$50:M$55,'Case A - Stretch'!M$23:M$28),'Company-level data'!M$45*'Case A - Stretch'!M$18)</f>
        <v>9.9089305557307147E-2</v>
      </c>
      <c r="N40" s="96">
        <f>'Company-level data'!N53*'Case A - Stretch'!N$26/SUM(SUMPRODUCT('Company-level data'!N$50:N$55,'Case A - Stretch'!N$23:N$28),'Company-level data'!N$45*'Case A - Stretch'!N$18)</f>
        <v>0.10229827651331944</v>
      </c>
      <c r="O40" s="96">
        <f>'Company-level data'!O53*'Case A - Stretch'!O$26/SUM(SUMPRODUCT('Company-level data'!O$50:O$55,'Case A - Stretch'!O$23:O$28),'Company-level data'!O$45*'Case A - Stretch'!O$18)</f>
        <v>0.10925692392615716</v>
      </c>
      <c r="P40" s="12"/>
      <c r="R40" s="12"/>
      <c r="S40" s="6" t="s">
        <v>6</v>
      </c>
      <c r="T40" s="15">
        <f>INDEX('Company-level data'!$K$44:$O$55,MATCH($S40,'Company-level data'!$J$44:$J$55,0),MATCH(T$28,'Company-level data'!$K$43:$O$43,0))+INDEX($D$20:$H$42,MATCH($S40,$C$20:$C$42,0),MATCH(T$28,$D$18:$H$18,0))-INDEX($K$47:$O$57,MATCH($S40,$J$47:$J$57,0),MATCH(T$28,$D$51:$H$51,0))*INDEX($D$52:$H$54,MATCH("center - baseline",$C$52:$C$54,0),MATCH(T$28,$D$51:$H$51,0))</f>
        <v>-0.51723857142857144</v>
      </c>
      <c r="U40" s="15">
        <f>INDEX('Company-level data'!$K$44:$O$55,MATCH($S40,'Company-level data'!$J$44:$J$55,0),MATCH(U$28,'Company-level data'!$K$43:$O$43,0))+INDEX($D$20:$H$42,MATCH($S40,$C$20:$C$42,0),MATCH(U$28,$D$18:$H$18,0))-INDEX($K$47:$O$57,MATCH($S40,$J$47:$J$57,0),MATCH(U$28,$D$51:$H$51,0))*INDEX($D$52:$H$54,MATCH("center - baseline",$C$52:$C$54,0),MATCH(U$28,$D$51:$H$51,0))</f>
        <v>-0.82880753247329975</v>
      </c>
      <c r="V40" s="15">
        <f>INDEX('Company-level data'!$K$44:$O$55,MATCH($S40,'Company-level data'!$J$44:$J$55,0),MATCH(V$28,'Company-level data'!$K$43:$O$43,0))+INDEX($D$20:$H$42,MATCH($S40,$C$20:$C$42,0),MATCH(V$28,$D$18:$H$18,0))-INDEX($K$47:$O$57,MATCH($S40,$J$47:$J$57,0),MATCH(V$28,$D$51:$H$51,0))*INDEX($D$52:$H$54,MATCH("center - baseline",$C$52:$C$54,0),MATCH(V$28,$D$51:$H$51,0))</f>
        <v>-0.69905076548883105</v>
      </c>
      <c r="W40" s="15">
        <f>INDEX('Company-level data'!$K$44:$O$55,MATCH($S40,'Company-level data'!$J$44:$J$55,0),MATCH(W$28,'Company-level data'!$K$43:$O$43,0))+INDEX($D$20:$H$42,MATCH($S40,$C$20:$C$42,0),MATCH(W$28,$D$18:$H$18,0))-INDEX($K$47:$O$57,MATCH($S40,$J$47:$J$57,0),MATCH(W$28,$D$51:$H$51,0))*INDEX($D$52:$H$54,MATCH("center - baseline",$C$52:$C$54,0),MATCH(W$28,$D$51:$H$51,0))</f>
        <v>-0.71029012939601477</v>
      </c>
      <c r="X40" s="15">
        <f>INDEX('Company-level data'!$K$44:$O$55,MATCH($S40,'Company-level data'!$J$44:$J$55,0),MATCH(X$28,'Company-level data'!$K$43:$O$43,0))+INDEX($D$20:$H$42,MATCH($S40,$C$20:$C$42,0),MATCH(X$28,$D$18:$H$18,0))-INDEX($K$47:$O$57,MATCH($S40,$J$47:$J$57,0),MATCH(X$28,$D$51:$H$51,0))*INDEX($D$52:$H$54,MATCH("center - baseline",$C$52:$C$54,0),MATCH(X$28,$D$51:$H$51,0))</f>
        <v>-0.75295012733933575</v>
      </c>
      <c r="Y40" s="12"/>
      <c r="Z40" s="12"/>
    </row>
    <row r="41" spans="1:33" x14ac:dyDescent="0.2">
      <c r="A41" s="12"/>
      <c r="B41" s="12"/>
      <c r="C41" s="72" t="s">
        <v>17</v>
      </c>
      <c r="D41" s="73">
        <f>D$12*INDEX('Company-level data'!$R$19:$V$23,MATCH($C40,'Company-level data'!$Q$19:$Q$23,0),MATCH(D$18,'Company-level data'!$R$11:$V$11,0))/SUM('Company-level data'!R$19:R$23)</f>
        <v>0</v>
      </c>
      <c r="E41" s="73">
        <f>E$12*INDEX('Company-level data'!$R$19:$V$23,MATCH($C40,'Company-level data'!$Q$19:$Q$23,0),MATCH(E$18,'Company-level data'!$R$11:$V$11,0))/SUM('Company-level data'!S$19:S$23)</f>
        <v>8.4585324669557316E-2</v>
      </c>
      <c r="F41" s="73">
        <f>F$12*INDEX('Company-level data'!$R$19:$V$23,MATCH($C40,'Company-level data'!$Q$19:$Q$23,0),MATCH(F$18,'Company-level data'!$R$11:$V$11,0))/SUM('Company-level data'!T$19:T$23)</f>
        <v>0.46237780593974043</v>
      </c>
      <c r="G41" s="73">
        <f>G$12*INDEX('Company-level data'!$R$19:$V$23,MATCH($C40,'Company-level data'!$Q$19:$Q$23,0),MATCH(G$18,'Company-level data'!$R$11:$V$11,0))/SUM('Company-level data'!U$19:U$23)</f>
        <v>0.51006701346112815</v>
      </c>
      <c r="H41" s="73">
        <f>H$12*INDEX('Company-level data'!$R$19:$V$23,MATCH($C40,'Company-level data'!$Q$19:$Q$23,0),MATCH(H$18,'Company-level data'!$R$11:$V$11,0))/SUM('Company-level data'!V$19:V$23)</f>
        <v>0.4834784440892354</v>
      </c>
      <c r="I41" s="12"/>
      <c r="J41" s="83" t="s">
        <v>5</v>
      </c>
      <c r="K41" s="96">
        <f>'Company-level data'!K54*'Case A - Stretch'!K$27/SUM(SUMPRODUCT('Company-level data'!K$50:K$55,'Case A - Stretch'!K$23:K$28),'Company-level data'!K$45*'Case A - Stretch'!K$18)</f>
        <v>5.1499412571900945E-2</v>
      </c>
      <c r="L41" s="96">
        <f>'Company-level data'!L54*'Case A - Stretch'!L$27/SUM(SUMPRODUCT('Company-level data'!L$50:L$55,'Case A - Stretch'!L$23:L$28),'Company-level data'!L$45*'Case A - Stretch'!L$18)</f>
        <v>4.9167432141800298E-2</v>
      </c>
      <c r="M41" s="96">
        <f>'Company-level data'!M54*'Case A - Stretch'!M$27/SUM(SUMPRODUCT('Company-level data'!M$50:M$55,'Case A - Stretch'!M$23:M$28),'Company-level data'!M$45*'Case A - Stretch'!M$18)</f>
        <v>5.0471817679225511E-2</v>
      </c>
      <c r="N41" s="96">
        <f>'Company-level data'!N54*'Case A - Stretch'!N$27/SUM(SUMPRODUCT('Company-level data'!N$50:N$55,'Case A - Stretch'!N$23:N$28),'Company-level data'!N$45*'Case A - Stretch'!N$18)</f>
        <v>5.0542037568441174E-2</v>
      </c>
      <c r="O41" s="96">
        <f>'Company-level data'!O54*'Case A - Stretch'!O$27/SUM(SUMPRODUCT('Company-level data'!O$50:O$55,'Case A - Stretch'!O$23:O$28),'Company-level data'!O$45*'Case A - Stretch'!O$18)</f>
        <v>5.2556610717591788E-2</v>
      </c>
      <c r="P41" s="12"/>
      <c r="R41" s="12"/>
      <c r="S41" s="19" t="s">
        <v>24</v>
      </c>
      <c r="T41" s="22">
        <f>'Company-level data'!K44</f>
        <v>55.864260988748086</v>
      </c>
      <c r="U41" s="22">
        <f>'Company-level data'!L44</f>
        <v>60.281208201056529</v>
      </c>
      <c r="V41" s="22">
        <f>'Company-level data'!M44</f>
        <v>62.850301228982211</v>
      </c>
      <c r="W41" s="22">
        <f>'Company-level data'!N44</f>
        <v>66.852417590341787</v>
      </c>
      <c r="X41" s="22">
        <f>'Company-level data'!O44</f>
        <v>68.743326676688753</v>
      </c>
      <c r="Y41" s="12"/>
      <c r="Z41" s="12"/>
    </row>
    <row r="42" spans="1:33" x14ac:dyDescent="0.2">
      <c r="A42" s="12"/>
      <c r="B42" s="12"/>
      <c r="C42" s="72" t="s">
        <v>18</v>
      </c>
      <c r="D42" s="73">
        <f>INDEX('Company-level data'!$R$13:$V$23,MATCH($C40,'Company-level data'!$Q$13:$Q$23,0),MATCH(D$18,'Company-level data'!$R$11:$V$11,0))*HLOOKUP('Case C - Downside'!D$18,'Center cost &amp; synergy worksheet'!$D$59:$H$64,6,FALSE)/HLOOKUP(D$18,'Company-level data'!$R$11:$V$12,2,FALSE)+INDEX('Center cost &amp; synergy worksheet'!$D$67:$H$77,MATCH('Case C - Downside'!$C40,'Center cost &amp; synergy worksheet'!$C$67:$C$77,0),MATCH('Case C - Downside'!D$18,'Center cost &amp; synergy worksheet'!$D$66:$H$66,0))</f>
        <v>0</v>
      </c>
      <c r="E42" s="73">
        <f>INDEX('Company-level data'!$R$13:$V$23,MATCH($C40,'Company-level data'!$Q$13:$Q$23,0),MATCH(E$18,'Company-level data'!$R$11:$V$11,0))*HLOOKUP('Case C - Downside'!E$18,'Center cost &amp; synergy worksheet'!$D$59:$H$64,6,FALSE)/HLOOKUP(E$18,'Company-level data'!$R$11:$V$12,2,FALSE)+INDEX('Center cost &amp; synergy worksheet'!$D$67:$H$77,MATCH('Case C - Downside'!$C40,'Center cost &amp; synergy worksheet'!$C$67:$C$77,0),MATCH('Case C - Downside'!E$18,'Center cost &amp; synergy worksheet'!$D$66:$H$66,0))</f>
        <v>0</v>
      </c>
      <c r="F42" s="73">
        <f>INDEX('Company-level data'!$R$13:$V$23,MATCH($C40,'Company-level data'!$Q$13:$Q$23,0),MATCH(F$18,'Company-level data'!$R$11:$V$11,0))*HLOOKUP('Case C - Downside'!F$18,'Center cost &amp; synergy worksheet'!$D$59:$H$64,6,FALSE)/HLOOKUP(F$18,'Company-level data'!$R$11:$V$12,2,FALSE)+INDEX('Center cost &amp; synergy worksheet'!$D$67:$H$77,MATCH('Case C - Downside'!$C40,'Center cost &amp; synergy worksheet'!$C$67:$C$77,0),MATCH('Case C - Downside'!F$18,'Center cost &amp; synergy worksheet'!$D$66:$H$66,0))</f>
        <v>0</v>
      </c>
      <c r="G42" s="73">
        <f>INDEX('Company-level data'!$R$13:$V$23,MATCH($C40,'Company-level data'!$Q$13:$Q$23,0),MATCH(G$18,'Company-level data'!$R$11:$V$11,0))*HLOOKUP('Case C - Downside'!G$18,'Center cost &amp; synergy worksheet'!$D$59:$H$64,6,FALSE)/HLOOKUP(G$18,'Company-level data'!$R$11:$V$12,2,FALSE)+INDEX('Center cost &amp; synergy worksheet'!$D$67:$H$77,MATCH('Case C - Downside'!$C40,'Center cost &amp; synergy worksheet'!$C$67:$C$77,0),MATCH('Case C - Downside'!G$18,'Center cost &amp; synergy worksheet'!$D$66:$H$66,0))</f>
        <v>0</v>
      </c>
      <c r="H42" s="73">
        <f>INDEX('Company-level data'!$R$13:$V$23,MATCH($C40,'Company-level data'!$Q$13:$Q$23,0),MATCH(H$18,'Company-level data'!$R$11:$V$11,0))*HLOOKUP('Case C - Downside'!H$18,'Center cost &amp; synergy worksheet'!$D$59:$H$64,6,FALSE)/HLOOKUP(H$18,'Company-level data'!$R$11:$V$12,2,FALSE)+INDEX('Center cost &amp; synergy worksheet'!$D$67:$H$77,MATCH('Case C - Downside'!$C40,'Center cost &amp; synergy worksheet'!$C$67:$C$77,0),MATCH('Case C - Downside'!H$18,'Center cost &amp; synergy worksheet'!$D$66:$H$66,0))</f>
        <v>0</v>
      </c>
      <c r="I42" s="12"/>
      <c r="J42" s="93" t="s">
        <v>6</v>
      </c>
      <c r="K42" s="98">
        <f>'Company-level data'!K55*'Case A - Stretch'!K$28/SUM(SUMPRODUCT('Company-level data'!K$50:K$55,'Case A - Stretch'!K$23:K$28),'Company-level data'!K$45*'Case A - Stretch'!K$18)</f>
        <v>-2.8735275910884333E-3</v>
      </c>
      <c r="L42" s="98">
        <f>'Company-level data'!L55*'Case A - Stretch'!L$28/SUM(SUMPRODUCT('Company-level data'!L$50:L$55,'Case A - Stretch'!L$23:L$28),'Company-level data'!L$45*'Case A - Stretch'!L$18)</f>
        <v>0</v>
      </c>
      <c r="M42" s="98">
        <f>'Company-level data'!M55*'Case A - Stretch'!M$28/SUM(SUMPRODUCT('Company-level data'!M$50:M$55,'Case A - Stretch'!M$23:M$28),'Company-level data'!M$45*'Case A - Stretch'!M$18)</f>
        <v>0</v>
      </c>
      <c r="N42" s="98">
        <f>'Company-level data'!N55*'Case A - Stretch'!N$28/SUM(SUMPRODUCT('Company-level data'!N$50:N$55,'Case A - Stretch'!N$23:N$28),'Company-level data'!N$45*'Case A - Stretch'!N$18)</f>
        <v>0</v>
      </c>
      <c r="O42" s="98">
        <f>'Company-level data'!O55*'Case A - Stretch'!O$28/SUM(SUMPRODUCT('Company-level data'!O$50:O$55,'Case A - Stretch'!O$23:O$28),'Company-level data'!O$45*'Case A - Stretch'!O$18)</f>
        <v>0</v>
      </c>
      <c r="P42" s="12"/>
      <c r="R42" s="12"/>
      <c r="S42" s="19" t="s">
        <v>25</v>
      </c>
      <c r="T42" s="35">
        <f>$D$52</f>
        <v>2.5649999999999999</v>
      </c>
      <c r="U42" s="35">
        <f>$E$52</f>
        <v>6.3937499999999998</v>
      </c>
      <c r="V42" s="35">
        <f>$F$52</f>
        <v>8.1300000000000008</v>
      </c>
      <c r="W42" s="35">
        <f>$G$52</f>
        <v>8.5425000000000004</v>
      </c>
      <c r="X42" s="35">
        <f>$H$52</f>
        <v>8.6549999999999994</v>
      </c>
      <c r="Y42" s="12"/>
      <c r="Z42" s="12"/>
    </row>
    <row r="43" spans="1:33" ht="13.5" thickBot="1" x14ac:dyDescent="0.25">
      <c r="A43" s="12"/>
      <c r="B43" s="12"/>
      <c r="I43" s="12"/>
      <c r="P43" s="12"/>
      <c r="R43" s="12"/>
      <c r="S43" s="27" t="s">
        <v>26</v>
      </c>
      <c r="T43" s="51">
        <f>+$D$19</f>
        <v>0</v>
      </c>
      <c r="U43" s="51">
        <f>+$E$19</f>
        <v>1</v>
      </c>
      <c r="V43" s="51">
        <f>+$F$19</f>
        <v>6.9999999999999991</v>
      </c>
      <c r="W43" s="51">
        <f>+$G$19</f>
        <v>9.0000000000000018</v>
      </c>
      <c r="X43" s="51">
        <f>+$H$19</f>
        <v>10</v>
      </c>
      <c r="Y43" s="12"/>
      <c r="Z43" s="12"/>
    </row>
    <row r="44" spans="1:33" ht="13.5" thickTop="1" x14ac:dyDescent="0.2">
      <c r="A44" s="12"/>
      <c r="B44" s="12"/>
      <c r="C44" s="100" t="s">
        <v>92</v>
      </c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2"/>
      <c r="R44" s="12"/>
      <c r="S44" s="6" t="s">
        <v>27</v>
      </c>
      <c r="T44" s="28">
        <f>T41-T42+T43</f>
        <v>53.299260988748088</v>
      </c>
      <c r="U44" s="28">
        <f>U41-U42+U43</f>
        <v>54.887458201056532</v>
      </c>
      <c r="V44" s="28">
        <f>V41-V42+V43</f>
        <v>61.720301228982208</v>
      </c>
      <c r="W44" s="28">
        <f>W41-W42+W43</f>
        <v>67.309917590341783</v>
      </c>
      <c r="X44" s="28">
        <f>X41-X42+X43</f>
        <v>70.088326676688752</v>
      </c>
      <c r="Y44" s="12"/>
      <c r="Z44" s="12"/>
    </row>
    <row r="45" spans="1:33" ht="13.5" thickBot="1" x14ac:dyDescent="0.25">
      <c r="A45" s="12"/>
      <c r="B45" s="12"/>
      <c r="C45" s="102" t="s">
        <v>76</v>
      </c>
      <c r="D45" s="103">
        <v>5</v>
      </c>
      <c r="E45" s="99"/>
      <c r="F45" s="99"/>
      <c r="G45" s="99"/>
      <c r="H45" s="99"/>
      <c r="I45" s="99"/>
      <c r="J45" s="107" t="s">
        <v>79</v>
      </c>
      <c r="K45" s="109"/>
      <c r="L45" s="109"/>
      <c r="M45" s="109"/>
      <c r="N45" s="109"/>
      <c r="O45" s="109"/>
      <c r="P45" s="12"/>
      <c r="R45" s="12"/>
      <c r="S45" s="36" t="s">
        <v>28</v>
      </c>
      <c r="T45" s="36" t="b">
        <f>ROUND(T44,8)=ROUND(T29,8)</f>
        <v>1</v>
      </c>
      <c r="U45" s="36" t="b">
        <f>ROUND(U44,8)=ROUND(U29,8)</f>
        <v>1</v>
      </c>
      <c r="V45" s="36" t="b">
        <f>ROUND(V44,8)=ROUND(V29,8)</f>
        <v>1</v>
      </c>
      <c r="W45" s="36" t="b">
        <f>ROUND(W44,8)=ROUND(W29,8)</f>
        <v>1</v>
      </c>
      <c r="X45" s="36" t="b">
        <f>ROUND(X44,8)=ROUND(X29,8)</f>
        <v>1</v>
      </c>
      <c r="Y45" s="12"/>
      <c r="Z45" s="12"/>
    </row>
    <row r="46" spans="1:33" x14ac:dyDescent="0.2">
      <c r="A46" s="12"/>
      <c r="B46" s="12"/>
      <c r="C46" s="99" t="s">
        <v>96</v>
      </c>
      <c r="D46" s="99"/>
      <c r="E46" s="99"/>
      <c r="F46" s="99"/>
      <c r="G46" s="99"/>
      <c r="H46" s="99"/>
      <c r="I46" s="99"/>
      <c r="J46" s="113" t="s">
        <v>22</v>
      </c>
      <c r="K46" s="114">
        <f>SUM(K47,K52:K57)</f>
        <v>0.99999999999999978</v>
      </c>
      <c r="L46" s="114">
        <f>SUM(L47,L52:L57)</f>
        <v>0.99999999999999978</v>
      </c>
      <c r="M46" s="114">
        <f>SUM(M47,M52:M57)</f>
        <v>0.99999999999999978</v>
      </c>
      <c r="N46" s="114">
        <f>SUM(N47,N52:N57)</f>
        <v>0.99999999999999978</v>
      </c>
      <c r="O46" s="114">
        <f>SUM(O47,O52:O57)</f>
        <v>0.99999999999999978</v>
      </c>
      <c r="P46" s="12"/>
      <c r="R46" s="12"/>
      <c r="S46" s="23"/>
      <c r="T46" s="12"/>
      <c r="U46" s="12"/>
      <c r="V46" s="12"/>
      <c r="W46" s="12"/>
      <c r="X46" s="12"/>
      <c r="Y46" s="12"/>
      <c r="Z46" s="12"/>
    </row>
    <row r="47" spans="1:33" x14ac:dyDescent="0.2">
      <c r="A47" s="12"/>
      <c r="B47" s="12"/>
      <c r="C47" s="104" t="s">
        <v>66</v>
      </c>
      <c r="D47" s="198">
        <v>1.5</v>
      </c>
      <c r="E47" s="99"/>
      <c r="F47" s="99"/>
      <c r="G47" s="99"/>
      <c r="H47" s="99"/>
      <c r="I47" s="99"/>
      <c r="J47" s="104" t="s">
        <v>0</v>
      </c>
      <c r="K47" s="115">
        <f>1/7</f>
        <v>0.14285714285714285</v>
      </c>
      <c r="L47" s="116">
        <f>K47</f>
        <v>0.14285714285714285</v>
      </c>
      <c r="M47" s="116">
        <f>L47</f>
        <v>0.14285714285714285</v>
      </c>
      <c r="N47" s="116">
        <f>M47</f>
        <v>0.14285714285714285</v>
      </c>
      <c r="O47" s="116">
        <f>N47</f>
        <v>0.14285714285714285</v>
      </c>
      <c r="P47" s="12"/>
      <c r="R47" s="12"/>
      <c r="S47" s="12"/>
      <c r="T47" s="12"/>
      <c r="U47" s="12"/>
      <c r="V47" s="12"/>
      <c r="W47" s="12"/>
      <c r="X47" s="12"/>
      <c r="Y47" s="12"/>
      <c r="AD47" s="12"/>
      <c r="AE47" s="12"/>
      <c r="AF47" s="12"/>
      <c r="AG47" s="12"/>
    </row>
    <row r="48" spans="1:33" x14ac:dyDescent="0.2">
      <c r="A48" s="12"/>
      <c r="B48" s="12"/>
      <c r="C48" s="104" t="s">
        <v>95</v>
      </c>
      <c r="D48" s="105">
        <v>0.4</v>
      </c>
      <c r="E48" s="104" t="s">
        <v>106</v>
      </c>
      <c r="F48" s="99"/>
      <c r="G48" s="99"/>
      <c r="H48" s="99"/>
      <c r="I48" s="99"/>
      <c r="J48" s="169" t="s">
        <v>7</v>
      </c>
      <c r="K48" s="99"/>
      <c r="L48" s="99"/>
      <c r="M48" s="99"/>
      <c r="N48" s="99"/>
      <c r="O48" s="99"/>
      <c r="P48" s="12"/>
      <c r="R48" s="12"/>
      <c r="S48" s="54" t="s">
        <v>176</v>
      </c>
      <c r="T48" s="12"/>
      <c r="U48" s="12"/>
      <c r="V48" s="12"/>
      <c r="W48" s="12"/>
      <c r="X48" s="12"/>
      <c r="Y48" s="12"/>
      <c r="Z48" s="54" t="s">
        <v>176</v>
      </c>
      <c r="AA48" s="12"/>
      <c r="AB48" s="12"/>
      <c r="AC48" s="12"/>
      <c r="AD48" s="12"/>
      <c r="AE48" s="12"/>
      <c r="AF48" s="12"/>
      <c r="AG48" s="12"/>
    </row>
    <row r="49" spans="1:33" x14ac:dyDescent="0.2">
      <c r="A49" s="12"/>
      <c r="B49" s="12"/>
      <c r="C49" s="104" t="s">
        <v>105</v>
      </c>
      <c r="D49" s="106">
        <v>2</v>
      </c>
      <c r="E49" s="99"/>
      <c r="F49" s="99"/>
      <c r="G49" s="99"/>
      <c r="H49" s="99"/>
      <c r="I49" s="99"/>
      <c r="J49" s="169" t="s">
        <v>10</v>
      </c>
      <c r="K49" s="99"/>
      <c r="L49" s="99"/>
      <c r="M49" s="99"/>
      <c r="N49" s="99"/>
      <c r="O49" s="99"/>
      <c r="P49" s="12"/>
      <c r="R49" s="12"/>
      <c r="S49" s="4" t="s">
        <v>175</v>
      </c>
      <c r="Y49" s="12"/>
      <c r="Z49" s="4" t="s">
        <v>186</v>
      </c>
      <c r="AF49" s="12"/>
      <c r="AG49" s="12"/>
    </row>
    <row r="50" spans="1:33" x14ac:dyDescent="0.2">
      <c r="A50" s="12"/>
      <c r="B50" s="12"/>
      <c r="C50" s="99"/>
      <c r="D50" s="99"/>
      <c r="E50" s="99"/>
      <c r="F50" s="99"/>
      <c r="G50" s="99"/>
      <c r="H50" s="99"/>
      <c r="I50" s="99"/>
      <c r="J50" s="169" t="s">
        <v>8</v>
      </c>
      <c r="K50" s="104"/>
      <c r="L50" s="104"/>
      <c r="M50" s="104"/>
      <c r="N50" s="104"/>
      <c r="O50" s="104"/>
      <c r="P50" s="12"/>
      <c r="R50" s="12"/>
      <c r="S50" s="188">
        <f>$W$18</f>
        <v>33.411323991414775</v>
      </c>
      <c r="T50" s="187">
        <v>9</v>
      </c>
      <c r="U50" s="187">
        <v>10</v>
      </c>
      <c r="V50" s="187">
        <v>11</v>
      </c>
      <c r="W50" s="187">
        <v>12</v>
      </c>
      <c r="X50" s="187">
        <v>13</v>
      </c>
      <c r="Z50" s="188">
        <f>$W$18</f>
        <v>33.411323991414775</v>
      </c>
      <c r="AA50" s="187">
        <v>9</v>
      </c>
      <c r="AB50" s="187">
        <v>10</v>
      </c>
      <c r="AC50" s="187">
        <v>11</v>
      </c>
      <c r="AD50" s="187">
        <v>12</v>
      </c>
      <c r="AE50" s="187">
        <v>13</v>
      </c>
    </row>
    <row r="51" spans="1:33" ht="13.5" thickBot="1" x14ac:dyDescent="0.25">
      <c r="A51" s="12"/>
      <c r="B51" s="12"/>
      <c r="C51" s="107" t="s">
        <v>21</v>
      </c>
      <c r="D51" s="107">
        <v>2015</v>
      </c>
      <c r="E51" s="107">
        <v>2016</v>
      </c>
      <c r="F51" s="107">
        <v>2017</v>
      </c>
      <c r="G51" s="107">
        <v>2018</v>
      </c>
      <c r="H51" s="107">
        <v>2019</v>
      </c>
      <c r="I51" s="99"/>
      <c r="J51" s="169" t="s">
        <v>9</v>
      </c>
      <c r="K51" s="104"/>
      <c r="L51" s="104"/>
      <c r="M51" s="104"/>
      <c r="N51" s="104"/>
      <c r="O51" s="104"/>
      <c r="P51" s="12"/>
      <c r="R51" s="12"/>
      <c r="S51" s="8">
        <v>9.5</v>
      </c>
      <c r="T51" s="186">
        <v>79.694086713675119</v>
      </c>
      <c r="U51" s="185">
        <v>68.970297861566223</v>
      </c>
      <c r="V51" s="185">
        <v>55.815147387193292</v>
      </c>
      <c r="W51" s="185">
        <v>40.471628419476133</v>
      </c>
      <c r="X51" s="185">
        <v>23.151397985606081</v>
      </c>
      <c r="Z51" s="8">
        <v>-10</v>
      </c>
      <c r="AA51" s="186">
        <v>134.21256664884652</v>
      </c>
      <c r="AB51" s="185">
        <v>127.38431849980179</v>
      </c>
      <c r="AC51" s="185">
        <v>117.85621424296869</v>
      </c>
      <c r="AD51" s="185">
        <v>105.89808066069725</v>
      </c>
      <c r="AE51" s="185">
        <v>91.744947997927738</v>
      </c>
    </row>
    <row r="52" spans="1:33" x14ac:dyDescent="0.2">
      <c r="A52" s="12"/>
      <c r="B52" s="12"/>
      <c r="C52" s="104" t="s">
        <v>77</v>
      </c>
      <c r="D52" s="108">
        <f>'Center cost &amp; synergy worksheet'!L10</f>
        <v>2.5649999999999999</v>
      </c>
      <c r="E52" s="108">
        <f>'Center cost &amp; synergy worksheet'!M10</f>
        <v>6.3937499999999998</v>
      </c>
      <c r="F52" s="108">
        <f>'Center cost &amp; synergy worksheet'!N10</f>
        <v>8.1300000000000008</v>
      </c>
      <c r="G52" s="108">
        <f>'Center cost &amp; synergy worksheet'!O10</f>
        <v>8.5425000000000004</v>
      </c>
      <c r="H52" s="108">
        <f>'Center cost &amp; synergy worksheet'!P10</f>
        <v>8.6549999999999994</v>
      </c>
      <c r="I52" s="99"/>
      <c r="J52" s="104" t="s">
        <v>1</v>
      </c>
      <c r="K52" s="115">
        <f t="shared" ref="K52:K57" si="5">1/7</f>
        <v>0.14285714285714285</v>
      </c>
      <c r="L52" s="117">
        <f t="shared" ref="L52:O57" si="6">K52</f>
        <v>0.14285714285714285</v>
      </c>
      <c r="M52" s="117">
        <f t="shared" si="6"/>
        <v>0.14285714285714285</v>
      </c>
      <c r="N52" s="117">
        <f t="shared" si="6"/>
        <v>0.14285714285714285</v>
      </c>
      <c r="O52" s="117">
        <f t="shared" si="6"/>
        <v>0.14285714285714285</v>
      </c>
      <c r="P52" s="12"/>
      <c r="R52" s="12"/>
      <c r="S52" s="8">
        <v>10</v>
      </c>
      <c r="T52" s="30">
        <v>105.67798601439495</v>
      </c>
      <c r="U52" s="185">
        <v>96.810839854280289</v>
      </c>
      <c r="V52" s="185">
        <v>85.384365670729835</v>
      </c>
      <c r="W52" s="185">
        <v>71.654345704711773</v>
      </c>
      <c r="X52" s="185">
        <v>55.843576826953836</v>
      </c>
      <c r="Z52" s="8">
        <v>0</v>
      </c>
      <c r="AA52" s="30">
        <v>173.09141202335309</v>
      </c>
      <c r="AB52" s="185">
        <v>169.04119665923963</v>
      </c>
      <c r="AC52" s="185">
        <v>162.09965331213118</v>
      </c>
      <c r="AD52" s="185">
        <v>152.55574468789905</v>
      </c>
      <c r="AE52" s="185">
        <v>140.66116920931711</v>
      </c>
    </row>
    <row r="53" spans="1:33" ht="13.5" thickBot="1" x14ac:dyDescent="0.25">
      <c r="A53" s="12"/>
      <c r="B53" s="12"/>
      <c r="C53" s="109" t="s">
        <v>78</v>
      </c>
      <c r="D53" s="110">
        <f>'Center cost &amp; synergy worksheet'!L15</f>
        <v>2.5649999999999999</v>
      </c>
      <c r="E53" s="110">
        <f>'Center cost &amp; synergy worksheet'!M15</f>
        <v>6.3937499999999998</v>
      </c>
      <c r="F53" s="110">
        <f>'Center cost &amp; synergy worksheet'!N15</f>
        <v>8.1300000000000008</v>
      </c>
      <c r="G53" s="110">
        <f>'Center cost &amp; synergy worksheet'!O15</f>
        <v>8.5425000000000004</v>
      </c>
      <c r="H53" s="110">
        <f>'Center cost &amp; synergy worksheet'!P15</f>
        <v>8.6549999999999994</v>
      </c>
      <c r="I53" s="99"/>
      <c r="J53" s="104" t="s">
        <v>2</v>
      </c>
      <c r="K53" s="115">
        <f t="shared" si="5"/>
        <v>0.14285714285714285</v>
      </c>
      <c r="L53" s="117">
        <f t="shared" si="6"/>
        <v>0.14285714285714285</v>
      </c>
      <c r="M53" s="117">
        <f t="shared" si="6"/>
        <v>0.14285714285714285</v>
      </c>
      <c r="N53" s="117">
        <f t="shared" si="6"/>
        <v>0.14285714285714285</v>
      </c>
      <c r="O53" s="117">
        <f t="shared" si="6"/>
        <v>0.14285714285714285</v>
      </c>
      <c r="P53" s="12"/>
      <c r="R53" s="12"/>
      <c r="S53" s="8">
        <v>10.5</v>
      </c>
      <c r="T53" s="30">
        <v>131.66188531511466</v>
      </c>
      <c r="U53" s="185">
        <v>124.65138184699424</v>
      </c>
      <c r="V53" s="185">
        <v>114.95358395426626</v>
      </c>
      <c r="W53" s="185">
        <v>102.8370629899473</v>
      </c>
      <c r="X53" s="185">
        <v>88.535755668301476</v>
      </c>
      <c r="Z53" s="8">
        <v>5</v>
      </c>
      <c r="AA53" s="30">
        <v>192.53083471060643</v>
      </c>
      <c r="AB53" s="185">
        <v>189.86963573895855</v>
      </c>
      <c r="AC53" s="185">
        <v>184.22137284671237</v>
      </c>
      <c r="AD53" s="185">
        <v>175.88457670150001</v>
      </c>
      <c r="AE53" s="185">
        <v>165.11927981501174</v>
      </c>
    </row>
    <row r="54" spans="1:33" x14ac:dyDescent="0.2">
      <c r="A54" s="12"/>
      <c r="B54" s="12"/>
      <c r="C54" s="104" t="s">
        <v>81</v>
      </c>
      <c r="D54" s="60">
        <f>IF(D$51&lt;=$K$11,0,SUM(D$55,$D$49))</f>
        <v>0</v>
      </c>
      <c r="E54" s="60">
        <f>IF(E$51&lt;=$K$11,0,SUM(E$55,$D$49))</f>
        <v>0</v>
      </c>
      <c r="F54" s="60">
        <f>IF(F$51&lt;=$K$11,0,SUM(F$55,$D$49))</f>
        <v>0</v>
      </c>
      <c r="G54" s="60">
        <f>IF(G$51&lt;=$K$11,0,SUM(G$55,$D$49))</f>
        <v>5.4169999999999998</v>
      </c>
      <c r="H54" s="60">
        <f>IF(H$51&lt;=$K$11,0,SUM(H$55,$D$49))</f>
        <v>5.4619999999999997</v>
      </c>
      <c r="I54" s="99"/>
      <c r="J54" s="104" t="s">
        <v>3</v>
      </c>
      <c r="K54" s="115">
        <f t="shared" si="5"/>
        <v>0.14285714285714285</v>
      </c>
      <c r="L54" s="117">
        <f t="shared" si="6"/>
        <v>0.14285714285714285</v>
      </c>
      <c r="M54" s="117">
        <f t="shared" si="6"/>
        <v>0.14285714285714285</v>
      </c>
      <c r="N54" s="117">
        <f t="shared" si="6"/>
        <v>0.14285714285714285</v>
      </c>
      <c r="O54" s="117">
        <f t="shared" si="6"/>
        <v>0.14285714285714285</v>
      </c>
      <c r="P54" s="12"/>
      <c r="R54" s="12"/>
      <c r="S54" s="8">
        <v>11</v>
      </c>
      <c r="T54" s="30">
        <v>157.64578461583449</v>
      </c>
      <c r="U54" s="185">
        <v>152.49192383970831</v>
      </c>
      <c r="V54" s="185">
        <v>144.52280223780281</v>
      </c>
      <c r="W54" s="185">
        <v>134.01978027518294</v>
      </c>
      <c r="X54" s="185">
        <v>121.22793450964923</v>
      </c>
      <c r="Z54" s="8">
        <v>10</v>
      </c>
      <c r="AA54" s="30">
        <v>211.97025739785965</v>
      </c>
      <c r="AB54" s="185">
        <v>210.69807481867747</v>
      </c>
      <c r="AC54" s="185">
        <v>206.34309238129367</v>
      </c>
      <c r="AD54" s="185">
        <v>199.21340871510097</v>
      </c>
      <c r="AE54" s="185">
        <v>189.57739042070648</v>
      </c>
    </row>
    <row r="55" spans="1:33" x14ac:dyDescent="0.2">
      <c r="A55" s="12"/>
      <c r="B55" s="12"/>
      <c r="C55" s="111" t="s">
        <v>80</v>
      </c>
      <c r="D55" s="112">
        <f>$D$48*'Center cost &amp; synergy worksheet'!L$11</f>
        <v>1.026</v>
      </c>
      <c r="E55" s="112">
        <f>$D$48*'Center cost &amp; synergy worksheet'!M$11</f>
        <v>2.5575000000000001</v>
      </c>
      <c r="F55" s="112">
        <f>$D$48*'Center cost &amp; synergy worksheet'!N$11</f>
        <v>3.2520000000000007</v>
      </c>
      <c r="G55" s="112">
        <f>$D$48*'Center cost &amp; synergy worksheet'!O$11</f>
        <v>3.4170000000000003</v>
      </c>
      <c r="H55" s="112">
        <f>$D$48*'Center cost &amp; synergy worksheet'!P$11</f>
        <v>3.4619999999999997</v>
      </c>
      <c r="I55" s="99"/>
      <c r="J55" s="104" t="s">
        <v>4</v>
      </c>
      <c r="K55" s="115">
        <f t="shared" si="5"/>
        <v>0.14285714285714285</v>
      </c>
      <c r="L55" s="117">
        <f t="shared" si="6"/>
        <v>0.14285714285714285</v>
      </c>
      <c r="M55" s="117">
        <f t="shared" si="6"/>
        <v>0.14285714285714285</v>
      </c>
      <c r="N55" s="117">
        <f t="shared" si="6"/>
        <v>0.14285714285714285</v>
      </c>
      <c r="O55" s="117">
        <f t="shared" si="6"/>
        <v>0.14285714285714285</v>
      </c>
      <c r="P55" s="12"/>
      <c r="R55" s="12"/>
      <c r="S55" s="8">
        <v>11.5</v>
      </c>
      <c r="T55" s="30">
        <v>183.6296839165542</v>
      </c>
      <c r="U55" s="185">
        <v>180.33246583242237</v>
      </c>
      <c r="V55" s="185">
        <v>174.09202052133924</v>
      </c>
      <c r="W55" s="185">
        <v>165.20249756041846</v>
      </c>
      <c r="X55" s="185">
        <v>153.92011335099687</v>
      </c>
      <c r="Z55" s="8">
        <v>20</v>
      </c>
      <c r="AA55" s="30">
        <v>250.849102772366</v>
      </c>
      <c r="AB55" s="185">
        <v>252.35495297811508</v>
      </c>
      <c r="AC55" s="185">
        <v>250.58653145045582</v>
      </c>
      <c r="AD55" s="185">
        <v>245.87107274230254</v>
      </c>
      <c r="AE55" s="185">
        <v>238.49361163209551</v>
      </c>
    </row>
    <row r="56" spans="1:33" x14ac:dyDescent="0.2">
      <c r="A56" s="12"/>
      <c r="B56" s="12"/>
      <c r="C56" s="111"/>
      <c r="D56" s="99"/>
      <c r="E56" s="99"/>
      <c r="F56" s="99"/>
      <c r="G56" s="99"/>
      <c r="H56" s="99"/>
      <c r="I56" s="99"/>
      <c r="J56" s="104" t="s">
        <v>5</v>
      </c>
      <c r="K56" s="115">
        <f t="shared" si="5"/>
        <v>0.14285714285714285</v>
      </c>
      <c r="L56" s="117">
        <f t="shared" si="6"/>
        <v>0.14285714285714285</v>
      </c>
      <c r="M56" s="117">
        <f t="shared" si="6"/>
        <v>0.14285714285714285</v>
      </c>
      <c r="N56" s="117">
        <f t="shared" si="6"/>
        <v>0.14285714285714285</v>
      </c>
      <c r="O56" s="117">
        <f t="shared" si="6"/>
        <v>0.14285714285714285</v>
      </c>
      <c r="P56" s="12"/>
      <c r="R56" s="12"/>
    </row>
    <row r="57" spans="1:33" x14ac:dyDescent="0.2">
      <c r="A57" s="12"/>
      <c r="B57" s="12"/>
      <c r="C57" s="104" t="s">
        <v>84</v>
      </c>
      <c r="D57" s="60">
        <f>IF(D$51&lt;=$K$11,0,SUM(D$58,$D$49))</f>
        <v>0</v>
      </c>
      <c r="E57" s="60">
        <f>IF(E$51&lt;=$K$11,0,SUM(E$58,$D$49))</f>
        <v>0</v>
      </c>
      <c r="F57" s="60">
        <f>IF(F$51&lt;=$K$11,0,SUM(F$58,$D$49))</f>
        <v>0</v>
      </c>
      <c r="G57" s="60">
        <f>IF(G$51&lt;=$K$11,0,SUM(G$58,$D$49))</f>
        <v>5.4169999999999998</v>
      </c>
      <c r="H57" s="60">
        <f>IF(H$51&lt;=$K$11,0,SUM(H$58,$D$49))</f>
        <v>5.4619999999999997</v>
      </c>
      <c r="I57" s="99"/>
      <c r="J57" s="118" t="s">
        <v>6</v>
      </c>
      <c r="K57" s="119">
        <f t="shared" si="5"/>
        <v>0.14285714285714285</v>
      </c>
      <c r="L57" s="120">
        <f t="shared" si="6"/>
        <v>0.14285714285714285</v>
      </c>
      <c r="M57" s="120">
        <f t="shared" si="6"/>
        <v>0.14285714285714285</v>
      </c>
      <c r="N57" s="120">
        <f t="shared" si="6"/>
        <v>0.14285714285714285</v>
      </c>
      <c r="O57" s="120">
        <f t="shared" si="6"/>
        <v>0.14285714285714285</v>
      </c>
      <c r="P57" s="12"/>
      <c r="R57" s="12"/>
      <c r="S57" s="54" t="s">
        <v>177</v>
      </c>
      <c r="T57" s="12"/>
      <c r="U57" s="12"/>
      <c r="V57" s="12"/>
      <c r="W57" s="12"/>
      <c r="X57" s="12"/>
      <c r="Z57" s="54" t="s">
        <v>177</v>
      </c>
      <c r="AA57" s="12"/>
      <c r="AB57" s="12"/>
      <c r="AC57" s="12"/>
      <c r="AD57" s="12"/>
      <c r="AE57" s="12"/>
    </row>
    <row r="58" spans="1:33" x14ac:dyDescent="0.2">
      <c r="A58" s="12"/>
      <c r="B58" s="12"/>
      <c r="C58" s="111" t="s">
        <v>80</v>
      </c>
      <c r="D58" s="112">
        <f>$D$48*'Center cost &amp; synergy worksheet'!L$16</f>
        <v>1.026</v>
      </c>
      <c r="E58" s="112">
        <f>$D$48*'Center cost &amp; synergy worksheet'!M$16</f>
        <v>2.5575000000000001</v>
      </c>
      <c r="F58" s="112">
        <f>$D$48*'Center cost &amp; synergy worksheet'!N$16</f>
        <v>3.2520000000000007</v>
      </c>
      <c r="G58" s="112">
        <f>$D$48*'Center cost &amp; synergy worksheet'!O$16</f>
        <v>3.4170000000000003</v>
      </c>
      <c r="H58" s="112">
        <f>$D$48*'Center cost &amp; synergy worksheet'!P$16</f>
        <v>3.4619999999999997</v>
      </c>
      <c r="I58" s="99"/>
      <c r="J58" s="99"/>
      <c r="K58" s="99"/>
      <c r="L58" s="99"/>
      <c r="M58" s="99"/>
      <c r="N58" s="99"/>
      <c r="O58" s="99"/>
      <c r="P58" s="12"/>
      <c r="R58" s="12"/>
      <c r="S58" s="4" t="s">
        <v>175</v>
      </c>
      <c r="Y58" s="12"/>
      <c r="Z58" s="4" t="s">
        <v>187</v>
      </c>
      <c r="AF58" s="12"/>
      <c r="AG58" s="12"/>
    </row>
    <row r="59" spans="1:33" x14ac:dyDescent="0.2">
      <c r="A59" s="12"/>
      <c r="B59" s="12"/>
      <c r="C59" s="111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12"/>
      <c r="R59" s="12"/>
      <c r="S59" s="188">
        <f>$W$19</f>
        <v>3.7410620385304938</v>
      </c>
      <c r="T59" s="187">
        <v>6</v>
      </c>
      <c r="U59" s="187">
        <v>6.5</v>
      </c>
      <c r="V59" s="187">
        <v>7</v>
      </c>
      <c r="W59" s="187">
        <v>7.5</v>
      </c>
      <c r="X59" s="187">
        <v>8</v>
      </c>
      <c r="Y59"/>
      <c r="Z59" s="188">
        <f>$W$19</f>
        <v>3.7410620385304938</v>
      </c>
      <c r="AA59" s="187">
        <v>6</v>
      </c>
      <c r="AB59" s="187">
        <v>6.5</v>
      </c>
      <c r="AC59" s="187">
        <v>7</v>
      </c>
      <c r="AD59" s="187">
        <v>7.5</v>
      </c>
      <c r="AE59" s="187">
        <v>8</v>
      </c>
      <c r="AF59" s="12"/>
      <c r="AG59" s="12"/>
    </row>
    <row r="60" spans="1:33" x14ac:dyDescent="0.2">
      <c r="A60" s="12"/>
      <c r="B60" s="12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12"/>
      <c r="R60" s="12"/>
      <c r="S60" s="8">
        <v>9.5</v>
      </c>
      <c r="T60" s="186">
        <v>17.177968803832471</v>
      </c>
      <c r="U60" s="185">
        <v>17.521006752412092</v>
      </c>
      <c r="V60" s="185">
        <v>17.714013798059568</v>
      </c>
      <c r="W60" s="185">
        <v>17.760310543214132</v>
      </c>
      <c r="X60" s="185">
        <v>17.663120315706863</v>
      </c>
      <c r="Y60"/>
      <c r="Z60" s="8">
        <v>-10</v>
      </c>
      <c r="AA60" s="186">
        <v>31.995137016269126</v>
      </c>
      <c r="AB60" s="185">
        <v>33.452740753776311</v>
      </c>
      <c r="AC60" s="185">
        <v>34.743745723774282</v>
      </c>
      <c r="AD60" s="185">
        <v>35.871839221766578</v>
      </c>
      <c r="AE60" s="185">
        <v>36.840600526644579</v>
      </c>
    </row>
    <row r="61" spans="1:33" x14ac:dyDescent="0.2">
      <c r="A61" s="12"/>
      <c r="B61" s="12"/>
      <c r="I61" s="12"/>
      <c r="P61" s="12"/>
      <c r="R61" s="12"/>
      <c r="S61" s="8">
        <v>10</v>
      </c>
      <c r="T61" s="30">
        <v>24.23993764837104</v>
      </c>
      <c r="U61" s="185">
        <v>25.114185661096968</v>
      </c>
      <c r="V61" s="185">
        <v>25.830506407578497</v>
      </c>
      <c r="W61" s="185">
        <v>26.392395258804385</v>
      </c>
      <c r="X61" s="185">
        <v>26.803245191438805</v>
      </c>
      <c r="Y61"/>
      <c r="Z61" s="8">
        <v>0</v>
      </c>
      <c r="AA61" s="30">
        <v>42.561726409524397</v>
      </c>
      <c r="AB61" s="185">
        <v>44.814162119950794</v>
      </c>
      <c r="AC61" s="185">
        <v>46.8881839967502</v>
      </c>
      <c r="AD61" s="185">
        <v>48.787740835801031</v>
      </c>
      <c r="AE61" s="185">
        <v>50.516665755908377</v>
      </c>
    </row>
    <row r="62" spans="1:33" x14ac:dyDescent="0.2">
      <c r="A62" s="12"/>
      <c r="B62" s="12"/>
      <c r="C62" s="206" t="s">
        <v>163</v>
      </c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12"/>
      <c r="R62" s="12"/>
      <c r="S62" s="8">
        <v>10.5</v>
      </c>
      <c r="T62" s="30">
        <v>31.30190649290958</v>
      </c>
      <c r="U62" s="185">
        <v>32.707364569781788</v>
      </c>
      <c r="V62" s="185">
        <v>33.946999017097426</v>
      </c>
      <c r="W62" s="185">
        <v>35.02447997439458</v>
      </c>
      <c r="X62" s="185">
        <v>35.943370067170747</v>
      </c>
      <c r="Y62"/>
      <c r="Z62" s="8">
        <v>5</v>
      </c>
      <c r="AA62" s="30">
        <v>47.845021106152018</v>
      </c>
      <c r="AB62" s="185">
        <v>50.494872803038021</v>
      </c>
      <c r="AC62" s="185">
        <v>52.960403133238117</v>
      </c>
      <c r="AD62" s="185">
        <v>55.24569164281823</v>
      </c>
      <c r="AE62" s="185">
        <v>57.354698370540206</v>
      </c>
    </row>
    <row r="63" spans="1:33" x14ac:dyDescent="0.2">
      <c r="A63" s="12"/>
      <c r="B63" s="12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12"/>
      <c r="R63" s="12"/>
      <c r="S63" s="8">
        <v>11</v>
      </c>
      <c r="T63" s="30">
        <v>38.36387533744815</v>
      </c>
      <c r="U63" s="185">
        <v>40.300543478466665</v>
      </c>
      <c r="V63" s="185">
        <v>42.063491626616354</v>
      </c>
      <c r="W63" s="185">
        <v>43.656564689984833</v>
      </c>
      <c r="X63" s="185">
        <v>45.083494942902718</v>
      </c>
      <c r="Y63"/>
      <c r="Z63" s="8">
        <v>10</v>
      </c>
      <c r="AA63" s="30">
        <v>53.128315802779582</v>
      </c>
      <c r="AB63" s="185">
        <v>56.17558348612522</v>
      </c>
      <c r="AC63" s="185">
        <v>59.032622269726005</v>
      </c>
      <c r="AD63" s="185">
        <v>61.703642449835371</v>
      </c>
      <c r="AE63" s="185">
        <v>64.192730985172034</v>
      </c>
    </row>
    <row r="64" spans="1:33" x14ac:dyDescent="0.2">
      <c r="A64" s="12"/>
      <c r="B64" s="12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12"/>
      <c r="R64" s="12"/>
      <c r="S64" s="8">
        <v>11.5</v>
      </c>
      <c r="T64" s="30">
        <v>45.42584418198669</v>
      </c>
      <c r="U64" s="185">
        <v>47.893722387151485</v>
      </c>
      <c r="V64" s="185">
        <v>50.179984236135283</v>
      </c>
      <c r="W64" s="185">
        <v>52.288649405575029</v>
      </c>
      <c r="X64" s="185">
        <v>54.223619818634631</v>
      </c>
      <c r="Y64"/>
      <c r="Z64" s="8">
        <v>20</v>
      </c>
      <c r="AA64" s="30">
        <v>63.694905196034881</v>
      </c>
      <c r="AB64" s="185">
        <v>67.537004852299731</v>
      </c>
      <c r="AC64" s="185">
        <v>71.177060542701952</v>
      </c>
      <c r="AD64" s="185">
        <v>74.619544063869853</v>
      </c>
      <c r="AE64" s="185">
        <v>77.868796214435832</v>
      </c>
    </row>
    <row r="65" spans="1:31" x14ac:dyDescent="0.2">
      <c r="A65" s="12"/>
      <c r="B65" s="12"/>
      <c r="P65" s="12"/>
      <c r="R65" s="12"/>
      <c r="Y65"/>
    </row>
    <row r="66" spans="1:31" x14ac:dyDescent="0.2">
      <c r="A66" s="12"/>
      <c r="B66" s="12"/>
      <c r="P66" s="12"/>
      <c r="R66" s="12"/>
      <c r="S66" s="54" t="s">
        <v>178</v>
      </c>
      <c r="T66" s="12"/>
      <c r="U66" s="12"/>
      <c r="V66" s="12"/>
      <c r="W66" s="12"/>
      <c r="X66" s="12"/>
      <c r="Y66"/>
      <c r="Z66" s="54" t="s">
        <v>179</v>
      </c>
      <c r="AA66" s="12"/>
      <c r="AB66" s="12"/>
      <c r="AC66" s="12"/>
      <c r="AD66" s="12"/>
      <c r="AE66" s="12"/>
    </row>
    <row r="67" spans="1:31" x14ac:dyDescent="0.2">
      <c r="A67" s="12"/>
      <c r="B67" s="12"/>
      <c r="P67" s="12"/>
      <c r="R67" s="12"/>
      <c r="S67" s="4" t="s">
        <v>175</v>
      </c>
      <c r="Y67"/>
      <c r="Z67" s="4" t="s">
        <v>187</v>
      </c>
    </row>
    <row r="68" spans="1:31" x14ac:dyDescent="0.2">
      <c r="A68" s="12"/>
      <c r="B68" s="12"/>
      <c r="P68" s="12"/>
      <c r="R68" s="12"/>
      <c r="S68" s="188">
        <f>$W$13</f>
        <v>8.8794857214862191</v>
      </c>
      <c r="T68" s="187">
        <v>6.5</v>
      </c>
      <c r="U68" s="187">
        <v>7</v>
      </c>
      <c r="V68" s="187">
        <v>7.5</v>
      </c>
      <c r="W68" s="187">
        <v>8</v>
      </c>
      <c r="X68" s="187">
        <v>8.5</v>
      </c>
      <c r="Y68" s="12"/>
      <c r="Z68" s="188">
        <f>$W$21</f>
        <v>21.147310310118982</v>
      </c>
      <c r="AA68" s="187">
        <v>7</v>
      </c>
      <c r="AB68" s="187">
        <v>8</v>
      </c>
      <c r="AC68" s="187">
        <v>9</v>
      </c>
      <c r="AD68" s="187">
        <v>10</v>
      </c>
      <c r="AE68" s="187">
        <v>11</v>
      </c>
    </row>
    <row r="69" spans="1:31" ht="12.75" customHeight="1" x14ac:dyDescent="0.2">
      <c r="A69" s="12"/>
      <c r="B69" s="12"/>
      <c r="P69" s="12"/>
      <c r="R69" s="12"/>
      <c r="S69" s="8">
        <v>9.5</v>
      </c>
      <c r="T69" s="186">
        <v>44.431075420056061</v>
      </c>
      <c r="U69" s="185">
        <v>42.508704752551239</v>
      </c>
      <c r="V69" s="185">
        <v>40.002717389872657</v>
      </c>
      <c r="W69" s="185">
        <v>36.940117975549924</v>
      </c>
      <c r="X69" s="185">
        <v>33.346270409894771</v>
      </c>
      <c r="Y69" s="12"/>
      <c r="Z69" s="8">
        <v>-10</v>
      </c>
      <c r="AA69" s="186">
        <v>36.17021244353117</v>
      </c>
      <c r="AB69" s="185">
        <v>38.684548642975869</v>
      </c>
      <c r="AC69" s="185">
        <v>40.618634965923292</v>
      </c>
      <c r="AD69" s="185">
        <v>41.996333814325226</v>
      </c>
      <c r="AE69" s="185">
        <v>42.840216849241557</v>
      </c>
    </row>
    <row r="70" spans="1:31" x14ac:dyDescent="0.2">
      <c r="A70" s="12"/>
      <c r="B70" s="12"/>
      <c r="P70" s="12"/>
      <c r="R70" s="12"/>
      <c r="S70" s="8">
        <v>10</v>
      </c>
      <c r="T70" s="30">
        <v>60.830079389532727</v>
      </c>
      <c r="U70" s="185">
        <v>59.888110265843409</v>
      </c>
      <c r="V70" s="185">
        <v>58.331807778813356</v>
      </c>
      <c r="W70" s="185">
        <v>56.189597868999954</v>
      </c>
      <c r="X70" s="185">
        <v>53.488179378836662</v>
      </c>
      <c r="Y70" s="12"/>
      <c r="Z70" s="8">
        <v>0</v>
      </c>
      <c r="AA70" s="30">
        <v>47.849925193326783</v>
      </c>
      <c r="AB70" s="185">
        <v>51.844654471599853</v>
      </c>
      <c r="AC70" s="185">
        <v>55.217982964769448</v>
      </c>
      <c r="AD70" s="185">
        <v>57.995465379364504</v>
      </c>
      <c r="AE70" s="185">
        <v>60.201274142595707</v>
      </c>
    </row>
    <row r="71" spans="1:31" x14ac:dyDescent="0.2">
      <c r="A71" s="12"/>
      <c r="B71" s="12"/>
      <c r="P71" s="12"/>
      <c r="R71" s="12"/>
      <c r="S71" s="8">
        <v>10.5</v>
      </c>
      <c r="T71" s="30">
        <v>77.229083359009394</v>
      </c>
      <c r="U71" s="185">
        <v>77.267515779135579</v>
      </c>
      <c r="V71" s="185">
        <v>76.660898167753999</v>
      </c>
      <c r="W71" s="185">
        <v>75.439077762449926</v>
      </c>
      <c r="X71" s="185">
        <v>73.63008834777844</v>
      </c>
      <c r="Y71" s="24"/>
      <c r="Z71" s="8">
        <v>5</v>
      </c>
      <c r="AA71" s="30">
        <v>53.689781568224561</v>
      </c>
      <c r="AB71" s="185">
        <v>58.424707385911773</v>
      </c>
      <c r="AC71" s="185">
        <v>62.517656964192469</v>
      </c>
      <c r="AD71" s="185">
        <v>65.995031161884071</v>
      </c>
      <c r="AE71" s="185">
        <v>68.881802789272797</v>
      </c>
    </row>
    <row r="72" spans="1:31" x14ac:dyDescent="0.2">
      <c r="A72" s="12"/>
      <c r="B72" s="12"/>
      <c r="P72" s="12"/>
      <c r="R72" s="12"/>
      <c r="S72" s="8">
        <v>11</v>
      </c>
      <c r="T72" s="30">
        <v>93.62808732848606</v>
      </c>
      <c r="U72" s="185">
        <v>94.646921292427805</v>
      </c>
      <c r="V72" s="185">
        <v>94.989988556694698</v>
      </c>
      <c r="W72" s="185">
        <v>94.688557655899956</v>
      </c>
      <c r="X72" s="185">
        <v>93.771997316720331</v>
      </c>
      <c r="Y72" s="24"/>
      <c r="Z72" s="8">
        <v>10</v>
      </c>
      <c r="AA72" s="30">
        <v>59.52963794312231</v>
      </c>
      <c r="AB72" s="185">
        <v>65.004760300223694</v>
      </c>
      <c r="AC72" s="185">
        <v>69.81733096361549</v>
      </c>
      <c r="AD72" s="185">
        <v>73.994596944403639</v>
      </c>
      <c r="AE72" s="185">
        <v>77.562331435949773</v>
      </c>
    </row>
    <row r="73" spans="1:31" x14ac:dyDescent="0.2">
      <c r="A73" s="12"/>
      <c r="B73" s="12"/>
      <c r="P73" s="12"/>
      <c r="R73" s="12"/>
      <c r="S73" s="8">
        <v>11.5</v>
      </c>
      <c r="T73" s="30">
        <v>110.02709129796267</v>
      </c>
      <c r="U73" s="185">
        <v>112.02632680571992</v>
      </c>
      <c r="V73" s="185">
        <v>113.31907894563534</v>
      </c>
      <c r="W73" s="185">
        <v>113.93803754934993</v>
      </c>
      <c r="X73" s="185">
        <v>113.91390628566211</v>
      </c>
      <c r="Y73" s="24"/>
      <c r="Z73" s="8">
        <v>20</v>
      </c>
      <c r="AA73" s="30">
        <v>71.209350692917951</v>
      </c>
      <c r="AB73" s="185">
        <v>78.164866128847706</v>
      </c>
      <c r="AC73" s="185">
        <v>84.416678962461674</v>
      </c>
      <c r="AD73" s="185">
        <v>89.993728509442946</v>
      </c>
      <c r="AE73" s="185">
        <v>94.923388729304008</v>
      </c>
    </row>
    <row r="74" spans="1:31" x14ac:dyDescent="0.2">
      <c r="A74" s="12"/>
      <c r="B74" s="12"/>
      <c r="P74" s="12"/>
      <c r="R74" s="12"/>
      <c r="S74"/>
      <c r="T74"/>
      <c r="U74"/>
      <c r="V74"/>
      <c r="W74"/>
      <c r="X74"/>
      <c r="Y74" s="12"/>
      <c r="Z74"/>
      <c r="AA74"/>
      <c r="AB74"/>
      <c r="AC74"/>
      <c r="AD74"/>
      <c r="AE74"/>
    </row>
    <row r="75" spans="1:31" x14ac:dyDescent="0.2">
      <c r="A75" s="12"/>
      <c r="B75" s="12"/>
      <c r="P75" s="12"/>
      <c r="R75" s="12"/>
      <c r="S75" s="54" t="s">
        <v>179</v>
      </c>
      <c r="T75" s="12"/>
      <c r="U75" s="12"/>
      <c r="V75" s="12"/>
      <c r="W75" s="12"/>
      <c r="X75" s="12"/>
      <c r="Y75" s="12"/>
      <c r="Z75" s="54" t="s">
        <v>176</v>
      </c>
      <c r="AA75" s="12"/>
      <c r="AB75" s="12"/>
      <c r="AC75" s="12"/>
      <c r="AD75" s="12"/>
      <c r="AE75" s="12"/>
    </row>
    <row r="76" spans="1:31" x14ac:dyDescent="0.2">
      <c r="A76" s="12"/>
      <c r="B76" s="12"/>
      <c r="P76" s="12"/>
      <c r="R76" s="12"/>
      <c r="S76" s="4" t="s">
        <v>175</v>
      </c>
      <c r="Y76" s="12"/>
      <c r="Z76" s="4" t="s">
        <v>185</v>
      </c>
    </row>
    <row r="77" spans="1:31" x14ac:dyDescent="0.2">
      <c r="A77" s="12"/>
      <c r="B77" s="12"/>
      <c r="P77" s="12"/>
      <c r="R77" s="12"/>
      <c r="S77" s="188">
        <f>$W$21</f>
        <v>21.147310310118982</v>
      </c>
      <c r="T77" s="187">
        <v>7</v>
      </c>
      <c r="U77" s="187">
        <v>8</v>
      </c>
      <c r="V77" s="187">
        <v>9</v>
      </c>
      <c r="W77" s="187">
        <v>10</v>
      </c>
      <c r="X77" s="187">
        <v>11</v>
      </c>
      <c r="Y77" s="12"/>
      <c r="Z77" s="188">
        <f>$W$18</f>
        <v>33.411323991414775</v>
      </c>
      <c r="AA77" s="187">
        <v>9.5</v>
      </c>
      <c r="AB77" s="187">
        <v>10</v>
      </c>
      <c r="AC77" s="187">
        <v>10.5</v>
      </c>
      <c r="AD77" s="187">
        <v>11</v>
      </c>
      <c r="AE77" s="187">
        <v>11.5</v>
      </c>
    </row>
    <row r="78" spans="1:31" x14ac:dyDescent="0.2">
      <c r="A78" s="12"/>
      <c r="B78" s="12"/>
      <c r="P78" s="12"/>
      <c r="R78" s="12"/>
      <c r="S78" s="8">
        <v>9.5</v>
      </c>
      <c r="T78" s="186">
        <v>19.792149281814261</v>
      </c>
      <c r="U78" s="185">
        <v>20.230580716422736</v>
      </c>
      <c r="V78" s="185">
        <v>20.146466791310246</v>
      </c>
      <c r="W78" s="185">
        <v>19.561296847391503</v>
      </c>
      <c r="X78" s="185">
        <v>18.49539784590462</v>
      </c>
      <c r="Y78" s="12"/>
      <c r="Z78" s="8">
        <v>-10</v>
      </c>
      <c r="AA78" s="186">
        <v>10.213166400827447</v>
      </c>
      <c r="AB78" s="185">
        <v>36.171754106134244</v>
      </c>
      <c r="AC78" s="185">
        <v>62.130341811440871</v>
      </c>
      <c r="AD78" s="185">
        <v>88.088929516747612</v>
      </c>
      <c r="AE78" s="185">
        <v>114.04751722205435</v>
      </c>
    </row>
    <row r="79" spans="1:31" x14ac:dyDescent="0.2">
      <c r="A79" s="12"/>
      <c r="B79" s="12"/>
      <c r="P79" s="12"/>
      <c r="R79" s="12"/>
      <c r="S79" s="8">
        <v>10</v>
      </c>
      <c r="T79" s="30">
        <v>27.598051875593967</v>
      </c>
      <c r="U79" s="185">
        <v>29.025874438339713</v>
      </c>
      <c r="V79" s="185">
        <v>29.903649254010816</v>
      </c>
      <c r="W79" s="185">
        <v>30.253996681464741</v>
      </c>
      <c r="X79" s="185">
        <v>30.098313522004872</v>
      </c>
      <c r="Y79" s="12"/>
      <c r="Z79" s="8">
        <v>0</v>
      </c>
      <c r="AA79" s="30">
        <v>45.19149342165133</v>
      </c>
      <c r="AB79" s="185">
        <v>72.99104570700149</v>
      </c>
      <c r="AC79" s="185">
        <v>100.79059799235154</v>
      </c>
      <c r="AD79" s="185">
        <v>128.59015027770158</v>
      </c>
      <c r="AE79" s="185">
        <v>156.38970256305163</v>
      </c>
    </row>
    <row r="80" spans="1:31" x14ac:dyDescent="0.2">
      <c r="A80" s="12"/>
      <c r="B80" s="12"/>
      <c r="P80" s="12"/>
      <c r="S80" s="8">
        <v>10.5</v>
      </c>
      <c r="T80" s="30">
        <v>35.403954469373673</v>
      </c>
      <c r="U80" s="185">
        <v>37.82116816025669</v>
      </c>
      <c r="V80" s="185">
        <v>39.660831716711328</v>
      </c>
      <c r="W80" s="185">
        <v>40.94669651553798</v>
      </c>
      <c r="X80" s="185">
        <v>41.701229198105096</v>
      </c>
      <c r="Z80" s="8">
        <v>5</v>
      </c>
      <c r="AA80" s="30">
        <v>62.680656932063243</v>
      </c>
      <c r="AB80" s="185">
        <v>91.400691507435113</v>
      </c>
      <c r="AC80" s="185">
        <v>120.12072608280675</v>
      </c>
      <c r="AD80" s="185">
        <v>148.84076065817862</v>
      </c>
      <c r="AE80" s="185">
        <v>177.56079523355027</v>
      </c>
    </row>
    <row r="81" spans="1:31" x14ac:dyDescent="0.2">
      <c r="A81" s="12"/>
      <c r="B81" s="12"/>
      <c r="P81" s="12"/>
      <c r="S81" s="8">
        <v>11</v>
      </c>
      <c r="T81" s="30">
        <v>43.209857063153379</v>
      </c>
      <c r="U81" s="185">
        <v>46.616461882173695</v>
      </c>
      <c r="V81" s="185">
        <v>49.418014179411898</v>
      </c>
      <c r="W81" s="185">
        <v>51.639396349611218</v>
      </c>
      <c r="X81" s="185">
        <v>53.304144874205349</v>
      </c>
      <c r="Z81" s="8">
        <v>10</v>
      </c>
      <c r="AA81" s="30">
        <v>80.169820442475157</v>
      </c>
      <c r="AB81" s="185">
        <v>109.81033730786862</v>
      </c>
      <c r="AC81" s="185">
        <v>139.45085417326209</v>
      </c>
      <c r="AD81" s="185">
        <v>169.09137103865555</v>
      </c>
      <c r="AE81" s="185">
        <v>198.7318879040489</v>
      </c>
    </row>
    <row r="82" spans="1:31" x14ac:dyDescent="0.2">
      <c r="A82" s="12"/>
      <c r="B82" s="12"/>
      <c r="P82" s="12"/>
      <c r="S82" s="8">
        <v>11.5</v>
      </c>
      <c r="T82" s="30">
        <v>51.015759656933056</v>
      </c>
      <c r="U82" s="185">
        <v>55.411755604090672</v>
      </c>
      <c r="V82" s="185">
        <v>59.175196642112439</v>
      </c>
      <c r="W82" s="185">
        <v>62.332096183684456</v>
      </c>
      <c r="X82" s="185">
        <v>64.907060550305573</v>
      </c>
      <c r="Z82" s="8">
        <v>20</v>
      </c>
      <c r="AA82" s="30">
        <v>115.14814746329887</v>
      </c>
      <c r="AB82" s="185">
        <v>146.62962890873564</v>
      </c>
      <c r="AC82" s="185">
        <v>178.11111035417252</v>
      </c>
      <c r="AD82" s="185">
        <v>209.59259179960918</v>
      </c>
      <c r="AE82" s="185">
        <v>241.07407324504595</v>
      </c>
    </row>
    <row r="83" spans="1:31" x14ac:dyDescent="0.2">
      <c r="A83" s="12"/>
      <c r="B83" s="12"/>
      <c r="P83" s="12"/>
    </row>
    <row r="84" spans="1:31" x14ac:dyDescent="0.2">
      <c r="A84" s="12"/>
      <c r="B84" s="12"/>
      <c r="P84" s="12"/>
      <c r="S84" s="54" t="s">
        <v>180</v>
      </c>
      <c r="T84" s="12"/>
      <c r="U84" s="12"/>
      <c r="V84" s="12"/>
      <c r="W84" s="12"/>
      <c r="X84" s="12"/>
      <c r="Z84" s="54" t="s">
        <v>177</v>
      </c>
      <c r="AA84" s="12"/>
      <c r="AB84" s="12"/>
      <c r="AC84" s="12"/>
      <c r="AD84" s="12"/>
      <c r="AE84" s="12"/>
    </row>
    <row r="85" spans="1:31" x14ac:dyDescent="0.2">
      <c r="A85" s="12"/>
      <c r="B85" s="12"/>
      <c r="P85" s="12"/>
      <c r="S85" s="4" t="s">
        <v>175</v>
      </c>
      <c r="Z85" s="4" t="s">
        <v>183</v>
      </c>
    </row>
    <row r="86" spans="1:31" x14ac:dyDescent="0.2">
      <c r="A86" s="12"/>
      <c r="B86" s="12"/>
      <c r="P86" s="12"/>
      <c r="S86" s="188">
        <f>$W$20</f>
        <v>11.184935278574308</v>
      </c>
      <c r="T86" s="187">
        <v>7</v>
      </c>
      <c r="U86" s="187">
        <v>7.5</v>
      </c>
      <c r="V86" s="187">
        <v>8</v>
      </c>
      <c r="W86" s="187">
        <v>8.5</v>
      </c>
      <c r="X86" s="187">
        <v>9</v>
      </c>
      <c r="Z86" s="188">
        <f>$W$19</f>
        <v>3.7410620385304938</v>
      </c>
      <c r="AA86" s="187">
        <v>9.5</v>
      </c>
      <c r="AB86" s="187">
        <v>10</v>
      </c>
      <c r="AC86" s="187">
        <v>10.5</v>
      </c>
      <c r="AD86" s="187">
        <v>11</v>
      </c>
      <c r="AE86" s="187">
        <v>11.5</v>
      </c>
    </row>
    <row r="87" spans="1:31" x14ac:dyDescent="0.2">
      <c r="A87" s="12"/>
      <c r="B87" s="12"/>
      <c r="P87" s="12"/>
      <c r="S87" s="8">
        <v>9.5</v>
      </c>
      <c r="T87" s="186">
        <v>18.766980580250703</v>
      </c>
      <c r="U87" s="185">
        <v>18.992611922258561</v>
      </c>
      <c r="V87" s="185">
        <v>19.086260035813268</v>
      </c>
      <c r="W87" s="185">
        <v>19.050680102211203</v>
      </c>
      <c r="X87" s="185">
        <v>18.888551145925902</v>
      </c>
      <c r="Z87" s="8">
        <v>-10</v>
      </c>
      <c r="AA87" s="186">
        <v>2.8863158014157761</v>
      </c>
      <c r="AB87" s="185">
        <v>10.222403253216612</v>
      </c>
      <c r="AC87" s="185">
        <v>17.558490705017448</v>
      </c>
      <c r="AD87" s="185">
        <v>24.894578156818255</v>
      </c>
      <c r="AE87" s="185">
        <v>32.23066560861912</v>
      </c>
    </row>
    <row r="88" spans="1:31" x14ac:dyDescent="0.2">
      <c r="A88" s="12"/>
      <c r="B88" s="12"/>
      <c r="P88" s="12"/>
      <c r="S88" s="8">
        <v>10</v>
      </c>
      <c r="T88" s="30">
        <v>26.527838110790213</v>
      </c>
      <c r="U88" s="185">
        <v>27.249139194482694</v>
      </c>
      <c r="V88" s="185">
        <v>27.831510564013968</v>
      </c>
      <c r="W88" s="185">
        <v>28.277852410222323</v>
      </c>
      <c r="X88" s="185">
        <v>28.590984758869382</v>
      </c>
      <c r="Z88" s="8">
        <v>0</v>
      </c>
      <c r="AA88" s="30">
        <v>12.771447799178304</v>
      </c>
      <c r="AB88" s="185">
        <v>20.627805356124554</v>
      </c>
      <c r="AC88" s="185">
        <v>28.484162913070776</v>
      </c>
      <c r="AD88" s="185">
        <v>36.340520470016997</v>
      </c>
      <c r="AE88" s="185">
        <v>44.196878026963219</v>
      </c>
    </row>
    <row r="89" spans="1:31" x14ac:dyDescent="0.2">
      <c r="A89" s="12"/>
      <c r="B89" s="12"/>
      <c r="P89" s="12"/>
      <c r="S89" s="8">
        <v>10.5</v>
      </c>
      <c r="T89" s="30">
        <v>34.288695641329724</v>
      </c>
      <c r="U89" s="185">
        <v>35.505666466706828</v>
      </c>
      <c r="V89" s="185">
        <v>36.576761092214667</v>
      </c>
      <c r="W89" s="185">
        <v>37.505024718233415</v>
      </c>
      <c r="X89" s="185">
        <v>38.293418371812834</v>
      </c>
      <c r="Z89" s="8">
        <v>5</v>
      </c>
      <c r="AA89" s="30">
        <v>17.714013798059568</v>
      </c>
      <c r="AB89" s="185">
        <v>25.830506407578497</v>
      </c>
      <c r="AC89" s="185">
        <v>33.946999017097426</v>
      </c>
      <c r="AD89" s="185">
        <v>42.063491626616354</v>
      </c>
      <c r="AE89" s="185">
        <v>50.179984236135283</v>
      </c>
    </row>
    <row r="90" spans="1:31" x14ac:dyDescent="0.2">
      <c r="A90" s="12"/>
      <c r="B90" s="12"/>
      <c r="P90" s="12"/>
      <c r="S90" s="8">
        <v>11</v>
      </c>
      <c r="T90" s="30">
        <v>42.049553171869235</v>
      </c>
      <c r="U90" s="185">
        <v>43.762193738930989</v>
      </c>
      <c r="V90" s="185">
        <v>45.322011620415367</v>
      </c>
      <c r="W90" s="185">
        <v>46.732197026244563</v>
      </c>
      <c r="X90" s="185">
        <v>47.995851984756314</v>
      </c>
      <c r="Z90" s="8">
        <v>10</v>
      </c>
      <c r="AA90" s="30">
        <v>22.656579796940804</v>
      </c>
      <c r="AB90" s="185">
        <v>31.03320745903244</v>
      </c>
      <c r="AC90" s="185">
        <v>39.409835121124047</v>
      </c>
      <c r="AD90" s="185">
        <v>47.786462783215654</v>
      </c>
      <c r="AE90" s="185">
        <v>56.16309044530729</v>
      </c>
    </row>
    <row r="91" spans="1:31" s="12" customFormat="1" x14ac:dyDescent="0.2">
      <c r="S91" s="8">
        <v>11.5</v>
      </c>
      <c r="T91" s="30">
        <v>49.810410702408745</v>
      </c>
      <c r="U91" s="185">
        <v>52.018721011155122</v>
      </c>
      <c r="V91" s="185">
        <v>54.067262148616066</v>
      </c>
      <c r="W91" s="185">
        <v>55.959369334255655</v>
      </c>
      <c r="X91" s="185">
        <v>57.698285597699794</v>
      </c>
      <c r="Z91" s="8">
        <v>20</v>
      </c>
      <c r="AA91" s="30">
        <v>32.541711794703389</v>
      </c>
      <c r="AB91" s="185">
        <v>41.438609561940382</v>
      </c>
      <c r="AC91" s="185">
        <v>50.335507329177403</v>
      </c>
      <c r="AD91" s="185">
        <v>59.232405096414425</v>
      </c>
      <c r="AE91" s="185">
        <v>68.129302863651475</v>
      </c>
    </row>
    <row r="93" spans="1:31" x14ac:dyDescent="0.2">
      <c r="S93" s="54" t="s">
        <v>181</v>
      </c>
      <c r="T93" s="12"/>
      <c r="U93" s="12"/>
      <c r="V93" s="12"/>
      <c r="W93" s="12"/>
      <c r="X93" s="12"/>
      <c r="Z93" s="54" t="s">
        <v>179</v>
      </c>
      <c r="AA93" s="12"/>
      <c r="AB93" s="12"/>
      <c r="AC93" s="12"/>
      <c r="AD93" s="12"/>
      <c r="AE93" s="12"/>
    </row>
    <row r="94" spans="1:31" x14ac:dyDescent="0.2">
      <c r="S94" s="4" t="s">
        <v>175</v>
      </c>
      <c r="Z94" s="4" t="s">
        <v>184</v>
      </c>
    </row>
    <row r="95" spans="1:31" x14ac:dyDescent="0.2">
      <c r="S95" s="188">
        <f>$W$22</f>
        <v>2.0892645573951683</v>
      </c>
      <c r="T95" s="187">
        <v>5.5</v>
      </c>
      <c r="U95" s="187">
        <v>6</v>
      </c>
      <c r="V95" s="187">
        <v>6.5</v>
      </c>
      <c r="W95" s="187">
        <v>7</v>
      </c>
      <c r="X95" s="187">
        <v>7.5</v>
      </c>
      <c r="Z95" s="188">
        <f>$W$21</f>
        <v>21.147310310118982</v>
      </c>
      <c r="AA95" s="187">
        <v>9.5</v>
      </c>
      <c r="AB95" s="187">
        <v>10</v>
      </c>
      <c r="AC95" s="187">
        <v>10.5</v>
      </c>
      <c r="AD95" s="187">
        <v>11</v>
      </c>
      <c r="AE95" s="187">
        <v>11.5</v>
      </c>
    </row>
    <row r="96" spans="1:31" x14ac:dyDescent="0.2">
      <c r="S96" s="8">
        <v>9.5</v>
      </c>
      <c r="T96" s="186">
        <v>6.6773803549003787</v>
      </c>
      <c r="U96" s="185">
        <v>7.0853475221841649</v>
      </c>
      <c r="V96" s="185">
        <v>7.4615725929457994</v>
      </c>
      <c r="W96" s="185">
        <v>7.8063715160436971</v>
      </c>
      <c r="X96" s="185">
        <v>8.1200560610881212</v>
      </c>
      <c r="Z96" s="8">
        <v>-10</v>
      </c>
      <c r="AA96" s="186">
        <v>3.2999311563418701</v>
      </c>
      <c r="AB96" s="185">
        <v>11.687295954044089</v>
      </c>
      <c r="AC96" s="185">
        <v>20.074660751746279</v>
      </c>
      <c r="AD96" s="185">
        <v>28.462025549448498</v>
      </c>
      <c r="AE96" s="185">
        <v>36.849390347150717</v>
      </c>
    </row>
    <row r="97" spans="19:31" x14ac:dyDescent="0.2">
      <c r="S97" s="8">
        <v>10</v>
      </c>
      <c r="T97" s="30">
        <v>9.5528355446840862</v>
      </c>
      <c r="U97" s="185">
        <v>10.211730497092802</v>
      </c>
      <c r="V97" s="185">
        <v>10.837212716320309</v>
      </c>
      <c r="W97" s="185">
        <v>11.429614780112317</v>
      </c>
      <c r="X97" s="185">
        <v>11.989264867005915</v>
      </c>
      <c r="Z97" s="8">
        <v>0</v>
      </c>
      <c r="AA97" s="30">
        <v>14.601624147790716</v>
      </c>
      <c r="AB97" s="185">
        <v>23.583814892411283</v>
      </c>
      <c r="AC97" s="185">
        <v>32.566005637031822</v>
      </c>
      <c r="AD97" s="185">
        <v>41.548196381652417</v>
      </c>
      <c r="AE97" s="185">
        <v>50.530387126272956</v>
      </c>
    </row>
    <row r="98" spans="19:31" x14ac:dyDescent="0.2">
      <c r="S98" s="8">
        <v>10.5</v>
      </c>
      <c r="T98" s="30">
        <v>12.42829073446778</v>
      </c>
      <c r="U98" s="185">
        <v>13.338113472001432</v>
      </c>
      <c r="V98" s="185">
        <v>14.212852839694818</v>
      </c>
      <c r="W98" s="185">
        <v>15.052858044180923</v>
      </c>
      <c r="X98" s="185">
        <v>15.858473672923694</v>
      </c>
      <c r="Z98" s="8">
        <v>5</v>
      </c>
      <c r="AA98" s="30">
        <v>20.252470643515096</v>
      </c>
      <c r="AB98" s="185">
        <v>29.532074361594852</v>
      </c>
      <c r="AC98" s="185">
        <v>38.811678079674607</v>
      </c>
      <c r="AD98" s="185">
        <v>48.091281797754363</v>
      </c>
      <c r="AE98" s="185">
        <v>57.37088551583409</v>
      </c>
    </row>
    <row r="99" spans="19:31" x14ac:dyDescent="0.2">
      <c r="S99" s="8">
        <v>11</v>
      </c>
      <c r="T99" s="30">
        <v>15.30374592425148</v>
      </c>
      <c r="U99" s="185">
        <v>16.464496446910069</v>
      </c>
      <c r="V99" s="185">
        <v>17.588492963069342</v>
      </c>
      <c r="W99" s="185">
        <v>18.676101308249528</v>
      </c>
      <c r="X99" s="185">
        <v>19.727682478841487</v>
      </c>
      <c r="Z99" s="8">
        <v>10</v>
      </c>
      <c r="AA99" s="30">
        <v>25.903317139239476</v>
      </c>
      <c r="AB99" s="185">
        <v>35.48033383077842</v>
      </c>
      <c r="AC99" s="185">
        <v>45.057350522317336</v>
      </c>
      <c r="AD99" s="185">
        <v>54.634367213856223</v>
      </c>
      <c r="AE99" s="185">
        <v>64.211383905395166</v>
      </c>
    </row>
    <row r="100" spans="19:31" x14ac:dyDescent="0.2">
      <c r="S100" s="8">
        <v>11.5</v>
      </c>
      <c r="T100" s="30">
        <v>18.17920111403518</v>
      </c>
      <c r="U100" s="185">
        <v>19.590879421818705</v>
      </c>
      <c r="V100" s="185">
        <v>20.964133086443837</v>
      </c>
      <c r="W100" s="185">
        <v>22.299344572318134</v>
      </c>
      <c r="X100" s="185">
        <v>23.59689128475928</v>
      </c>
      <c r="Z100" s="8">
        <v>20</v>
      </c>
      <c r="AA100" s="30">
        <v>37.205010130688351</v>
      </c>
      <c r="AB100" s="185">
        <v>47.376852769145614</v>
      </c>
      <c r="AC100" s="185">
        <v>57.548695407602906</v>
      </c>
      <c r="AD100" s="185">
        <v>67.720538046060199</v>
      </c>
      <c r="AE100" s="185">
        <v>77.892380684517491</v>
      </c>
    </row>
    <row r="101" spans="19:31" x14ac:dyDescent="0.2">
      <c r="Z101"/>
      <c r="AA101"/>
      <c r="AB101"/>
      <c r="AC101"/>
      <c r="AD101"/>
      <c r="AE101"/>
    </row>
    <row r="102" spans="19:31" x14ac:dyDescent="0.2">
      <c r="S102" s="54" t="s">
        <v>182</v>
      </c>
      <c r="T102" s="12"/>
      <c r="U102" s="12"/>
      <c r="V102" s="12"/>
      <c r="W102" s="12"/>
      <c r="X102" s="12"/>
      <c r="Z102"/>
      <c r="AA102"/>
      <c r="AB102"/>
      <c r="AC102"/>
      <c r="AD102"/>
      <c r="AE102"/>
    </row>
    <row r="103" spans="19:31" x14ac:dyDescent="0.2">
      <c r="S103" s="4" t="s">
        <v>175</v>
      </c>
      <c r="Z103"/>
      <c r="AA103"/>
      <c r="AB103"/>
      <c r="AC103"/>
      <c r="AD103"/>
      <c r="AE103"/>
    </row>
    <row r="104" spans="19:31" x14ac:dyDescent="0.2">
      <c r="S104" s="188">
        <f>$W$23</f>
        <v>0</v>
      </c>
      <c r="T104" s="187">
        <v>6</v>
      </c>
      <c r="U104" s="187">
        <v>7</v>
      </c>
      <c r="V104" s="187">
        <v>8</v>
      </c>
      <c r="W104" s="187">
        <v>9</v>
      </c>
      <c r="X104" s="187">
        <v>10</v>
      </c>
      <c r="Z104"/>
      <c r="AA104"/>
      <c r="AB104"/>
      <c r="AC104"/>
      <c r="AD104"/>
      <c r="AE104"/>
    </row>
    <row r="105" spans="19:31" x14ac:dyDescent="0.2">
      <c r="S105" s="8">
        <v>9.5</v>
      </c>
      <c r="T105" s="186">
        <v>2.1096479833929855</v>
      </c>
      <c r="U105" s="185">
        <v>2.4202742737052994</v>
      </c>
      <c r="V105" s="185">
        <v>2.719377128575001</v>
      </c>
      <c r="W105" s="185">
        <v>3.0070249178883017</v>
      </c>
      <c r="X105" s="185">
        <v>3.2832854717369635</v>
      </c>
      <c r="Z105"/>
      <c r="AA105"/>
      <c r="AB105"/>
      <c r="AC105"/>
      <c r="AD105"/>
      <c r="AE105"/>
    </row>
    <row r="106" spans="19:31" x14ac:dyDescent="0.2">
      <c r="S106" s="8">
        <v>10</v>
      </c>
      <c r="T106" s="30">
        <v>3.0407704459399874</v>
      </c>
      <c r="U106" s="185">
        <v>3.5044268814003168</v>
      </c>
      <c r="V106" s="185">
        <v>3.9559533848157926</v>
      </c>
      <c r="W106" s="185">
        <v>4.3954219244876889</v>
      </c>
      <c r="X106" s="185">
        <v>4.8229039005125962</v>
      </c>
      <c r="Z106"/>
      <c r="AA106"/>
      <c r="AB106"/>
      <c r="AC106"/>
      <c r="AD106"/>
      <c r="AE106"/>
    </row>
    <row r="107" spans="19:31" x14ac:dyDescent="0.2">
      <c r="S107" s="8">
        <v>10.5</v>
      </c>
      <c r="T107" s="30">
        <v>3.9718929084869856</v>
      </c>
      <c r="U107" s="185">
        <v>4.5885794890953306</v>
      </c>
      <c r="V107" s="185">
        <v>5.1925296410565807</v>
      </c>
      <c r="W107" s="185">
        <v>5.7838189310870689</v>
      </c>
      <c r="X107" s="185">
        <v>6.3625223292882254</v>
      </c>
      <c r="Z107"/>
      <c r="AA107"/>
      <c r="AB107"/>
      <c r="AC107"/>
      <c r="AD107"/>
      <c r="AE107"/>
    </row>
    <row r="108" spans="19:31" x14ac:dyDescent="0.2">
      <c r="S108" s="8">
        <v>11</v>
      </c>
      <c r="T108" s="30">
        <v>4.9030153710339839</v>
      </c>
      <c r="U108" s="185">
        <v>5.6727320967903481</v>
      </c>
      <c r="V108" s="185">
        <v>6.4291058972973723</v>
      </c>
      <c r="W108" s="185">
        <v>7.172215937686456</v>
      </c>
      <c r="X108" s="185">
        <v>7.9021407580638581</v>
      </c>
      <c r="Z108"/>
      <c r="AA108"/>
      <c r="AB108"/>
      <c r="AC108"/>
      <c r="AD108"/>
      <c r="AE108"/>
    </row>
    <row r="109" spans="19:31" x14ac:dyDescent="0.2">
      <c r="S109" s="8">
        <v>11.5</v>
      </c>
      <c r="T109" s="30">
        <v>5.8341378335809821</v>
      </c>
      <c r="U109" s="185">
        <v>6.7568847044853655</v>
      </c>
      <c r="V109" s="185">
        <v>7.6656821535381603</v>
      </c>
      <c r="W109" s="185">
        <v>8.5606129442858396</v>
      </c>
      <c r="X109" s="185">
        <v>9.4417591868394837</v>
      </c>
      <c r="Z109"/>
      <c r="AA109"/>
      <c r="AB109"/>
      <c r="AC109"/>
      <c r="AD109"/>
      <c r="AE109"/>
    </row>
    <row r="127" spans="3:9" x14ac:dyDescent="0.2">
      <c r="I127"/>
    </row>
    <row r="128" spans="3:9" x14ac:dyDescent="0.2">
      <c r="C128"/>
      <c r="D128"/>
      <c r="E128"/>
      <c r="F128"/>
      <c r="G128"/>
      <c r="H128"/>
      <c r="I128"/>
    </row>
    <row r="129" spans="3:9" x14ac:dyDescent="0.2">
      <c r="C129"/>
      <c r="D129"/>
      <c r="E129"/>
      <c r="F129"/>
      <c r="G129"/>
      <c r="H129"/>
      <c r="I129"/>
    </row>
  </sheetData>
  <mergeCells count="1">
    <mergeCell ref="C62:O64"/>
  </mergeCells>
  <conditionalFormatting sqref="W13:W23 W11">
    <cfRule type="cellIs" dxfId="29" priority="27" operator="greaterThan">
      <formula>0</formula>
    </cfRule>
    <cfRule type="cellIs" dxfId="28" priority="28" operator="lessThan">
      <formula>0</formula>
    </cfRule>
  </conditionalFormatting>
  <conditionalFormatting sqref="T51:X55">
    <cfRule type="cellIs" dxfId="27" priority="25" operator="lessThan">
      <formula>0</formula>
    </cfRule>
    <cfRule type="cellIs" dxfId="26" priority="26" operator="greaterThan">
      <formula>0</formula>
    </cfRule>
  </conditionalFormatting>
  <conditionalFormatting sqref="T78:X82">
    <cfRule type="cellIs" dxfId="25" priority="23" operator="lessThan">
      <formula>0</formula>
    </cfRule>
    <cfRule type="cellIs" dxfId="24" priority="24" operator="greaterThan">
      <formula>0</formula>
    </cfRule>
  </conditionalFormatting>
  <conditionalFormatting sqref="T60:X64">
    <cfRule type="cellIs" dxfId="23" priority="21" operator="lessThan">
      <formula>0</formula>
    </cfRule>
    <cfRule type="cellIs" dxfId="22" priority="22" operator="greaterThan">
      <formula>0</formula>
    </cfRule>
  </conditionalFormatting>
  <conditionalFormatting sqref="T87:X91">
    <cfRule type="cellIs" dxfId="21" priority="19" operator="lessThan">
      <formula>0</formula>
    </cfRule>
    <cfRule type="cellIs" dxfId="20" priority="20" operator="greaterThan">
      <formula>0</formula>
    </cfRule>
  </conditionalFormatting>
  <conditionalFormatting sqref="T96:X100">
    <cfRule type="cellIs" dxfId="19" priority="17" operator="lessThan">
      <formula>0</formula>
    </cfRule>
    <cfRule type="cellIs" dxfId="18" priority="18" operator="greaterThan">
      <formula>0</formula>
    </cfRule>
  </conditionalFormatting>
  <conditionalFormatting sqref="T105:X109">
    <cfRule type="cellIs" dxfId="17" priority="15" operator="lessThan">
      <formula>0</formula>
    </cfRule>
    <cfRule type="cellIs" dxfId="16" priority="16" operator="greaterThan">
      <formula>0</formula>
    </cfRule>
  </conditionalFormatting>
  <conditionalFormatting sqref="T69:X73">
    <cfRule type="cellIs" dxfId="15" priority="13" operator="lessThan">
      <formula>0</formula>
    </cfRule>
    <cfRule type="cellIs" dxfId="14" priority="14" operator="greaterThan">
      <formula>0</formula>
    </cfRule>
  </conditionalFormatting>
  <conditionalFormatting sqref="AA51:AE55">
    <cfRule type="cellIs" dxfId="13" priority="11" operator="lessThan">
      <formula>0</formula>
    </cfRule>
    <cfRule type="cellIs" dxfId="12" priority="12" operator="greaterThan">
      <formula>0</formula>
    </cfRule>
  </conditionalFormatting>
  <conditionalFormatting sqref="AA69:AE73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AA60:AE64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AA78:AE82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AA96:AE100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AA87:AE91">
    <cfRule type="cellIs" dxfId="3" priority="1" operator="lessThan">
      <formula>0</formula>
    </cfRule>
    <cfRule type="cellIs" dxfId="2" priority="2" operator="greaterThan">
      <formula>0</formula>
    </cfRule>
  </conditionalFormatting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86"/>
  <sheetViews>
    <sheetView showGridLines="0" zoomScale="80" zoomScaleNormal="80" workbookViewId="0"/>
  </sheetViews>
  <sheetFormatPr defaultRowHeight="12.75" x14ac:dyDescent="0.2"/>
  <cols>
    <col min="1" max="1" width="3.7109375" style="4" customWidth="1"/>
    <col min="2" max="2" width="2.85546875" style="4" customWidth="1"/>
    <col min="3" max="3" width="39.140625" style="4" customWidth="1"/>
    <col min="4" max="9" width="18.7109375" style="4" customWidth="1"/>
    <col min="10" max="10" width="11.85546875" style="4" customWidth="1"/>
    <col min="11" max="11" width="24.7109375" style="4" customWidth="1"/>
    <col min="12" max="16" width="8.7109375" style="4" customWidth="1"/>
    <col min="17" max="18" width="3.7109375" style="4" customWidth="1"/>
    <col min="19" max="19" width="25.5703125" style="4" customWidth="1"/>
    <col min="20" max="20" width="9.140625" style="4"/>
    <col min="21" max="21" width="9.140625" style="4" customWidth="1"/>
    <col min="22" max="16384" width="9.140625" style="4"/>
  </cols>
  <sheetData>
    <row r="1" spans="3:16" s="1" customFormat="1" ht="4.5" customHeight="1" x14ac:dyDescent="0.2"/>
    <row r="2" spans="3:16" s="1" customFormat="1" x14ac:dyDescent="0.2">
      <c r="F2" s="2"/>
      <c r="G2" s="2"/>
      <c r="H2" s="2"/>
    </row>
    <row r="3" spans="3:16" s="1" customFormat="1" x14ac:dyDescent="0.2">
      <c r="F3" s="1" t="s">
        <v>117</v>
      </c>
    </row>
    <row r="4" spans="3:16" s="1" customFormat="1" x14ac:dyDescent="0.2">
      <c r="F4" s="1" t="s">
        <v>206</v>
      </c>
    </row>
    <row r="5" spans="3:16" s="3" customFormat="1" ht="4.5" customHeight="1" x14ac:dyDescent="0.2"/>
    <row r="6" spans="3:16" s="80" customFormat="1" ht="4.5" customHeight="1" x14ac:dyDescent="0.2"/>
    <row r="8" spans="3:16" ht="15.75" x14ac:dyDescent="0.25">
      <c r="C8" s="170" t="s">
        <v>121</v>
      </c>
      <c r="D8" s="171"/>
      <c r="E8" s="171"/>
      <c r="F8" s="171"/>
      <c r="G8" s="171"/>
      <c r="H8" s="171"/>
      <c r="I8" s="171"/>
      <c r="K8" s="154" t="s">
        <v>116</v>
      </c>
    </row>
    <row r="9" spans="3:16" ht="13.5" thickBot="1" x14ac:dyDescent="0.25">
      <c r="C9" s="37" t="s">
        <v>29</v>
      </c>
      <c r="D9" s="37" t="s">
        <v>31</v>
      </c>
      <c r="E9" s="37" t="s">
        <v>30</v>
      </c>
      <c r="F9" s="37" t="s">
        <v>32</v>
      </c>
      <c r="G9" s="37" t="s">
        <v>33</v>
      </c>
      <c r="H9" s="37" t="s">
        <v>34</v>
      </c>
      <c r="I9" s="37" t="s">
        <v>67</v>
      </c>
      <c r="K9" s="10" t="s">
        <v>82</v>
      </c>
      <c r="L9" s="10">
        <v>2015</v>
      </c>
      <c r="M9" s="10">
        <v>2016</v>
      </c>
      <c r="N9" s="10">
        <v>2017</v>
      </c>
      <c r="O9" s="10">
        <v>2018</v>
      </c>
      <c r="P9" s="10">
        <v>2019</v>
      </c>
    </row>
    <row r="10" spans="3:16" x14ac:dyDescent="0.2">
      <c r="C10" s="43" t="s">
        <v>41</v>
      </c>
      <c r="D10" s="43">
        <v>1</v>
      </c>
      <c r="E10" s="43">
        <v>2015</v>
      </c>
      <c r="F10" s="44">
        <v>750000</v>
      </c>
      <c r="G10" s="43">
        <v>1.5</v>
      </c>
      <c r="H10" s="44">
        <f t="shared" ref="H10:H41" si="0">G10*F10</f>
        <v>1125000</v>
      </c>
      <c r="I10" s="45" t="s">
        <v>42</v>
      </c>
      <c r="K10" s="4" t="s">
        <v>23</v>
      </c>
      <c r="L10" s="38">
        <f>SUM(L11:L12)</f>
        <v>2.5649999999999999</v>
      </c>
      <c r="M10" s="38">
        <f t="shared" ref="M10:P10" si="1">SUM(M11:M12)</f>
        <v>6.3937499999999998</v>
      </c>
      <c r="N10" s="38">
        <f t="shared" si="1"/>
        <v>8.1300000000000008</v>
      </c>
      <c r="O10" s="38">
        <f t="shared" si="1"/>
        <v>8.5425000000000004</v>
      </c>
      <c r="P10" s="38">
        <f t="shared" si="1"/>
        <v>8.6549999999999994</v>
      </c>
    </row>
    <row r="11" spans="3:16" x14ac:dyDescent="0.2">
      <c r="C11" s="46" t="s">
        <v>35</v>
      </c>
      <c r="D11" s="46">
        <v>4</v>
      </c>
      <c r="E11" s="46">
        <v>2015</v>
      </c>
      <c r="F11" s="47">
        <v>500000</v>
      </c>
      <c r="G11" s="46">
        <f t="shared" ref="G11:G41" si="2">G10</f>
        <v>1.5</v>
      </c>
      <c r="H11" s="47">
        <f t="shared" si="0"/>
        <v>750000</v>
      </c>
      <c r="I11" s="46"/>
      <c r="K11" s="11" t="s">
        <v>68</v>
      </c>
      <c r="L11" s="13">
        <f>(SUMIFS($H$10:$H$41,$E$10:$E$41,L$9,$D$10:$D$41,1)+SUMIFS($H$10:$H$41,$E$10:$E$41,L$9,$D$10:$D$41,2)*3/4+SUMIFS($H$10:$H$41,$E$10:$E$41,L$9,$D$10:$D$41,3)/2+SUMIFS($H$10:$H$41,$E$10:$E$41,L$9,$D$10:$D$41,4)/4)/1000000</f>
        <v>2.5649999999999999</v>
      </c>
      <c r="M11" s="13">
        <f>(SUMIFS($H$10:$H$41,$E$10:$E$41,M$9,$D$10:$D$41,1)+SUMIFS($H$10:$H$41,$E$10:$E$41,M$9,$D$10:$D$41,2)*3/4+SUMIFS($H$10:$H$41,$E$10:$E$41,M$9,$D$10:$D$41,3)/2+SUMIFS($H$10:$H$41,$E$10:$E$41,M$9,$D$10:$D$41,4)/4)/1000000+SUMIF($E$10:$E$41,"&lt;"&amp;M$9,$H$10:$H$41)/1000000</f>
        <v>6.3937499999999998</v>
      </c>
      <c r="N11" s="13">
        <f t="shared" ref="N11:O11" si="3">(SUMIFS($H$10:$H$41,$E$10:$E$41,N$9,$D$10:$D$41,1)+SUMIFS($H$10:$H$41,$E$10:$E$41,N$9,$D$10:$D$41,2)*3/4+SUMIFS($H$10:$H$41,$E$10:$E$41,N$9,$D$10:$D$41,3)/2+SUMIFS($H$10:$H$41,$E$10:$E$41,N$9,$D$10:$D$41,4)/4)/1000000+SUMIF($E$10:$E$41,"&lt;"&amp;N$9,$H$10:$H$41)/1000000</f>
        <v>8.1300000000000008</v>
      </c>
      <c r="O11" s="13">
        <f t="shared" si="3"/>
        <v>8.5425000000000004</v>
      </c>
      <c r="P11" s="13">
        <f>(SUMIFS($H$10:$H$41,$E$10:$E$41,P$9,$D$10:$D$41,1)+SUMIFS($H$10:$H$41,$E$10:$E$41,P$9,$D$10:$D$41,2)*3/4+SUMIFS($H$10:$H$41,$E$10:$E$41,P$9,$D$10:$D$41,3)/2+SUMIFS($H$10:$H$41,$E$10:$E$41,P$9,$D$10:$D$41,4)/4)/1000000+SUMIF($E$10:$E$41,"&lt;"&amp;P$9,$H$10:$H$41)/1000000</f>
        <v>8.6549999999999994</v>
      </c>
    </row>
    <row r="12" spans="3:16" x14ac:dyDescent="0.2">
      <c r="C12" s="46" t="s">
        <v>36</v>
      </c>
      <c r="D12" s="46">
        <v>4</v>
      </c>
      <c r="E12" s="46">
        <v>2015</v>
      </c>
      <c r="F12" s="47">
        <v>500000</v>
      </c>
      <c r="G12" s="46">
        <f t="shared" si="2"/>
        <v>1.5</v>
      </c>
      <c r="H12" s="47">
        <f t="shared" si="0"/>
        <v>750000</v>
      </c>
      <c r="I12" s="46"/>
      <c r="K12" s="11" t="s">
        <v>69</v>
      </c>
      <c r="L12" s="4">
        <f>D47</f>
        <v>0</v>
      </c>
      <c r="M12" s="4">
        <f t="shared" ref="M12:P12" si="4">E47</f>
        <v>0</v>
      </c>
      <c r="N12" s="4">
        <f t="shared" si="4"/>
        <v>0</v>
      </c>
      <c r="O12" s="4">
        <f t="shared" si="4"/>
        <v>0</v>
      </c>
      <c r="P12" s="4">
        <f t="shared" si="4"/>
        <v>0</v>
      </c>
    </row>
    <row r="13" spans="3:16" x14ac:dyDescent="0.2">
      <c r="C13" s="46" t="s">
        <v>43</v>
      </c>
      <c r="D13" s="46">
        <v>1</v>
      </c>
      <c r="E13" s="46">
        <v>2015</v>
      </c>
      <c r="F13" s="47">
        <v>300000</v>
      </c>
      <c r="G13" s="46">
        <f t="shared" si="2"/>
        <v>1.5</v>
      </c>
      <c r="H13" s="47">
        <f t="shared" si="0"/>
        <v>450000</v>
      </c>
      <c r="I13" s="48" t="s">
        <v>42</v>
      </c>
    </row>
    <row r="14" spans="3:16" ht="13.5" thickBot="1" x14ac:dyDescent="0.25">
      <c r="C14" s="46" t="s">
        <v>70</v>
      </c>
      <c r="D14" s="46">
        <v>4</v>
      </c>
      <c r="E14" s="46">
        <v>2015</v>
      </c>
      <c r="F14" s="47">
        <v>300000</v>
      </c>
      <c r="G14" s="46">
        <f t="shared" si="2"/>
        <v>1.5</v>
      </c>
      <c r="H14" s="47">
        <f t="shared" si="0"/>
        <v>450000</v>
      </c>
      <c r="I14" s="46"/>
      <c r="K14" s="10" t="s">
        <v>83</v>
      </c>
      <c r="L14" s="10">
        <v>2015</v>
      </c>
      <c r="M14" s="10">
        <v>2016</v>
      </c>
      <c r="N14" s="10">
        <v>2017</v>
      </c>
      <c r="O14" s="10">
        <v>2018</v>
      </c>
      <c r="P14" s="10">
        <v>2019</v>
      </c>
    </row>
    <row r="15" spans="3:16" x14ac:dyDescent="0.2">
      <c r="C15" s="46" t="s">
        <v>52</v>
      </c>
      <c r="D15" s="46">
        <v>4</v>
      </c>
      <c r="E15" s="46">
        <v>2016</v>
      </c>
      <c r="F15" s="47">
        <v>300000</v>
      </c>
      <c r="G15" s="46">
        <f t="shared" si="2"/>
        <v>1.5</v>
      </c>
      <c r="H15" s="47">
        <f t="shared" si="0"/>
        <v>450000</v>
      </c>
      <c r="I15" s="46"/>
      <c r="K15" s="4" t="s">
        <v>23</v>
      </c>
      <c r="L15" s="38">
        <f>SUM(L16:L17)</f>
        <v>2.5649999999999999</v>
      </c>
      <c r="M15" s="38">
        <f t="shared" ref="M15" si="5">SUM(M16:M17)</f>
        <v>6.3937499999999998</v>
      </c>
      <c r="N15" s="38">
        <f t="shared" ref="N15" si="6">SUM(N16:N17)</f>
        <v>8.1300000000000008</v>
      </c>
      <c r="O15" s="38">
        <f t="shared" ref="O15" si="7">SUM(O16:O17)</f>
        <v>8.5425000000000004</v>
      </c>
      <c r="P15" s="38">
        <f t="shared" ref="P15" si="8">SUM(P16:P17)</f>
        <v>8.6549999999999994</v>
      </c>
    </row>
    <row r="16" spans="3:16" x14ac:dyDescent="0.2">
      <c r="C16" s="46" t="s">
        <v>46</v>
      </c>
      <c r="D16" s="46">
        <v>1</v>
      </c>
      <c r="E16" s="46">
        <v>2016</v>
      </c>
      <c r="F16" s="47">
        <v>250000</v>
      </c>
      <c r="G16" s="46">
        <f t="shared" si="2"/>
        <v>1.5</v>
      </c>
      <c r="H16" s="47">
        <f t="shared" si="0"/>
        <v>375000</v>
      </c>
      <c r="I16" s="46"/>
      <c r="K16" s="11" t="s">
        <v>68</v>
      </c>
      <c r="L16" s="13">
        <f>(SUMIFS($H$10:$H$41,$E$10:$E$41,L$9,$D$10:$D$41,1)+SUMIFS($H$10:$H$41,$E$10:$E$41,L$9,$D$10:$D$41,2)*3/4+SUMIFS($H$10:$H$41,$E$10:$E$41,L$9,$D$10:$D$41,3)/2+SUMIFS($H$10:$H$41,$E$10:$E$41,L$9,$D$10:$D$41,4)/4)/1000000</f>
        <v>2.5649999999999999</v>
      </c>
      <c r="M16" s="13">
        <f>(SUMIFS($H$10:$H$41,$E$10:$E$41,M$9,$D$10:$D$41,1)+SUMIFS($H$10:$H$41,$E$10:$E$41,M$9,$D$10:$D$41,2)*3/4+SUMIFS($H$10:$H$41,$E$10:$E$41,M$9,$D$10:$D$41,3)/2+SUMIFS($H$10:$H$41,$E$10:$E$41,M$9,$D$10:$D$41,4)/4)/1000000+SUMIF($E$10:$E$41,"&lt;"&amp;M$9,$H$10:$H$41)/1000000</f>
        <v>6.3937499999999998</v>
      </c>
      <c r="N16" s="13">
        <f t="shared" ref="N16:O16" si="9">(SUMIFS($H$10:$H$41,$E$10:$E$41,N$9,$D$10:$D$41,1)+SUMIFS($H$10:$H$41,$E$10:$E$41,N$9,$D$10:$D$41,2)*3/4+SUMIFS($H$10:$H$41,$E$10:$E$41,N$9,$D$10:$D$41,3)/2+SUMIFS($H$10:$H$41,$E$10:$E$41,N$9,$D$10:$D$41,4)/4)/1000000+SUMIF($E$10:$E$41,"&lt;"&amp;N$9,$H$10:$H$41)/1000000</f>
        <v>8.1300000000000008</v>
      </c>
      <c r="O16" s="13">
        <f t="shared" si="9"/>
        <v>8.5425000000000004</v>
      </c>
      <c r="P16" s="13">
        <f>(SUMIFS($H$10:$H$41,$E$10:$E$41,P$9,$D$10:$D$41,1)+SUMIFS($H$10:$H$41,$E$10:$E$41,P$9,$D$10:$D$41,2)*3/4+SUMIFS($H$10:$H$41,$E$10:$E$41,P$9,$D$10:$D$41,3)/2+SUMIFS($H$10:$H$41,$E$10:$E$41,P$9,$D$10:$D$41,4)/4)/1000000+SUMIF($E$10:$E$41,"&lt;"&amp;P$9,$H$10:$H$41)/1000000</f>
        <v>8.6549999999999994</v>
      </c>
    </row>
    <row r="17" spans="3:16" x14ac:dyDescent="0.2">
      <c r="C17" s="46" t="s">
        <v>55</v>
      </c>
      <c r="D17" s="46">
        <v>1</v>
      </c>
      <c r="E17" s="46">
        <v>2017</v>
      </c>
      <c r="F17" s="47">
        <v>250000</v>
      </c>
      <c r="G17" s="46">
        <f t="shared" si="2"/>
        <v>1.5</v>
      </c>
      <c r="H17" s="47">
        <f t="shared" si="0"/>
        <v>375000</v>
      </c>
      <c r="I17" s="46"/>
      <c r="K17" s="11" t="s">
        <v>69</v>
      </c>
      <c r="L17" s="4">
        <f>D50</f>
        <v>0</v>
      </c>
      <c r="M17" s="4">
        <f t="shared" ref="M17:P17" si="10">E50</f>
        <v>0</v>
      </c>
      <c r="N17" s="4">
        <f t="shared" si="10"/>
        <v>0</v>
      </c>
      <c r="O17" s="4">
        <f t="shared" si="10"/>
        <v>0</v>
      </c>
      <c r="P17" s="4">
        <f t="shared" si="10"/>
        <v>0</v>
      </c>
    </row>
    <row r="18" spans="3:16" x14ac:dyDescent="0.2">
      <c r="C18" s="46" t="s">
        <v>37</v>
      </c>
      <c r="D18" s="46">
        <v>4</v>
      </c>
      <c r="E18" s="46">
        <v>2015</v>
      </c>
      <c r="F18" s="47">
        <v>200000</v>
      </c>
      <c r="G18" s="46">
        <f t="shared" si="2"/>
        <v>1.5</v>
      </c>
      <c r="H18" s="47">
        <f t="shared" si="0"/>
        <v>300000</v>
      </c>
      <c r="I18" s="46"/>
    </row>
    <row r="19" spans="3:16" x14ac:dyDescent="0.2">
      <c r="C19" s="46" t="s">
        <v>53</v>
      </c>
      <c r="D19" s="46">
        <v>4</v>
      </c>
      <c r="E19" s="46">
        <v>2016</v>
      </c>
      <c r="F19" s="47">
        <v>200000</v>
      </c>
      <c r="G19" s="46">
        <f t="shared" si="2"/>
        <v>1.5</v>
      </c>
      <c r="H19" s="47">
        <f t="shared" si="0"/>
        <v>300000</v>
      </c>
      <c r="I19" s="46"/>
    </row>
    <row r="20" spans="3:16" x14ac:dyDescent="0.2">
      <c r="C20" s="46" t="s">
        <v>59</v>
      </c>
      <c r="D20" s="46">
        <v>3</v>
      </c>
      <c r="E20" s="46">
        <v>2017</v>
      </c>
      <c r="F20" s="47">
        <v>200000</v>
      </c>
      <c r="G20" s="46">
        <f t="shared" si="2"/>
        <v>1.5</v>
      </c>
      <c r="H20" s="47">
        <f t="shared" si="0"/>
        <v>300000</v>
      </c>
      <c r="I20" s="46"/>
    </row>
    <row r="21" spans="3:16" x14ac:dyDescent="0.2">
      <c r="C21" s="49" t="s">
        <v>62</v>
      </c>
      <c r="D21" s="49">
        <v>2</v>
      </c>
      <c r="E21" s="49">
        <v>2020</v>
      </c>
      <c r="F21" s="50">
        <v>200000</v>
      </c>
      <c r="G21" s="49">
        <f t="shared" si="2"/>
        <v>1.5</v>
      </c>
      <c r="H21" s="50">
        <f t="shared" si="0"/>
        <v>300000</v>
      </c>
      <c r="I21" s="49"/>
      <c r="K21"/>
      <c r="L21"/>
      <c r="M21"/>
      <c r="N21"/>
      <c r="O21"/>
    </row>
    <row r="22" spans="3:16" x14ac:dyDescent="0.2">
      <c r="C22" s="46" t="s">
        <v>44</v>
      </c>
      <c r="D22" s="46">
        <v>4</v>
      </c>
      <c r="E22" s="46">
        <v>2015</v>
      </c>
      <c r="F22" s="47">
        <v>200000</v>
      </c>
      <c r="G22" s="46">
        <f t="shared" si="2"/>
        <v>1.5</v>
      </c>
      <c r="H22" s="47">
        <f t="shared" si="0"/>
        <v>300000</v>
      </c>
      <c r="I22" s="46"/>
      <c r="K22"/>
      <c r="L22"/>
      <c r="M22"/>
      <c r="N22"/>
      <c r="O22"/>
    </row>
    <row r="23" spans="3:16" x14ac:dyDescent="0.2">
      <c r="C23" s="46" t="s">
        <v>39</v>
      </c>
      <c r="D23" s="46">
        <v>4</v>
      </c>
      <c r="E23" s="46">
        <v>2015</v>
      </c>
      <c r="F23" s="47">
        <v>150000</v>
      </c>
      <c r="G23" s="46">
        <f t="shared" si="2"/>
        <v>1.5</v>
      </c>
      <c r="H23" s="47">
        <f t="shared" si="0"/>
        <v>225000</v>
      </c>
      <c r="I23" s="46"/>
      <c r="K23"/>
      <c r="L23"/>
      <c r="M23"/>
      <c r="N23"/>
      <c r="O23"/>
    </row>
    <row r="24" spans="3:16" x14ac:dyDescent="0.2">
      <c r="C24" s="46" t="s">
        <v>39</v>
      </c>
      <c r="D24" s="46">
        <v>4</v>
      </c>
      <c r="E24" s="46">
        <v>2015</v>
      </c>
      <c r="F24" s="47">
        <v>150000</v>
      </c>
      <c r="G24" s="46">
        <f t="shared" si="2"/>
        <v>1.5</v>
      </c>
      <c r="H24" s="47">
        <f t="shared" si="0"/>
        <v>225000</v>
      </c>
      <c r="I24" s="46"/>
      <c r="K24"/>
      <c r="L24"/>
      <c r="M24"/>
      <c r="N24"/>
      <c r="O24"/>
    </row>
    <row r="25" spans="3:16" x14ac:dyDescent="0.2">
      <c r="C25" s="46" t="s">
        <v>61</v>
      </c>
      <c r="D25" s="46">
        <v>3</v>
      </c>
      <c r="E25" s="46">
        <v>2018</v>
      </c>
      <c r="F25" s="47">
        <v>150000</v>
      </c>
      <c r="G25" s="46">
        <f t="shared" si="2"/>
        <v>1.5</v>
      </c>
      <c r="H25" s="47">
        <f t="shared" si="0"/>
        <v>225000</v>
      </c>
      <c r="I25" s="46"/>
      <c r="K25"/>
      <c r="L25"/>
      <c r="M25"/>
      <c r="N25"/>
      <c r="O25"/>
    </row>
    <row r="26" spans="3:16" x14ac:dyDescent="0.2">
      <c r="C26" s="46" t="s">
        <v>45</v>
      </c>
      <c r="D26" s="46">
        <v>1</v>
      </c>
      <c r="E26" s="46">
        <v>2016</v>
      </c>
      <c r="F26" s="47">
        <v>150000</v>
      </c>
      <c r="G26" s="46">
        <f t="shared" si="2"/>
        <v>1.5</v>
      </c>
      <c r="H26" s="47">
        <f t="shared" si="0"/>
        <v>225000</v>
      </c>
      <c r="I26" s="46"/>
      <c r="K26"/>
      <c r="L26"/>
      <c r="M26"/>
      <c r="N26"/>
      <c r="O26"/>
    </row>
    <row r="27" spans="3:16" x14ac:dyDescent="0.2">
      <c r="C27" s="46" t="s">
        <v>56</v>
      </c>
      <c r="D27" s="46">
        <v>2</v>
      </c>
      <c r="E27" s="46">
        <v>2017</v>
      </c>
      <c r="F27" s="47">
        <v>150000</v>
      </c>
      <c r="G27" s="46">
        <f t="shared" si="2"/>
        <v>1.5</v>
      </c>
      <c r="H27" s="47">
        <f t="shared" si="0"/>
        <v>225000</v>
      </c>
      <c r="I27" s="46"/>
      <c r="K27"/>
      <c r="L27"/>
      <c r="M27"/>
      <c r="N27"/>
      <c r="O27"/>
    </row>
    <row r="28" spans="3:16" x14ac:dyDescent="0.2">
      <c r="C28" s="46" t="s">
        <v>49</v>
      </c>
      <c r="D28" s="46">
        <v>2</v>
      </c>
      <c r="E28" s="46">
        <v>2016</v>
      </c>
      <c r="F28" s="47">
        <v>100000</v>
      </c>
      <c r="G28" s="46">
        <f t="shared" si="2"/>
        <v>1.5</v>
      </c>
      <c r="H28" s="47">
        <f t="shared" si="0"/>
        <v>150000</v>
      </c>
      <c r="I28" s="46"/>
      <c r="K28"/>
      <c r="L28"/>
      <c r="M28"/>
      <c r="N28"/>
      <c r="O28"/>
    </row>
    <row r="29" spans="3:16" x14ac:dyDescent="0.2">
      <c r="C29" s="46" t="s">
        <v>58</v>
      </c>
      <c r="D29" s="46">
        <v>2</v>
      </c>
      <c r="E29" s="46">
        <v>2017</v>
      </c>
      <c r="F29" s="47">
        <v>100000</v>
      </c>
      <c r="G29" s="46">
        <f t="shared" si="2"/>
        <v>1.5</v>
      </c>
      <c r="H29" s="47">
        <f t="shared" si="0"/>
        <v>150000</v>
      </c>
      <c r="I29" s="46"/>
      <c r="K29"/>
      <c r="L29"/>
      <c r="M29"/>
      <c r="N29"/>
      <c r="O29"/>
    </row>
    <row r="30" spans="3:16" x14ac:dyDescent="0.2">
      <c r="C30" s="46" t="s">
        <v>40</v>
      </c>
      <c r="D30" s="46">
        <v>1</v>
      </c>
      <c r="E30" s="46">
        <v>2015</v>
      </c>
      <c r="F30" s="47">
        <v>80000</v>
      </c>
      <c r="G30" s="46">
        <f t="shared" si="2"/>
        <v>1.5</v>
      </c>
      <c r="H30" s="47">
        <f t="shared" si="0"/>
        <v>120000</v>
      </c>
      <c r="I30" s="48" t="s">
        <v>42</v>
      </c>
      <c r="K30"/>
      <c r="L30"/>
      <c r="M30"/>
      <c r="N30"/>
      <c r="O30"/>
    </row>
    <row r="31" spans="3:16" x14ac:dyDescent="0.2">
      <c r="C31" s="46" t="s">
        <v>38</v>
      </c>
      <c r="D31" s="46">
        <v>4</v>
      </c>
      <c r="E31" s="46">
        <v>2015</v>
      </c>
      <c r="F31" s="47">
        <v>80000</v>
      </c>
      <c r="G31" s="46">
        <f t="shared" si="2"/>
        <v>1.5</v>
      </c>
      <c r="H31" s="47">
        <f t="shared" si="0"/>
        <v>120000</v>
      </c>
      <c r="I31" s="46"/>
      <c r="K31"/>
      <c r="L31"/>
      <c r="M31"/>
      <c r="N31"/>
      <c r="O31"/>
    </row>
    <row r="32" spans="3:16" x14ac:dyDescent="0.2">
      <c r="C32" s="46" t="s">
        <v>38</v>
      </c>
      <c r="D32" s="46">
        <v>4</v>
      </c>
      <c r="E32" s="46">
        <v>2015</v>
      </c>
      <c r="F32" s="47">
        <v>80000</v>
      </c>
      <c r="G32" s="46">
        <f t="shared" si="2"/>
        <v>1.5</v>
      </c>
      <c r="H32" s="47">
        <f t="shared" si="0"/>
        <v>120000</v>
      </c>
      <c r="I32" s="46"/>
      <c r="K32"/>
      <c r="L32"/>
      <c r="M32"/>
      <c r="N32"/>
      <c r="O32"/>
    </row>
    <row r="33" spans="3:15" x14ac:dyDescent="0.2">
      <c r="C33" s="46" t="s">
        <v>38</v>
      </c>
      <c r="D33" s="46">
        <v>4</v>
      </c>
      <c r="E33" s="46">
        <v>2015</v>
      </c>
      <c r="F33" s="47">
        <v>80000</v>
      </c>
      <c r="G33" s="46">
        <f t="shared" si="2"/>
        <v>1.5</v>
      </c>
      <c r="H33" s="47">
        <f t="shared" si="0"/>
        <v>120000</v>
      </c>
      <c r="I33" s="46"/>
      <c r="K33"/>
      <c r="L33"/>
      <c r="M33"/>
      <c r="N33"/>
      <c r="O33"/>
    </row>
    <row r="34" spans="3:15" x14ac:dyDescent="0.2">
      <c r="C34" s="46" t="s">
        <v>40</v>
      </c>
      <c r="D34" s="46">
        <v>4</v>
      </c>
      <c r="E34" s="46">
        <v>2015</v>
      </c>
      <c r="F34" s="47">
        <v>80000</v>
      </c>
      <c r="G34" s="46">
        <f t="shared" si="2"/>
        <v>1.5</v>
      </c>
      <c r="H34" s="47">
        <f t="shared" si="0"/>
        <v>120000</v>
      </c>
      <c r="I34" s="46"/>
      <c r="K34"/>
      <c r="L34"/>
      <c r="M34"/>
      <c r="N34"/>
      <c r="O34"/>
    </row>
    <row r="35" spans="3:15" x14ac:dyDescent="0.2">
      <c r="C35" s="46" t="s">
        <v>47</v>
      </c>
      <c r="D35" s="46">
        <v>1</v>
      </c>
      <c r="E35" s="46">
        <v>2016</v>
      </c>
      <c r="F35" s="47">
        <v>80000</v>
      </c>
      <c r="G35" s="46">
        <f t="shared" si="2"/>
        <v>1.5</v>
      </c>
      <c r="H35" s="47">
        <f t="shared" si="0"/>
        <v>120000</v>
      </c>
      <c r="I35" s="46"/>
      <c r="K35"/>
      <c r="L35"/>
      <c r="M35"/>
      <c r="N35"/>
      <c r="O35"/>
    </row>
    <row r="36" spans="3:15" x14ac:dyDescent="0.2">
      <c r="C36" s="46" t="s">
        <v>48</v>
      </c>
      <c r="D36" s="46">
        <v>2</v>
      </c>
      <c r="E36" s="46">
        <v>2016</v>
      </c>
      <c r="F36" s="47">
        <v>80000</v>
      </c>
      <c r="G36" s="46">
        <f t="shared" si="2"/>
        <v>1.5</v>
      </c>
      <c r="H36" s="47">
        <f t="shared" si="0"/>
        <v>120000</v>
      </c>
      <c r="I36" s="46"/>
      <c r="K36"/>
      <c r="L36"/>
      <c r="M36"/>
      <c r="N36"/>
      <c r="O36"/>
    </row>
    <row r="37" spans="3:15" x14ac:dyDescent="0.2">
      <c r="C37" s="46" t="s">
        <v>50</v>
      </c>
      <c r="D37" s="46">
        <v>3</v>
      </c>
      <c r="E37" s="46">
        <v>2016</v>
      </c>
      <c r="F37" s="47">
        <v>80000</v>
      </c>
      <c r="G37" s="46">
        <f t="shared" si="2"/>
        <v>1.5</v>
      </c>
      <c r="H37" s="47">
        <f t="shared" si="0"/>
        <v>120000</v>
      </c>
      <c r="I37" s="46"/>
      <c r="K37"/>
      <c r="L37"/>
      <c r="M37"/>
      <c r="N37"/>
      <c r="O37"/>
    </row>
    <row r="38" spans="3:15" x14ac:dyDescent="0.2">
      <c r="C38" s="46" t="s">
        <v>54</v>
      </c>
      <c r="D38" s="46">
        <v>4</v>
      </c>
      <c r="E38" s="46">
        <v>2016</v>
      </c>
      <c r="F38" s="47">
        <v>80000</v>
      </c>
      <c r="G38" s="46">
        <f t="shared" si="2"/>
        <v>1.5</v>
      </c>
      <c r="H38" s="47">
        <f t="shared" si="0"/>
        <v>120000</v>
      </c>
      <c r="I38" s="46"/>
      <c r="K38"/>
      <c r="L38"/>
      <c r="M38"/>
      <c r="N38"/>
      <c r="O38"/>
    </row>
    <row r="39" spans="3:15" x14ac:dyDescent="0.2">
      <c r="C39" s="46" t="s">
        <v>51</v>
      </c>
      <c r="D39" s="46">
        <v>4</v>
      </c>
      <c r="E39" s="46">
        <v>2016</v>
      </c>
      <c r="F39" s="47">
        <v>50000</v>
      </c>
      <c r="G39" s="46">
        <f t="shared" si="2"/>
        <v>1.5</v>
      </c>
      <c r="H39" s="47">
        <f t="shared" si="0"/>
        <v>75000</v>
      </c>
      <c r="I39" s="46"/>
      <c r="K39"/>
      <c r="L39"/>
      <c r="M39"/>
      <c r="N39"/>
      <c r="O39"/>
    </row>
    <row r="40" spans="3:15" x14ac:dyDescent="0.2">
      <c r="C40" s="46" t="s">
        <v>57</v>
      </c>
      <c r="D40" s="46">
        <v>2</v>
      </c>
      <c r="E40" s="46">
        <v>2017</v>
      </c>
      <c r="F40" s="47">
        <v>50000</v>
      </c>
      <c r="G40" s="46">
        <f t="shared" si="2"/>
        <v>1.5</v>
      </c>
      <c r="H40" s="47">
        <f t="shared" si="0"/>
        <v>75000</v>
      </c>
      <c r="I40" s="46"/>
      <c r="K40"/>
      <c r="L40"/>
      <c r="M40"/>
      <c r="N40"/>
      <c r="O40"/>
    </row>
    <row r="41" spans="3:15" x14ac:dyDescent="0.2">
      <c r="C41" s="46" t="s">
        <v>60</v>
      </c>
      <c r="D41" s="46">
        <v>3</v>
      </c>
      <c r="E41" s="46">
        <v>2017</v>
      </c>
      <c r="F41" s="47">
        <v>50000</v>
      </c>
      <c r="G41" s="46">
        <f t="shared" si="2"/>
        <v>1.5</v>
      </c>
      <c r="H41" s="47">
        <f t="shared" si="0"/>
        <v>75000</v>
      </c>
      <c r="I41" s="46"/>
      <c r="K41"/>
      <c r="L41"/>
      <c r="M41"/>
      <c r="N41"/>
      <c r="O41"/>
    </row>
    <row r="42" spans="3:15" x14ac:dyDescent="0.2">
      <c r="K42"/>
      <c r="L42"/>
      <c r="M42"/>
      <c r="N42"/>
      <c r="O42"/>
    </row>
    <row r="43" spans="3:15" ht="13.5" thickBot="1" x14ac:dyDescent="0.25">
      <c r="C43" s="10" t="s">
        <v>122</v>
      </c>
      <c r="D43" s="10">
        <v>2015</v>
      </c>
      <c r="E43" s="10">
        <v>2016</v>
      </c>
      <c r="F43" s="10">
        <v>2017</v>
      </c>
      <c r="G43" s="10">
        <v>2018</v>
      </c>
      <c r="H43" s="10">
        <v>2019</v>
      </c>
      <c r="K43"/>
      <c r="L43"/>
      <c r="M43"/>
      <c r="N43"/>
      <c r="O43"/>
    </row>
    <row r="44" spans="3:15" x14ac:dyDescent="0.2">
      <c r="C44" s="4" t="s">
        <v>123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K44"/>
      <c r="L44"/>
      <c r="M44"/>
      <c r="N44"/>
      <c r="O44"/>
    </row>
    <row r="45" spans="3:15" x14ac:dyDescent="0.2">
      <c r="C45" s="4" t="s">
        <v>124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K45"/>
      <c r="L45"/>
      <c r="M45"/>
      <c r="N45"/>
      <c r="O45"/>
    </row>
    <row r="46" spans="3:15" x14ac:dyDescent="0.2">
      <c r="C46" s="6" t="s">
        <v>125</v>
      </c>
      <c r="D46" s="6"/>
      <c r="E46" s="6"/>
      <c r="F46" s="6"/>
      <c r="G46" s="6"/>
      <c r="H46" s="6"/>
      <c r="K46"/>
      <c r="L46"/>
      <c r="M46"/>
      <c r="N46"/>
      <c r="O46"/>
    </row>
    <row r="47" spans="3:15" ht="13.5" thickBot="1" x14ac:dyDescent="0.25">
      <c r="C47" s="155" t="s">
        <v>127</v>
      </c>
      <c r="D47" s="155">
        <f>SUM(D44:D46)</f>
        <v>0</v>
      </c>
      <c r="E47" s="155">
        <f t="shared" ref="E47:H47" si="11">SUM(E44:E46)</f>
        <v>0</v>
      </c>
      <c r="F47" s="155">
        <f t="shared" si="11"/>
        <v>0</v>
      </c>
      <c r="G47" s="155">
        <f t="shared" si="11"/>
        <v>0</v>
      </c>
      <c r="H47" s="155">
        <f t="shared" si="11"/>
        <v>0</v>
      </c>
      <c r="K47"/>
      <c r="L47"/>
      <c r="M47"/>
      <c r="N47"/>
      <c r="O47"/>
    </row>
    <row r="48" spans="3:15" ht="13.5" thickTop="1" x14ac:dyDescent="0.2">
      <c r="C48" s="12" t="s">
        <v>126</v>
      </c>
      <c r="D48" s="12"/>
      <c r="E48" s="12"/>
      <c r="F48" s="12"/>
      <c r="G48" s="12"/>
      <c r="H48" s="12"/>
      <c r="I48" s="12"/>
      <c r="K48"/>
      <c r="L48"/>
      <c r="M48"/>
      <c r="N48"/>
      <c r="O48"/>
    </row>
    <row r="49" spans="3:15" ht="3" customHeight="1" x14ac:dyDescent="0.2">
      <c r="C49" s="6"/>
      <c r="D49" s="6"/>
      <c r="E49" s="6"/>
      <c r="F49" s="6"/>
      <c r="G49" s="6"/>
      <c r="H49" s="6"/>
      <c r="I49" s="12"/>
      <c r="K49"/>
      <c r="L49"/>
      <c r="M49"/>
      <c r="N49"/>
      <c r="O49"/>
    </row>
    <row r="50" spans="3:15" x14ac:dyDescent="0.2">
      <c r="C50" s="4" t="s">
        <v>128</v>
      </c>
      <c r="D50" s="4">
        <f>SUM(D48:D49)</f>
        <v>0</v>
      </c>
      <c r="E50" s="4">
        <f t="shared" ref="E50:H50" si="12">SUM(E48:E49)</f>
        <v>0</v>
      </c>
      <c r="F50" s="4">
        <f t="shared" si="12"/>
        <v>0</v>
      </c>
      <c r="G50" s="4">
        <f t="shared" si="12"/>
        <v>0</v>
      </c>
      <c r="H50" s="4">
        <f t="shared" si="12"/>
        <v>0</v>
      </c>
      <c r="K50"/>
      <c r="L50"/>
      <c r="M50"/>
      <c r="N50"/>
      <c r="O50"/>
    </row>
    <row r="51" spans="3:15" x14ac:dyDescent="0.2">
      <c r="K51"/>
      <c r="L51"/>
      <c r="M51"/>
      <c r="N51"/>
      <c r="O51"/>
    </row>
    <row r="52" spans="3:15" ht="15.75" x14ac:dyDescent="0.25">
      <c r="C52" s="170" t="s">
        <v>120</v>
      </c>
      <c r="D52" s="171"/>
      <c r="E52" s="171"/>
      <c r="F52" s="171"/>
      <c r="G52" s="171"/>
      <c r="H52" s="171"/>
      <c r="K52"/>
      <c r="L52"/>
      <c r="M52"/>
      <c r="N52"/>
      <c r="O52"/>
    </row>
    <row r="53" spans="3:15" ht="13.5" thickBot="1" x14ac:dyDescent="0.25">
      <c r="C53" s="10" t="s">
        <v>118</v>
      </c>
      <c r="D53" s="10">
        <v>2015</v>
      </c>
      <c r="E53" s="10">
        <v>2016</v>
      </c>
      <c r="F53" s="10">
        <v>2017</v>
      </c>
      <c r="G53" s="10">
        <v>2018</v>
      </c>
      <c r="H53" s="10">
        <v>2019</v>
      </c>
      <c r="K53"/>
      <c r="L53"/>
      <c r="M53"/>
      <c r="N53"/>
      <c r="O53"/>
    </row>
    <row r="54" spans="3:15" x14ac:dyDescent="0.2">
      <c r="C54" s="46" t="s">
        <v>63</v>
      </c>
      <c r="D54" s="59">
        <v>5</v>
      </c>
      <c r="E54" s="177">
        <f>D54</f>
        <v>5</v>
      </c>
      <c r="F54" s="177">
        <f t="shared" ref="F54:H54" si="13">E54</f>
        <v>5</v>
      </c>
      <c r="G54" s="177">
        <f t="shared" si="13"/>
        <v>5</v>
      </c>
      <c r="H54" s="177">
        <f t="shared" si="13"/>
        <v>5</v>
      </c>
      <c r="I54" s="17" t="s">
        <v>130</v>
      </c>
    </row>
    <row r="55" spans="3:15" x14ac:dyDescent="0.2">
      <c r="C55" s="46" t="s">
        <v>64</v>
      </c>
      <c r="D55" s="59">
        <v>2</v>
      </c>
      <c r="E55" s="177">
        <f t="shared" ref="E55:H57" si="14">D55</f>
        <v>2</v>
      </c>
      <c r="F55" s="177">
        <f t="shared" si="14"/>
        <v>2</v>
      </c>
      <c r="G55" s="177">
        <f t="shared" si="14"/>
        <v>2</v>
      </c>
      <c r="H55" s="177">
        <f t="shared" si="14"/>
        <v>2</v>
      </c>
      <c r="I55" s="17" t="s">
        <v>130</v>
      </c>
    </row>
    <row r="56" spans="3:15" x14ac:dyDescent="0.2">
      <c r="C56" s="46" t="s">
        <v>71</v>
      </c>
      <c r="D56" s="59">
        <v>2</v>
      </c>
      <c r="E56" s="177">
        <f t="shared" si="14"/>
        <v>2</v>
      </c>
      <c r="F56" s="177">
        <f t="shared" si="14"/>
        <v>2</v>
      </c>
      <c r="G56" s="177">
        <f t="shared" si="14"/>
        <v>2</v>
      </c>
      <c r="H56" s="177">
        <f t="shared" si="14"/>
        <v>2</v>
      </c>
      <c r="I56" s="17" t="s">
        <v>130</v>
      </c>
    </row>
    <row r="57" spans="3:15" x14ac:dyDescent="0.2">
      <c r="C57" s="49" t="s">
        <v>65</v>
      </c>
      <c r="D57" s="58">
        <v>5</v>
      </c>
      <c r="E57" s="177">
        <f t="shared" si="14"/>
        <v>5</v>
      </c>
      <c r="F57" s="177">
        <f t="shared" si="14"/>
        <v>5</v>
      </c>
      <c r="G57" s="177">
        <f t="shared" si="14"/>
        <v>5</v>
      </c>
      <c r="H57" s="177">
        <f t="shared" si="14"/>
        <v>5</v>
      </c>
      <c r="I57" s="17" t="s">
        <v>130</v>
      </c>
    </row>
    <row r="59" spans="3:15" ht="13.5" thickBot="1" x14ac:dyDescent="0.25">
      <c r="C59" s="10" t="s">
        <v>119</v>
      </c>
      <c r="D59" s="10">
        <v>2015</v>
      </c>
      <c r="E59" s="10">
        <v>2016</v>
      </c>
      <c r="F59" s="10">
        <v>2017</v>
      </c>
      <c r="G59" s="10">
        <v>2018</v>
      </c>
      <c r="H59" s="10">
        <v>2019</v>
      </c>
    </row>
    <row r="60" spans="3:15" x14ac:dyDescent="0.2">
      <c r="C60" s="46" t="s">
        <v>63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</row>
    <row r="61" spans="3:15" x14ac:dyDescent="0.2">
      <c r="C61" s="46" t="s">
        <v>64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</row>
    <row r="62" spans="3:15" x14ac:dyDescent="0.2">
      <c r="C62" s="46" t="s">
        <v>71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</row>
    <row r="63" spans="3:15" x14ac:dyDescent="0.2">
      <c r="C63" s="82" t="s">
        <v>65</v>
      </c>
      <c r="D63" s="172">
        <v>0</v>
      </c>
      <c r="E63" s="172">
        <v>0</v>
      </c>
      <c r="F63" s="172">
        <v>0</v>
      </c>
      <c r="G63" s="172">
        <v>0</v>
      </c>
      <c r="H63" s="172">
        <v>0</v>
      </c>
    </row>
    <row r="64" spans="3:15" x14ac:dyDescent="0.2">
      <c r="C64" s="49" t="s">
        <v>23</v>
      </c>
      <c r="D64" s="47">
        <f>SUM(D60:D63)</f>
        <v>0</v>
      </c>
      <c r="E64" s="47">
        <f t="shared" ref="E64:H64" si="15">SUM(E60:E63)</f>
        <v>0</v>
      </c>
      <c r="F64" s="47">
        <f t="shared" si="15"/>
        <v>0</v>
      </c>
      <c r="G64" s="47">
        <f t="shared" si="15"/>
        <v>0</v>
      </c>
      <c r="H64" s="47">
        <f t="shared" si="15"/>
        <v>0</v>
      </c>
    </row>
    <row r="66" spans="3:10" ht="13.5" thickBot="1" x14ac:dyDescent="0.25">
      <c r="C66" s="81" t="s">
        <v>162</v>
      </c>
      <c r="D66" s="10">
        <v>2015</v>
      </c>
      <c r="E66" s="10">
        <v>2016</v>
      </c>
      <c r="F66" s="10">
        <v>2017</v>
      </c>
      <c r="G66" s="10">
        <v>2018</v>
      </c>
      <c r="H66" s="10">
        <v>2019</v>
      </c>
    </row>
    <row r="67" spans="3:10" x14ac:dyDescent="0.2">
      <c r="C67" s="49" t="s">
        <v>1</v>
      </c>
      <c r="D67" s="173">
        <v>0</v>
      </c>
      <c r="E67" s="174">
        <v>0</v>
      </c>
      <c r="F67" s="174">
        <v>0</v>
      </c>
      <c r="G67" s="174">
        <v>0</v>
      </c>
      <c r="H67" s="174">
        <v>0</v>
      </c>
      <c r="I67" s="4" t="s">
        <v>164</v>
      </c>
    </row>
    <row r="68" spans="3:10" x14ac:dyDescent="0.2">
      <c r="C68" s="49" t="s">
        <v>2</v>
      </c>
      <c r="D68" s="173">
        <v>0</v>
      </c>
      <c r="E68" s="175">
        <v>0</v>
      </c>
      <c r="F68" s="175">
        <v>0</v>
      </c>
      <c r="G68" s="175">
        <v>0</v>
      </c>
      <c r="H68" s="175">
        <v>0</v>
      </c>
      <c r="I68" s="4" t="s">
        <v>159</v>
      </c>
    </row>
    <row r="69" spans="3:10" x14ac:dyDescent="0.2">
      <c r="C69" s="4" t="s">
        <v>5</v>
      </c>
      <c r="D69" s="173">
        <v>0</v>
      </c>
      <c r="E69" s="175">
        <v>0</v>
      </c>
      <c r="F69" s="175">
        <v>0</v>
      </c>
      <c r="G69" s="175">
        <v>0</v>
      </c>
      <c r="H69" s="175">
        <v>0</v>
      </c>
      <c r="I69" s="4" t="s">
        <v>159</v>
      </c>
    </row>
    <row r="70" spans="3:10" ht="12.75" customHeight="1" x14ac:dyDescent="0.2">
      <c r="C70" s="4" t="s">
        <v>4</v>
      </c>
      <c r="D70" s="173">
        <v>0</v>
      </c>
      <c r="E70" s="175">
        <v>0</v>
      </c>
      <c r="F70" s="175">
        <v>0</v>
      </c>
      <c r="G70" s="175">
        <v>0</v>
      </c>
      <c r="H70" s="175">
        <v>0</v>
      </c>
      <c r="I70" s="4" t="s">
        <v>160</v>
      </c>
    </row>
    <row r="71" spans="3:10" x14ac:dyDescent="0.2">
      <c r="C71" s="4" t="s">
        <v>3</v>
      </c>
      <c r="D71" s="173">
        <v>0</v>
      </c>
      <c r="E71" s="175">
        <v>0</v>
      </c>
      <c r="F71" s="175">
        <v>0</v>
      </c>
      <c r="G71" s="175">
        <v>0</v>
      </c>
      <c r="H71" s="175">
        <v>0</v>
      </c>
      <c r="I71" s="4" t="s">
        <v>160</v>
      </c>
    </row>
    <row r="72" spans="3:10" x14ac:dyDescent="0.2">
      <c r="C72" s="4" t="s">
        <v>6</v>
      </c>
      <c r="D72" s="173">
        <v>0</v>
      </c>
      <c r="E72" s="175">
        <v>0</v>
      </c>
      <c r="F72" s="175">
        <v>0</v>
      </c>
      <c r="G72" s="175">
        <v>0</v>
      </c>
      <c r="H72" s="175">
        <v>0</v>
      </c>
      <c r="I72" s="4" t="s">
        <v>158</v>
      </c>
    </row>
    <row r="73" spans="3:10" x14ac:dyDescent="0.2">
      <c r="C73" s="4" t="s">
        <v>0</v>
      </c>
      <c r="D73" s="173">
        <v>0</v>
      </c>
      <c r="E73" s="175">
        <v>0</v>
      </c>
      <c r="F73" s="175">
        <v>0</v>
      </c>
      <c r="G73" s="175">
        <v>0</v>
      </c>
      <c r="H73" s="175">
        <v>0</v>
      </c>
      <c r="I73" s="4" t="s">
        <v>161</v>
      </c>
    </row>
    <row r="74" spans="3:10" x14ac:dyDescent="0.2">
      <c r="C74" s="11" t="s">
        <v>7</v>
      </c>
      <c r="D74" s="173">
        <v>0</v>
      </c>
      <c r="E74" s="175">
        <v>0</v>
      </c>
      <c r="F74" s="175">
        <v>0</v>
      </c>
      <c r="G74" s="175">
        <v>0</v>
      </c>
      <c r="H74" s="175">
        <v>0</v>
      </c>
      <c r="I74" s="4" t="s">
        <v>161</v>
      </c>
    </row>
    <row r="75" spans="3:10" x14ac:dyDescent="0.2">
      <c r="C75" s="11" t="s">
        <v>10</v>
      </c>
      <c r="D75" s="173">
        <v>0</v>
      </c>
      <c r="E75" s="175">
        <v>0</v>
      </c>
      <c r="F75" s="175">
        <v>0</v>
      </c>
      <c r="G75" s="175">
        <v>0</v>
      </c>
      <c r="H75" s="175">
        <v>0</v>
      </c>
      <c r="I75" s="4" t="s">
        <v>161</v>
      </c>
    </row>
    <row r="76" spans="3:10" x14ac:dyDescent="0.2">
      <c r="C76" s="11" t="s">
        <v>8</v>
      </c>
      <c r="D76" s="173">
        <v>0</v>
      </c>
      <c r="E76" s="175">
        <v>0</v>
      </c>
      <c r="F76" s="175">
        <v>0</v>
      </c>
      <c r="G76" s="175">
        <v>0</v>
      </c>
      <c r="H76" s="175">
        <v>0</v>
      </c>
      <c r="I76" s="4" t="s">
        <v>161</v>
      </c>
    </row>
    <row r="77" spans="3:10" x14ac:dyDescent="0.2">
      <c r="C77" s="20" t="s">
        <v>9</v>
      </c>
      <c r="D77" s="176">
        <v>0</v>
      </c>
      <c r="E77" s="176">
        <v>0</v>
      </c>
      <c r="F77" s="176">
        <v>0</v>
      </c>
      <c r="G77" s="176">
        <v>0</v>
      </c>
      <c r="H77" s="176">
        <v>0</v>
      </c>
      <c r="I77" s="4" t="s">
        <v>161</v>
      </c>
    </row>
    <row r="78" spans="3:10" x14ac:dyDescent="0.2">
      <c r="C78" s="4" t="s">
        <v>23</v>
      </c>
      <c r="D78" s="47">
        <f>SUM(D67:D77)</f>
        <v>0</v>
      </c>
      <c r="E78" s="47">
        <f t="shared" ref="E78:H78" si="16">SUM(E67:E77)</f>
        <v>0</v>
      </c>
      <c r="F78" s="47">
        <f t="shared" si="16"/>
        <v>0</v>
      </c>
      <c r="G78" s="47">
        <f t="shared" si="16"/>
        <v>0</v>
      </c>
      <c r="H78" s="47">
        <f t="shared" si="16"/>
        <v>0</v>
      </c>
    </row>
    <row r="79" spans="3:10" x14ac:dyDescent="0.2">
      <c r="D79"/>
    </row>
    <row r="80" spans="3:10" x14ac:dyDescent="0.2">
      <c r="C80"/>
      <c r="D80"/>
      <c r="E80"/>
      <c r="F80"/>
      <c r="G80"/>
      <c r="H80"/>
      <c r="I80"/>
      <c r="J80"/>
    </row>
    <row r="81" spans="3:10" x14ac:dyDescent="0.2">
      <c r="C81"/>
      <c r="D81"/>
      <c r="E81"/>
      <c r="F81"/>
      <c r="G81"/>
      <c r="H81"/>
      <c r="I81"/>
      <c r="J81"/>
    </row>
    <row r="82" spans="3:10" x14ac:dyDescent="0.2">
      <c r="C82"/>
      <c r="D82"/>
      <c r="E82"/>
      <c r="F82"/>
      <c r="G82"/>
      <c r="H82"/>
      <c r="I82"/>
      <c r="J82"/>
    </row>
    <row r="83" spans="3:10" x14ac:dyDescent="0.2">
      <c r="C83"/>
      <c r="D83"/>
      <c r="E83"/>
      <c r="F83"/>
      <c r="G83"/>
      <c r="H83"/>
      <c r="I83"/>
      <c r="J83"/>
    </row>
    <row r="84" spans="3:10" x14ac:dyDescent="0.2">
      <c r="C84"/>
      <c r="D84"/>
      <c r="E84"/>
      <c r="F84"/>
      <c r="G84"/>
      <c r="H84"/>
      <c r="I84"/>
      <c r="J84"/>
    </row>
    <row r="85" spans="3:10" x14ac:dyDescent="0.2">
      <c r="C85"/>
      <c r="D85"/>
      <c r="E85"/>
      <c r="F85"/>
      <c r="G85"/>
      <c r="H85"/>
      <c r="I85"/>
      <c r="J85"/>
    </row>
    <row r="86" spans="3:10" x14ac:dyDescent="0.2">
      <c r="C86"/>
      <c r="D86"/>
      <c r="E86"/>
      <c r="F86"/>
      <c r="G86"/>
      <c r="H86"/>
      <c r="I86"/>
      <c r="J86"/>
    </row>
  </sheetData>
  <sortState ref="C10:I41">
    <sortCondition descending="1" ref="F10:F41"/>
  </sortState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zoomScale="80" zoomScaleNormal="80" workbookViewId="0">
      <selection activeCell="M7" sqref="M7"/>
    </sheetView>
  </sheetViews>
  <sheetFormatPr defaultRowHeight="12.75" x14ac:dyDescent="0.2"/>
  <cols>
    <col min="1" max="1" width="3.7109375" style="4" customWidth="1"/>
    <col min="2" max="2" width="20.7109375" style="4" customWidth="1"/>
    <col min="3" max="8" width="12.7109375" style="4" customWidth="1"/>
    <col min="9" max="9" width="9.140625" style="4"/>
    <col min="10" max="10" width="20.7109375" style="4" customWidth="1"/>
    <col min="11" max="16" width="12.7109375" style="4" customWidth="1"/>
    <col min="17" max="17" width="9.140625" style="4"/>
    <col min="18" max="18" width="20.7109375" style="4" customWidth="1"/>
    <col min="19" max="24" width="12.7109375" style="4" customWidth="1"/>
    <col min="25" max="16384" width="9.140625" style="4"/>
  </cols>
  <sheetData>
    <row r="1" spans="1:24" x14ac:dyDescent="0.2">
      <c r="A1" s="5"/>
    </row>
    <row r="2" spans="1:24" x14ac:dyDescent="0.2">
      <c r="B2" s="4" t="s">
        <v>188</v>
      </c>
      <c r="J2" s="4" t="s">
        <v>189</v>
      </c>
      <c r="R2" s="4" t="s">
        <v>190</v>
      </c>
    </row>
    <row r="3" spans="1:24" ht="13.5" thickBot="1" x14ac:dyDescent="0.25">
      <c r="C3" s="10">
        <v>2018</v>
      </c>
      <c r="D3" s="10">
        <v>2019</v>
      </c>
      <c r="K3" s="10">
        <v>2018</v>
      </c>
      <c r="L3" s="10">
        <v>2019</v>
      </c>
      <c r="S3" s="10">
        <v>2018</v>
      </c>
      <c r="T3" s="10">
        <v>2019</v>
      </c>
    </row>
    <row r="4" spans="1:24" x14ac:dyDescent="0.2">
      <c r="B4" s="4" t="s">
        <v>86</v>
      </c>
      <c r="C4" s="9">
        <f>SUM('Company-level data'!N$18:N$23)</f>
        <v>83.176054508142485</v>
      </c>
      <c r="D4" s="9">
        <f>SUM('Company-level data'!O$18:O$23)</f>
        <v>113.56036200808001</v>
      </c>
      <c r="J4" s="4" t="s">
        <v>86</v>
      </c>
      <c r="K4" s="9">
        <f>SUM('Company-level data'!$N$34:$N$39)</f>
        <v>62.971160374999997</v>
      </c>
      <c r="L4" s="9">
        <f>SUM('Company-level data'!$O$34:$O$39)</f>
        <v>78.987158395062508</v>
      </c>
      <c r="R4" s="4" t="s">
        <v>86</v>
      </c>
      <c r="S4" s="9">
        <f>SUM('Company-level data'!N$50:N$55)</f>
        <v>46.639190703744305</v>
      </c>
      <c r="T4" s="9">
        <f>SUM('Company-level data'!O$50:O$55)</f>
        <v>48.989339137889147</v>
      </c>
    </row>
    <row r="5" spans="1:24" x14ac:dyDescent="0.2">
      <c r="B5" s="6" t="s">
        <v>87</v>
      </c>
      <c r="C5" s="28">
        <f>'Company-level data'!N13</f>
        <v>37.6</v>
      </c>
      <c r="D5" s="28">
        <f>'Company-level data'!O13</f>
        <v>41.1</v>
      </c>
      <c r="J5" s="6" t="s">
        <v>87</v>
      </c>
      <c r="K5" s="28">
        <f>'Company-level data'!N29</f>
        <v>29</v>
      </c>
      <c r="L5" s="28">
        <f>'Company-level data'!O29</f>
        <v>30</v>
      </c>
      <c r="R5" s="6" t="s">
        <v>87</v>
      </c>
      <c r="S5" s="28">
        <f>'Company-level data'!N45</f>
        <v>20.213226886597486</v>
      </c>
      <c r="T5" s="28">
        <f>'Company-level data'!O45</f>
        <v>19.753987538799606</v>
      </c>
    </row>
    <row r="6" spans="1:24" x14ac:dyDescent="0.2">
      <c r="B6" s="4" t="s">
        <v>23</v>
      </c>
      <c r="C6" s="9">
        <f>SUM(C4:C5)</f>
        <v>120.77605450814249</v>
      </c>
      <c r="D6" s="9">
        <f>SUM(D4:D5)</f>
        <v>154.66036200808</v>
      </c>
      <c r="J6" s="4" t="s">
        <v>23</v>
      </c>
      <c r="K6" s="9">
        <f>SUM(K4:K5)</f>
        <v>91.971160374999997</v>
      </c>
      <c r="L6" s="9">
        <f>SUM(L4:L5)</f>
        <v>108.98715839506251</v>
      </c>
      <c r="R6" s="4" t="s">
        <v>23</v>
      </c>
      <c r="S6" s="9">
        <f>SUM(S4:S5)</f>
        <v>66.852417590341787</v>
      </c>
      <c r="T6" s="9">
        <f>SUM(T4:T5)</f>
        <v>68.743326676688753</v>
      </c>
    </row>
    <row r="7" spans="1:24" x14ac:dyDescent="0.2">
      <c r="C7" s="52" t="b">
        <f>C6='Company-level data'!N12</f>
        <v>1</v>
      </c>
      <c r="D7" s="52" t="b">
        <f>D6='Company-level data'!O12</f>
        <v>1</v>
      </c>
      <c r="K7" s="52" t="b">
        <f>K6='Company-level data'!N28</f>
        <v>1</v>
      </c>
      <c r="L7" s="52" t="b">
        <f>L6='Company-level data'!O28</f>
        <v>1</v>
      </c>
      <c r="S7" s="52" t="b">
        <f>S6='Company-level data'!N44</f>
        <v>1</v>
      </c>
      <c r="T7" s="52" t="b">
        <f>T6='Company-level data'!O44</f>
        <v>1</v>
      </c>
    </row>
    <row r="10" spans="1:24" x14ac:dyDescent="0.2">
      <c r="B10" s="4" t="s">
        <v>89</v>
      </c>
      <c r="D10" s="4" t="s">
        <v>88</v>
      </c>
      <c r="J10" s="4" t="s">
        <v>89</v>
      </c>
      <c r="L10" s="4" t="s">
        <v>88</v>
      </c>
      <c r="R10" s="4" t="s">
        <v>89</v>
      </c>
      <c r="T10" s="4" t="s">
        <v>88</v>
      </c>
    </row>
    <row r="11" spans="1:24" x14ac:dyDescent="0.2">
      <c r="C11" s="18"/>
      <c r="D11" s="193">
        <v>10</v>
      </c>
      <c r="E11" s="193">
        <v>11</v>
      </c>
      <c r="F11" s="193">
        <v>12</v>
      </c>
      <c r="G11" s="193">
        <v>13</v>
      </c>
      <c r="H11" s="193">
        <v>16</v>
      </c>
      <c r="K11" s="18"/>
      <c r="L11" s="193">
        <v>10</v>
      </c>
      <c r="M11" s="193">
        <v>11</v>
      </c>
      <c r="N11" s="193">
        <v>12</v>
      </c>
      <c r="O11" s="193">
        <v>13</v>
      </c>
      <c r="P11" s="193">
        <v>16</v>
      </c>
      <c r="S11" s="18"/>
      <c r="T11" s="193">
        <v>9</v>
      </c>
      <c r="U11" s="193">
        <v>10</v>
      </c>
      <c r="V11" s="193">
        <v>11</v>
      </c>
      <c r="W11" s="193">
        <v>12</v>
      </c>
      <c r="X11" s="193">
        <v>13</v>
      </c>
    </row>
    <row r="12" spans="1:24" x14ac:dyDescent="0.2">
      <c r="B12" s="53" t="s">
        <v>0</v>
      </c>
      <c r="C12" s="192">
        <v>6</v>
      </c>
      <c r="D12" s="18">
        <f t="shared" ref="D12:H16" si="0">($C12*$D$5+D$11*$D$4)/$D$6</f>
        <v>8.9370256356220672</v>
      </c>
      <c r="E12" s="18">
        <f t="shared" si="0"/>
        <v>9.6712820445275813</v>
      </c>
      <c r="F12" s="18">
        <f t="shared" si="0"/>
        <v>10.405538453433099</v>
      </c>
      <c r="G12" s="18">
        <f t="shared" si="0"/>
        <v>11.139794862338617</v>
      </c>
      <c r="H12" s="18">
        <f t="shared" si="0"/>
        <v>13.342564089055164</v>
      </c>
      <c r="J12" s="53" t="s">
        <v>0</v>
      </c>
      <c r="K12" s="192">
        <v>6</v>
      </c>
      <c r="L12" s="18">
        <f>($C12*$L$5+L$11*$L$4)/$L$6</f>
        <v>8.8989528512614537</v>
      </c>
      <c r="M12" s="18">
        <f t="shared" ref="M12:P16" si="1">($C12*$L$5+M$11*$L$4)/$L$6</f>
        <v>9.6236910640768141</v>
      </c>
      <c r="N12" s="18">
        <f t="shared" si="1"/>
        <v>10.348429276892178</v>
      </c>
      <c r="O12" s="18">
        <f t="shared" si="1"/>
        <v>11.073167489707542</v>
      </c>
      <c r="P12" s="18">
        <f t="shared" si="1"/>
        <v>13.247382128153632</v>
      </c>
      <c r="R12" s="53" t="s">
        <v>0</v>
      </c>
      <c r="S12" s="192">
        <v>6</v>
      </c>
      <c r="T12" s="18">
        <f>($C12*$T$5+T$11*$T$4)/$T$6</f>
        <v>8.1379241377840543</v>
      </c>
      <c r="U12" s="18">
        <f t="shared" ref="U12:X16" si="2">($C12*$T$5+U$11*$T$4)/$T$6</f>
        <v>8.8505655170454069</v>
      </c>
      <c r="V12" s="18">
        <f t="shared" si="2"/>
        <v>9.5632068963067578</v>
      </c>
      <c r="W12" s="18">
        <f t="shared" si="2"/>
        <v>10.27584827556811</v>
      </c>
      <c r="X12" s="18">
        <f t="shared" si="2"/>
        <v>10.988489654829461</v>
      </c>
    </row>
    <row r="13" spans="1:24" x14ac:dyDescent="0.2">
      <c r="C13" s="192">
        <v>6.5</v>
      </c>
      <c r="D13" s="18">
        <f t="shared" si="0"/>
        <v>9.0698974311693092</v>
      </c>
      <c r="E13" s="18">
        <f t="shared" si="0"/>
        <v>9.8041538400748252</v>
      </c>
      <c r="F13" s="18">
        <f t="shared" si="0"/>
        <v>10.538410248980341</v>
      </c>
      <c r="G13" s="18">
        <f t="shared" si="0"/>
        <v>11.272666657885859</v>
      </c>
      <c r="H13" s="18">
        <f t="shared" si="0"/>
        <v>13.475435884602408</v>
      </c>
      <c r="K13" s="192">
        <v>6.5</v>
      </c>
      <c r="L13" s="18">
        <f t="shared" ref="L13:L16" si="3">($C13*$L$5+L$11*$L$4)/$L$6</f>
        <v>9.0365837448537718</v>
      </c>
      <c r="M13" s="18">
        <f t="shared" si="1"/>
        <v>9.7613219576691339</v>
      </c>
      <c r="N13" s="18">
        <f t="shared" si="1"/>
        <v>10.486060170484498</v>
      </c>
      <c r="O13" s="18">
        <f t="shared" si="1"/>
        <v>11.210798383299862</v>
      </c>
      <c r="P13" s="18">
        <f t="shared" si="1"/>
        <v>13.38501302174595</v>
      </c>
      <c r="S13" s="192">
        <v>6.5</v>
      </c>
      <c r="T13" s="18">
        <f t="shared" ref="T13:T16" si="4">($C13*$T$5+T$11*$T$4)/$T$6</f>
        <v>8.2816034481533798</v>
      </c>
      <c r="U13" s="18">
        <f t="shared" si="2"/>
        <v>8.9942448274147324</v>
      </c>
      <c r="V13" s="18">
        <f t="shared" si="2"/>
        <v>9.7068862066760833</v>
      </c>
      <c r="W13" s="18">
        <f t="shared" si="2"/>
        <v>10.419527585937436</v>
      </c>
      <c r="X13" s="18">
        <f t="shared" si="2"/>
        <v>11.132168965198787</v>
      </c>
    </row>
    <row r="14" spans="1:24" x14ac:dyDescent="0.2">
      <c r="C14" s="192">
        <v>7</v>
      </c>
      <c r="D14" s="18">
        <f t="shared" si="0"/>
        <v>9.2027692267165495</v>
      </c>
      <c r="E14" s="18">
        <f t="shared" si="0"/>
        <v>9.9370256356220654</v>
      </c>
      <c r="F14" s="18">
        <f t="shared" si="0"/>
        <v>10.671282044527583</v>
      </c>
      <c r="G14" s="18">
        <f t="shared" si="0"/>
        <v>11.405538453433101</v>
      </c>
      <c r="H14" s="18">
        <f t="shared" si="0"/>
        <v>13.608307680149649</v>
      </c>
      <c r="K14" s="192">
        <v>7</v>
      </c>
      <c r="L14" s="18">
        <f t="shared" si="3"/>
        <v>9.1742146384460899</v>
      </c>
      <c r="M14" s="18">
        <f t="shared" si="1"/>
        <v>9.898952851261452</v>
      </c>
      <c r="N14" s="194">
        <f t="shared" si="1"/>
        <v>10.623691064076816</v>
      </c>
      <c r="O14" s="18">
        <f t="shared" si="1"/>
        <v>11.34842927689218</v>
      </c>
      <c r="P14" s="18">
        <f t="shared" si="1"/>
        <v>13.522643915338268</v>
      </c>
      <c r="S14" s="192">
        <v>7</v>
      </c>
      <c r="T14" s="194">
        <f t="shared" si="4"/>
        <v>8.4252827585227035</v>
      </c>
      <c r="U14" s="18">
        <f t="shared" si="2"/>
        <v>9.1379241377840543</v>
      </c>
      <c r="V14" s="18">
        <f t="shared" si="2"/>
        <v>9.8505655170454069</v>
      </c>
      <c r="W14" s="18">
        <f t="shared" si="2"/>
        <v>10.563206896306758</v>
      </c>
      <c r="X14" s="18">
        <f t="shared" si="2"/>
        <v>11.27584827556811</v>
      </c>
    </row>
    <row r="15" spans="1:24" x14ac:dyDescent="0.2">
      <c r="C15" s="192">
        <v>7.5</v>
      </c>
      <c r="D15" s="18">
        <f t="shared" si="0"/>
        <v>9.3356410222637916</v>
      </c>
      <c r="E15" s="18">
        <f t="shared" si="0"/>
        <v>10.069897431169307</v>
      </c>
      <c r="F15" s="18">
        <f t="shared" si="0"/>
        <v>10.804153840074825</v>
      </c>
      <c r="G15" s="18">
        <f t="shared" si="0"/>
        <v>11.538410248980343</v>
      </c>
      <c r="H15" s="18">
        <f t="shared" si="0"/>
        <v>13.741179475696891</v>
      </c>
      <c r="K15" s="192">
        <v>7.5</v>
      </c>
      <c r="L15" s="18">
        <f t="shared" si="3"/>
        <v>9.3118455320384079</v>
      </c>
      <c r="M15" s="18">
        <f t="shared" si="1"/>
        <v>10.03658374485377</v>
      </c>
      <c r="N15" s="18">
        <f t="shared" si="1"/>
        <v>10.761321957669134</v>
      </c>
      <c r="O15" s="18">
        <f t="shared" si="1"/>
        <v>11.486060170484498</v>
      </c>
      <c r="P15" s="18">
        <f t="shared" si="1"/>
        <v>13.660274808930588</v>
      </c>
      <c r="S15" s="192">
        <v>7.5</v>
      </c>
      <c r="T15" s="18">
        <f t="shared" si="4"/>
        <v>8.5689620688920272</v>
      </c>
      <c r="U15" s="18">
        <f t="shared" si="2"/>
        <v>9.281603448153378</v>
      </c>
      <c r="V15" s="18">
        <f t="shared" si="2"/>
        <v>9.9942448274147306</v>
      </c>
      <c r="W15" s="18">
        <f t="shared" si="2"/>
        <v>10.706886206676081</v>
      </c>
      <c r="X15" s="18">
        <f t="shared" si="2"/>
        <v>11.419527585937434</v>
      </c>
    </row>
    <row r="16" spans="1:24" x14ac:dyDescent="0.2">
      <c r="C16" s="192">
        <v>8</v>
      </c>
      <c r="D16" s="18">
        <f t="shared" si="0"/>
        <v>9.4685128178110336</v>
      </c>
      <c r="E16" s="18">
        <f t="shared" si="0"/>
        <v>10.20276922671655</v>
      </c>
      <c r="F16" s="18">
        <f t="shared" si="0"/>
        <v>10.937025635622065</v>
      </c>
      <c r="G16" s="194">
        <f t="shared" si="0"/>
        <v>11.671282044527583</v>
      </c>
      <c r="H16" s="18">
        <f t="shared" si="0"/>
        <v>13.874051271244134</v>
      </c>
      <c r="K16" s="192">
        <v>8</v>
      </c>
      <c r="L16" s="18">
        <f t="shared" si="3"/>
        <v>9.449476425630726</v>
      </c>
      <c r="M16" s="18">
        <f t="shared" si="1"/>
        <v>10.174214638446088</v>
      </c>
      <c r="N16" s="18">
        <f t="shared" si="1"/>
        <v>10.898952851261452</v>
      </c>
      <c r="O16" s="18">
        <f t="shared" si="1"/>
        <v>11.623691064076816</v>
      </c>
      <c r="P16" s="18">
        <f t="shared" si="1"/>
        <v>13.797905702522906</v>
      </c>
      <c r="S16" s="192">
        <v>8</v>
      </c>
      <c r="T16" s="18">
        <f t="shared" si="4"/>
        <v>8.7126413792613508</v>
      </c>
      <c r="U16" s="18">
        <f t="shared" si="2"/>
        <v>9.4252827585227035</v>
      </c>
      <c r="V16" s="18">
        <f t="shared" si="2"/>
        <v>10.137924137784054</v>
      </c>
      <c r="W16" s="18">
        <f t="shared" si="2"/>
        <v>10.850565517045407</v>
      </c>
      <c r="X16" s="18">
        <f t="shared" si="2"/>
        <v>11.563206896306758</v>
      </c>
    </row>
    <row r="17" spans="19:19" x14ac:dyDescent="0.2">
      <c r="S17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7"/>
  <sheetViews>
    <sheetView showGridLines="0" zoomScale="80" zoomScaleNormal="80" workbookViewId="0"/>
  </sheetViews>
  <sheetFormatPr defaultRowHeight="12.75" x14ac:dyDescent="0.2"/>
  <cols>
    <col min="1" max="1" width="3.7109375" style="4" customWidth="1"/>
    <col min="2" max="2" width="2.85546875" style="4" customWidth="1"/>
    <col min="3" max="3" width="39.140625" style="4" customWidth="1"/>
    <col min="4" max="4" width="15.140625" style="4" customWidth="1"/>
    <col min="5" max="5" width="13.85546875" style="4" customWidth="1"/>
    <col min="6" max="6" width="29.28515625" style="4" bestFit="1" customWidth="1"/>
    <col min="7" max="7" width="19.140625" style="4" customWidth="1"/>
    <col min="8" max="8" width="11.42578125" style="4" customWidth="1"/>
    <col min="9" max="9" width="12.140625" style="4" bestFit="1" customWidth="1"/>
    <col min="10" max="10" width="11.85546875" style="4" customWidth="1"/>
    <col min="11" max="11" width="24.7109375" style="4" customWidth="1"/>
    <col min="12" max="12" width="11.28515625" style="4" bestFit="1" customWidth="1"/>
    <col min="13" max="13" width="5.5703125" style="4" bestFit="1" customWidth="1"/>
    <col min="14" max="14" width="6" style="4" bestFit="1" customWidth="1"/>
    <col min="15" max="15" width="5.7109375" style="4" bestFit="1" customWidth="1"/>
    <col min="16" max="16" width="5.28515625" style="4" customWidth="1"/>
    <col min="17" max="18" width="3.7109375" style="4" customWidth="1"/>
    <col min="19" max="19" width="25.5703125" style="4" customWidth="1"/>
    <col min="20" max="20" width="9.140625" style="4"/>
    <col min="21" max="21" width="9.140625" style="4" customWidth="1"/>
    <col min="22" max="16384" width="9.140625" style="4"/>
  </cols>
  <sheetData>
    <row r="1" spans="2:19" s="1" customFormat="1" ht="4.5" customHeight="1" x14ac:dyDescent="0.2"/>
    <row r="2" spans="2:19" s="1" customFormat="1" x14ac:dyDescent="0.2">
      <c r="F2" s="2"/>
      <c r="G2" s="2"/>
      <c r="H2" s="2"/>
    </row>
    <row r="3" spans="2:19" s="1" customFormat="1" x14ac:dyDescent="0.2">
      <c r="F3" s="1" t="s">
        <v>165</v>
      </c>
    </row>
    <row r="4" spans="2:19" s="1" customFormat="1" x14ac:dyDescent="0.2">
      <c r="F4" s="1" t="s">
        <v>206</v>
      </c>
    </row>
    <row r="5" spans="2:19" s="3" customFormat="1" ht="4.5" customHeight="1" x14ac:dyDescent="0.2"/>
    <row r="6" spans="2:19" s="80" customFormat="1" ht="4.5" customHeight="1" x14ac:dyDescent="0.2"/>
    <row r="7" spans="2:19" x14ac:dyDescent="0.2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2:19" x14ac:dyDescent="0.2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2:19" x14ac:dyDescent="0.2">
      <c r="B9"/>
      <c r="C9" s="54" t="s">
        <v>138</v>
      </c>
      <c r="D9" s="12"/>
      <c r="E9" s="12"/>
      <c r="F9" s="12"/>
      <c r="G9" s="156"/>
      <c r="H9" s="12"/>
      <c r="I9"/>
      <c r="J9"/>
      <c r="K9"/>
      <c r="L9"/>
      <c r="M9"/>
      <c r="N9"/>
      <c r="O9"/>
      <c r="P9"/>
      <c r="Q9"/>
      <c r="R9"/>
      <c r="S9"/>
    </row>
    <row r="10" spans="2:19" x14ac:dyDescent="0.2">
      <c r="B10"/>
      <c r="C10" s="178"/>
      <c r="D10" s="179" t="s">
        <v>131</v>
      </c>
      <c r="E10" s="179" t="s">
        <v>15</v>
      </c>
      <c r="F10" s="179" t="s">
        <v>132</v>
      </c>
      <c r="G10" s="180" t="s">
        <v>133</v>
      </c>
      <c r="H10" s="12"/>
      <c r="I10"/>
      <c r="J10"/>
      <c r="K10"/>
      <c r="L10"/>
      <c r="M10"/>
      <c r="N10"/>
      <c r="O10"/>
      <c r="P10"/>
      <c r="Q10"/>
      <c r="R10"/>
      <c r="S10"/>
    </row>
    <row r="11" spans="2:19" x14ac:dyDescent="0.2">
      <c r="B11"/>
      <c r="C11" s="180" t="s">
        <v>134</v>
      </c>
      <c r="D11" s="7">
        <f>'Company-level data'!O13*D17</f>
        <v>41.1</v>
      </c>
      <c r="E11" s="7">
        <v>0</v>
      </c>
      <c r="F11" s="7">
        <f>-'Case A - Stretch'!H52*'Case A - Stretch'!O47</f>
        <v>-1.2364285714285712</v>
      </c>
      <c r="G11" s="181">
        <f>D11+F11+F12+E11</f>
        <v>39.863571428571433</v>
      </c>
      <c r="H11" s="12"/>
      <c r="I11"/>
      <c r="J11"/>
      <c r="K11"/>
      <c r="L11"/>
      <c r="M11"/>
      <c r="N11"/>
      <c r="O11"/>
      <c r="P11"/>
      <c r="Q11"/>
      <c r="R11"/>
      <c r="S11"/>
    </row>
    <row r="12" spans="2:19" x14ac:dyDescent="0.2">
      <c r="B12"/>
      <c r="C12" s="180" t="s">
        <v>135</v>
      </c>
      <c r="D12" s="7">
        <f>'Company-level data'!O13-D11</f>
        <v>0</v>
      </c>
      <c r="E12" s="7">
        <v>0</v>
      </c>
      <c r="F12" s="7">
        <f>D18*F11</f>
        <v>0</v>
      </c>
      <c r="G12" s="181">
        <f>SUM(D11:E12,F11)-G11</f>
        <v>0</v>
      </c>
      <c r="H12" s="12"/>
      <c r="I12"/>
      <c r="J12"/>
      <c r="K12"/>
      <c r="L12"/>
      <c r="M12"/>
      <c r="N12"/>
      <c r="O12"/>
      <c r="P12"/>
      <c r="Q12"/>
      <c r="R12"/>
      <c r="S12"/>
    </row>
    <row r="13" spans="2:19" x14ac:dyDescent="0.2">
      <c r="B13"/>
      <c r="C13" s="180" t="s">
        <v>136</v>
      </c>
      <c r="D13" s="7">
        <f>SUM('Company-level data'!O18:O23)*D17</f>
        <v>113.56036200808001</v>
      </c>
      <c r="E13" s="7">
        <v>10</v>
      </c>
      <c r="F13" s="7">
        <f>SUM('Case A - Stretch'!O52:O57)*'Case A - Stretch'!H52*-1</f>
        <v>-7.4185714285714264</v>
      </c>
      <c r="G13" s="181">
        <f>D13+F13+F14+E13</f>
        <v>116.14179057950858</v>
      </c>
      <c r="H13" s="12"/>
      <c r="I13"/>
      <c r="J13"/>
      <c r="K13"/>
      <c r="L13"/>
      <c r="M13"/>
      <c r="N13"/>
      <c r="O13"/>
      <c r="P13"/>
      <c r="Q13"/>
      <c r="R13"/>
      <c r="S13"/>
    </row>
    <row r="14" spans="2:19" x14ac:dyDescent="0.2">
      <c r="B14"/>
      <c r="C14" s="180" t="s">
        <v>137</v>
      </c>
      <c r="D14" s="7">
        <f>SUM('Company-level data'!O18:O23)-D13</f>
        <v>0</v>
      </c>
      <c r="E14" s="7"/>
      <c r="F14" s="7">
        <f>F13*D18</f>
        <v>0</v>
      </c>
      <c r="G14" s="181">
        <f>SUM(D13:E14,F13)-G13</f>
        <v>0</v>
      </c>
      <c r="H14" s="12"/>
      <c r="I14"/>
      <c r="J14"/>
      <c r="K14"/>
      <c r="L14"/>
      <c r="M14"/>
      <c r="N14"/>
      <c r="O14"/>
      <c r="P14"/>
      <c r="Q14"/>
      <c r="R14"/>
      <c r="S14"/>
    </row>
    <row r="15" spans="2:19" x14ac:dyDescent="0.2">
      <c r="B15"/>
      <c r="C15" s="12"/>
      <c r="D15" s="12"/>
      <c r="E15" s="12"/>
      <c r="F15" s="12"/>
      <c r="G15" s="12"/>
      <c r="H15" s="12"/>
      <c r="I15"/>
      <c r="J15"/>
      <c r="K15"/>
      <c r="L15"/>
      <c r="M15"/>
      <c r="N15"/>
      <c r="O15"/>
      <c r="P15"/>
      <c r="Q15"/>
      <c r="R15"/>
      <c r="S15"/>
    </row>
    <row r="16" spans="2:19" x14ac:dyDescent="0.2">
      <c r="B16"/>
      <c r="C16" s="12"/>
      <c r="D16" s="12"/>
      <c r="E16" s="12"/>
      <c r="F16" s="12"/>
      <c r="G16" s="12"/>
      <c r="H16" s="12"/>
      <c r="I16"/>
      <c r="J16"/>
      <c r="K16"/>
      <c r="L16"/>
      <c r="M16"/>
      <c r="N16"/>
      <c r="O16"/>
      <c r="P16"/>
      <c r="Q16"/>
      <c r="R16"/>
      <c r="S16"/>
    </row>
    <row r="17" spans="2:19" x14ac:dyDescent="0.2">
      <c r="B17"/>
      <c r="C17" s="12" t="s">
        <v>139</v>
      </c>
      <c r="D17" s="25">
        <v>1</v>
      </c>
      <c r="E17" s="12"/>
      <c r="F17" s="12"/>
      <c r="G17" s="12"/>
      <c r="H17" s="12"/>
      <c r="I17"/>
      <c r="J17"/>
      <c r="K17"/>
      <c r="L17"/>
      <c r="M17"/>
      <c r="N17"/>
      <c r="O17"/>
      <c r="P17"/>
      <c r="Q17"/>
      <c r="R17"/>
      <c r="S17"/>
    </row>
    <row r="18" spans="2:19" x14ac:dyDescent="0.2">
      <c r="B18"/>
      <c r="C18" s="12" t="s">
        <v>140</v>
      </c>
      <c r="D18" s="25">
        <v>0</v>
      </c>
      <c r="E18" s="12"/>
      <c r="F18" s="12"/>
      <c r="G18" s="12"/>
      <c r="H18" s="12"/>
      <c r="I18"/>
      <c r="J18"/>
      <c r="K18"/>
      <c r="L18"/>
      <c r="M18"/>
      <c r="N18"/>
      <c r="O18"/>
      <c r="P18"/>
      <c r="Q18"/>
      <c r="R18"/>
      <c r="S18"/>
    </row>
    <row r="19" spans="2:19" x14ac:dyDescent="0.2">
      <c r="B19"/>
      <c r="C19" s="12"/>
      <c r="D19" s="12"/>
      <c r="E19" s="12"/>
      <c r="F19" s="12"/>
      <c r="G19" s="12"/>
      <c r="H19" s="12"/>
      <c r="I19"/>
      <c r="J19"/>
      <c r="K19"/>
      <c r="L19"/>
      <c r="M19"/>
      <c r="N19"/>
      <c r="O19"/>
      <c r="P19"/>
      <c r="Q19"/>
      <c r="R19"/>
      <c r="S19"/>
    </row>
    <row r="20" spans="2:19" x14ac:dyDescent="0.2">
      <c r="B20"/>
      <c r="C20" s="12"/>
      <c r="D20" s="12" t="s">
        <v>12</v>
      </c>
      <c r="E20" s="12" t="s">
        <v>145</v>
      </c>
      <c r="F20" s="12"/>
      <c r="G20" s="12"/>
      <c r="H20" s="12"/>
      <c r="I20"/>
      <c r="J20"/>
      <c r="K20"/>
      <c r="L20"/>
      <c r="M20"/>
      <c r="N20"/>
      <c r="O20"/>
      <c r="P20"/>
      <c r="Q20"/>
      <c r="R20"/>
      <c r="S20"/>
    </row>
    <row r="21" spans="2:19" x14ac:dyDescent="0.2">
      <c r="B21"/>
      <c r="C21" s="12" t="s">
        <v>141</v>
      </c>
      <c r="D21" s="160">
        <v>11</v>
      </c>
      <c r="E21" s="7">
        <f>D21*G13</f>
        <v>1277.5596963745943</v>
      </c>
      <c r="F21" s="12"/>
      <c r="G21" s="12"/>
      <c r="H21" s="12"/>
      <c r="I21"/>
      <c r="J21"/>
      <c r="K21"/>
      <c r="L21"/>
      <c r="M21"/>
      <c r="N21"/>
      <c r="O21"/>
      <c r="P21"/>
      <c r="Q21"/>
      <c r="R21"/>
      <c r="S21"/>
    </row>
    <row r="22" spans="2:19" x14ac:dyDescent="0.2">
      <c r="B22"/>
      <c r="C22" s="12" t="s">
        <v>142</v>
      </c>
      <c r="D22" s="160">
        <v>13</v>
      </c>
      <c r="E22" s="7">
        <f>D22*SUM(G13:G14)</f>
        <v>1509.8432775336116</v>
      </c>
      <c r="F22" s="12"/>
      <c r="G22" s="12"/>
      <c r="H22" s="12"/>
      <c r="I22"/>
      <c r="J22"/>
      <c r="K22"/>
      <c r="L22"/>
      <c r="M22"/>
      <c r="N22"/>
      <c r="O22"/>
      <c r="P22"/>
      <c r="Q22"/>
      <c r="R22"/>
      <c r="S22"/>
    </row>
    <row r="23" spans="2:19" x14ac:dyDescent="0.2">
      <c r="B23"/>
      <c r="C23" s="12" t="s">
        <v>143</v>
      </c>
      <c r="D23" s="160">
        <v>7</v>
      </c>
      <c r="E23" s="7">
        <f>D23*G11</f>
        <v>279.04500000000002</v>
      </c>
      <c r="F23" s="12"/>
      <c r="G23" s="12"/>
      <c r="H23" s="12"/>
      <c r="I23"/>
      <c r="J23"/>
      <c r="K23"/>
      <c r="L23"/>
      <c r="M23"/>
      <c r="N23"/>
      <c r="O23"/>
      <c r="P23"/>
      <c r="Q23"/>
      <c r="R23"/>
      <c r="S23"/>
    </row>
    <row r="24" spans="2:19" x14ac:dyDescent="0.2">
      <c r="B24"/>
      <c r="C24" s="12" t="s">
        <v>144</v>
      </c>
      <c r="D24" s="160">
        <v>8</v>
      </c>
      <c r="E24" s="7">
        <f>D24*SUM(G11:G12)</f>
        <v>318.90857142857146</v>
      </c>
      <c r="F24" s="12"/>
      <c r="G24" s="12"/>
      <c r="H24" s="12"/>
      <c r="I24"/>
      <c r="J24"/>
      <c r="K24"/>
      <c r="L24"/>
      <c r="M24"/>
      <c r="N24"/>
      <c r="O24"/>
      <c r="P24"/>
      <c r="Q24"/>
      <c r="R24"/>
      <c r="S24"/>
    </row>
    <row r="25" spans="2:19" x14ac:dyDescent="0.2">
      <c r="B25"/>
      <c r="C25" s="12" t="s">
        <v>146</v>
      </c>
      <c r="D25" s="160">
        <f>E25/(G11+G13)</f>
        <v>9.977892274587159</v>
      </c>
      <c r="E25" s="7">
        <f>E21+E23</f>
        <v>1556.6046963745944</v>
      </c>
      <c r="F25" s="12"/>
      <c r="G25" s="12"/>
      <c r="H25" s="12"/>
      <c r="I25"/>
      <c r="J25"/>
      <c r="K25"/>
      <c r="L25"/>
      <c r="M25"/>
      <c r="N25"/>
      <c r="O25"/>
      <c r="P25"/>
      <c r="Q25"/>
      <c r="R25"/>
      <c r="S25"/>
    </row>
    <row r="26" spans="2:19" x14ac:dyDescent="0.2">
      <c r="B26"/>
      <c r="C26" s="12" t="s">
        <v>147</v>
      </c>
      <c r="D26" s="160">
        <f>E26/SUM(G11:G14)</f>
        <v>11.722365343233948</v>
      </c>
      <c r="E26" s="7">
        <f>E22+E24</f>
        <v>1828.751848962183</v>
      </c>
      <c r="F26" s="12"/>
      <c r="G26" s="12"/>
      <c r="H26" s="12"/>
      <c r="I26"/>
      <c r="J26"/>
      <c r="K26"/>
      <c r="L26"/>
      <c r="M26"/>
      <c r="N26"/>
      <c r="O26"/>
      <c r="P26"/>
      <c r="Q26"/>
      <c r="R26"/>
      <c r="S26"/>
    </row>
    <row r="27" spans="2:19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2:19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2:19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19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2:19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2:19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2:19" x14ac:dyDescent="0.2">
      <c r="B33"/>
      <c r="C33" s="8" t="s">
        <v>148</v>
      </c>
      <c r="D33" s="12" t="s">
        <v>149</v>
      </c>
      <c r="E33" s="12" t="s">
        <v>150</v>
      </c>
      <c r="F33" s="12" t="s">
        <v>151</v>
      </c>
      <c r="G33" s="12" t="s">
        <v>152</v>
      </c>
      <c r="H33" s="12" t="s">
        <v>153</v>
      </c>
      <c r="I33" s="12" t="s">
        <v>154</v>
      </c>
      <c r="J33"/>
      <c r="K33"/>
      <c r="L33"/>
      <c r="M33"/>
      <c r="N33"/>
      <c r="O33"/>
      <c r="P33"/>
      <c r="Q33"/>
      <c r="R33"/>
      <c r="S33"/>
    </row>
    <row r="34" spans="2:19" x14ac:dyDescent="0.2">
      <c r="B34"/>
      <c r="C34" s="12" t="s">
        <v>1</v>
      </c>
      <c r="D34" s="156">
        <f>'Company-level data'!O18</f>
        <v>46</v>
      </c>
      <c r="E34" s="156">
        <v>40</v>
      </c>
      <c r="F34" s="156">
        <v>10</v>
      </c>
      <c r="G34" s="156">
        <v>11</v>
      </c>
      <c r="H34" s="7">
        <f t="shared" ref="H34:I40" si="0">D34*F34</f>
        <v>460</v>
      </c>
      <c r="I34" s="7">
        <f t="shared" si="0"/>
        <v>440</v>
      </c>
      <c r="J34"/>
      <c r="K34"/>
      <c r="L34"/>
      <c r="M34"/>
      <c r="N34"/>
      <c r="O34"/>
      <c r="P34"/>
      <c r="Q34"/>
      <c r="R34"/>
      <c r="S34"/>
    </row>
    <row r="35" spans="2:19" x14ac:dyDescent="0.2">
      <c r="B35"/>
      <c r="C35" s="12" t="s">
        <v>2</v>
      </c>
      <c r="D35" s="42">
        <f t="shared" ref="D35:D40" si="1">E35*$D$42</f>
        <v>19.499906540400005</v>
      </c>
      <c r="E35" s="156">
        <f>'Company-level data'!O19</f>
        <v>19.499906540400005</v>
      </c>
      <c r="F35" s="156">
        <v>6.5</v>
      </c>
      <c r="G35" s="156">
        <v>7.5</v>
      </c>
      <c r="H35" s="7">
        <f t="shared" si="0"/>
        <v>126.74939251260002</v>
      </c>
      <c r="I35" s="7">
        <f t="shared" si="0"/>
        <v>146.24929905300004</v>
      </c>
      <c r="J35"/>
      <c r="K35"/>
      <c r="L35"/>
      <c r="M35"/>
      <c r="N35"/>
      <c r="O35"/>
      <c r="P35"/>
      <c r="Q35"/>
      <c r="R35"/>
      <c r="S35"/>
    </row>
    <row r="36" spans="2:19" x14ac:dyDescent="0.2">
      <c r="B36"/>
      <c r="C36" s="12" t="s">
        <v>3</v>
      </c>
      <c r="D36" s="42">
        <f t="shared" si="1"/>
        <v>18.384187500000003</v>
      </c>
      <c r="E36" s="156">
        <f>'Company-level data'!O20</f>
        <v>18.384187500000003</v>
      </c>
      <c r="F36" s="156">
        <v>7.5</v>
      </c>
      <c r="G36" s="156">
        <v>8.5</v>
      </c>
      <c r="H36" s="7">
        <f t="shared" si="0"/>
        <v>137.88140625000003</v>
      </c>
      <c r="I36" s="7">
        <f t="shared" si="0"/>
        <v>156.26559375000002</v>
      </c>
      <c r="J36"/>
      <c r="K36"/>
      <c r="L36"/>
      <c r="M36"/>
      <c r="N36"/>
      <c r="O36"/>
      <c r="P36"/>
      <c r="Q36"/>
      <c r="R36"/>
      <c r="S36"/>
    </row>
    <row r="37" spans="2:19" x14ac:dyDescent="0.2">
      <c r="B37"/>
      <c r="C37" s="12" t="s">
        <v>4</v>
      </c>
      <c r="D37" s="42">
        <f t="shared" si="1"/>
        <v>18.36</v>
      </c>
      <c r="E37" s="156">
        <f>'Company-level data'!O21</f>
        <v>18.36</v>
      </c>
      <c r="F37" s="156">
        <v>8</v>
      </c>
      <c r="G37" s="156">
        <v>9</v>
      </c>
      <c r="H37" s="7">
        <f t="shared" si="0"/>
        <v>146.88</v>
      </c>
      <c r="I37" s="7">
        <f t="shared" si="0"/>
        <v>165.24</v>
      </c>
      <c r="J37"/>
      <c r="K37"/>
      <c r="L37"/>
      <c r="M37"/>
      <c r="N37"/>
      <c r="O37"/>
      <c r="P37"/>
      <c r="Q37"/>
      <c r="R37"/>
      <c r="S37"/>
    </row>
    <row r="38" spans="2:19" x14ac:dyDescent="0.2">
      <c r="B38"/>
      <c r="C38" s="12" t="s">
        <v>5</v>
      </c>
      <c r="D38" s="42">
        <f t="shared" si="1"/>
        <v>8.7193215001799835</v>
      </c>
      <c r="E38" s="156">
        <f>'Company-level data'!O22</f>
        <v>8.7193215001799835</v>
      </c>
      <c r="F38" s="156">
        <v>6.5</v>
      </c>
      <c r="G38" s="156">
        <v>7</v>
      </c>
      <c r="H38" s="7">
        <f t="shared" si="0"/>
        <v>56.675589751169895</v>
      </c>
      <c r="I38" s="7">
        <f t="shared" si="0"/>
        <v>61.035250501259881</v>
      </c>
      <c r="J38"/>
      <c r="K38"/>
      <c r="L38"/>
      <c r="M38"/>
      <c r="N38"/>
      <c r="O38"/>
      <c r="P38"/>
      <c r="Q38"/>
      <c r="R38"/>
      <c r="S38"/>
    </row>
    <row r="39" spans="2:19" x14ac:dyDescent="0.2">
      <c r="B39"/>
      <c r="C39" s="12" t="s">
        <v>6</v>
      </c>
      <c r="D39" s="42">
        <f t="shared" si="1"/>
        <v>2.5969464675000005</v>
      </c>
      <c r="E39" s="156">
        <f>'Company-level data'!O23</f>
        <v>2.5969464675000005</v>
      </c>
      <c r="F39" s="156">
        <v>7</v>
      </c>
      <c r="G39" s="156">
        <v>10</v>
      </c>
      <c r="H39" s="7">
        <f t="shared" si="0"/>
        <v>18.178625272500003</v>
      </c>
      <c r="I39" s="7">
        <f t="shared" si="0"/>
        <v>25.969464675000005</v>
      </c>
      <c r="J39"/>
      <c r="K39"/>
      <c r="L39"/>
      <c r="M39"/>
      <c r="N39"/>
      <c r="O39"/>
      <c r="P39"/>
      <c r="Q39"/>
      <c r="R39"/>
      <c r="S39"/>
    </row>
    <row r="40" spans="2:19" x14ac:dyDescent="0.2">
      <c r="B40"/>
      <c r="C40" s="12" t="s">
        <v>0</v>
      </c>
      <c r="D40" s="42">
        <f t="shared" si="1"/>
        <v>41.1</v>
      </c>
      <c r="E40" s="156">
        <f>'Company-level data'!O13</f>
        <v>41.1</v>
      </c>
      <c r="F40" s="156">
        <v>7</v>
      </c>
      <c r="G40" s="156">
        <v>8</v>
      </c>
      <c r="H40" s="7">
        <f t="shared" si="0"/>
        <v>287.7</v>
      </c>
      <c r="I40" s="7">
        <f t="shared" si="0"/>
        <v>328.8</v>
      </c>
      <c r="J40"/>
      <c r="K40"/>
      <c r="L40"/>
      <c r="M40"/>
      <c r="N40"/>
      <c r="O40"/>
      <c r="P40"/>
      <c r="Q40"/>
      <c r="R40"/>
      <c r="S40"/>
    </row>
    <row r="41" spans="2:19" x14ac:dyDescent="0.2">
      <c r="B41"/>
      <c r="C41" s="12"/>
      <c r="D41" s="42">
        <f>SUM(D34:D40)</f>
        <v>154.66036200808</v>
      </c>
      <c r="E41" s="42">
        <f>SUM(E34:E40)</f>
        <v>148.66036200808</v>
      </c>
      <c r="F41" s="12">
        <f>H41/D41</f>
        <v>7.9791938785310617</v>
      </c>
      <c r="G41" s="12">
        <f>I41/E41</f>
        <v>8.9032448872102279</v>
      </c>
      <c r="H41" s="7">
        <f>SUM(H34:H40)</f>
        <v>1234.0650137862699</v>
      </c>
      <c r="I41" s="7">
        <f>SUM(I34:I40)</f>
        <v>1323.5596079792599</v>
      </c>
      <c r="J41"/>
      <c r="K41"/>
      <c r="L41"/>
      <c r="M41"/>
      <c r="N41"/>
      <c r="O41"/>
      <c r="P41"/>
      <c r="Q41"/>
      <c r="R41"/>
      <c r="S41"/>
    </row>
    <row r="42" spans="2:19" x14ac:dyDescent="0.2">
      <c r="B42"/>
      <c r="C42" s="12" t="s">
        <v>139</v>
      </c>
      <c r="D42" s="25">
        <v>1</v>
      </c>
      <c r="E42" s="12"/>
      <c r="F42" s="12"/>
      <c r="G42" s="12"/>
      <c r="H42" s="12"/>
      <c r="I42" s="12"/>
      <c r="J42"/>
      <c r="K42"/>
      <c r="L42"/>
      <c r="M42"/>
      <c r="N42"/>
      <c r="O42"/>
      <c r="P42"/>
      <c r="Q42"/>
      <c r="R42"/>
      <c r="S42"/>
    </row>
    <row r="43" spans="2:19" x14ac:dyDescent="0.2">
      <c r="B43"/>
      <c r="C43" s="12"/>
      <c r="D43" s="12"/>
      <c r="E43" s="12"/>
      <c r="F43" s="12"/>
      <c r="G43" s="12"/>
      <c r="H43" s="12"/>
      <c r="I43" s="12"/>
      <c r="J43"/>
      <c r="K43"/>
      <c r="L43"/>
      <c r="M43"/>
      <c r="N43"/>
      <c r="O43"/>
      <c r="P43"/>
      <c r="Q43"/>
      <c r="R43"/>
      <c r="S43"/>
    </row>
    <row r="44" spans="2:19" x14ac:dyDescent="0.2">
      <c r="B44"/>
      <c r="C44" s="12"/>
      <c r="D44" s="12"/>
      <c r="E44" s="12"/>
      <c r="F44" s="12"/>
      <c r="G44" s="12"/>
      <c r="H44" s="12"/>
      <c r="I44" s="12"/>
      <c r="J44"/>
      <c r="K44"/>
      <c r="L44"/>
      <c r="M44"/>
      <c r="N44"/>
      <c r="O44"/>
      <c r="P44"/>
      <c r="Q44"/>
      <c r="R44"/>
      <c r="S44"/>
    </row>
    <row r="45" spans="2:19" x14ac:dyDescent="0.2">
      <c r="B45"/>
      <c r="C45" s="12"/>
      <c r="E45" s="157" t="str">
        <f t="shared" ref="E45:E52" si="2">TEXT(D34,"##")&amp;"-"&amp;TEXT(E34,"##")</f>
        <v>46-40</v>
      </c>
      <c r="F45" s="157" t="str">
        <f>TEXT(F34,"##.0")&amp;"-"&amp;TEXT(G34,"##.0x")</f>
        <v>10.0-11.0x</v>
      </c>
      <c r="G45" s="157" t="str">
        <f t="shared" ref="G45:G51" si="3">TEXT(H34,"##")&amp;"-"&amp;TEXT(I34,"##")</f>
        <v>460-440</v>
      </c>
      <c r="I45" s="12"/>
      <c r="J45"/>
      <c r="K45"/>
      <c r="L45"/>
      <c r="M45"/>
      <c r="N45"/>
      <c r="O45"/>
      <c r="P45"/>
      <c r="Q45"/>
      <c r="R45"/>
      <c r="S45"/>
    </row>
    <row r="46" spans="2:19" x14ac:dyDescent="0.2">
      <c r="B46"/>
      <c r="C46" s="12"/>
      <c r="E46" s="157" t="str">
        <f t="shared" si="2"/>
        <v>19-19</v>
      </c>
      <c r="F46" s="157" t="str">
        <f t="shared" ref="F46:F52" si="4">TEXT(F35,"##.0")&amp;"-"&amp;TEXT(G35,"##.0x")</f>
        <v>6.5-7.5x</v>
      </c>
      <c r="G46" s="157" t="str">
        <f t="shared" si="3"/>
        <v>127-146</v>
      </c>
      <c r="I46" s="12"/>
      <c r="J46"/>
      <c r="K46"/>
      <c r="L46"/>
      <c r="M46"/>
      <c r="N46"/>
      <c r="O46"/>
      <c r="P46"/>
      <c r="Q46"/>
      <c r="R46"/>
      <c r="S46"/>
    </row>
    <row r="47" spans="2:19" x14ac:dyDescent="0.2">
      <c r="B47"/>
      <c r="C47" s="12"/>
      <c r="E47" s="157" t="str">
        <f t="shared" si="2"/>
        <v>18-18</v>
      </c>
      <c r="F47" s="157" t="str">
        <f t="shared" si="4"/>
        <v>7.5-8.5x</v>
      </c>
      <c r="G47" s="157" t="str">
        <f t="shared" si="3"/>
        <v>138-156</v>
      </c>
      <c r="I47" s="12"/>
      <c r="J47"/>
      <c r="K47"/>
      <c r="L47"/>
      <c r="M47"/>
      <c r="N47"/>
      <c r="O47"/>
      <c r="P47"/>
      <c r="Q47"/>
      <c r="R47"/>
      <c r="S47"/>
    </row>
    <row r="48" spans="2:19" x14ac:dyDescent="0.2">
      <c r="B48"/>
      <c r="C48" s="12"/>
      <c r="E48" s="157" t="str">
        <f t="shared" si="2"/>
        <v>18-18</v>
      </c>
      <c r="F48" s="157" t="str">
        <f t="shared" si="4"/>
        <v>8.0-9.0x</v>
      </c>
      <c r="G48" s="157" t="str">
        <f t="shared" si="3"/>
        <v>147-165</v>
      </c>
      <c r="I48" s="12"/>
      <c r="J48"/>
      <c r="K48"/>
      <c r="L48"/>
      <c r="M48"/>
      <c r="N48"/>
      <c r="O48"/>
      <c r="P48"/>
      <c r="Q48"/>
      <c r="R48"/>
      <c r="S48"/>
    </row>
    <row r="49" spans="2:19" x14ac:dyDescent="0.2">
      <c r="B49"/>
      <c r="C49" s="12"/>
      <c r="E49" s="157" t="str">
        <f t="shared" si="2"/>
        <v>9-9</v>
      </c>
      <c r="F49" s="157" t="str">
        <f t="shared" si="4"/>
        <v>6.5-7.0x</v>
      </c>
      <c r="G49" s="157" t="str">
        <f t="shared" si="3"/>
        <v>57-61</v>
      </c>
      <c r="I49" s="12"/>
      <c r="J49"/>
      <c r="K49"/>
      <c r="L49"/>
      <c r="M49"/>
      <c r="N49"/>
      <c r="O49"/>
      <c r="P49"/>
      <c r="Q49"/>
      <c r="R49"/>
      <c r="S49"/>
    </row>
    <row r="50" spans="2:19" x14ac:dyDescent="0.2">
      <c r="B50"/>
      <c r="C50" s="12"/>
      <c r="E50" s="157" t="str">
        <f t="shared" si="2"/>
        <v>3-3</v>
      </c>
      <c r="F50" s="157" t="str">
        <f t="shared" si="4"/>
        <v>7.0-10.0x</v>
      </c>
      <c r="G50" s="157" t="str">
        <f t="shared" si="3"/>
        <v>18-26</v>
      </c>
      <c r="I50" s="12"/>
      <c r="J50"/>
      <c r="K50"/>
      <c r="L50"/>
      <c r="M50"/>
      <c r="N50"/>
      <c r="O50"/>
      <c r="P50"/>
      <c r="Q50"/>
      <c r="R50"/>
      <c r="S50"/>
    </row>
    <row r="51" spans="2:19" x14ac:dyDescent="0.2">
      <c r="B51"/>
      <c r="C51" s="12"/>
      <c r="E51" s="157" t="str">
        <f t="shared" si="2"/>
        <v>41-41</v>
      </c>
      <c r="F51" s="157" t="str">
        <f t="shared" si="4"/>
        <v>7.0-8.0x</v>
      </c>
      <c r="G51" s="157" t="str">
        <f t="shared" si="3"/>
        <v>288-329</v>
      </c>
      <c r="I51" s="12"/>
      <c r="J51"/>
      <c r="K51"/>
      <c r="L51"/>
      <c r="M51"/>
      <c r="N51"/>
      <c r="O51"/>
      <c r="P51"/>
      <c r="Q51"/>
      <c r="R51"/>
      <c r="S51"/>
    </row>
    <row r="52" spans="2:19" x14ac:dyDescent="0.2">
      <c r="B52"/>
      <c r="C52" s="12"/>
      <c r="D52" s="12"/>
      <c r="E52" s="157" t="str">
        <f t="shared" si="2"/>
        <v>155-149</v>
      </c>
      <c r="F52" s="157" t="str">
        <f t="shared" si="4"/>
        <v>8.0-8.9x</v>
      </c>
      <c r="G52" s="157" t="str">
        <f>TEXT(H41,"#,###")&amp;"-"&amp;TEXT(I41,"#,###")</f>
        <v>1,234-1,324</v>
      </c>
      <c r="H52" s="12"/>
      <c r="I52" s="12"/>
      <c r="J52"/>
      <c r="K52"/>
      <c r="L52"/>
      <c r="M52"/>
      <c r="N52"/>
      <c r="O52"/>
      <c r="P52"/>
      <c r="Q52"/>
      <c r="R52"/>
      <c r="S52"/>
    </row>
    <row r="53" spans="2:19" x14ac:dyDescent="0.2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2:19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2:19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2:19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2:19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2:19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2:19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2:19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2:19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2:19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2:19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2:19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2:19" x14ac:dyDescent="0.2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2:19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2:19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2:19" x14ac:dyDescent="0.2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2:19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2:19" ht="12.75" customHeight="1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2:19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2:19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2:19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2:19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2:19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2:19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2:19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2:19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2:19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2:19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2:19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2:19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2:19" x14ac:dyDescent="0.2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2:19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2:19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2:19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2:19" x14ac:dyDescent="0.2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2:19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2:19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2:19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2:19" x14ac:dyDescent="0.2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2:19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2:19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2:19" x14ac:dyDescent="0.2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2:19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2:19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2:19" x14ac:dyDescent="0.2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</sheetData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1"/>
  <sheetViews>
    <sheetView showGridLines="0" workbookViewId="0"/>
  </sheetViews>
  <sheetFormatPr defaultRowHeight="12.75" x14ac:dyDescent="0.2"/>
  <sheetData>
    <row r="4" spans="2:7" ht="18" x14ac:dyDescent="0.2">
      <c r="B4" s="151" t="s">
        <v>167</v>
      </c>
      <c r="C4" s="152"/>
      <c r="D4" s="152"/>
      <c r="E4" s="152"/>
      <c r="F4" s="152"/>
      <c r="G4" s="152"/>
    </row>
    <row r="5" spans="2:7" ht="13.5" thickBot="1" x14ac:dyDescent="0.25">
      <c r="B5" s="77"/>
      <c r="C5" s="149">
        <f>'Case A - Stretch'!T10</f>
        <v>2019</v>
      </c>
      <c r="D5" s="77" t="s">
        <v>15</v>
      </c>
      <c r="E5" s="77" t="s">
        <v>73</v>
      </c>
      <c r="F5" s="78" t="s">
        <v>115</v>
      </c>
      <c r="G5" s="76"/>
    </row>
    <row r="6" spans="2:7" ht="13.5" thickBot="1" x14ac:dyDescent="0.25">
      <c r="B6" s="14" t="s">
        <v>72</v>
      </c>
      <c r="C6" s="16" t="e">
        <f>SUM(C8:C13)</f>
        <v>#N/A</v>
      </c>
      <c r="D6" s="39">
        <f>HLOOKUP('Case A - Stretch'!$T$10,'Case A - Stretch'!$D$18:$H$19,2,FALSE)*'Case A - Stretch'!$G$15</f>
        <v>5</v>
      </c>
      <c r="E6" s="39">
        <f>HLOOKUP($C$5,'Case A - Stretch'!$D$51:$H$54,MATCH("Center - no Hybrid",'Case A - Stretch'!$C$51:$C$54,0))</f>
        <v>8.6549999999999994</v>
      </c>
      <c r="F6" s="34" t="e">
        <f>C6-('Case A - Stretch'!AA11-'Case A - Stretch'!AA13)</f>
        <v>#N/A</v>
      </c>
      <c r="G6" s="4"/>
    </row>
    <row r="7" spans="2:7" ht="13.5" thickTop="1" x14ac:dyDescent="0.2">
      <c r="B7" s="23" t="s">
        <v>74</v>
      </c>
      <c r="C7" s="12"/>
      <c r="D7" s="12"/>
      <c r="E7" s="12"/>
      <c r="F7" s="150"/>
      <c r="G7" s="4"/>
    </row>
    <row r="8" spans="2:7" x14ac:dyDescent="0.2">
      <c r="B8" s="19" t="s">
        <v>1</v>
      </c>
      <c r="C8" s="7" t="e">
        <f>$C$14*(HLOOKUP(C$5,$C$23:$G$24,2,FALSE)-INDEX($C$25:$G$35,MATCH("Hybrid",$B$25:$B$35,0),MATCH($C$5,$C$23:$G$23,0)))*INDEX('Case A - Stretch'!$K$32:$O$42,MATCH($B8,'Case A - Stretch'!$J$32:$J$42,0),MATCH('Case A - Stretch'!$K$12,'Case A - Stretch'!$K$30:$O$30,0))/(1-INDEX('Case A - Stretch'!$K$32:$O$42,MATCH("Hybrid",'Case A - Stretch'!$J$32:$J$42,0),MATCH('Case A - Stretch'!$K$12,'Case A - Stretch'!$K$30:$O$30,0)))</f>
        <v>#N/A</v>
      </c>
      <c r="D8" s="61">
        <f>INDEX('Case A - Stretch'!$D$20:$H$42,MATCH($B8,'Case A - Stretch'!$C$20:$C$42,0),MATCH($C$5,'Case A - Stretch'!$D$18:$H$18,0))*'Case A - Stretch'!$G$15</f>
        <v>1.5</v>
      </c>
      <c r="E8" s="42">
        <f>INDEX('Case A - Stretch'!$K$47:$O$57,MATCH($B8,'Case A - Stretch'!$J$47:$J$57,0),MATCH($C$5,'Case A - Stretch'!$D$51:$H$51,0))*E$6/(1-INDEX('Case A - Stretch'!$K$47:$O$57,MATCH("Hybrid",'Case A - Stretch'!$J$47:$J$57,0),MATCH($C$5,'Case A - Stretch'!$D$51:$H$51,0)))</f>
        <v>1.4424999999999997</v>
      </c>
      <c r="F8" s="32" t="e">
        <f>C8-'Case A - Stretch'!AA18</f>
        <v>#N/A</v>
      </c>
      <c r="G8" s="4"/>
    </row>
    <row r="9" spans="2:7" x14ac:dyDescent="0.2">
      <c r="B9" s="19" t="s">
        <v>2</v>
      </c>
      <c r="C9" s="7" t="e">
        <f>$C$14*(HLOOKUP(C$5,$C$23:$G$24,2,FALSE)-INDEX($C$25:$G$35,MATCH("Hybrid",$B$25:$B$35,0),MATCH($C$5,$C$23:$G$23,0)))*INDEX('Case A - Stretch'!$K$32:$O$42,MATCH($B9,'Case A - Stretch'!$J$32:$J$42,0),MATCH('Case A - Stretch'!$K$12,'Case A - Stretch'!$K$30:$O$30,0))/(1-INDEX('Case A - Stretch'!$K$32:$O$42,MATCH("Hybrid",'Case A - Stretch'!$J$32:$J$42,0),MATCH('Case A - Stretch'!$K$12,'Case A - Stretch'!$K$30:$O$30,0)))</f>
        <v>#N/A</v>
      </c>
      <c r="D9" s="61">
        <f>INDEX('Case A - Stretch'!$D$20:$H$42,MATCH($B9,'Case A - Stretch'!$C$20:$C$42,0),MATCH($C$5,'Case A - Stretch'!$D$18:$H$18,0))*'Case A - Stretch'!$G$15</f>
        <v>1.3962825175383076</v>
      </c>
      <c r="E9" s="42">
        <f>INDEX('Case A - Stretch'!$K$47:$O$57,MATCH($B9,'Case A - Stretch'!$J$47:$J$57,0),MATCH($C$5,'Case A - Stretch'!$D$51:$H$51,0))*E$6/(1-INDEX('Case A - Stretch'!$K$47:$O$57,MATCH("Hybrid",'Case A - Stretch'!$J$47:$J$57,0),MATCH($C$5,'Case A - Stretch'!$D$51:$H$51,0)))</f>
        <v>1.4424999999999997</v>
      </c>
      <c r="F9" s="32" t="e">
        <f>C9-'Case A - Stretch'!AA19</f>
        <v>#N/A</v>
      </c>
      <c r="G9" s="4"/>
    </row>
    <row r="10" spans="2:7" x14ac:dyDescent="0.2">
      <c r="B10" s="19" t="s">
        <v>3</v>
      </c>
      <c r="C10" s="7" t="e">
        <f>$C$14*(HLOOKUP(C$5,$C$23:$G$24,2,FALSE)-INDEX($C$25:$G$35,MATCH("Hybrid",$B$25:$B$35,0),MATCH($C$5,$C$23:$G$23,0)))*INDEX('Case A - Stretch'!$K$32:$O$42,MATCH($B10,'Case A - Stretch'!$J$32:$J$42,0),MATCH('Case A - Stretch'!$K$12,'Case A - Stretch'!$K$30:$O$30,0))/(1-INDEX('Case A - Stretch'!$K$32:$O$42,MATCH("Hybrid",'Case A - Stretch'!$J$32:$J$42,0),MATCH('Case A - Stretch'!$K$12,'Case A - Stretch'!$K$30:$O$30,0)))</f>
        <v>#N/A</v>
      </c>
      <c r="D10" s="61">
        <f>INDEX('Case A - Stretch'!$D$20:$H$42,MATCH($B10,'Case A - Stretch'!$C$20:$C$42,0),MATCH($C$5,'Case A - Stretch'!$D$18:$H$18,0))*'Case A - Stretch'!$G$15</f>
        <v>0.74404761260462327</v>
      </c>
      <c r="E10" s="42">
        <f>INDEX('Case A - Stretch'!$K$47:$O$57,MATCH($B10,'Case A - Stretch'!$J$47:$J$57,0),MATCH($C$5,'Case A - Stretch'!$D$51:$H$51,0))*E$6/(1-INDEX('Case A - Stretch'!$K$47:$O$57,MATCH("Hybrid",'Case A - Stretch'!$J$47:$J$57,0),MATCH($C$5,'Case A - Stretch'!$D$51:$H$51,0)))</f>
        <v>1.4424999999999997</v>
      </c>
      <c r="F10" s="32" t="e">
        <f>C10-'Case A - Stretch'!AA20</f>
        <v>#N/A</v>
      </c>
      <c r="G10" s="4"/>
    </row>
    <row r="11" spans="2:7" x14ac:dyDescent="0.2">
      <c r="B11" s="19" t="s">
        <v>4</v>
      </c>
      <c r="C11" s="7" t="e">
        <f>$C$14*(HLOOKUP(C$5,$C$23:$G$24,2,FALSE)-INDEX($C$25:$G$35,MATCH("Hybrid",$B$25:$B$35,0),MATCH($C$5,$C$23:$G$23,0)))*INDEX('Case A - Stretch'!$K$32:$O$42,MATCH($B11,'Case A - Stretch'!$J$32:$J$42,0),MATCH('Case A - Stretch'!$K$12,'Case A - Stretch'!$K$30:$O$30,0))/(1-INDEX('Case A - Stretch'!$K$32:$O$42,MATCH("Hybrid",'Case A - Stretch'!$J$32:$J$42,0),MATCH('Case A - Stretch'!$K$12,'Case A - Stretch'!$K$30:$O$30,0)))</f>
        <v>#N/A</v>
      </c>
      <c r="D11" s="61">
        <f>INDEX('Case A - Stretch'!$D$20:$H$42,MATCH($B11,'Case A - Stretch'!$C$20:$C$42,0),MATCH($C$5,'Case A - Stretch'!$D$18:$H$18,0))*'Case A - Stretch'!$G$15</f>
        <v>0.71210749693334796</v>
      </c>
      <c r="E11" s="42">
        <f>INDEX('Case A - Stretch'!$K$47:$O$57,MATCH($B11,'Case A - Stretch'!$J$47:$J$57,0),MATCH($C$5,'Case A - Stretch'!$D$51:$H$51,0))*E$6/(1-INDEX('Case A - Stretch'!$K$47:$O$57,MATCH("Hybrid",'Case A - Stretch'!$J$47:$J$57,0),MATCH($C$5,'Case A - Stretch'!$D$51:$H$51,0)))</f>
        <v>1.4424999999999997</v>
      </c>
      <c r="F11" s="32" t="e">
        <f>C11-'Case A - Stretch'!AA21</f>
        <v>#N/A</v>
      </c>
      <c r="G11" s="4"/>
    </row>
    <row r="12" spans="2:7" x14ac:dyDescent="0.2">
      <c r="B12" s="19" t="s">
        <v>5</v>
      </c>
      <c r="C12" s="7" t="e">
        <f>$C$14*(HLOOKUP(C$5,$C$23:$G$24,2,FALSE)-INDEX($C$25:$G$35,MATCH("Hybrid",$B$25:$B$35,0),MATCH($C$5,$C$23:$G$23,0)))*INDEX('Case A - Stretch'!$K$32:$O$42,MATCH($B12,'Case A - Stretch'!$J$32:$J$42,0),MATCH('Case A - Stretch'!$K$12,'Case A - Stretch'!$K$30:$O$30,0))/(1-INDEX('Case A - Stretch'!$K$32:$O$42,MATCH("Hybrid",'Case A - Stretch'!$J$32:$J$42,0),MATCH('Case A - Stretch'!$K$12,'Case A - Stretch'!$K$30:$O$30,0)))</f>
        <v>#N/A</v>
      </c>
      <c r="D12" s="61">
        <f>INDEX('Case A - Stretch'!$D$20:$H$42,MATCH($B12,'Case A - Stretch'!$C$20:$C$42,0),MATCH($C$5,'Case A - Stretch'!$D$18:$H$18,0))*'Case A - Stretch'!$G$15</f>
        <v>0.40582315087910409</v>
      </c>
      <c r="E12" s="42">
        <f>INDEX('Case A - Stretch'!$K$47:$O$57,MATCH($B12,'Case A - Stretch'!$J$47:$J$57,0),MATCH($C$5,'Case A - Stretch'!$D$51:$H$51,0))*E$6/(1-INDEX('Case A - Stretch'!$K$47:$O$57,MATCH("Hybrid",'Case A - Stretch'!$J$47:$J$57,0),MATCH($C$5,'Case A - Stretch'!$D$51:$H$51,0)))</f>
        <v>1.4424999999999997</v>
      </c>
      <c r="F12" s="32" t="e">
        <f>C12-'Case A - Stretch'!AA22</f>
        <v>#N/A</v>
      </c>
      <c r="G12" s="4"/>
    </row>
    <row r="13" spans="2:7" x14ac:dyDescent="0.2">
      <c r="B13" s="20" t="s">
        <v>6</v>
      </c>
      <c r="C13" s="15" t="e">
        <f>$C$14*(HLOOKUP(C$5,$C$23:$G$24,2,FALSE)-INDEX($C$25:$G$35,MATCH("Hybrid",$B$25:$B$35,0),MATCH($C$5,$C$23:$G$23,0)))*INDEX('Case A - Stretch'!$K$32:$O$42,MATCH($B13,'Case A - Stretch'!$J$32:$J$42,0),MATCH('Case A - Stretch'!$K$12,'Case A - Stretch'!$K$30:$O$30,0))/(1-INDEX('Case A - Stretch'!$K$32:$O$42,MATCH("Hybrid",'Case A - Stretch'!$J$32:$J$42,0),MATCH('Case A - Stretch'!$K$12,'Case A - Stretch'!$K$30:$O$30,0)))</f>
        <v>#N/A</v>
      </c>
      <c r="D13" s="62">
        <f>INDEX('Case A - Stretch'!$D$20:$H$42,MATCH($B13,'Case A - Stretch'!$C$20:$C$42,0),MATCH($C$5,'Case A - Stretch'!$D$18:$H$18,0))*'Case A - Stretch'!$G$15</f>
        <v>0.2417392220446177</v>
      </c>
      <c r="E13" s="26">
        <f>INDEX('Case A - Stretch'!$K$47:$O$57,MATCH($B13,'Case A - Stretch'!$J$47:$J$57,0),MATCH($C$5,'Case A - Stretch'!$D$51:$H$51,0))*E$6/(1-INDEX('Case A - Stretch'!$K$47:$O$57,MATCH("Hybrid",'Case A - Stretch'!$J$47:$J$57,0),MATCH($C$5,'Case A - Stretch'!$D$51:$H$51,0)))</f>
        <v>1.4424999999999997</v>
      </c>
      <c r="F13" s="33" t="e">
        <f>C13-'Case A - Stretch'!AA23</f>
        <v>#N/A</v>
      </c>
      <c r="G13" s="4"/>
    </row>
    <row r="14" spans="2:7" x14ac:dyDescent="0.2">
      <c r="B14" s="23" t="s">
        <v>110</v>
      </c>
      <c r="C14" s="40" t="e">
        <f>INDEX('Case A - Stretch'!$K$16:$O$17,MATCH($B$14,'Case A - Stretch'!$J$16:$J$17,0),MATCH(C$5,'Case A - Stretch'!$K$16:$O$16,0))</f>
        <v>#N/A</v>
      </c>
      <c r="D14" s="55"/>
      <c r="E14" s="55"/>
      <c r="F14" s="4"/>
      <c r="G14" s="12"/>
    </row>
    <row r="15" spans="2:7" x14ac:dyDescent="0.2">
      <c r="B15" s="23" t="s">
        <v>28</v>
      </c>
      <c r="C15" s="23" t="e">
        <f>(C14*(HLOOKUP('Case A - Stretch'!T$10,$C$23:$G$24,2,FALSE)-INDEX($C$25:$G$35,MATCH("Hybrid",$B$25:$B$35,0),MATCH($C$5,$C$23:$G$23,0))))=C6</f>
        <v>#N/A</v>
      </c>
      <c r="D15" s="23" t="b">
        <f>SUM(D8:D13)=D6</f>
        <v>1</v>
      </c>
      <c r="E15" s="23" t="b">
        <f>SUM(E8:E13)=E6</f>
        <v>1</v>
      </c>
      <c r="F15" s="36"/>
      <c r="G15" s="12"/>
    </row>
    <row r="16" spans="2:7" x14ac:dyDescent="0.2">
      <c r="B16" s="23" t="s">
        <v>113</v>
      </c>
      <c r="C16" s="12"/>
      <c r="D16" s="12"/>
      <c r="E16" s="12"/>
      <c r="F16" s="12"/>
      <c r="G16" s="12"/>
    </row>
    <row r="17" spans="2:7" x14ac:dyDescent="0.2">
      <c r="B17" s="12"/>
      <c r="C17" s="12"/>
      <c r="D17" s="12"/>
      <c r="E17" s="12"/>
      <c r="F17" s="12"/>
      <c r="G17" s="12"/>
    </row>
    <row r="18" spans="2:7" x14ac:dyDescent="0.2">
      <c r="B18" s="12"/>
      <c r="C18" s="12"/>
      <c r="D18" s="12"/>
      <c r="E18" s="12"/>
      <c r="F18" s="12"/>
      <c r="G18" s="12"/>
    </row>
    <row r="19" spans="2:7" x14ac:dyDescent="0.2">
      <c r="B19" s="12" t="s">
        <v>129</v>
      </c>
      <c r="C19" s="12">
        <f>'Company-level data'!O13*'Case A - Stretch'!O18</f>
        <v>287.7</v>
      </c>
      <c r="D19" s="12"/>
      <c r="E19" s="12"/>
      <c r="F19" s="12"/>
      <c r="G19" s="12"/>
    </row>
    <row r="20" spans="2:7" x14ac:dyDescent="0.2">
      <c r="B20" s="12" t="s">
        <v>23</v>
      </c>
      <c r="C20" s="22" t="e">
        <f>C19+C6</f>
        <v>#N/A</v>
      </c>
      <c r="D20" s="12"/>
      <c r="E20" s="12"/>
      <c r="F20" s="12"/>
      <c r="G20" s="12"/>
    </row>
    <row r="21" spans="2:7" x14ac:dyDescent="0.2">
      <c r="B21" s="12"/>
      <c r="C21" s="12"/>
      <c r="D21" s="12"/>
      <c r="E21" s="12"/>
      <c r="F21" s="12"/>
      <c r="G21" s="12"/>
    </row>
    <row r="22" spans="2:7" x14ac:dyDescent="0.2">
      <c r="B22" s="12"/>
      <c r="C22" s="12"/>
      <c r="D22" s="12"/>
      <c r="E22" s="12"/>
      <c r="F22" s="12"/>
      <c r="G22" s="12"/>
    </row>
    <row r="23" spans="2:7" ht="13.5" thickBot="1" x14ac:dyDescent="0.25">
      <c r="B23" s="10" t="s">
        <v>90</v>
      </c>
      <c r="C23" s="10">
        <v>2015</v>
      </c>
      <c r="D23" s="10">
        <v>2016</v>
      </c>
      <c r="E23" s="10">
        <v>2017</v>
      </c>
      <c r="F23" s="10">
        <v>2018</v>
      </c>
      <c r="G23" s="10">
        <v>2019</v>
      </c>
    </row>
    <row r="24" spans="2:7" ht="13.5" thickBot="1" x14ac:dyDescent="0.25">
      <c r="B24" s="14" t="s">
        <v>23</v>
      </c>
      <c r="C24" s="21">
        <f>C25+C30+C31+C32+C33+C34+C35</f>
        <v>53.299260988748053</v>
      </c>
      <c r="D24" s="21">
        <f>D25+D30+D31+D32+D33+D34+D35</f>
        <v>65.940511377960831</v>
      </c>
      <c r="E24" s="21">
        <f>E25+E30+E31+E32+E33+E34+E35</f>
        <v>88.229736872877652</v>
      </c>
      <c r="F24" s="21">
        <f>F25+F30+F31+F32+F33+F34+F35</f>
        <v>116.73355450814249</v>
      </c>
      <c r="G24" s="21">
        <f>G25+G30+G31+G32+G33+G34+G35</f>
        <v>151.00536200808</v>
      </c>
    </row>
    <row r="25" spans="2:7" ht="13.5" thickTop="1" x14ac:dyDescent="0.2">
      <c r="B25" s="12" t="s">
        <v>0</v>
      </c>
      <c r="C25" s="7">
        <f>INDEX('Company-level data'!$K$12:$O$23,MATCH($B25,'Company-level data'!$J$12:$J$23,0),MATCH(C$23,'Company-level data'!$K$11:$O$11,0))+INDEX('Case A - Stretch'!$D$20:$H$42,MATCH($B25,'Case A - Stretch'!$C$20:$C$42,0),MATCH(C$23,'Case A - Stretch'!$D$18:$H$18,0))*'Case A - Stretch'!$G$15-INDEX('Case A - Stretch'!$K$47:$O$57,MATCH($B25,'Case A - Stretch'!$J$47:$J$57,0),MATCH(C$23,'Case A - Stretch'!$D$51:$H$51,0))*INDEX('Case A - Stretch'!$D$52:$H$54,MATCH("center - baseline",'Case A - Stretch'!$C$52:$C$54,0),MATCH(C$23,'Case A - Stretch'!$D$51:$H$51,0))</f>
        <v>24.078916485398828</v>
      </c>
      <c r="D25" s="7">
        <f>INDEX('Company-level data'!$K$12:$O$23,MATCH($B25,'Company-level data'!$J$12:$J$23,0),MATCH(D$23,'Company-level data'!$K$11:$O$11,0))+INDEX('Case A - Stretch'!$D$20:$H$42,MATCH($B25,'Case A - Stretch'!$C$20:$C$42,0),MATCH(D$23,'Case A - Stretch'!$D$18:$H$18,0))*'Case A - Stretch'!$G$15-INDEX('Case A - Stretch'!$K$47:$O$57,MATCH($B25,'Case A - Stretch'!$J$47:$J$57,0),MATCH(D$23,'Case A - Stretch'!$D$51:$H$51,0))*INDEX('Case A - Stretch'!$D$52:$H$54,MATCH("center - baseline",'Case A - Stretch'!$C$52:$C$54,0),MATCH(D$23,'Case A - Stretch'!$D$51:$H$51,0))</f>
        <v>27.186607142857142</v>
      </c>
      <c r="E25" s="7">
        <f>INDEX('Company-level data'!$K$12:$O$23,MATCH($B25,'Company-level data'!$J$12:$J$23,0),MATCH(E$23,'Company-level data'!$K$11:$O$11,0))+INDEX('Case A - Stretch'!$D$20:$H$42,MATCH($B25,'Case A - Stretch'!$C$20:$C$42,0),MATCH(E$23,'Case A - Stretch'!$D$18:$H$18,0))*'Case A - Stretch'!$G$15-INDEX('Case A - Stretch'!$K$47:$O$57,MATCH($B25,'Case A - Stretch'!$J$47:$J$57,0),MATCH(E$23,'Case A - Stretch'!$D$51:$H$51,0))*INDEX('Case A - Stretch'!$D$52:$H$54,MATCH("center - baseline",'Case A - Stretch'!$C$52:$C$54,0),MATCH(E$23,'Case A - Stretch'!$D$51:$H$51,0))</f>
        <v>32.138571428571424</v>
      </c>
      <c r="F25" s="7">
        <f>INDEX('Company-level data'!$K$12:$O$23,MATCH($B25,'Company-level data'!$J$12:$J$23,0),MATCH(F$23,'Company-level data'!$K$11:$O$11,0))+INDEX('Case A - Stretch'!$D$20:$H$42,MATCH($B25,'Case A - Stretch'!$C$20:$C$42,0),MATCH(F$23,'Case A - Stretch'!$D$18:$H$18,0))*'Case A - Stretch'!$G$15-INDEX('Case A - Stretch'!$K$47:$O$57,MATCH($B25,'Case A - Stretch'!$J$47:$J$57,0),MATCH(F$23,'Case A - Stretch'!$D$51:$H$51,0))*INDEX('Case A - Stretch'!$D$52:$H$54,MATCH("center - baseline",'Case A - Stretch'!$C$52:$C$54,0),MATCH(F$23,'Case A - Stretch'!$D$51:$H$51,0))</f>
        <v>36.379642857142855</v>
      </c>
      <c r="G25" s="7">
        <f>INDEX('Company-level data'!$K$12:$O$23,MATCH($B25,'Company-level data'!$J$12:$J$23,0),MATCH(G$23,'Company-level data'!$K$11:$O$11,0))+INDEX('Case A - Stretch'!$D$20:$H$42,MATCH($B25,'Case A - Stretch'!$C$20:$C$42,0),MATCH(G$23,'Case A - Stretch'!$D$18:$H$18,0))*'Case A - Stretch'!$G$15-INDEX('Case A - Stretch'!$K$47:$O$57,MATCH($B25,'Case A - Stretch'!$J$47:$J$57,0),MATCH(G$23,'Case A - Stretch'!$D$51:$H$51,0))*INDEX('Case A - Stretch'!$D$52:$H$54,MATCH("center - baseline",'Case A - Stretch'!$C$52:$C$54,0),MATCH(G$23,'Case A - Stretch'!$D$51:$H$51,0))</f>
        <v>39.863571428571433</v>
      </c>
    </row>
    <row r="26" spans="2:7" x14ac:dyDescent="0.2">
      <c r="B26" s="19" t="s">
        <v>7</v>
      </c>
      <c r="C26" s="7">
        <f>INDEX('Company-level data'!$K$12:$O$23,MATCH($B26,'Company-level data'!$J$12:$J$23,0),MATCH(C$23,'Company-level data'!$K$11:$O$11,0))+INDEX('Case A - Stretch'!$D$20:$H$42,MATCH($B26,'Case A - Stretch'!$C$20:$C$42,0),MATCH(C$23,'Case A - Stretch'!$D$18:$H$18,0))*'Case A - Stretch'!$G$15-INDEX('Case A - Stretch'!$K$47:$O$57,MATCH($B26,'Case A - Stretch'!$J$47:$J$57,0),MATCH(C$23,'Case A - Stretch'!$D$51:$H$51,0))*INDEX('Case A - Stretch'!$D$52:$H$54,MATCH("center - baseline",'Case A - Stretch'!$C$52:$C$54,0),MATCH(C$23,'Case A - Stretch'!$D$51:$H$51,0))</f>
        <v>0</v>
      </c>
      <c r="D26" s="7">
        <f>INDEX('Company-level data'!$K$12:$O$23,MATCH($B26,'Company-level data'!$J$12:$J$23,0),MATCH(D$23,'Company-level data'!$K$11:$O$11,0))+INDEX('Case A - Stretch'!$D$20:$H$42,MATCH($B26,'Case A - Stretch'!$C$20:$C$42,0),MATCH(D$23,'Case A - Stretch'!$D$18:$H$18,0))*'Case A - Stretch'!$G$15-INDEX('Case A - Stretch'!$K$47:$O$57,MATCH($B26,'Case A - Stretch'!$J$47:$J$57,0),MATCH(D$23,'Case A - Stretch'!$D$51:$H$51,0))*INDEX('Case A - Stretch'!$D$52:$H$54,MATCH("center - baseline",'Case A - Stretch'!$C$52:$C$54,0),MATCH(D$23,'Case A - Stretch'!$D$51:$H$51,0))</f>
        <v>0</v>
      </c>
      <c r="E26" s="7">
        <f>INDEX('Company-level data'!$K$12:$O$23,MATCH($B26,'Company-level data'!$J$12:$J$23,0),MATCH(E$23,'Company-level data'!$K$11:$O$11,0))+INDEX('Case A - Stretch'!$D$20:$H$42,MATCH($B26,'Case A - Stretch'!$C$20:$C$42,0),MATCH(E$23,'Case A - Stretch'!$D$18:$H$18,0))*'Case A - Stretch'!$G$15-INDEX('Case A - Stretch'!$K$47:$O$57,MATCH($B26,'Case A - Stretch'!$J$47:$J$57,0),MATCH(E$23,'Case A - Stretch'!$D$51:$H$51,0))*INDEX('Case A - Stretch'!$D$52:$H$54,MATCH("center - baseline",'Case A - Stretch'!$C$52:$C$54,0),MATCH(E$23,'Case A - Stretch'!$D$51:$H$51,0))</f>
        <v>0</v>
      </c>
      <c r="F26" s="7">
        <f>INDEX('Company-level data'!$K$12:$O$23,MATCH($B26,'Company-level data'!$J$12:$J$23,0),MATCH(F$23,'Company-level data'!$K$11:$O$11,0))+INDEX('Case A - Stretch'!$D$20:$H$42,MATCH($B26,'Case A - Stretch'!$C$20:$C$42,0),MATCH(F$23,'Case A - Stretch'!$D$18:$H$18,0))*'Case A - Stretch'!$G$15-INDEX('Case A - Stretch'!$K$47:$O$57,MATCH($B26,'Case A - Stretch'!$J$47:$J$57,0),MATCH(F$23,'Case A - Stretch'!$D$51:$H$51,0))*INDEX('Case A - Stretch'!$D$52:$H$54,MATCH("center - baseline",'Case A - Stretch'!$C$52:$C$54,0),MATCH(F$23,'Case A - Stretch'!$D$51:$H$51,0))</f>
        <v>0</v>
      </c>
      <c r="G26" s="7">
        <f>INDEX('Company-level data'!$K$12:$O$23,MATCH($B26,'Company-level data'!$J$12:$J$23,0),MATCH(G$23,'Company-level data'!$K$11:$O$11,0))+INDEX('Case A - Stretch'!$D$20:$H$42,MATCH($B26,'Case A - Stretch'!$C$20:$C$42,0),MATCH(G$23,'Case A - Stretch'!$D$18:$H$18,0))*'Case A - Stretch'!$G$15-INDEX('Case A - Stretch'!$K$47:$O$57,MATCH($B26,'Case A - Stretch'!$J$47:$J$57,0),MATCH(G$23,'Case A - Stretch'!$D$51:$H$51,0))*INDEX('Case A - Stretch'!$D$52:$H$54,MATCH("center - baseline",'Case A - Stretch'!$C$52:$C$54,0),MATCH(G$23,'Case A - Stretch'!$D$51:$H$51,0))</f>
        <v>0</v>
      </c>
    </row>
    <row r="27" spans="2:7" x14ac:dyDescent="0.2">
      <c r="B27" s="19" t="s">
        <v>10</v>
      </c>
      <c r="C27" s="7">
        <f>INDEX('Company-level data'!$K$12:$O$23,MATCH($B27,'Company-level data'!$J$12:$J$23,0),MATCH(C$23,'Company-level data'!$K$11:$O$11,0))+INDEX('Case A - Stretch'!$D$20:$H$42,MATCH($B27,'Case A - Stretch'!$C$20:$C$42,0),MATCH(C$23,'Case A - Stretch'!$D$18:$H$18,0))*'Case A - Stretch'!$G$15-INDEX('Case A - Stretch'!$K$47:$O$57,MATCH($B27,'Case A - Stretch'!$J$47:$J$57,0),MATCH(C$23,'Case A - Stretch'!$D$51:$H$51,0))*INDEX('Case A - Stretch'!$D$52:$H$54,MATCH("center - baseline",'Case A - Stretch'!$C$52:$C$54,0),MATCH(C$23,'Case A - Stretch'!$D$51:$H$51,0))</f>
        <v>0</v>
      </c>
      <c r="D27" s="7">
        <f>INDEX('Company-level data'!$K$12:$O$23,MATCH($B27,'Company-level data'!$J$12:$J$23,0),MATCH(D$23,'Company-level data'!$K$11:$O$11,0))+INDEX('Case A - Stretch'!$D$20:$H$42,MATCH($B27,'Case A - Stretch'!$C$20:$C$42,0),MATCH(D$23,'Case A - Stretch'!$D$18:$H$18,0))*'Case A - Stretch'!$G$15-INDEX('Case A - Stretch'!$K$47:$O$57,MATCH($B27,'Case A - Stretch'!$J$47:$J$57,0),MATCH(D$23,'Case A - Stretch'!$D$51:$H$51,0))*INDEX('Case A - Stretch'!$D$52:$H$54,MATCH("center - baseline",'Case A - Stretch'!$C$52:$C$54,0),MATCH(D$23,'Case A - Stretch'!$D$51:$H$51,0))</f>
        <v>0</v>
      </c>
      <c r="E27" s="7">
        <f>INDEX('Company-level data'!$K$12:$O$23,MATCH($B27,'Company-level data'!$J$12:$J$23,0),MATCH(E$23,'Company-level data'!$K$11:$O$11,0))+INDEX('Case A - Stretch'!$D$20:$H$42,MATCH($B27,'Case A - Stretch'!$C$20:$C$42,0),MATCH(E$23,'Case A - Stretch'!$D$18:$H$18,0))*'Case A - Stretch'!$G$15-INDEX('Case A - Stretch'!$K$47:$O$57,MATCH($B27,'Case A - Stretch'!$J$47:$J$57,0),MATCH(E$23,'Case A - Stretch'!$D$51:$H$51,0))*INDEX('Case A - Stretch'!$D$52:$H$54,MATCH("center - baseline",'Case A - Stretch'!$C$52:$C$54,0),MATCH(E$23,'Case A - Stretch'!$D$51:$H$51,0))</f>
        <v>0</v>
      </c>
      <c r="F27" s="7">
        <f>INDEX('Company-level data'!$K$12:$O$23,MATCH($B27,'Company-level data'!$J$12:$J$23,0),MATCH(F$23,'Company-level data'!$K$11:$O$11,0))+INDEX('Case A - Stretch'!$D$20:$H$42,MATCH($B27,'Case A - Stretch'!$C$20:$C$42,0),MATCH(F$23,'Case A - Stretch'!$D$18:$H$18,0))*'Case A - Stretch'!$G$15-INDEX('Case A - Stretch'!$K$47:$O$57,MATCH($B27,'Case A - Stretch'!$J$47:$J$57,0),MATCH(F$23,'Case A - Stretch'!$D$51:$H$51,0))*INDEX('Case A - Stretch'!$D$52:$H$54,MATCH("center - baseline",'Case A - Stretch'!$C$52:$C$54,0),MATCH(F$23,'Case A - Stretch'!$D$51:$H$51,0))</f>
        <v>0</v>
      </c>
      <c r="G27" s="7">
        <f>INDEX('Company-level data'!$K$12:$O$23,MATCH($B27,'Company-level data'!$J$12:$J$23,0),MATCH(G$23,'Company-level data'!$K$11:$O$11,0))+INDEX('Case A - Stretch'!$D$20:$H$42,MATCH($B27,'Case A - Stretch'!$C$20:$C$42,0),MATCH(G$23,'Case A - Stretch'!$D$18:$H$18,0))*'Case A - Stretch'!$G$15-INDEX('Case A - Stretch'!$K$47:$O$57,MATCH($B27,'Case A - Stretch'!$J$47:$J$57,0),MATCH(G$23,'Case A - Stretch'!$D$51:$H$51,0))*INDEX('Case A - Stretch'!$D$52:$H$54,MATCH("center - baseline",'Case A - Stretch'!$C$52:$C$54,0),MATCH(G$23,'Case A - Stretch'!$D$51:$H$51,0))</f>
        <v>0</v>
      </c>
    </row>
    <row r="28" spans="2:7" x14ac:dyDescent="0.2">
      <c r="B28" s="19" t="s">
        <v>8</v>
      </c>
      <c r="C28" s="7">
        <f>INDEX('Company-level data'!$K$12:$O$23,MATCH($B28,'Company-level data'!$J$12:$J$23,0),MATCH(C$23,'Company-level data'!$K$11:$O$11,0))+INDEX('Case A - Stretch'!$D$20:$H$42,MATCH($B28,'Case A - Stretch'!$C$20:$C$42,0),MATCH(C$23,'Case A - Stretch'!$D$18:$H$18,0))*'Case A - Stretch'!$G$15-INDEX('Case A - Stretch'!$K$47:$O$57,MATCH($B28,'Case A - Stretch'!$J$47:$J$57,0),MATCH(C$23,'Case A - Stretch'!$D$51:$H$51,0))*INDEX('Case A - Stretch'!$D$52:$H$54,MATCH("center - baseline",'Case A - Stretch'!$C$52:$C$54,0),MATCH(C$23,'Case A - Stretch'!$D$51:$H$51,0))</f>
        <v>0</v>
      </c>
      <c r="D28" s="7">
        <f>INDEX('Company-level data'!$K$12:$O$23,MATCH($B28,'Company-level data'!$J$12:$J$23,0),MATCH(D$23,'Company-level data'!$K$11:$O$11,0))+INDEX('Case A - Stretch'!$D$20:$H$42,MATCH($B28,'Case A - Stretch'!$C$20:$C$42,0),MATCH(D$23,'Case A - Stretch'!$D$18:$H$18,0))*'Case A - Stretch'!$G$15-INDEX('Case A - Stretch'!$K$47:$O$57,MATCH($B28,'Case A - Stretch'!$J$47:$J$57,0),MATCH(D$23,'Case A - Stretch'!$D$51:$H$51,0))*INDEX('Case A - Stretch'!$D$52:$H$54,MATCH("center - baseline",'Case A - Stretch'!$C$52:$C$54,0),MATCH(D$23,'Case A - Stretch'!$D$51:$H$51,0))</f>
        <v>0</v>
      </c>
      <c r="E28" s="7">
        <f>INDEX('Company-level data'!$K$12:$O$23,MATCH($B28,'Company-level data'!$J$12:$J$23,0),MATCH(E$23,'Company-level data'!$K$11:$O$11,0))+INDEX('Case A - Stretch'!$D$20:$H$42,MATCH($B28,'Case A - Stretch'!$C$20:$C$42,0),MATCH(E$23,'Case A - Stretch'!$D$18:$H$18,0))*'Case A - Stretch'!$G$15-INDEX('Case A - Stretch'!$K$47:$O$57,MATCH($B28,'Case A - Stretch'!$J$47:$J$57,0),MATCH(E$23,'Case A - Stretch'!$D$51:$H$51,0))*INDEX('Case A - Stretch'!$D$52:$H$54,MATCH("center - baseline",'Case A - Stretch'!$C$52:$C$54,0),MATCH(E$23,'Case A - Stretch'!$D$51:$H$51,0))</f>
        <v>0</v>
      </c>
      <c r="F28" s="7">
        <f>INDEX('Company-level data'!$K$12:$O$23,MATCH($B28,'Company-level data'!$J$12:$J$23,0),MATCH(F$23,'Company-level data'!$K$11:$O$11,0))+INDEX('Case A - Stretch'!$D$20:$H$42,MATCH($B28,'Case A - Stretch'!$C$20:$C$42,0),MATCH(F$23,'Case A - Stretch'!$D$18:$H$18,0))*'Case A - Stretch'!$G$15-INDEX('Case A - Stretch'!$K$47:$O$57,MATCH($B28,'Case A - Stretch'!$J$47:$J$57,0),MATCH(F$23,'Case A - Stretch'!$D$51:$H$51,0))*INDEX('Case A - Stretch'!$D$52:$H$54,MATCH("center - baseline",'Case A - Stretch'!$C$52:$C$54,0),MATCH(F$23,'Case A - Stretch'!$D$51:$H$51,0))</f>
        <v>0</v>
      </c>
      <c r="G28" s="7">
        <f>INDEX('Company-level data'!$K$12:$O$23,MATCH($B28,'Company-level data'!$J$12:$J$23,0),MATCH(G$23,'Company-level data'!$K$11:$O$11,0))+INDEX('Case A - Stretch'!$D$20:$H$42,MATCH($B28,'Case A - Stretch'!$C$20:$C$42,0),MATCH(G$23,'Case A - Stretch'!$D$18:$H$18,0))*'Case A - Stretch'!$G$15-INDEX('Case A - Stretch'!$K$47:$O$57,MATCH($B28,'Case A - Stretch'!$J$47:$J$57,0),MATCH(G$23,'Case A - Stretch'!$D$51:$H$51,0))*INDEX('Case A - Stretch'!$D$52:$H$54,MATCH("center - baseline",'Case A - Stretch'!$C$52:$C$54,0),MATCH(G$23,'Case A - Stretch'!$D$51:$H$51,0))</f>
        <v>0</v>
      </c>
    </row>
    <row r="29" spans="2:7" x14ac:dyDescent="0.2">
      <c r="B29" s="19" t="s">
        <v>9</v>
      </c>
      <c r="C29" s="7">
        <f>INDEX('Company-level data'!$K$12:$O$23,MATCH($B29,'Company-level data'!$J$12:$J$23,0),MATCH(C$23,'Company-level data'!$K$11:$O$11,0))+INDEX('Case A - Stretch'!$D$20:$H$42,MATCH($B29,'Case A - Stretch'!$C$20:$C$42,0),MATCH(C$23,'Case A - Stretch'!$D$18:$H$18,0))*'Case A - Stretch'!$G$15-INDEX('Case A - Stretch'!$K$47:$O$57,MATCH($B29,'Case A - Stretch'!$J$47:$J$57,0),MATCH(C$23,'Case A - Stretch'!$D$51:$H$51,0))*INDEX('Case A - Stretch'!$D$52:$H$54,MATCH("center - baseline",'Case A - Stretch'!$C$52:$C$54,0),MATCH(C$23,'Case A - Stretch'!$D$51:$H$51,0))</f>
        <v>0</v>
      </c>
      <c r="D29" s="7">
        <f>INDEX('Company-level data'!$K$12:$O$23,MATCH($B29,'Company-level data'!$J$12:$J$23,0),MATCH(D$23,'Company-level data'!$K$11:$O$11,0))+INDEX('Case A - Stretch'!$D$20:$H$42,MATCH($B29,'Case A - Stretch'!$C$20:$C$42,0),MATCH(D$23,'Case A - Stretch'!$D$18:$H$18,0))*'Case A - Stretch'!$G$15-INDEX('Case A - Stretch'!$K$47:$O$57,MATCH($B29,'Case A - Stretch'!$J$47:$J$57,0),MATCH(D$23,'Case A - Stretch'!$D$51:$H$51,0))*INDEX('Case A - Stretch'!$D$52:$H$54,MATCH("center - baseline",'Case A - Stretch'!$C$52:$C$54,0),MATCH(D$23,'Case A - Stretch'!$D$51:$H$51,0))</f>
        <v>0</v>
      </c>
      <c r="E29" s="7">
        <f>INDEX('Company-level data'!$K$12:$O$23,MATCH($B29,'Company-level data'!$J$12:$J$23,0),MATCH(E$23,'Company-level data'!$K$11:$O$11,0))+INDEX('Case A - Stretch'!$D$20:$H$42,MATCH($B29,'Case A - Stretch'!$C$20:$C$42,0),MATCH(E$23,'Case A - Stretch'!$D$18:$H$18,0))*'Case A - Stretch'!$G$15-INDEX('Case A - Stretch'!$K$47:$O$57,MATCH($B29,'Case A - Stretch'!$J$47:$J$57,0),MATCH(E$23,'Case A - Stretch'!$D$51:$H$51,0))*INDEX('Case A - Stretch'!$D$52:$H$54,MATCH("center - baseline",'Case A - Stretch'!$C$52:$C$54,0),MATCH(E$23,'Case A - Stretch'!$D$51:$H$51,0))</f>
        <v>0</v>
      </c>
      <c r="F29" s="7">
        <f>INDEX('Company-level data'!$K$12:$O$23,MATCH($B29,'Company-level data'!$J$12:$J$23,0),MATCH(F$23,'Company-level data'!$K$11:$O$11,0))+INDEX('Case A - Stretch'!$D$20:$H$42,MATCH($B29,'Case A - Stretch'!$C$20:$C$42,0),MATCH(F$23,'Case A - Stretch'!$D$18:$H$18,0))*'Case A - Stretch'!$G$15-INDEX('Case A - Stretch'!$K$47:$O$57,MATCH($B29,'Case A - Stretch'!$J$47:$J$57,0),MATCH(F$23,'Case A - Stretch'!$D$51:$H$51,0))*INDEX('Case A - Stretch'!$D$52:$H$54,MATCH("center - baseline",'Case A - Stretch'!$C$52:$C$54,0),MATCH(F$23,'Case A - Stretch'!$D$51:$H$51,0))</f>
        <v>0</v>
      </c>
      <c r="G29" s="7">
        <f>INDEX('Company-level data'!$K$12:$O$23,MATCH($B29,'Company-level data'!$J$12:$J$23,0),MATCH(G$23,'Company-level data'!$K$11:$O$11,0))+INDEX('Case A - Stretch'!$D$20:$H$42,MATCH($B29,'Case A - Stretch'!$C$20:$C$42,0),MATCH(G$23,'Case A - Stretch'!$D$18:$H$18,0))*'Case A - Stretch'!$G$15-INDEX('Case A - Stretch'!$K$47:$O$57,MATCH($B29,'Case A - Stretch'!$J$47:$J$57,0),MATCH(G$23,'Case A - Stretch'!$D$51:$H$51,0))*INDEX('Case A - Stretch'!$D$52:$H$54,MATCH("center - baseline",'Case A - Stretch'!$C$52:$C$54,0),MATCH(G$23,'Case A - Stretch'!$D$51:$H$51,0))</f>
        <v>0</v>
      </c>
    </row>
    <row r="30" spans="2:7" x14ac:dyDescent="0.2">
      <c r="B30" s="12" t="s">
        <v>1</v>
      </c>
      <c r="C30" s="7">
        <f>INDEX('Company-level data'!$K$12:$O$23,MATCH($B30,'Company-level data'!$J$12:$J$23,0),MATCH(C$23,'Company-level data'!$K$11:$O$11,0))+INDEX('Case A - Stretch'!$D$20:$H$42,MATCH($B30,'Case A - Stretch'!$C$20:$C$42,0),MATCH(C$23,'Case A - Stretch'!$D$18:$H$18,0))*'Case A - Stretch'!$G$15-INDEX('Case A - Stretch'!$K$47:$O$57,MATCH($B30,'Case A - Stretch'!$J$47:$J$57,0),MATCH(C$23,'Case A - Stretch'!$D$51:$H$51,0))*INDEX('Case A - Stretch'!$D$52:$H$54,MATCH("center - baseline",'Case A - Stretch'!$C$52:$C$54,0),MATCH(C$23,'Case A - Stretch'!$D$51:$H$51,0))</f>
        <v>7.8787468777018148</v>
      </c>
      <c r="D30" s="7">
        <f>INDEX('Company-level data'!$K$12:$O$23,MATCH($B30,'Company-level data'!$J$12:$J$23,0),MATCH(D$23,'Company-level data'!$K$11:$O$11,0))+INDEX('Case A - Stretch'!$D$20:$H$42,MATCH($B30,'Case A - Stretch'!$C$20:$C$42,0),MATCH(D$23,'Case A - Stretch'!$D$18:$H$18,0))*'Case A - Stretch'!$G$15-INDEX('Case A - Stretch'!$K$47:$O$57,MATCH($B30,'Case A - Stretch'!$J$47:$J$57,0),MATCH(D$23,'Case A - Stretch'!$D$51:$H$51,0))*INDEX('Case A - Stretch'!$D$52:$H$54,MATCH("center - baseline",'Case A - Stretch'!$C$52:$C$54,0),MATCH(D$23,'Case A - Stretch'!$D$51:$H$51,0))</f>
        <v>13.957279541635739</v>
      </c>
      <c r="E30" s="7">
        <f>INDEX('Company-level data'!$K$12:$O$23,MATCH($B30,'Company-level data'!$J$12:$J$23,0),MATCH(E$23,'Company-level data'!$K$11:$O$11,0))+INDEX('Case A - Stretch'!$D$20:$H$42,MATCH($B30,'Case A - Stretch'!$C$20:$C$42,0),MATCH(E$23,'Case A - Stretch'!$D$18:$H$18,0))*'Case A - Stretch'!$G$15-INDEX('Case A - Stretch'!$K$47:$O$57,MATCH($B30,'Case A - Stretch'!$J$47:$J$57,0),MATCH(E$23,'Case A - Stretch'!$D$51:$H$51,0))*INDEX('Case A - Stretch'!$D$52:$H$54,MATCH("center - baseline",'Case A - Stretch'!$C$52:$C$54,0),MATCH(E$23,'Case A - Stretch'!$D$51:$H$51,0))</f>
        <v>20.338571428571427</v>
      </c>
      <c r="F30" s="7">
        <f>INDEX('Company-level data'!$K$12:$O$23,MATCH($B30,'Company-level data'!$J$12:$J$23,0),MATCH(F$23,'Company-level data'!$K$11:$O$11,0))+INDEX('Case A - Stretch'!$D$20:$H$42,MATCH($B30,'Case A - Stretch'!$C$20:$C$42,0),MATCH(F$23,'Case A - Stretch'!$D$18:$H$18,0))*'Case A - Stretch'!$G$15-INDEX('Case A - Stretch'!$K$47:$O$57,MATCH($B30,'Case A - Stretch'!$J$47:$J$57,0),MATCH(F$23,'Case A - Stretch'!$D$51:$H$51,0))*INDEX('Case A - Stretch'!$D$52:$H$54,MATCH("center - baseline",'Case A - Stretch'!$C$52:$C$54,0),MATCH(F$23,'Case A - Stretch'!$D$51:$H$51,0))</f>
        <v>31.779642857142857</v>
      </c>
      <c r="G30" s="7">
        <f>INDEX('Company-level data'!$K$12:$O$23,MATCH($B30,'Company-level data'!$J$12:$J$23,0),MATCH(G$23,'Company-level data'!$K$11:$O$11,0))+INDEX('Case A - Stretch'!$D$20:$H$42,MATCH($B30,'Case A - Stretch'!$C$20:$C$42,0),MATCH(G$23,'Case A - Stretch'!$D$18:$H$18,0))*'Case A - Stretch'!$G$15-INDEX('Case A - Stretch'!$K$47:$O$57,MATCH($B30,'Case A - Stretch'!$J$47:$J$57,0),MATCH(G$23,'Case A - Stretch'!$D$51:$H$51,0))*INDEX('Case A - Stretch'!$D$52:$H$54,MATCH("center - baseline",'Case A - Stretch'!$C$52:$C$54,0),MATCH(G$23,'Case A - Stretch'!$D$51:$H$51,0))</f>
        <v>46.263571428571431</v>
      </c>
    </row>
    <row r="31" spans="2:7" x14ac:dyDescent="0.2">
      <c r="B31" s="12" t="s">
        <v>2</v>
      </c>
      <c r="C31" s="7">
        <f>INDEX('Company-level data'!$K$12:$O$23,MATCH($B31,'Company-level data'!$J$12:$J$23,0),MATCH(C$23,'Company-level data'!$K$11:$O$11,0))+INDEX('Case A - Stretch'!$D$20:$H$42,MATCH($B31,'Case A - Stretch'!$C$20:$C$42,0),MATCH(C$23,'Case A - Stretch'!$D$18:$H$18,0))*'Case A - Stretch'!$G$15-INDEX('Case A - Stretch'!$K$47:$O$57,MATCH($B31,'Case A - Stretch'!$J$47:$J$57,0),MATCH(C$23,'Case A - Stretch'!$D$51:$H$51,0))*INDEX('Case A - Stretch'!$D$52:$H$54,MATCH("center - baseline",'Case A - Stretch'!$C$52:$C$54,0),MATCH(C$23,'Case A - Stretch'!$D$51:$H$51,0))</f>
        <v>6.7225714285714293</v>
      </c>
      <c r="D31" s="7">
        <f>INDEX('Company-level data'!$K$12:$O$23,MATCH($B31,'Company-level data'!$J$12:$J$23,0),MATCH(D$23,'Company-level data'!$K$11:$O$11,0))+INDEX('Case A - Stretch'!$D$20:$H$42,MATCH($B31,'Case A - Stretch'!$C$20:$C$42,0),MATCH(D$23,'Case A - Stretch'!$D$18:$H$18,0))*'Case A - Stretch'!$G$15-INDEX('Case A - Stretch'!$K$47:$O$57,MATCH($B31,'Case A - Stretch'!$J$47:$J$57,0),MATCH(D$23,'Case A - Stretch'!$D$51:$H$51,0))*INDEX('Case A - Stretch'!$D$52:$H$54,MATCH("center - baseline",'Case A - Stretch'!$C$52:$C$54,0),MATCH(D$23,'Case A - Stretch'!$D$51:$H$51,0))</f>
        <v>8.3355196750070633</v>
      </c>
      <c r="E31" s="7">
        <f>INDEX('Company-level data'!$K$12:$O$23,MATCH($B31,'Company-level data'!$J$12:$J$23,0),MATCH(E$23,'Company-level data'!$K$11:$O$11,0))+INDEX('Case A - Stretch'!$D$20:$H$42,MATCH($B31,'Case A - Stretch'!$C$20:$C$42,0),MATCH(E$23,'Case A - Stretch'!$D$18:$H$18,0))*'Case A - Stretch'!$G$15-INDEX('Case A - Stretch'!$K$47:$O$57,MATCH($B31,'Case A - Stretch'!$J$47:$J$57,0),MATCH(E$23,'Case A - Stretch'!$D$51:$H$51,0))*INDEX('Case A - Stretch'!$D$52:$H$54,MATCH("center - baseline",'Case A - Stretch'!$C$52:$C$54,0),MATCH(E$23,'Case A - Stretch'!$D$51:$H$51,0))</f>
        <v>11.950718504058125</v>
      </c>
      <c r="F31" s="7">
        <f>INDEX('Company-level data'!$K$12:$O$23,MATCH($B31,'Company-level data'!$J$12:$J$23,0),MATCH(F$23,'Company-level data'!$K$11:$O$11,0))+INDEX('Case A - Stretch'!$D$20:$H$42,MATCH($B31,'Case A - Stretch'!$C$20:$C$42,0),MATCH(F$23,'Case A - Stretch'!$D$18:$H$18,0))*'Case A - Stretch'!$G$15-INDEX('Case A - Stretch'!$K$47:$O$57,MATCH($B31,'Case A - Stretch'!$J$47:$J$57,0),MATCH(F$23,'Case A - Stretch'!$D$51:$H$51,0))*INDEX('Case A - Stretch'!$D$52:$H$54,MATCH("center - baseline",'Case A - Stretch'!$C$52:$C$54,0),MATCH(F$23,'Case A - Stretch'!$D$51:$H$51,0))</f>
        <v>15.252641093451</v>
      </c>
      <c r="G31" s="7">
        <f>INDEX('Company-level data'!$K$12:$O$23,MATCH($B31,'Company-level data'!$J$12:$J$23,0),MATCH(G$23,'Company-level data'!$K$11:$O$11,0))+INDEX('Case A - Stretch'!$D$20:$H$42,MATCH($B31,'Case A - Stretch'!$C$20:$C$42,0),MATCH(G$23,'Case A - Stretch'!$D$18:$H$18,0))*'Case A - Stretch'!$G$15-INDEX('Case A - Stretch'!$K$47:$O$57,MATCH($B31,'Case A - Stretch'!$J$47:$J$57,0),MATCH(G$23,'Case A - Stretch'!$D$51:$H$51,0))*INDEX('Case A - Stretch'!$D$52:$H$54,MATCH("center - baseline",'Case A - Stretch'!$C$52:$C$54,0),MATCH(G$23,'Case A - Stretch'!$D$51:$H$51,0))</f>
        <v>19.65976048650974</v>
      </c>
    </row>
    <row r="32" spans="2:7" x14ac:dyDescent="0.2">
      <c r="B32" s="12" t="s">
        <v>3</v>
      </c>
      <c r="C32" s="7">
        <f>INDEX('Company-level data'!$K$12:$O$23,MATCH($B32,'Company-level data'!$J$12:$J$23,0),MATCH(C$23,'Company-level data'!$K$11:$O$11,0))+INDEX('Case A - Stretch'!$D$20:$H$42,MATCH($B32,'Case A - Stretch'!$C$20:$C$42,0),MATCH(C$23,'Case A - Stretch'!$D$18:$H$18,0))*'Case A - Stretch'!$G$15-INDEX('Case A - Stretch'!$K$47:$O$57,MATCH($B32,'Case A - Stretch'!$J$47:$J$57,0),MATCH(C$23,'Case A - Stretch'!$D$51:$H$51,0))*INDEX('Case A - Stretch'!$D$52:$H$54,MATCH("center - baseline",'Case A - Stretch'!$C$52:$C$54,0),MATCH(C$23,'Case A - Stretch'!$D$51:$H$51,0))</f>
        <v>8.0335714285714293</v>
      </c>
      <c r="D32" s="7">
        <f>INDEX('Company-level data'!$K$12:$O$23,MATCH($B32,'Company-level data'!$J$12:$J$23,0),MATCH(D$23,'Company-level data'!$K$11:$O$11,0))+INDEX('Case A - Stretch'!$D$20:$H$42,MATCH($B32,'Case A - Stretch'!$C$20:$C$42,0),MATCH(D$23,'Case A - Stretch'!$D$18:$H$18,0))*'Case A - Stretch'!$G$15-INDEX('Case A - Stretch'!$K$47:$O$57,MATCH($B32,'Case A - Stretch'!$J$47:$J$57,0),MATCH(D$23,'Case A - Stretch'!$D$51:$H$51,0))*INDEX('Case A - Stretch'!$D$52:$H$54,MATCH("center - baseline",'Case A - Stretch'!$C$52:$C$54,0),MATCH(D$23,'Case A - Stretch'!$D$51:$H$51,0))</f>
        <v>7.7008119042889023</v>
      </c>
      <c r="E32" s="7">
        <f>INDEX('Company-level data'!$K$12:$O$23,MATCH($B32,'Company-level data'!$J$12:$J$23,0),MATCH(E$23,'Company-level data'!$K$11:$O$11,0))+INDEX('Case A - Stretch'!$D$20:$H$42,MATCH($B32,'Case A - Stretch'!$C$20:$C$42,0),MATCH(E$23,'Case A - Stretch'!$D$18:$H$18,0))*'Case A - Stretch'!$G$15-INDEX('Case A - Stretch'!$K$47:$O$57,MATCH($B32,'Case A - Stretch'!$J$47:$J$57,0),MATCH(E$23,'Case A - Stretch'!$D$51:$H$51,0))*INDEX('Case A - Stretch'!$D$52:$H$54,MATCH("center - baseline",'Case A - Stretch'!$C$52:$C$54,0),MATCH(E$23,'Case A - Stretch'!$D$51:$H$51,0))</f>
        <v>10.132374994493345</v>
      </c>
      <c r="F32" s="7">
        <f>INDEX('Company-level data'!$K$12:$O$23,MATCH($B32,'Company-level data'!$J$12:$J$23,0),MATCH(F$23,'Company-level data'!$K$11:$O$11,0))+INDEX('Case A - Stretch'!$D$20:$H$42,MATCH($B32,'Case A - Stretch'!$C$20:$C$42,0),MATCH(F$23,'Case A - Stretch'!$D$18:$H$18,0))*'Case A - Stretch'!$G$15-INDEX('Case A - Stretch'!$K$47:$O$57,MATCH($B32,'Case A - Stretch'!$J$47:$J$57,0),MATCH(F$23,'Case A - Stretch'!$D$51:$H$51,0))*INDEX('Case A - Stretch'!$D$52:$H$54,MATCH("center - baseline",'Case A - Stretch'!$C$52:$C$54,0),MATCH(F$23,'Case A - Stretch'!$D$51:$H$51,0))</f>
        <v>13.538312943133262</v>
      </c>
      <c r="G32" s="7">
        <f>INDEX('Company-level data'!$K$12:$O$23,MATCH($B32,'Company-level data'!$J$12:$J$23,0),MATCH(G$23,'Company-level data'!$K$11:$O$11,0))+INDEX('Case A - Stretch'!$D$20:$H$42,MATCH($B32,'Case A - Stretch'!$C$20:$C$42,0),MATCH(G$23,'Case A - Stretch'!$D$18:$H$18,0))*'Case A - Stretch'!$G$15-INDEX('Case A - Stretch'!$K$47:$O$57,MATCH($B32,'Case A - Stretch'!$J$47:$J$57,0),MATCH(G$23,'Case A - Stretch'!$D$51:$H$51,0))*INDEX('Case A - Stretch'!$D$52:$H$54,MATCH("center - baseline",'Case A - Stretch'!$C$52:$C$54,0),MATCH(G$23,'Case A - Stretch'!$D$51:$H$51,0))</f>
        <v>17.891806541176056</v>
      </c>
    </row>
    <row r="33" spans="2:7" x14ac:dyDescent="0.2">
      <c r="B33" s="12" t="s">
        <v>4</v>
      </c>
      <c r="C33" s="7">
        <f>INDEX('Company-level data'!$K$12:$O$23,MATCH($B33,'Company-level data'!$J$12:$J$23,0),MATCH(C$23,'Company-level data'!$K$11:$O$11,0))+INDEX('Case A - Stretch'!$D$20:$H$42,MATCH($B33,'Case A - Stretch'!$C$20:$C$42,0),MATCH(C$23,'Case A - Stretch'!$D$18:$H$18,0))*'Case A - Stretch'!$G$15-INDEX('Case A - Stretch'!$K$47:$O$57,MATCH($B33,'Case A - Stretch'!$J$47:$J$57,0),MATCH(C$23,'Case A - Stretch'!$D$51:$H$51,0))*INDEX('Case A - Stretch'!$D$52:$H$54,MATCH("center - baseline",'Case A - Stretch'!$C$52:$C$54,0),MATCH(C$23,'Case A - Stretch'!$D$51:$H$51,0))</f>
        <v>4.0655714285714293</v>
      </c>
      <c r="D33" s="7">
        <f>INDEX('Company-level data'!$K$12:$O$23,MATCH($B33,'Company-level data'!$J$12:$J$23,0),MATCH(D$23,'Company-level data'!$K$11:$O$11,0))+INDEX('Case A - Stretch'!$D$20:$H$42,MATCH($B33,'Case A - Stretch'!$C$20:$C$42,0),MATCH(D$23,'Case A - Stretch'!$D$18:$H$18,0))*'Case A - Stretch'!$G$15-INDEX('Case A - Stretch'!$K$47:$O$57,MATCH($B33,'Case A - Stretch'!$J$47:$J$57,0),MATCH(D$23,'Case A - Stretch'!$D$51:$H$51,0))*INDEX('Case A - Stretch'!$D$52:$H$54,MATCH("center - baseline",'Case A - Stretch'!$C$52:$C$54,0),MATCH(D$23,'Case A - Stretch'!$D$51:$H$51,0))</f>
        <v>6.1873011540192007</v>
      </c>
      <c r="E33" s="7">
        <f>INDEX('Company-level data'!$K$12:$O$23,MATCH($B33,'Company-level data'!$J$12:$J$23,0),MATCH(E$23,'Company-level data'!$K$11:$O$11,0))+INDEX('Case A - Stretch'!$D$20:$H$42,MATCH($B33,'Case A - Stretch'!$C$20:$C$42,0),MATCH(E$23,'Case A - Stretch'!$D$18:$H$18,0))*'Case A - Stretch'!$G$15-INDEX('Case A - Stretch'!$K$47:$O$57,MATCH($B33,'Case A - Stretch'!$J$47:$J$57,0),MATCH(E$23,'Case A - Stretch'!$D$51:$H$51,0))*INDEX('Case A - Stretch'!$D$52:$H$54,MATCH("center - baseline",'Case A - Stretch'!$C$52:$C$54,0),MATCH(E$23,'Case A - Stretch'!$D$51:$H$51,0))</f>
        <v>9.5879345895304144</v>
      </c>
      <c r="F33" s="7">
        <f>INDEX('Company-level data'!$K$12:$O$23,MATCH($B33,'Company-level data'!$J$12:$J$23,0),MATCH(F$23,'Company-level data'!$K$11:$O$11,0))+INDEX('Case A - Stretch'!$D$20:$H$42,MATCH($B33,'Case A - Stretch'!$C$20:$C$42,0),MATCH(F$23,'Case A - Stretch'!$D$18:$H$18,0))*'Case A - Stretch'!$G$15-INDEX('Case A - Stretch'!$K$47:$O$57,MATCH($B33,'Case A - Stretch'!$J$47:$J$57,0),MATCH(F$23,'Case A - Stretch'!$D$51:$H$51,0))*INDEX('Case A - Stretch'!$D$52:$H$54,MATCH("center - baseline",'Case A - Stretch'!$C$52:$C$54,0),MATCH(F$23,'Case A - Stretch'!$D$51:$H$51,0))</f>
        <v>13.493306442753745</v>
      </c>
      <c r="G33" s="7">
        <f>INDEX('Company-level data'!$K$12:$O$23,MATCH($B33,'Company-level data'!$J$12:$J$23,0),MATCH(G$23,'Company-level data'!$K$11:$O$11,0))+INDEX('Case A - Stretch'!$D$20:$H$42,MATCH($B33,'Case A - Stretch'!$C$20:$C$42,0),MATCH(G$23,'Case A - Stretch'!$D$18:$H$18,0))*'Case A - Stretch'!$G$15-INDEX('Case A - Stretch'!$K$47:$O$57,MATCH($B33,'Case A - Stretch'!$J$47:$J$57,0),MATCH(G$23,'Case A - Stretch'!$D$51:$H$51,0))*INDEX('Case A - Stretch'!$D$52:$H$54,MATCH("center - baseline",'Case A - Stretch'!$C$52:$C$54,0),MATCH(G$23,'Case A - Stretch'!$D$51:$H$51,0))</f>
        <v>17.835678925504777</v>
      </c>
    </row>
    <row r="34" spans="2:7" x14ac:dyDescent="0.2">
      <c r="B34" s="12" t="s">
        <v>5</v>
      </c>
      <c r="C34" s="7">
        <f>INDEX('Company-level data'!$K$12:$O$23,MATCH($B34,'Company-level data'!$J$12:$J$23,0),MATCH(C$23,'Company-level data'!$K$11:$O$11,0))+INDEX('Case A - Stretch'!$D$20:$H$42,MATCH($B34,'Case A - Stretch'!$C$20:$C$42,0),MATCH(C$23,'Case A - Stretch'!$D$18:$H$18,0))*'Case A - Stretch'!$G$15-INDEX('Case A - Stretch'!$K$47:$O$57,MATCH($B34,'Case A - Stretch'!$J$47:$J$57,0),MATCH(C$23,'Case A - Stretch'!$D$51:$H$51,0))*INDEX('Case A - Stretch'!$D$52:$H$54,MATCH("center - baseline",'Case A - Stretch'!$C$52:$C$54,0),MATCH(C$23,'Case A - Stretch'!$D$51:$H$51,0))</f>
        <v>3.0371219113616932</v>
      </c>
      <c r="D34" s="7">
        <f>INDEX('Company-level data'!$K$12:$O$23,MATCH($B34,'Company-level data'!$J$12:$J$23,0),MATCH(D$23,'Company-level data'!$K$11:$O$11,0))+INDEX('Case A - Stretch'!$D$20:$H$42,MATCH($B34,'Case A - Stretch'!$C$20:$C$42,0),MATCH(D$23,'Case A - Stretch'!$D$18:$H$18,0))*'Case A - Stretch'!$G$15-INDEX('Case A - Stretch'!$K$47:$O$57,MATCH($B34,'Case A - Stretch'!$J$47:$J$57,0),MATCH(D$23,'Case A - Stretch'!$D$51:$H$51,0))*INDEX('Case A - Stretch'!$D$52:$H$54,MATCH("center - baseline",'Case A - Stretch'!$C$52:$C$54,0),MATCH(D$23,'Case A - Stretch'!$D$51:$H$51,0))</f>
        <v>3.4440921549608605</v>
      </c>
      <c r="E34" s="7">
        <f>INDEX('Company-level data'!$K$12:$O$23,MATCH($B34,'Company-level data'!$J$12:$J$23,0),MATCH(E$23,'Company-level data'!$K$11:$O$11,0))+INDEX('Case A - Stretch'!$D$20:$H$42,MATCH($B34,'Case A - Stretch'!$C$20:$C$42,0),MATCH(E$23,'Case A - Stretch'!$D$18:$H$18,0))*'Case A - Stretch'!$G$15-INDEX('Case A - Stretch'!$K$47:$O$57,MATCH($B34,'Case A - Stretch'!$J$47:$J$57,0),MATCH(E$23,'Case A - Stretch'!$D$51:$H$51,0))*INDEX('Case A - Stretch'!$D$52:$H$54,MATCH("center - baseline",'Case A - Stretch'!$C$52:$C$54,0),MATCH(E$23,'Case A - Stretch'!$D$51:$H$51,0))</f>
        <v>4.5825582461116081</v>
      </c>
      <c r="F34" s="7">
        <f>INDEX('Company-level data'!$K$12:$O$23,MATCH($B34,'Company-level data'!$J$12:$J$23,0),MATCH(F$23,'Company-level data'!$K$11:$O$11,0))+INDEX('Case A - Stretch'!$D$20:$H$42,MATCH($B34,'Case A - Stretch'!$C$20:$C$42,0),MATCH(F$23,'Case A - Stretch'!$D$18:$H$18,0))*'Case A - Stretch'!$G$15-INDEX('Case A - Stretch'!$K$47:$O$57,MATCH($B34,'Case A - Stretch'!$J$47:$J$57,0),MATCH(F$23,'Case A - Stretch'!$D$51:$H$51,0))*INDEX('Case A - Stretch'!$D$52:$H$54,MATCH("center - baseline",'Case A - Stretch'!$C$52:$C$54,0),MATCH(F$23,'Case A - Stretch'!$D$51:$H$51,0))</f>
        <v>6.0749017381453472</v>
      </c>
      <c r="G34" s="7">
        <f>INDEX('Company-level data'!$K$12:$O$23,MATCH($B34,'Company-level data'!$J$12:$J$23,0),MATCH(G$23,'Company-level data'!$K$11:$O$11,0))+INDEX('Case A - Stretch'!$D$20:$H$42,MATCH($B34,'Case A - Stretch'!$C$20:$C$42,0),MATCH(G$23,'Case A - Stretch'!$D$18:$H$18,0))*'Case A - Stretch'!$G$15-INDEX('Case A - Stretch'!$K$47:$O$57,MATCH($B34,'Case A - Stretch'!$J$47:$J$57,0),MATCH(G$23,'Case A - Stretch'!$D$51:$H$51,0))*INDEX('Case A - Stretch'!$D$52:$H$54,MATCH("center - baseline",'Case A - Stretch'!$C$52:$C$54,0),MATCH(G$23,'Case A - Stretch'!$D$51:$H$51,0))</f>
        <v>7.8887160796305169</v>
      </c>
    </row>
    <row r="35" spans="2:7" x14ac:dyDescent="0.2">
      <c r="B35" s="6" t="s">
        <v>6</v>
      </c>
      <c r="C35" s="15">
        <f>INDEX('Company-level data'!$K$12:$O$23,MATCH($B35,'Company-level data'!$J$12:$J$23,0),MATCH(C$23,'Company-level data'!$K$11:$O$11,0))+INDEX('Case A - Stretch'!$D$20:$H$42,MATCH($B35,'Case A - Stretch'!$C$20:$C$42,0),MATCH(C$23,'Case A - Stretch'!$D$18:$H$18,0))*'Case A - Stretch'!$G$15-INDEX('Case A - Stretch'!$K$47:$O$57,MATCH($B35,'Case A - Stretch'!$J$47:$J$57,0),MATCH(C$23,'Case A - Stretch'!$D$51:$H$51,0))*INDEX('Case A - Stretch'!$D$52:$H$54,MATCH("center - baseline",'Case A - Stretch'!$C$52:$C$54,0),MATCH(C$23,'Case A - Stretch'!$D$51:$H$51,0))</f>
        <v>-0.51723857142857144</v>
      </c>
      <c r="D35" s="15">
        <f>INDEX('Company-level data'!$K$12:$O$23,MATCH($B35,'Company-level data'!$J$12:$J$23,0),MATCH(D$23,'Company-level data'!$K$11:$O$11,0))+INDEX('Case A - Stretch'!$D$20:$H$42,MATCH($B35,'Case A - Stretch'!$C$20:$C$42,0),MATCH(D$23,'Case A - Stretch'!$D$18:$H$18,0))*'Case A - Stretch'!$G$15-INDEX('Case A - Stretch'!$K$47:$O$57,MATCH($B35,'Case A - Stretch'!$J$47:$J$57,0),MATCH(D$23,'Case A - Stretch'!$D$51:$H$51,0))*INDEX('Case A - Stretch'!$D$52:$H$54,MATCH("center - baseline",'Case A - Stretch'!$C$52:$C$54,0),MATCH(D$23,'Case A - Stretch'!$D$51:$H$51,0))</f>
        <v>-0.87110019480807843</v>
      </c>
      <c r="E35" s="15">
        <f>INDEX('Company-level data'!$K$12:$O$23,MATCH($B35,'Company-level data'!$J$12:$J$23,0),MATCH(E$23,'Company-level data'!$K$11:$O$11,0))+INDEX('Case A - Stretch'!$D$20:$H$42,MATCH($B35,'Case A - Stretch'!$C$20:$C$42,0),MATCH(E$23,'Case A - Stretch'!$D$18:$H$18,0))*'Case A - Stretch'!$G$15-INDEX('Case A - Stretch'!$K$47:$O$57,MATCH($B35,'Case A - Stretch'!$J$47:$J$57,0),MATCH(E$23,'Case A - Stretch'!$D$51:$H$51,0))*INDEX('Case A - Stretch'!$D$52:$H$54,MATCH("center - baseline",'Case A - Stretch'!$C$52:$C$54,0),MATCH(E$23,'Case A - Stretch'!$D$51:$H$51,0))</f>
        <v>-0.50099231845870129</v>
      </c>
      <c r="F35" s="15">
        <f>INDEX('Company-level data'!$K$12:$O$23,MATCH($B35,'Company-level data'!$J$12:$J$23,0),MATCH(F$23,'Company-level data'!$K$11:$O$11,0))+INDEX('Case A - Stretch'!$D$20:$H$42,MATCH($B35,'Case A - Stretch'!$C$20:$C$42,0),MATCH(F$23,'Case A - Stretch'!$D$18:$H$18,0))*'Case A - Stretch'!$G$15-INDEX('Case A - Stretch'!$K$47:$O$57,MATCH($B35,'Case A - Stretch'!$J$47:$J$57,0),MATCH(F$23,'Case A - Stretch'!$D$51:$H$51,0))*INDEX('Case A - Stretch'!$D$52:$H$54,MATCH("center - baseline",'Case A - Stretch'!$C$52:$C$54,0),MATCH(F$23,'Case A - Stretch'!$D$51:$H$51,0))</f>
        <v>0.21510657637342123</v>
      </c>
      <c r="G35" s="15">
        <f>INDEX('Company-level data'!$K$12:$O$23,MATCH($B35,'Company-level data'!$J$12:$J$23,0),MATCH(G$23,'Company-level data'!$K$11:$O$11,0))+INDEX('Case A - Stretch'!$D$20:$H$42,MATCH($B35,'Case A - Stretch'!$C$20:$C$42,0),MATCH(G$23,'Case A - Stretch'!$D$18:$H$18,0))*'Case A - Stretch'!$G$15-INDEX('Case A - Stretch'!$K$47:$O$57,MATCH($B35,'Case A - Stretch'!$J$47:$J$57,0),MATCH(G$23,'Case A - Stretch'!$D$51:$H$51,0))*INDEX('Case A - Stretch'!$D$52:$H$54,MATCH("center - baseline",'Case A - Stretch'!$C$52:$C$54,0),MATCH(G$23,'Case A - Stretch'!$D$51:$H$51,0))</f>
        <v>1.602257118116047</v>
      </c>
    </row>
    <row r="36" spans="2:7" x14ac:dyDescent="0.2">
      <c r="B36" s="19" t="s">
        <v>24</v>
      </c>
      <c r="C36" s="22">
        <f>'Company-level data'!K$12</f>
        <v>55.86426098874805</v>
      </c>
      <c r="D36" s="22">
        <f>'Company-level data'!L$12</f>
        <v>71.834261377960829</v>
      </c>
      <c r="E36" s="22">
        <f>'Company-level data'!M$12</f>
        <v>92.859736872877662</v>
      </c>
      <c r="F36" s="22">
        <f>'Company-level data'!N$12</f>
        <v>120.77605450814248</v>
      </c>
      <c r="G36" s="22">
        <f>'Company-level data'!O$12</f>
        <v>154.66036200808</v>
      </c>
    </row>
    <row r="37" spans="2:7" x14ac:dyDescent="0.2">
      <c r="B37" s="19" t="s">
        <v>25</v>
      </c>
      <c r="C37" s="35">
        <f>'Case A - Stretch'!D$52</f>
        <v>2.5649999999999999</v>
      </c>
      <c r="D37" s="35">
        <f>'Case A - Stretch'!E$52</f>
        <v>6.3937499999999998</v>
      </c>
      <c r="E37" s="35">
        <f>'Case A - Stretch'!F$52</f>
        <v>8.1300000000000008</v>
      </c>
      <c r="F37" s="35">
        <f>'Case A - Stretch'!G$52</f>
        <v>8.5425000000000004</v>
      </c>
      <c r="G37" s="35">
        <f>'Case A - Stretch'!H$52</f>
        <v>8.6549999999999994</v>
      </c>
    </row>
    <row r="38" spans="2:7" ht="13.5" thickBot="1" x14ac:dyDescent="0.25">
      <c r="B38" s="27" t="s">
        <v>26</v>
      </c>
      <c r="C38" s="51">
        <f>+'Case A - Stretch'!D$19*'Case A - Stretch'!$G$15</f>
        <v>0</v>
      </c>
      <c r="D38" s="51">
        <f>+'Case A - Stretch'!E$19*'Case A - Stretch'!$G$15</f>
        <v>0.5</v>
      </c>
      <c r="E38" s="51">
        <f>+'Case A - Stretch'!F$19*'Case A - Stretch'!$G$15</f>
        <v>3.4999999999999996</v>
      </c>
      <c r="F38" s="51">
        <f>+'Case A - Stretch'!G$19*'Case A - Stretch'!$G$15</f>
        <v>4.5000000000000009</v>
      </c>
      <c r="G38" s="51">
        <f>+'Case A - Stretch'!H$19*'Case A - Stretch'!$G$15</f>
        <v>5</v>
      </c>
    </row>
    <row r="39" spans="2:7" ht="13.5" thickTop="1" x14ac:dyDescent="0.2">
      <c r="B39" s="6" t="s">
        <v>27</v>
      </c>
      <c r="C39" s="28">
        <f>C36-C37+C38</f>
        <v>53.299260988748053</v>
      </c>
      <c r="D39" s="28">
        <f>D36-D37+D38</f>
        <v>65.940511377960831</v>
      </c>
      <c r="E39" s="28">
        <f>E36-E37+E38</f>
        <v>88.229736872877666</v>
      </c>
      <c r="F39" s="28">
        <f>F36-F37+F38</f>
        <v>116.73355450814248</v>
      </c>
      <c r="G39" s="28">
        <f>G36-G37+G38</f>
        <v>151.00536200808</v>
      </c>
    </row>
    <row r="40" spans="2:7" x14ac:dyDescent="0.2">
      <c r="B40" s="36" t="s">
        <v>28</v>
      </c>
      <c r="C40" s="36" t="b">
        <f>ROUND(C39,8)=ROUND(C24,8)</f>
        <v>1</v>
      </c>
      <c r="D40" s="36" t="b">
        <f>ROUND(D39,8)=ROUND(D24,8)</f>
        <v>1</v>
      </c>
      <c r="E40" s="36" t="b">
        <f>ROUND(E39,8)=ROUND(E24,8)</f>
        <v>1</v>
      </c>
      <c r="F40" s="36" t="b">
        <f>ROUND(F39,8)=ROUND(F24,8)</f>
        <v>1</v>
      </c>
      <c r="G40" s="36" t="b">
        <f>ROUND(G39,8)=ROUND(G24,8)</f>
        <v>1</v>
      </c>
    </row>
    <row r="41" spans="2:7" x14ac:dyDescent="0.2">
      <c r="B41" s="23" t="s">
        <v>75</v>
      </c>
      <c r="C41" s="12"/>
      <c r="D41" s="12"/>
      <c r="E41" s="12"/>
      <c r="F41" s="12"/>
      <c r="G41" s="12"/>
    </row>
  </sheetData>
  <conditionalFormatting sqref="F8:F13 F6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showGridLines="0" tabSelected="1" zoomScale="80" zoomScaleNormal="80" workbookViewId="0">
      <selection activeCell="C9" sqref="C9"/>
    </sheetView>
  </sheetViews>
  <sheetFormatPr defaultRowHeight="12.75" x14ac:dyDescent="0.2"/>
  <cols>
    <col min="1" max="1" width="12.28515625" style="4" bestFit="1" customWidth="1"/>
    <col min="2" max="16384" width="9.140625" style="4"/>
  </cols>
  <sheetData>
    <row r="1" spans="1:22" x14ac:dyDescent="0.2">
      <c r="B1" s="4" t="s">
        <v>196</v>
      </c>
      <c r="C1" s="4" t="s">
        <v>197</v>
      </c>
      <c r="D1" s="4" t="s">
        <v>198</v>
      </c>
      <c r="E1" s="4" t="s">
        <v>199</v>
      </c>
      <c r="F1" s="4" t="s">
        <v>200</v>
      </c>
      <c r="G1" s="4" t="s">
        <v>201</v>
      </c>
      <c r="H1" s="4" t="s">
        <v>202</v>
      </c>
    </row>
    <row r="2" spans="1:22" x14ac:dyDescent="0.2">
      <c r="A2" s="4" t="s">
        <v>203</v>
      </c>
      <c r="B2" s="9">
        <f>'Company-level data'!O18</f>
        <v>46</v>
      </c>
      <c r="C2" s="9">
        <f>'Company-level data'!O19</f>
        <v>19.499906540400005</v>
      </c>
      <c r="D2" s="9">
        <f>'Company-level data'!O20</f>
        <v>18.384187500000003</v>
      </c>
      <c r="E2" s="9">
        <f>'Company-level data'!O21</f>
        <v>18.36</v>
      </c>
      <c r="F2" s="9">
        <f>'Company-level data'!O22</f>
        <v>8.7193215001799835</v>
      </c>
      <c r="G2" s="9">
        <f>'Company-level data'!O23</f>
        <v>2.5969464675000005</v>
      </c>
      <c r="H2" s="9">
        <f>'Company-level data'!O13</f>
        <v>41.1</v>
      </c>
    </row>
    <row r="3" spans="1:22" x14ac:dyDescent="0.2">
      <c r="A3" s="4" t="s">
        <v>204</v>
      </c>
      <c r="B3" s="9">
        <f>'Company-level data'!O34</f>
        <v>35</v>
      </c>
      <c r="C3" s="9">
        <f>'Company-level data'!O35</f>
        <v>12.802198027500001</v>
      </c>
      <c r="D3" s="9">
        <f>'Company-level data'!O36</f>
        <v>13.953598312500002</v>
      </c>
      <c r="E3" s="9">
        <f>'Company-level data'!O37</f>
        <v>9.6054942500000031</v>
      </c>
      <c r="F3" s="9">
        <f>'Company-level data'!O38</f>
        <v>6.9159999999999986</v>
      </c>
      <c r="G3" s="9">
        <f>'Company-level data'!O39</f>
        <v>0.70986780506249991</v>
      </c>
      <c r="H3" s="9">
        <f>'Company-level data'!O29</f>
        <v>30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">
      <c r="A4" s="4" t="s">
        <v>205</v>
      </c>
      <c r="B4" s="9">
        <f>'Company-level data'!O50</f>
        <v>20.939493258224502</v>
      </c>
      <c r="C4" s="9">
        <f>'Company-level data'!O51</f>
        <v>9.120486785587202</v>
      </c>
      <c r="D4" s="9">
        <f>'Company-level data'!O52</f>
        <v>8.4</v>
      </c>
      <c r="E4" s="9">
        <f>'Company-level data'!O53</f>
        <v>5.8814203140000023</v>
      </c>
      <c r="F4" s="9">
        <f>'Company-level data'!O54</f>
        <v>4.6479387800774417</v>
      </c>
      <c r="G4" s="9">
        <f>'Company-level data'!O55</f>
        <v>0</v>
      </c>
      <c r="H4" s="9">
        <f>'Company-level data'!O45</f>
        <v>19.753987538799606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Company-level data</vt:lpstr>
      <vt:lpstr>Case A - Stretch</vt:lpstr>
      <vt:lpstr>Case B - 50-50</vt:lpstr>
      <vt:lpstr>Case C - Downside</vt:lpstr>
      <vt:lpstr>Center cost &amp; synergy worksheet</vt:lpstr>
      <vt:lpstr>Portfolio multiples reference</vt:lpstr>
      <vt:lpstr>Slide output</vt:lpstr>
      <vt:lpstr>Graveyard</vt:lpstr>
      <vt:lpstr>Company Data Exports</vt:lpstr>
      <vt:lpstr>'Case A - Stretch'!BainHeaderLastChanged</vt:lpstr>
      <vt:lpstr>'Case B - 50-50'!BainHeaderLastChanged</vt:lpstr>
      <vt:lpstr>'Case C - Downside'!BainHeaderLastChanged</vt:lpstr>
      <vt:lpstr>'Center cost &amp; synergy worksheet'!BainHeaderLastChanged</vt:lpstr>
      <vt:lpstr>'Company-level data'!BainHeaderLastChanged</vt:lpstr>
      <vt:lpstr>'Slide output'!BainHeaderLastChanged</vt:lpstr>
      <vt:lpstr>'Case A - Stretch'!BainHeaderSheetName</vt:lpstr>
      <vt:lpstr>'Case B - 50-50'!BainHeaderSheetName</vt:lpstr>
      <vt:lpstr>'Case C - Downside'!BainHeaderSheetName</vt:lpstr>
      <vt:lpstr>'Center cost &amp; synergy worksheet'!BainHeaderSheetName</vt:lpstr>
      <vt:lpstr>'Company-level data'!BainHeaderSheetName</vt:lpstr>
      <vt:lpstr>'Slide output'!BainHeaderSheetName</vt:lpstr>
      <vt:lpstr>'Case A - Stretch'!BainHeaderWorkbookTitle</vt:lpstr>
      <vt:lpstr>'Case B - 50-50'!BainHeaderWorkbookTitle</vt:lpstr>
      <vt:lpstr>'Case C - Downside'!BainHeaderWorkbookTitle</vt:lpstr>
      <vt:lpstr>'Center cost &amp; synergy worksheet'!BainHeaderWorkbookTitle</vt:lpstr>
      <vt:lpstr>'Company-level data'!BainHeaderWorkbookTitle</vt:lpstr>
      <vt:lpstr>'Slide output'!BainHeaderWorkbookTitle</vt:lpstr>
    </vt:vector>
  </TitlesOfParts>
  <Company>Bain &amp;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Ernst</dc:creator>
  <cp:lastModifiedBy>Ben Vander</cp:lastModifiedBy>
  <dcterms:created xsi:type="dcterms:W3CDTF">2015-09-15T05:12:40Z</dcterms:created>
  <dcterms:modified xsi:type="dcterms:W3CDTF">2015-10-15T05:10:43Z</dcterms:modified>
</cp:coreProperties>
</file>