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envanmaren/Desktop/themeforest-21062060-mat-html-vcard-template/Main Files/Default Version/portfolio-detail/"/>
    </mc:Choice>
  </mc:AlternateContent>
  <bookViews>
    <workbookView xWindow="0" yWindow="460" windowWidth="25600" windowHeight="14620"/>
  </bookViews>
  <sheets>
    <sheet name="No infection (112414)" sheetId="1" r:id="rId1"/>
    <sheet name="Infection (122914)" sheetId="2" r:id="rId2"/>
    <sheet name="All graphs" sheetId="3" r:id="rId3"/>
    <sheet name="Firefly comparison" sheetId="4" r:id="rId4"/>
    <sheet name="RR%r comparison" sheetId="5" r:id="rId5"/>
    <sheet name="Total prot norm. (inf)" sheetId="6" r:id="rId6"/>
    <sheet name="Prot. conc. (inf)" sheetId="7" r:id="rId7"/>
    <sheet name="Techincal replicates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8" l="1"/>
  <c r="H16" i="8"/>
  <c r="J16" i="8"/>
  <c r="H23" i="8"/>
  <c r="H17" i="8"/>
  <c r="J17" i="8"/>
  <c r="H24" i="8"/>
  <c r="H18" i="8"/>
  <c r="J18" i="8"/>
  <c r="H25" i="8"/>
  <c r="H19" i="8"/>
  <c r="J19" i="8"/>
  <c r="H26" i="8"/>
  <c r="H20" i="8"/>
  <c r="J20" i="8"/>
  <c r="H21" i="8"/>
  <c r="H15" i="8"/>
  <c r="J15" i="8"/>
  <c r="H10" i="8"/>
  <c r="H4" i="8"/>
  <c r="J4" i="8"/>
  <c r="H11" i="8"/>
  <c r="H5" i="8"/>
  <c r="J5" i="8"/>
  <c r="H12" i="8"/>
  <c r="H6" i="8"/>
  <c r="J6" i="8"/>
  <c r="H13" i="8"/>
  <c r="H7" i="8"/>
  <c r="J7" i="8"/>
  <c r="H14" i="8"/>
  <c r="H8" i="8"/>
  <c r="J8" i="8"/>
  <c r="H9" i="8"/>
  <c r="H3" i="8"/>
  <c r="J3" i="8"/>
  <c r="G22" i="8"/>
  <c r="G16" i="8"/>
  <c r="I16" i="8"/>
  <c r="G23" i="8"/>
  <c r="G17" i="8"/>
  <c r="I17" i="8"/>
  <c r="G24" i="8"/>
  <c r="G18" i="8"/>
  <c r="I18" i="8"/>
  <c r="G25" i="8"/>
  <c r="G19" i="8"/>
  <c r="I19" i="8"/>
  <c r="G26" i="8"/>
  <c r="G20" i="8"/>
  <c r="I20" i="8"/>
  <c r="G21" i="8"/>
  <c r="G15" i="8"/>
  <c r="I15" i="8"/>
  <c r="G10" i="8"/>
  <c r="G4" i="8"/>
  <c r="I4" i="8"/>
  <c r="G11" i="8"/>
  <c r="G5" i="8"/>
  <c r="I5" i="8"/>
  <c r="G12" i="8"/>
  <c r="G6" i="8"/>
  <c r="I6" i="8"/>
  <c r="G13" i="8"/>
  <c r="G7" i="8"/>
  <c r="I7" i="8"/>
  <c r="G14" i="8"/>
  <c r="G8" i="8"/>
  <c r="I8" i="8"/>
  <c r="G9" i="8"/>
  <c r="G3" i="8"/>
  <c r="I3" i="8"/>
  <c r="G31" i="2"/>
  <c r="G32" i="2"/>
  <c r="G33" i="2"/>
  <c r="G34" i="2"/>
  <c r="G35" i="2"/>
  <c r="G30" i="2"/>
  <c r="F31" i="2"/>
  <c r="F32" i="2"/>
  <c r="F33" i="2"/>
  <c r="F34" i="2"/>
  <c r="F35" i="2"/>
  <c r="F30" i="2"/>
  <c r="G30" i="1"/>
  <c r="G31" i="1"/>
  <c r="G32" i="1"/>
  <c r="G33" i="1"/>
  <c r="G34" i="1"/>
  <c r="G29" i="1"/>
  <c r="F34" i="1"/>
  <c r="F33" i="1"/>
  <c r="F29" i="1"/>
  <c r="F32" i="1"/>
  <c r="F31" i="1"/>
  <c r="F30" i="1"/>
  <c r="E29" i="1"/>
  <c r="J4" i="6"/>
  <c r="K4" i="6"/>
  <c r="L4" i="6"/>
  <c r="S18" i="6"/>
  <c r="N4" i="6"/>
  <c r="J5" i="6"/>
  <c r="K5" i="6"/>
  <c r="L5" i="6"/>
  <c r="N5" i="6"/>
  <c r="J6" i="6"/>
  <c r="K6" i="6"/>
  <c r="L6" i="6"/>
  <c r="N6" i="6"/>
  <c r="J9" i="6"/>
  <c r="K9" i="6"/>
  <c r="L9" i="6"/>
  <c r="N9" i="6"/>
  <c r="J11" i="6"/>
  <c r="K11" i="6"/>
  <c r="L11" i="6"/>
  <c r="N11" i="6"/>
  <c r="J12" i="6"/>
  <c r="K12" i="6"/>
  <c r="L12" i="6"/>
  <c r="N12" i="6"/>
  <c r="J13" i="6"/>
  <c r="K13" i="6"/>
  <c r="L13" i="6"/>
  <c r="N13" i="6"/>
  <c r="J15" i="6"/>
  <c r="K15" i="6"/>
  <c r="L15" i="6"/>
  <c r="N15" i="6"/>
  <c r="J16" i="6"/>
  <c r="K16" i="6"/>
  <c r="L16" i="6"/>
  <c r="N16" i="6"/>
  <c r="J17" i="6"/>
  <c r="K17" i="6"/>
  <c r="L17" i="6"/>
  <c r="N17" i="6"/>
  <c r="J18" i="6"/>
  <c r="K18" i="6"/>
  <c r="L18" i="6"/>
  <c r="N18" i="6"/>
  <c r="J19" i="6"/>
  <c r="K19" i="6"/>
  <c r="L19" i="6"/>
  <c r="N19" i="6"/>
  <c r="J20" i="6"/>
  <c r="K20" i="6"/>
  <c r="L20" i="6"/>
  <c r="N20" i="6"/>
  <c r="J21" i="6"/>
  <c r="K21" i="6"/>
  <c r="L21" i="6"/>
  <c r="N21" i="6"/>
  <c r="J22" i="6"/>
  <c r="K22" i="6"/>
  <c r="L22" i="6"/>
  <c r="N22" i="6"/>
  <c r="J23" i="6"/>
  <c r="K23" i="6"/>
  <c r="L23" i="6"/>
  <c r="N23" i="6"/>
  <c r="J24" i="6"/>
  <c r="K24" i="6"/>
  <c r="L24" i="6"/>
  <c r="N24" i="6"/>
  <c r="J25" i="6"/>
  <c r="K25" i="6"/>
  <c r="L25" i="6"/>
  <c r="N25" i="6"/>
  <c r="J26" i="6"/>
  <c r="K26" i="6"/>
  <c r="L26" i="6"/>
  <c r="N26" i="6"/>
  <c r="J3" i="6"/>
  <c r="K3" i="6"/>
  <c r="L3" i="6"/>
  <c r="N3" i="6"/>
  <c r="M4" i="6"/>
  <c r="M5" i="6"/>
  <c r="M6" i="6"/>
  <c r="J7" i="6"/>
  <c r="K7" i="6"/>
  <c r="M7" i="6"/>
  <c r="J8" i="6"/>
  <c r="K8" i="6"/>
  <c r="M8" i="6"/>
  <c r="M9" i="6"/>
  <c r="J10" i="6"/>
  <c r="K10" i="6"/>
  <c r="M10" i="6"/>
  <c r="M11" i="6"/>
  <c r="M12" i="6"/>
  <c r="M13" i="6"/>
  <c r="J14" i="6"/>
  <c r="K14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3" i="6"/>
  <c r="S24" i="6"/>
  <c r="S25" i="6"/>
  <c r="S26" i="6"/>
  <c r="S27" i="6"/>
  <c r="S28" i="6"/>
  <c r="S23" i="6"/>
  <c r="S21" i="6"/>
  <c r="S19" i="6"/>
  <c r="S20" i="6"/>
  <c r="S17" i="6"/>
  <c r="R21" i="6"/>
  <c r="R18" i="6"/>
  <c r="R24" i="6"/>
  <c r="R25" i="6"/>
  <c r="R26" i="6"/>
  <c r="R27" i="6"/>
  <c r="R28" i="6"/>
  <c r="R23" i="6"/>
  <c r="R19" i="6"/>
  <c r="R20" i="6"/>
  <c r="R17" i="6"/>
  <c r="L7" i="6"/>
  <c r="L8" i="6"/>
  <c r="L10" i="6"/>
  <c r="L14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V13" i="6"/>
  <c r="V14" i="6"/>
  <c r="T13" i="6"/>
  <c r="T14" i="6"/>
  <c r="R13" i="6"/>
  <c r="R14" i="6"/>
  <c r="H16" i="6"/>
  <c r="G16" i="6"/>
  <c r="V7" i="6"/>
  <c r="V8" i="6"/>
  <c r="T7" i="6"/>
  <c r="T8" i="6"/>
  <c r="G7" i="6"/>
  <c r="H7" i="6"/>
  <c r="G13" i="6"/>
  <c r="H13" i="6"/>
  <c r="R7" i="6"/>
  <c r="G14" i="6"/>
  <c r="H14" i="6"/>
  <c r="G8" i="6"/>
  <c r="H8" i="6"/>
  <c r="R8" i="6"/>
  <c r="H15" i="6"/>
  <c r="G15" i="6"/>
  <c r="W14" i="6"/>
  <c r="U14" i="6"/>
  <c r="S14" i="6"/>
  <c r="W13" i="6"/>
  <c r="U13" i="6"/>
  <c r="S13" i="6"/>
  <c r="W12" i="6"/>
  <c r="V12" i="6"/>
  <c r="U12" i="6"/>
  <c r="T12" i="6"/>
  <c r="S12" i="6"/>
  <c r="R12" i="6"/>
  <c r="H12" i="6"/>
  <c r="G12" i="6"/>
  <c r="W11" i="6"/>
  <c r="V11" i="6"/>
  <c r="U11" i="6"/>
  <c r="T11" i="6"/>
  <c r="S11" i="6"/>
  <c r="R11" i="6"/>
  <c r="H11" i="6"/>
  <c r="G11" i="6"/>
  <c r="W10" i="6"/>
  <c r="V10" i="6"/>
  <c r="U10" i="6"/>
  <c r="T10" i="6"/>
  <c r="S10" i="6"/>
  <c r="R10" i="6"/>
  <c r="H10" i="6"/>
  <c r="G10" i="6"/>
  <c r="W9" i="6"/>
  <c r="V9" i="6"/>
  <c r="U9" i="6"/>
  <c r="T9" i="6"/>
  <c r="S9" i="6"/>
  <c r="R9" i="6"/>
  <c r="H9" i="6"/>
  <c r="G9" i="6"/>
  <c r="W8" i="6"/>
  <c r="U8" i="6"/>
  <c r="S8" i="6"/>
  <c r="W7" i="6"/>
  <c r="U7" i="6"/>
  <c r="S7" i="6"/>
  <c r="W6" i="6"/>
  <c r="V6" i="6"/>
  <c r="U6" i="6"/>
  <c r="T6" i="6"/>
  <c r="G6" i="6"/>
  <c r="H6" i="6"/>
  <c r="S6" i="6"/>
  <c r="R6" i="6"/>
  <c r="W5" i="6"/>
  <c r="V5" i="6"/>
  <c r="U5" i="6"/>
  <c r="T5" i="6"/>
  <c r="G5" i="6"/>
  <c r="H5" i="6"/>
  <c r="S5" i="6"/>
  <c r="R5" i="6"/>
  <c r="W4" i="6"/>
  <c r="V4" i="6"/>
  <c r="U4" i="6"/>
  <c r="T4" i="6"/>
  <c r="G4" i="6"/>
  <c r="H4" i="6"/>
  <c r="S4" i="6"/>
  <c r="R4" i="6"/>
  <c r="W3" i="6"/>
  <c r="V3" i="6"/>
  <c r="U3" i="6"/>
  <c r="T3" i="6"/>
  <c r="G3" i="6"/>
  <c r="H3" i="6"/>
  <c r="S3" i="6"/>
  <c r="R3" i="6"/>
  <c r="D34" i="1"/>
  <c r="E34" i="1"/>
  <c r="E30" i="1"/>
  <c r="E31" i="1"/>
  <c r="E32" i="1"/>
  <c r="E33" i="1"/>
  <c r="D30" i="1"/>
  <c r="D31" i="1"/>
  <c r="D32" i="1"/>
  <c r="D33" i="1"/>
  <c r="D29" i="1"/>
  <c r="E31" i="2"/>
  <c r="E32" i="2"/>
  <c r="E33" i="2"/>
  <c r="E34" i="2"/>
  <c r="E35" i="2"/>
  <c r="E30" i="2"/>
  <c r="D31" i="2"/>
  <c r="D32" i="2"/>
  <c r="D33" i="2"/>
  <c r="D34" i="2"/>
  <c r="D35" i="2"/>
  <c r="D30" i="2"/>
  <c r="P10" i="2"/>
  <c r="T10" i="2"/>
  <c r="P11" i="2"/>
  <c r="T11" i="2"/>
  <c r="P12" i="2"/>
  <c r="T12" i="2"/>
  <c r="P9" i="2"/>
  <c r="T9" i="2"/>
  <c r="P4" i="2"/>
  <c r="T4" i="2"/>
  <c r="P5" i="2"/>
  <c r="T5" i="2"/>
  <c r="P6" i="2"/>
  <c r="T6" i="2"/>
  <c r="P3" i="2"/>
  <c r="T3" i="2"/>
  <c r="N10" i="2"/>
  <c r="S10" i="2"/>
  <c r="N11" i="2"/>
  <c r="S11" i="2"/>
  <c r="N12" i="2"/>
  <c r="S12" i="2"/>
  <c r="N9" i="2"/>
  <c r="S9" i="2"/>
  <c r="N4" i="2"/>
  <c r="S4" i="2"/>
  <c r="N5" i="2"/>
  <c r="S5" i="2"/>
  <c r="N6" i="2"/>
  <c r="S6" i="2"/>
  <c r="N3" i="2"/>
  <c r="S3" i="2"/>
  <c r="G16" i="2"/>
  <c r="H16" i="2"/>
  <c r="G22" i="2"/>
  <c r="H22" i="2"/>
  <c r="L10" i="2"/>
  <c r="R10" i="2"/>
  <c r="G17" i="2"/>
  <c r="H17" i="2"/>
  <c r="G23" i="2"/>
  <c r="H23" i="2"/>
  <c r="L11" i="2"/>
  <c r="R11" i="2"/>
  <c r="G18" i="2"/>
  <c r="H18" i="2"/>
  <c r="G24" i="2"/>
  <c r="H24" i="2"/>
  <c r="L12" i="2"/>
  <c r="R12" i="2"/>
  <c r="G15" i="2"/>
  <c r="H15" i="2"/>
  <c r="G21" i="2"/>
  <c r="H21" i="2"/>
  <c r="L9" i="2"/>
  <c r="R9" i="2"/>
  <c r="G4" i="2"/>
  <c r="H4" i="2"/>
  <c r="G10" i="2"/>
  <c r="H10" i="2"/>
  <c r="L4" i="2"/>
  <c r="R4" i="2"/>
  <c r="G5" i="2"/>
  <c r="H5" i="2"/>
  <c r="G11" i="2"/>
  <c r="H11" i="2"/>
  <c r="L5" i="2"/>
  <c r="R5" i="2"/>
  <c r="G6" i="2"/>
  <c r="H6" i="2"/>
  <c r="G12" i="2"/>
  <c r="H12" i="2"/>
  <c r="L6" i="2"/>
  <c r="R6" i="2"/>
  <c r="G3" i="2"/>
  <c r="H3" i="2"/>
  <c r="G9" i="2"/>
  <c r="H9" i="2"/>
  <c r="L3" i="2"/>
  <c r="R3" i="2"/>
  <c r="P13" i="2"/>
  <c r="P14" i="2"/>
  <c r="P16" i="2"/>
  <c r="P7" i="2"/>
  <c r="P8" i="2"/>
  <c r="P15" i="2"/>
  <c r="N13" i="2"/>
  <c r="N14" i="2"/>
  <c r="N16" i="2"/>
  <c r="N7" i="2"/>
  <c r="N8" i="2"/>
  <c r="N15" i="2"/>
  <c r="G19" i="2"/>
  <c r="H19" i="2"/>
  <c r="G25" i="2"/>
  <c r="H25" i="2"/>
  <c r="L13" i="2"/>
  <c r="G20" i="2"/>
  <c r="H20" i="2"/>
  <c r="G26" i="2"/>
  <c r="H26" i="2"/>
  <c r="L14" i="2"/>
  <c r="L16" i="2"/>
  <c r="G7" i="2"/>
  <c r="H7" i="2"/>
  <c r="G13" i="2"/>
  <c r="H13" i="2"/>
  <c r="L7" i="2"/>
  <c r="G14" i="2"/>
  <c r="H14" i="2"/>
  <c r="G8" i="2"/>
  <c r="H8" i="2"/>
  <c r="L8" i="2"/>
  <c r="L15" i="2"/>
  <c r="X6" i="2"/>
  <c r="W6" i="2"/>
  <c r="V6" i="2"/>
  <c r="X5" i="2"/>
  <c r="W5" i="2"/>
  <c r="V5" i="2"/>
  <c r="X4" i="2"/>
  <c r="W4" i="2"/>
  <c r="V4" i="2"/>
  <c r="X3" i="2"/>
  <c r="W3" i="2"/>
  <c r="V3" i="2"/>
  <c r="P10" i="1"/>
  <c r="T10" i="1"/>
  <c r="P4" i="1"/>
  <c r="T4" i="1"/>
  <c r="X4" i="1"/>
  <c r="P11" i="1"/>
  <c r="T11" i="1"/>
  <c r="P5" i="1"/>
  <c r="T5" i="1"/>
  <c r="X5" i="1"/>
  <c r="P12" i="1"/>
  <c r="T12" i="1"/>
  <c r="P6" i="1"/>
  <c r="T6" i="1"/>
  <c r="X6" i="1"/>
  <c r="P9" i="1"/>
  <c r="T9" i="1"/>
  <c r="P3" i="1"/>
  <c r="T3" i="1"/>
  <c r="X3" i="1"/>
  <c r="N10" i="1"/>
  <c r="S10" i="1"/>
  <c r="N4" i="1"/>
  <c r="S4" i="1"/>
  <c r="W4" i="1"/>
  <c r="N11" i="1"/>
  <c r="S11" i="1"/>
  <c r="N5" i="1"/>
  <c r="S5" i="1"/>
  <c r="W5" i="1"/>
  <c r="N12" i="1"/>
  <c r="S12" i="1"/>
  <c r="N6" i="1"/>
  <c r="S6" i="1"/>
  <c r="W6" i="1"/>
  <c r="N9" i="1"/>
  <c r="S9" i="1"/>
  <c r="N3" i="1"/>
  <c r="S3" i="1"/>
  <c r="W3" i="1"/>
  <c r="G16" i="1"/>
  <c r="H16" i="1"/>
  <c r="G22" i="1"/>
  <c r="H22" i="1"/>
  <c r="L10" i="1"/>
  <c r="R10" i="1"/>
  <c r="G4" i="1"/>
  <c r="H4" i="1"/>
  <c r="G10" i="1"/>
  <c r="H10" i="1"/>
  <c r="L4" i="1"/>
  <c r="R4" i="1"/>
  <c r="V4" i="1"/>
  <c r="G17" i="1"/>
  <c r="H17" i="1"/>
  <c r="G23" i="1"/>
  <c r="H23" i="1"/>
  <c r="L11" i="1"/>
  <c r="R11" i="1"/>
  <c r="G5" i="1"/>
  <c r="H5" i="1"/>
  <c r="G11" i="1"/>
  <c r="H11" i="1"/>
  <c r="L5" i="1"/>
  <c r="R5" i="1"/>
  <c r="V5" i="1"/>
  <c r="G18" i="1"/>
  <c r="H18" i="1"/>
  <c r="G24" i="1"/>
  <c r="H24" i="1"/>
  <c r="L12" i="1"/>
  <c r="R12" i="1"/>
  <c r="G6" i="1"/>
  <c r="H6" i="1"/>
  <c r="G12" i="1"/>
  <c r="H12" i="1"/>
  <c r="L6" i="1"/>
  <c r="R6" i="1"/>
  <c r="V6" i="1"/>
  <c r="G15" i="1"/>
  <c r="H15" i="1"/>
  <c r="G21" i="1"/>
  <c r="H21" i="1"/>
  <c r="L9" i="1"/>
  <c r="R9" i="1"/>
  <c r="G3" i="1"/>
  <c r="H3" i="1"/>
  <c r="G9" i="1"/>
  <c r="H9" i="1"/>
  <c r="L3" i="1"/>
  <c r="R3" i="1"/>
  <c r="V3" i="1"/>
  <c r="Q14" i="2"/>
  <c r="O14" i="2"/>
  <c r="M14" i="2"/>
  <c r="Q8" i="2"/>
  <c r="O8" i="2"/>
  <c r="M8" i="2"/>
  <c r="Q13" i="2"/>
  <c r="O13" i="2"/>
  <c r="M13" i="2"/>
  <c r="Q12" i="2"/>
  <c r="O12" i="2"/>
  <c r="M12" i="2"/>
  <c r="Q11" i="2"/>
  <c r="O11" i="2"/>
  <c r="M11" i="2"/>
  <c r="Q10" i="2"/>
  <c r="O10" i="2"/>
  <c r="M10" i="2"/>
  <c r="Q9" i="2"/>
  <c r="O9" i="2"/>
  <c r="M9" i="2"/>
  <c r="Q7" i="2"/>
  <c r="O7" i="2"/>
  <c r="M7" i="2"/>
  <c r="Q6" i="2"/>
  <c r="O6" i="2"/>
  <c r="M6" i="2"/>
  <c r="Q5" i="2"/>
  <c r="O5" i="2"/>
  <c r="M5" i="2"/>
  <c r="Q4" i="2"/>
  <c r="O4" i="2"/>
  <c r="M4" i="2"/>
  <c r="Q3" i="2"/>
  <c r="O3" i="2"/>
  <c r="M3" i="2"/>
  <c r="Q8" i="1"/>
  <c r="Q14" i="1"/>
  <c r="O14" i="1"/>
  <c r="H25" i="1"/>
  <c r="G25" i="1"/>
  <c r="H20" i="1"/>
  <c r="G20" i="1"/>
  <c r="H19" i="1"/>
  <c r="G19" i="1"/>
  <c r="P14" i="1"/>
  <c r="N14" i="1"/>
  <c r="G8" i="1"/>
  <c r="H8" i="1"/>
  <c r="M14" i="1"/>
  <c r="L14" i="1"/>
  <c r="H14" i="1"/>
  <c r="G14" i="1"/>
  <c r="Q13" i="1"/>
  <c r="P13" i="1"/>
  <c r="O13" i="1"/>
  <c r="N13" i="1"/>
  <c r="M13" i="1"/>
  <c r="L13" i="1"/>
  <c r="H13" i="1"/>
  <c r="G13" i="1"/>
  <c r="Q12" i="1"/>
  <c r="O12" i="1"/>
  <c r="M12" i="1"/>
  <c r="Q11" i="1"/>
  <c r="O11" i="1"/>
  <c r="M11" i="1"/>
  <c r="Q10" i="1"/>
  <c r="O10" i="1"/>
  <c r="M10" i="1"/>
  <c r="Q9" i="1"/>
  <c r="O9" i="1"/>
  <c r="M9" i="1"/>
  <c r="P8" i="1"/>
  <c r="O8" i="1"/>
  <c r="N8" i="1"/>
  <c r="M8" i="1"/>
  <c r="L8" i="1"/>
  <c r="Q7" i="1"/>
  <c r="P7" i="1"/>
  <c r="O7" i="1"/>
  <c r="N7" i="1"/>
  <c r="G7" i="1"/>
  <c r="H7" i="1"/>
  <c r="M7" i="1"/>
  <c r="L7" i="1"/>
  <c r="Q6" i="1"/>
  <c r="O6" i="1"/>
  <c r="M6" i="1"/>
  <c r="Q5" i="1"/>
  <c r="O5" i="1"/>
  <c r="M5" i="1"/>
  <c r="Q4" i="1"/>
  <c r="O4" i="1"/>
  <c r="M4" i="1"/>
  <c r="Q3" i="1"/>
  <c r="O3" i="1"/>
  <c r="M3" i="1"/>
</calcChain>
</file>

<file path=xl/sharedStrings.xml><?xml version="1.0" encoding="utf-8"?>
<sst xmlns="http://schemas.openxmlformats.org/spreadsheetml/2006/main" count="275" uniqueCount="67">
  <si>
    <t>Sample ID</t>
  </si>
  <si>
    <t>Trial 1</t>
  </si>
  <si>
    <t>Trial 2</t>
  </si>
  <si>
    <t>Firefly/Renilla</t>
  </si>
  <si>
    <t>Firefly RLU/s</t>
  </si>
  <si>
    <t>Renilla RLU/s</t>
  </si>
  <si>
    <t xml:space="preserve">Samples </t>
  </si>
  <si>
    <t>Treatment</t>
  </si>
  <si>
    <t>Avg ratio</t>
  </si>
  <si>
    <t>SEM ratio</t>
  </si>
  <si>
    <t>Avg Firefly</t>
  </si>
  <si>
    <t>SEM Firefly</t>
  </si>
  <si>
    <t>Avg Renilla</t>
  </si>
  <si>
    <t>SEM Renilla</t>
  </si>
  <si>
    <t>A</t>
  </si>
  <si>
    <t>A1, B1</t>
  </si>
  <si>
    <t>133/5/6</t>
  </si>
  <si>
    <t>A2, B2</t>
  </si>
  <si>
    <t>133/5</t>
  </si>
  <si>
    <t>A3, B3</t>
  </si>
  <si>
    <t>135/6</t>
  </si>
  <si>
    <t>A4, B4</t>
  </si>
  <si>
    <t>135</t>
  </si>
  <si>
    <t>A5, B5</t>
  </si>
  <si>
    <t>+ control</t>
  </si>
  <si>
    <t>(no A6) B6</t>
  </si>
  <si>
    <t>- control</t>
  </si>
  <si>
    <t>B</t>
  </si>
  <si>
    <t>C1, D1</t>
  </si>
  <si>
    <t>133/5/6 + EGF</t>
  </si>
  <si>
    <t>C2, D2</t>
  </si>
  <si>
    <t>133/5 + EGF</t>
  </si>
  <si>
    <t>C3, D3</t>
  </si>
  <si>
    <t>135/6 + EGF</t>
  </si>
  <si>
    <t>C4, D4</t>
  </si>
  <si>
    <t>135 + EGF</t>
  </si>
  <si>
    <t>C5, D5</t>
  </si>
  <si>
    <t>+ control + EGF</t>
  </si>
  <si>
    <t>C6, D6</t>
  </si>
  <si>
    <t>- control + EGF</t>
  </si>
  <si>
    <t>C</t>
  </si>
  <si>
    <t>D</t>
  </si>
  <si>
    <t>A6</t>
  </si>
  <si>
    <t>A6, B6</t>
  </si>
  <si>
    <t>Ratio</t>
  </si>
  <si>
    <t>Firefly</t>
  </si>
  <si>
    <t>Renilla</t>
  </si>
  <si>
    <t>Relative response %</t>
  </si>
  <si>
    <t>RR% [Egf/none] ratio</t>
  </si>
  <si>
    <t>No infection</t>
  </si>
  <si>
    <t>Infection</t>
  </si>
  <si>
    <t>RR ratio (aside) was converted to a %. (% Egf) was divided by (% no Egf) for each treatment.</t>
  </si>
  <si>
    <r>
      <t xml:space="preserve">With Egf stimulation, </t>
    </r>
    <r>
      <rPr>
        <i/>
        <sz val="12"/>
        <color theme="1"/>
        <rFont val="Times New Roman"/>
        <family val="1"/>
      </rPr>
      <t>treatment</t>
    </r>
    <r>
      <rPr>
        <sz val="12"/>
        <color theme="1"/>
        <rFont val="Times New Roman"/>
        <family val="2"/>
      </rPr>
      <t xml:space="preserve"> is </t>
    </r>
    <r>
      <rPr>
        <i/>
        <u/>
        <sz val="12"/>
        <color theme="1"/>
        <rFont val="Times New Roman"/>
        <family val="1"/>
      </rPr>
      <t>x</t>
    </r>
    <r>
      <rPr>
        <u/>
        <sz val="12"/>
        <color theme="1"/>
        <rFont val="Times New Roman"/>
        <family val="1"/>
      </rPr>
      <t xml:space="preserve"> times as effective as the negative control at DEcreasing</t>
    </r>
    <r>
      <rPr>
        <sz val="12"/>
        <color theme="1"/>
        <rFont val="Times New Roman"/>
        <family val="2"/>
      </rPr>
      <t xml:space="preserve"> (</t>
    </r>
    <r>
      <rPr>
        <i/>
        <sz val="12"/>
        <color theme="1"/>
        <rFont val="Times New Roman"/>
        <family val="1"/>
      </rPr>
      <t>ratio/firefly/renilla</t>
    </r>
    <r>
      <rPr>
        <sz val="12"/>
        <color theme="1"/>
        <rFont val="Times New Roman"/>
        <family val="2"/>
      </rPr>
      <t>). A negative result means one condition increased, one decreased.</t>
    </r>
  </si>
  <si>
    <t>A, C; both trials</t>
  </si>
  <si>
    <t>B, D; both trials</t>
  </si>
  <si>
    <r>
      <t xml:space="preserve">Total protein (ug) </t>
    </r>
    <r>
      <rPr>
        <i/>
        <sz val="12"/>
        <color theme="1"/>
        <rFont val="Times New Roman"/>
        <family val="1"/>
      </rPr>
      <t>([conc in uL]*10)</t>
    </r>
  </si>
  <si>
    <t>Protein concentration (ug/uL)</t>
  </si>
  <si>
    <r>
      <t xml:space="preserve">Firefly normalized response </t>
    </r>
    <r>
      <rPr>
        <sz val="12"/>
        <color theme="1"/>
        <rFont val="Times New Roman"/>
        <family val="2"/>
      </rPr>
      <t>([Firefly RLU/s]/[Total protein])</t>
    </r>
  </si>
  <si>
    <t>Avg normalized Firefly</t>
  </si>
  <si>
    <t>SEM</t>
  </si>
  <si>
    <t>B2 exluded</t>
  </si>
  <si>
    <t>A5 exluded</t>
  </si>
  <si>
    <t>N/A</t>
  </si>
  <si>
    <t>Both exluded</t>
  </si>
  <si>
    <t>A, D; both trials</t>
  </si>
  <si>
    <t>B, C; both trials</t>
  </si>
  <si>
    <t>B/A or D/C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</si>
</sst>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u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sz val="12"/>
      <color rgb="FF00B050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8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quotePrefix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1" fillId="0" borderId="1" xfId="0" quotePrefix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0" xfId="0" applyFill="1"/>
    <xf numFmtId="0" fontId="1" fillId="4" borderId="1" xfId="0" quotePrefix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FF0000"/>
                </a:solidFill>
              </a:rPr>
              <a:t>Firefly</a:t>
            </a:r>
            <a:r>
              <a:rPr lang="en-US"/>
              <a:t>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(112414)'!$O$3:$O$8</c:f>
                <c:numCache>
                  <c:formatCode>General</c:formatCode>
                  <c:ptCount val="6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32459.73939359341</c:v>
                  </c:pt>
                  <c:pt idx="5">
                    <c:v>854.9999999999999</c:v>
                  </c:pt>
                </c:numCache>
              </c:numRef>
            </c:plus>
            <c:minus>
              <c:numRef>
                <c:f>'No infection (112414)'!$O$3:$O$8</c:f>
                <c:numCache>
                  <c:formatCode>General</c:formatCode>
                  <c:ptCount val="6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32459.73939359341</c:v>
                  </c:pt>
                  <c:pt idx="5">
                    <c:v>854.9999999999999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(112414)'!$N$3:$N$8</c:f>
              <c:numCache>
                <c:formatCode>General</c:formatCode>
                <c:ptCount val="6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471485.0</c:v>
                </c:pt>
                <c:pt idx="5">
                  <c:v>18199.0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(112414)'!$O$9:$O$14</c:f>
                <c:numCache>
                  <c:formatCode>General</c:formatCode>
                  <c:ptCount val="6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50620.64583662151</c:v>
                  </c:pt>
                  <c:pt idx="5">
                    <c:v>972.777584634158</c:v>
                  </c:pt>
                </c:numCache>
              </c:numRef>
            </c:plus>
            <c:minus>
              <c:numRef>
                <c:f>'No infection (112414)'!$O$9:$O$14</c:f>
                <c:numCache>
                  <c:formatCode>General</c:formatCode>
                  <c:ptCount val="6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50620.64583662151</c:v>
                  </c:pt>
                  <c:pt idx="5">
                    <c:v>972.777584634158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(112414)'!$N$9:$N$14</c:f>
              <c:numCache>
                <c:formatCode>General</c:formatCode>
                <c:ptCount val="6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721159.5</c:v>
                </c:pt>
                <c:pt idx="5">
                  <c:v>15613.75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961408"/>
        <c:axId val="-2084209776"/>
      </c:barChart>
      <c:catAx>
        <c:axId val="-2129961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4209776"/>
        <c:crosses val="autoZero"/>
        <c:auto val="1"/>
        <c:lblAlgn val="ctr"/>
        <c:lblOffset val="100"/>
        <c:noMultiLvlLbl val="0"/>
      </c:catAx>
      <c:valAx>
        <c:axId val="-208420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961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FF0000"/>
                </a:solidFill>
              </a:rPr>
              <a:t>Firefly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plus>
            <c:min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(122914)'!$N$3:$N$6,'Infection (122914)'!$N$8)</c:f>
              <c:numCache>
                <c:formatCode>General</c:formatCode>
                <c:ptCount val="5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12272.75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plus>
            <c:min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(122914)'!$N$9:$N$12,'Infection (122914)'!$N$14)</c:f>
              <c:numCache>
                <c:formatCode>General</c:formatCode>
                <c:ptCount val="5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170096"/>
        <c:axId val="-2083424832"/>
      </c:barChart>
      <c:catAx>
        <c:axId val="-2083170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-2083424832"/>
        <c:crosses val="autoZero"/>
        <c:auto val="1"/>
        <c:lblAlgn val="ctr"/>
        <c:lblOffset val="100"/>
        <c:noMultiLvlLbl val="0"/>
      </c:catAx>
      <c:valAx>
        <c:axId val="-208342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83170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7030A0"/>
                </a:solidFill>
              </a:rPr>
              <a:t>ratio</a:t>
            </a:r>
            <a:r>
              <a:rPr lang="en-US" baseline="0">
                <a:solidFill>
                  <a:srgbClr val="7030A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(122914)'!$M$3:$M$6,'Infection (122914)'!$M$8)</c:f>
                <c:numCache>
                  <c:formatCode>General</c:formatCode>
                  <c:ptCount val="5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0.00249787776300838</c:v>
                  </c:pt>
                </c:numCache>
              </c:numRef>
            </c:plus>
            <c:minus>
              <c:numRef>
                <c:f>('Infection (122914)'!$M$3:$M$6,'Infection (122914)'!$M$8)</c:f>
                <c:numCache>
                  <c:formatCode>General</c:formatCode>
                  <c:ptCount val="5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0.00249787776300838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(122914)'!$L$3:$L$6,'Infection (122914)'!$L$8)</c:f>
              <c:numCache>
                <c:formatCode>General</c:formatCode>
                <c:ptCount val="5"/>
                <c:pt idx="0">
                  <c:v>0.0312993796239263</c:v>
                </c:pt>
                <c:pt idx="1">
                  <c:v>0.0765586641000156</c:v>
                </c:pt>
                <c:pt idx="2">
                  <c:v>0.0330661963160822</c:v>
                </c:pt>
                <c:pt idx="3">
                  <c:v>0.0610237958244374</c:v>
                </c:pt>
                <c:pt idx="4">
                  <c:v>0.120191999761763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(122914)'!$M$9:$M$12,'Infection (122914)'!$M$14)</c:f>
                <c:numCache>
                  <c:formatCode>General</c:formatCode>
                  <c:ptCount val="5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0.00242194622713821</c:v>
                  </c:pt>
                </c:numCache>
              </c:numRef>
            </c:plus>
            <c:minus>
              <c:numRef>
                <c:f>('Infection (122914)'!$M$9:$M$12,'Infection (122914)'!$M$14)</c:f>
                <c:numCache>
                  <c:formatCode>General</c:formatCode>
                  <c:ptCount val="5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0.00242194622713821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(122914)'!$L$9:$L$12,'Infection (122914)'!$L$14)</c:f>
              <c:numCache>
                <c:formatCode>General</c:formatCode>
                <c:ptCount val="5"/>
                <c:pt idx="0">
                  <c:v>0.0489432227548695</c:v>
                </c:pt>
                <c:pt idx="1">
                  <c:v>0.0753367119354224</c:v>
                </c:pt>
                <c:pt idx="2">
                  <c:v>0.0302681613537433</c:v>
                </c:pt>
                <c:pt idx="3">
                  <c:v>0.0808407957548019</c:v>
                </c:pt>
                <c:pt idx="4">
                  <c:v>0.139671685614242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3445024"/>
        <c:axId val="-2082695296"/>
      </c:barChart>
      <c:catAx>
        <c:axId val="-2083445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2695296"/>
        <c:crosses val="autoZero"/>
        <c:auto val="1"/>
        <c:lblAlgn val="ctr"/>
        <c:lblOffset val="100"/>
        <c:noMultiLvlLbl val="0"/>
      </c:catAx>
      <c:valAx>
        <c:axId val="-208269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3445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Reponse ratio for 1/2 (given) samples </a:t>
            </a:r>
            <a:r>
              <a:rPr lang="en-US">
                <a:solidFill>
                  <a:srgbClr val="00B050"/>
                </a:solidFill>
              </a:rPr>
              <a:t>INFECTION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 C</c:v>
          </c:tx>
          <c:invertIfNegative val="0"/>
          <c:cat>
            <c:strRef>
              <c:f>'No infection (112414)'!$C$29:$C$34</c:f>
              <c:strCache>
                <c:ptCount val="6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+ control</c:v>
                </c:pt>
                <c:pt idx="5">
                  <c:v>- control</c:v>
                </c:pt>
              </c:strCache>
            </c:strRef>
          </c:cat>
          <c:val>
            <c:numRef>
              <c:f>'Infection (122914)'!$D$30:$D$35</c:f>
              <c:numCache>
                <c:formatCode>General</c:formatCode>
                <c:ptCount val="6"/>
                <c:pt idx="0">
                  <c:v>1.310915104740904</c:v>
                </c:pt>
                <c:pt idx="1">
                  <c:v>0.583649133444495</c:v>
                </c:pt>
                <c:pt idx="2">
                  <c:v>1.046419867703377</c:v>
                </c:pt>
                <c:pt idx="3">
                  <c:v>0.918225228810187</c:v>
                </c:pt>
                <c:pt idx="4">
                  <c:v>0.942459571267394</c:v>
                </c:pt>
                <c:pt idx="5">
                  <c:v>1.667494189731671</c:v>
                </c:pt>
              </c:numCache>
            </c:numRef>
          </c:val>
        </c:ser>
        <c:ser>
          <c:idx val="1"/>
          <c:order val="1"/>
          <c:tx>
            <c:v>B, D</c:v>
          </c:tx>
          <c:invertIfNegative val="0"/>
          <c:val>
            <c:numRef>
              <c:f>'Infection (122914)'!$E$30:$E$35</c:f>
              <c:numCache>
                <c:formatCode>General</c:formatCode>
                <c:ptCount val="6"/>
                <c:pt idx="0">
                  <c:v>1.370689655172414</c:v>
                </c:pt>
                <c:pt idx="1">
                  <c:v>1.871785992554757</c:v>
                </c:pt>
                <c:pt idx="2">
                  <c:v>1.049018520572252</c:v>
                </c:pt>
                <c:pt idx="3">
                  <c:v>1.008884073672806</c:v>
                </c:pt>
                <c:pt idx="4">
                  <c:v>0.94852354349561</c:v>
                </c:pt>
                <c:pt idx="5">
                  <c:v>0.84899743419177</c:v>
                </c:pt>
              </c:numCache>
            </c:numRef>
          </c:val>
        </c:ser>
        <c:ser>
          <c:idx val="2"/>
          <c:order val="2"/>
          <c:tx>
            <c:v>A, D</c:v>
          </c:tx>
          <c:invertIfNegative val="0"/>
          <c:val>
            <c:numRef>
              <c:f>'Infection (122914)'!$F$30:$F$35</c:f>
              <c:numCache>
                <c:formatCode>General</c:formatCode>
                <c:ptCount val="6"/>
                <c:pt idx="0">
                  <c:v>1.796857772877618</c:v>
                </c:pt>
                <c:pt idx="1">
                  <c:v>1.092466272548128</c:v>
                </c:pt>
                <c:pt idx="2">
                  <c:v>1.097713821515609</c:v>
                </c:pt>
                <c:pt idx="3">
                  <c:v>0.926382809391166</c:v>
                </c:pt>
                <c:pt idx="4">
                  <c:v>0.893945092139902</c:v>
                </c:pt>
                <c:pt idx="5">
                  <c:v>1.415698288611874</c:v>
                </c:pt>
              </c:numCache>
            </c:numRef>
          </c:val>
        </c:ser>
        <c:ser>
          <c:idx val="3"/>
          <c:order val="3"/>
          <c:tx>
            <c:v>B, C</c:v>
          </c:tx>
          <c:invertIfNegative val="0"/>
          <c:val>
            <c:numRef>
              <c:f>'Infection (122914)'!$G$30:$G$35</c:f>
              <c:numCache>
                <c:formatCode>General</c:formatCode>
                <c:ptCount val="6"/>
                <c:pt idx="0">
                  <c:v>0.912947499760054</c:v>
                </c:pt>
                <c:pt idx="1">
                  <c:v>0.764764300847458</c:v>
                </c:pt>
                <c:pt idx="2">
                  <c:v>0.987298806525786</c:v>
                </c:pt>
                <c:pt idx="3">
                  <c:v>0.998125585754452</c:v>
                </c:pt>
                <c:pt idx="4">
                  <c:v>1.171301706006076</c:v>
                </c:pt>
                <c:pt idx="5">
                  <c:v>1.046752213269671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359824"/>
        <c:axId val="-2084240864"/>
      </c:barChart>
      <c:catAx>
        <c:axId val="-210035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ratio for 1/2 of samples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4240864"/>
        <c:crosses val="autoZero"/>
        <c:auto val="1"/>
        <c:lblAlgn val="ctr"/>
        <c:lblOffset val="100"/>
        <c:noMultiLvlLbl val="0"/>
      </c:catAx>
      <c:valAx>
        <c:axId val="-2084240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35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7030A0"/>
                </a:solidFill>
              </a:rPr>
              <a:t>ratio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(112414)'!$M$3:$M$8</c:f>
                <c:numCache>
                  <c:formatCode>General</c:formatCode>
                  <c:ptCount val="6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0.00495138807688322</c:v>
                  </c:pt>
                  <c:pt idx="5">
                    <c:v>1.65254542603154E-5</c:v>
                  </c:pt>
                </c:numCache>
              </c:numRef>
            </c:plus>
            <c:minus>
              <c:numRef>
                <c:f>'No infection (112414)'!$M$3:$M$8</c:f>
                <c:numCache>
                  <c:formatCode>General</c:formatCode>
                  <c:ptCount val="6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0.00495138807688322</c:v>
                  </c:pt>
                  <c:pt idx="5">
                    <c:v>1.65254542603154E-5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(112414)'!$L$3:$L$8</c:f>
              <c:numCache>
                <c:formatCode>General</c:formatCode>
                <c:ptCount val="6"/>
                <c:pt idx="0">
                  <c:v>0.00222642573701276</c:v>
                </c:pt>
                <c:pt idx="1">
                  <c:v>0.00945698103014487</c:v>
                </c:pt>
                <c:pt idx="2">
                  <c:v>0.00240814790347973</c:v>
                </c:pt>
                <c:pt idx="3">
                  <c:v>0.00415989074434254</c:v>
                </c:pt>
                <c:pt idx="4">
                  <c:v>0.178373818743509</c:v>
                </c:pt>
                <c:pt idx="5">
                  <c:v>0.00562975634676815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(112414)'!$M$9:$M$14</c:f>
                <c:numCache>
                  <c:formatCode>General</c:formatCode>
                  <c:ptCount val="6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0.0048272267211093</c:v>
                  </c:pt>
                  <c:pt idx="5">
                    <c:v>0.000261776750958566</c:v>
                  </c:pt>
                </c:numCache>
              </c:numRef>
            </c:plus>
            <c:minus>
              <c:numRef>
                <c:f>'No infection (112414)'!$M$9:$M$14</c:f>
                <c:numCache>
                  <c:formatCode>General</c:formatCode>
                  <c:ptCount val="6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0.0048272267211093</c:v>
                  </c:pt>
                  <c:pt idx="5">
                    <c:v>0.000261776750958566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(112414)'!$L$9:$L$14</c:f>
              <c:numCache>
                <c:formatCode>General</c:formatCode>
                <c:ptCount val="6"/>
                <c:pt idx="0">
                  <c:v>0.00261729384210973</c:v>
                </c:pt>
                <c:pt idx="1">
                  <c:v>0.0100247651480284</c:v>
                </c:pt>
                <c:pt idx="2">
                  <c:v>0.00250926615853125</c:v>
                </c:pt>
                <c:pt idx="3">
                  <c:v>0.00405565096810908</c:v>
                </c:pt>
                <c:pt idx="4">
                  <c:v>0.178153423639882</c:v>
                </c:pt>
                <c:pt idx="5">
                  <c:v>0.00439251403869075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(122914)'!$M$3:$M$8</c:f>
                <c:numCache>
                  <c:formatCode>General</c:formatCode>
                  <c:ptCount val="6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0.00168620146744818</c:v>
                  </c:pt>
                  <c:pt idx="5">
                    <c:v>0.00249787776300838</c:v>
                  </c:pt>
                </c:numCache>
              </c:numRef>
            </c:plus>
            <c:minus>
              <c:numRef>
                <c:f>'Infection (122914)'!$M$3:$M$8</c:f>
                <c:numCache>
                  <c:formatCode>General</c:formatCode>
                  <c:ptCount val="6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0.00168620146744818</c:v>
                  </c:pt>
                  <c:pt idx="5">
                    <c:v>0.00249787776300838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(122914)'!$L$3:$L$8</c:f>
              <c:numCache>
                <c:formatCode>General</c:formatCode>
                <c:ptCount val="6"/>
                <c:pt idx="0">
                  <c:v>0.0312993796239263</c:v>
                </c:pt>
                <c:pt idx="1">
                  <c:v>0.0765586641000156</c:v>
                </c:pt>
                <c:pt idx="2">
                  <c:v>0.0330661963160822</c:v>
                </c:pt>
                <c:pt idx="3">
                  <c:v>0.0610237958244374</c:v>
                </c:pt>
                <c:pt idx="4">
                  <c:v>0.01476047479525</c:v>
                </c:pt>
                <c:pt idx="5">
                  <c:v>0.120191999761763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(122914)'!$M$9:$M$14</c:f>
                <c:numCache>
                  <c:formatCode>General</c:formatCode>
                  <c:ptCount val="6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0.0023127184447776</c:v>
                  </c:pt>
                  <c:pt idx="5">
                    <c:v>0.00242194622713821</c:v>
                  </c:pt>
                </c:numCache>
              </c:numRef>
            </c:plus>
            <c:minus>
              <c:numRef>
                <c:f>'Infection (122914)'!$M$9:$M$14</c:f>
                <c:numCache>
                  <c:formatCode>General</c:formatCode>
                  <c:ptCount val="6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0.0023127184447776</c:v>
                  </c:pt>
                  <c:pt idx="5">
                    <c:v>0.00242194622713821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(122914)'!$L$9:$L$14</c:f>
              <c:numCache>
                <c:formatCode>General</c:formatCode>
                <c:ptCount val="6"/>
                <c:pt idx="0">
                  <c:v>0.0489432227548695</c:v>
                </c:pt>
                <c:pt idx="1">
                  <c:v>0.0753367119354224</c:v>
                </c:pt>
                <c:pt idx="2">
                  <c:v>0.0302681613537433</c:v>
                </c:pt>
                <c:pt idx="3">
                  <c:v>0.0808407957548019</c:v>
                </c:pt>
                <c:pt idx="4">
                  <c:v>0.0179920505645037</c:v>
                </c:pt>
                <c:pt idx="5">
                  <c:v>0.139671685614242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87104"/>
        <c:axId val="-2084225632"/>
      </c:barChart>
      <c:catAx>
        <c:axId val="-208428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4225632"/>
        <c:crosses val="autoZero"/>
        <c:auto val="1"/>
        <c:lblAlgn val="ctr"/>
        <c:lblOffset val="100"/>
        <c:noMultiLvlLbl val="0"/>
      </c:catAx>
      <c:valAx>
        <c:axId val="-208422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8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7030A0"/>
                </a:solidFill>
              </a:rPr>
              <a:t>ratio</a:t>
            </a:r>
            <a:r>
              <a:rPr lang="en-US" baseline="0">
                <a:solidFill>
                  <a:srgbClr val="7030A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1"/>
            <c:plus>
              <c:numRef>
                <c:f>('No infection (112414)'!$M$3:$M$6,'No infection (112414)'!$M$8)</c:f>
                <c:numCache>
                  <c:formatCode>General</c:formatCode>
                  <c:ptCount val="5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1.65254542603154E-5</c:v>
                  </c:pt>
                </c:numCache>
              </c:numRef>
            </c:plus>
            <c:minus>
              <c:numRef>
                <c:f>('No infection (112414)'!$M$9:$M$12,'No infection (112414)'!$M$14)</c:f>
                <c:numCache>
                  <c:formatCode>General</c:formatCode>
                  <c:ptCount val="5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0.000261776750958566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(112414)'!$L$3:$L$6,'No infection (112414)'!$L$8)</c:f>
              <c:numCache>
                <c:formatCode>General</c:formatCode>
                <c:ptCount val="5"/>
                <c:pt idx="0">
                  <c:v>0.00222642573701276</c:v>
                </c:pt>
                <c:pt idx="1">
                  <c:v>0.00945698103014487</c:v>
                </c:pt>
                <c:pt idx="2">
                  <c:v>0.00240814790347973</c:v>
                </c:pt>
                <c:pt idx="3">
                  <c:v>0.00415989074434254</c:v>
                </c:pt>
                <c:pt idx="4">
                  <c:v>0.00562975634676815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5"/>
                <c:pt idx="0">
                  <c:v>0.000113316265148456</c:v>
                </c:pt>
                <c:pt idx="1">
                  <c:v>0.000479819371450711</c:v>
                </c:pt>
                <c:pt idx="2">
                  <c:v>0.000121549566301241</c:v>
                </c:pt>
                <c:pt idx="3">
                  <c:v>0.00020486731694724</c:v>
                </c:pt>
                <c:pt idx="4">
                  <c:v>0.000261776750958566</c:v>
                </c:pt>
              </c:numLit>
            </c:plus>
            <c:minus>
              <c:numLit>
                <c:formatCode>General</c:formatCode>
                <c:ptCount val="5"/>
                <c:pt idx="0">
                  <c:v>0.000113316265148456</c:v>
                </c:pt>
                <c:pt idx="1">
                  <c:v>0.000479819371450711</c:v>
                </c:pt>
                <c:pt idx="2">
                  <c:v>0.000121549566301241</c:v>
                </c:pt>
                <c:pt idx="3">
                  <c:v>0.00020486731694724</c:v>
                </c:pt>
                <c:pt idx="4">
                  <c:v>0.000261776750958566</c:v>
                </c:pt>
              </c:numLit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(112414)'!$L$9:$L$12,'No infection (112414)'!$L$14)</c:f>
              <c:numCache>
                <c:formatCode>General</c:formatCode>
                <c:ptCount val="5"/>
                <c:pt idx="0">
                  <c:v>0.00261729384210973</c:v>
                </c:pt>
                <c:pt idx="1">
                  <c:v>0.0100247651480284</c:v>
                </c:pt>
                <c:pt idx="2">
                  <c:v>0.00250926615853125</c:v>
                </c:pt>
                <c:pt idx="3">
                  <c:v>0.00405565096810908</c:v>
                </c:pt>
                <c:pt idx="4">
                  <c:v>0.00439251403869075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(122914)'!$M$3:$M$6,'Infection (122914)'!$M$8)</c:f>
                <c:numCache>
                  <c:formatCode>General</c:formatCode>
                  <c:ptCount val="5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0.00249787776300838</c:v>
                  </c:pt>
                </c:numCache>
              </c:numRef>
            </c:plus>
            <c:minus>
              <c:numRef>
                <c:f>('Infection (122914)'!$M$3:$M$6,'Infection (122914)'!$M$8)</c:f>
                <c:numCache>
                  <c:formatCode>General</c:formatCode>
                  <c:ptCount val="5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0.00249787776300838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(122914)'!$L$3:$L$6,'Infection (122914)'!$L$8)</c:f>
              <c:numCache>
                <c:formatCode>General</c:formatCode>
                <c:ptCount val="5"/>
                <c:pt idx="0">
                  <c:v>0.0312993796239263</c:v>
                </c:pt>
                <c:pt idx="1">
                  <c:v>0.0765586641000156</c:v>
                </c:pt>
                <c:pt idx="2">
                  <c:v>0.0330661963160822</c:v>
                </c:pt>
                <c:pt idx="3">
                  <c:v>0.0610237958244374</c:v>
                </c:pt>
                <c:pt idx="4">
                  <c:v>0.120191999761763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(122914)'!$M$9:$M$12,'Infection (122914)'!$M$14)</c:f>
                <c:numCache>
                  <c:formatCode>General</c:formatCode>
                  <c:ptCount val="5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0.00242194622713821</c:v>
                  </c:pt>
                </c:numCache>
              </c:numRef>
            </c:plus>
            <c:minus>
              <c:numRef>
                <c:f>('Infection (122914)'!$M$9:$M$12,'Infection (122914)'!$M$14)</c:f>
                <c:numCache>
                  <c:formatCode>General</c:formatCode>
                  <c:ptCount val="5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0.00242194622713821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(122914)'!$L$9:$L$12,'Infection (122914)'!$L$14)</c:f>
              <c:numCache>
                <c:formatCode>General</c:formatCode>
                <c:ptCount val="5"/>
                <c:pt idx="0">
                  <c:v>0.0489432227548695</c:v>
                </c:pt>
                <c:pt idx="1">
                  <c:v>0.0753367119354224</c:v>
                </c:pt>
                <c:pt idx="2">
                  <c:v>0.0302681613537433</c:v>
                </c:pt>
                <c:pt idx="3">
                  <c:v>0.0808407957548019</c:v>
                </c:pt>
                <c:pt idx="4">
                  <c:v>0.139671685614242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513376"/>
        <c:axId val="-2089750608"/>
      </c:barChart>
      <c:catAx>
        <c:axId val="-2115513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9750608"/>
        <c:crosses val="autoZero"/>
        <c:auto val="1"/>
        <c:lblAlgn val="ctr"/>
        <c:lblOffset val="100"/>
        <c:noMultiLvlLbl val="0"/>
      </c:catAx>
      <c:valAx>
        <c:axId val="-2089750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5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FF0000"/>
                </a:solidFill>
              </a:rPr>
              <a:t>Firefly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(112414)'!$O$3:$O$8</c:f>
                <c:numCache>
                  <c:formatCode>General</c:formatCode>
                  <c:ptCount val="6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32459.73939359341</c:v>
                  </c:pt>
                  <c:pt idx="5">
                    <c:v>854.9999999999999</c:v>
                  </c:pt>
                </c:numCache>
              </c:numRef>
            </c:plus>
            <c:minus>
              <c:numRef>
                <c:f>'No infection (112414)'!$O$3:$O$8</c:f>
                <c:numCache>
                  <c:formatCode>General</c:formatCode>
                  <c:ptCount val="6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32459.73939359341</c:v>
                  </c:pt>
                  <c:pt idx="5">
                    <c:v>854.9999999999999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(112414)'!$N$3:$N$8</c:f>
              <c:numCache>
                <c:formatCode>General</c:formatCode>
                <c:ptCount val="6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471485.0</c:v>
                </c:pt>
                <c:pt idx="5">
                  <c:v>18199.0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(112414)'!$O$9:$O$14</c:f>
                <c:numCache>
                  <c:formatCode>General</c:formatCode>
                  <c:ptCount val="6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50620.64583662151</c:v>
                  </c:pt>
                  <c:pt idx="5">
                    <c:v>972.777584634158</c:v>
                  </c:pt>
                </c:numCache>
              </c:numRef>
            </c:plus>
            <c:minus>
              <c:numRef>
                <c:f>'No infection (112414)'!$O$9:$O$14</c:f>
                <c:numCache>
                  <c:formatCode>General</c:formatCode>
                  <c:ptCount val="6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50620.64583662151</c:v>
                  </c:pt>
                  <c:pt idx="5">
                    <c:v>972.777584634158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(112414)'!$N$9:$N$14</c:f>
              <c:numCache>
                <c:formatCode>General</c:formatCode>
                <c:ptCount val="6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721159.5</c:v>
                </c:pt>
                <c:pt idx="5">
                  <c:v>15613.75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(122914)'!$O$3:$O$8</c:f>
                <c:numCache>
                  <c:formatCode>General</c:formatCode>
                  <c:ptCount val="6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150.3703067984723</c:v>
                  </c:pt>
                  <c:pt idx="5">
                    <c:v>2297.767639470972</c:v>
                  </c:pt>
                </c:numCache>
              </c:numRef>
            </c:plus>
            <c:minus>
              <c:numRef>
                <c:f>'Infection (122914)'!$O$3:$O$8</c:f>
                <c:numCache>
                  <c:formatCode>General</c:formatCode>
                  <c:ptCount val="6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150.3703067984723</c:v>
                  </c:pt>
                  <c:pt idx="5">
                    <c:v>2297.767639470972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(122914)'!$N$3:$N$8</c:f>
              <c:numCache>
                <c:formatCode>General</c:formatCode>
                <c:ptCount val="6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2399.25</c:v>
                </c:pt>
                <c:pt idx="5">
                  <c:v>12272.75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(122914)'!$O$9:$O$14</c:f>
                <c:numCache>
                  <c:formatCode>General</c:formatCode>
                  <c:ptCount val="6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40.20468463583152</c:v>
                  </c:pt>
                  <c:pt idx="5">
                    <c:v>725.0587763531082</c:v>
                  </c:pt>
                </c:numCache>
              </c:numRef>
            </c:plus>
            <c:minus>
              <c:numRef>
                <c:f>'Infection (122914)'!$O$9:$O$14</c:f>
                <c:numCache>
                  <c:formatCode>General</c:formatCode>
                  <c:ptCount val="6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40.20468463583152</c:v>
                  </c:pt>
                  <c:pt idx="5">
                    <c:v>725.0587763531082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(122914)'!$N$9:$N$14</c:f>
              <c:numCache>
                <c:formatCode>General</c:formatCode>
                <c:ptCount val="6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2441.5</c:v>
                </c:pt>
                <c:pt idx="5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477840"/>
        <c:axId val="-2100823344"/>
      </c:barChart>
      <c:catAx>
        <c:axId val="-210047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00823344"/>
        <c:crosses val="autoZero"/>
        <c:auto val="1"/>
        <c:lblAlgn val="ctr"/>
        <c:lblOffset val="100"/>
        <c:noMultiLvlLbl val="0"/>
      </c:catAx>
      <c:valAx>
        <c:axId val="-210082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47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FF0000"/>
                </a:solidFill>
              </a:rPr>
              <a:t>Firefly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0"/>
            <c:pl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plus>
            <c:min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(112414)'!$N$3:$N$6,'No infection (112414)'!$N$8)</c:f>
              <c:numCache>
                <c:formatCode>General</c:formatCode>
                <c:ptCount val="5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18199.0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0"/>
            <c:pl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plus>
            <c:min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(112414)'!$N$9:$N$12,'No infection (112414)'!$N$14)</c:f>
              <c:numCache>
                <c:formatCode>General</c:formatCode>
                <c:ptCount val="5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15613.75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plus>
            <c:min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(122914)'!$N$3:$N$6,'Infection (122914)'!$N$8)</c:f>
              <c:numCache>
                <c:formatCode>General</c:formatCode>
                <c:ptCount val="5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12272.75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plus>
            <c:min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(122914)'!$N$9:$N$12,'Infection (122914)'!$N$14)</c:f>
              <c:numCache>
                <c:formatCode>General</c:formatCode>
                <c:ptCount val="5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7309984"/>
        <c:axId val="-2117282064"/>
      </c:barChart>
      <c:catAx>
        <c:axId val="-211730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7282064"/>
        <c:crosses val="autoZero"/>
        <c:auto val="1"/>
        <c:lblAlgn val="ctr"/>
        <c:lblOffset val="100"/>
        <c:noMultiLvlLbl val="0"/>
      </c:catAx>
      <c:valAx>
        <c:axId val="-211728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730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00B0F0"/>
                </a:solidFill>
              </a:rPr>
              <a:t>Renilla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(112414)'!$Q$3:$Q$8</c:f>
                <c:numCache>
                  <c:formatCode>General</c:formatCode>
                  <c:ptCount val="6"/>
                  <c:pt idx="0">
                    <c:v>533245.4130077757</c:v>
                  </c:pt>
                  <c:pt idx="1">
                    <c:v>78937.90664648491</c:v>
                  </c:pt>
                  <c:pt idx="2">
                    <c:v>441282.2245338718</c:v>
                  </c:pt>
                  <c:pt idx="3">
                    <c:v>486180.2566271074</c:v>
                  </c:pt>
                  <c:pt idx="4">
                    <c:v>115971.4488968262</c:v>
                  </c:pt>
                  <c:pt idx="5">
                    <c:v>161362</c:v>
                  </c:pt>
                </c:numCache>
              </c:numRef>
            </c:plus>
            <c:minus>
              <c:numRef>
                <c:f>'No infection (112414)'!$Q$3:$Q$8</c:f>
                <c:numCache>
                  <c:formatCode>General</c:formatCode>
                  <c:ptCount val="6"/>
                  <c:pt idx="0">
                    <c:v>533245.4130077757</c:v>
                  </c:pt>
                  <c:pt idx="1">
                    <c:v>78937.90664648491</c:v>
                  </c:pt>
                  <c:pt idx="2">
                    <c:v>441282.2245338718</c:v>
                  </c:pt>
                  <c:pt idx="3">
                    <c:v>486180.2566271074</c:v>
                  </c:pt>
                  <c:pt idx="4">
                    <c:v>115971.4488968262</c:v>
                  </c:pt>
                  <c:pt idx="5">
                    <c:v>161362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(112414)'!$P$3:$P$8</c:f>
              <c:numCache>
                <c:formatCode>General</c:formatCode>
                <c:ptCount val="6"/>
                <c:pt idx="0">
                  <c:v>2.549054E6</c:v>
                </c:pt>
                <c:pt idx="1">
                  <c:v>2.09242025E6</c:v>
                </c:pt>
                <c:pt idx="2">
                  <c:v>2.83056525E6</c:v>
                </c:pt>
                <c:pt idx="3">
                  <c:v>2.130462E6</c:v>
                </c:pt>
                <c:pt idx="4">
                  <c:v>2.63501625E6</c:v>
                </c:pt>
                <c:pt idx="5">
                  <c:v>3.233118E6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0"/>
            <c:plus>
              <c:numRef>
                <c:f>'No infection (112414)'!$Q$9:$Q$14</c:f>
                <c:numCache>
                  <c:formatCode>General</c:formatCode>
                  <c:ptCount val="6"/>
                  <c:pt idx="0">
                    <c:v>88485.52893505619</c:v>
                  </c:pt>
                  <c:pt idx="1">
                    <c:v>224163.229800063</c:v>
                  </c:pt>
                  <c:pt idx="2">
                    <c:v>115989.697094451</c:v>
                  </c:pt>
                  <c:pt idx="3">
                    <c:v>114045.2973296137</c:v>
                  </c:pt>
                  <c:pt idx="4">
                    <c:v>386896.4658461345</c:v>
                  </c:pt>
                  <c:pt idx="5">
                    <c:v>83765.15114940897</c:v>
                  </c:pt>
                </c:numCache>
              </c:numRef>
            </c:plus>
            <c:minus>
              <c:numRef>
                <c:f>'No infection (112414)'!$Q$9:$Q$14</c:f>
                <c:numCache>
                  <c:formatCode>General</c:formatCode>
                  <c:ptCount val="6"/>
                  <c:pt idx="0">
                    <c:v>88485.52893505619</c:v>
                  </c:pt>
                  <c:pt idx="1">
                    <c:v>224163.229800063</c:v>
                  </c:pt>
                  <c:pt idx="2">
                    <c:v>115989.697094451</c:v>
                  </c:pt>
                  <c:pt idx="3">
                    <c:v>114045.2973296137</c:v>
                  </c:pt>
                  <c:pt idx="4">
                    <c:v>386896.4658461345</c:v>
                  </c:pt>
                  <c:pt idx="5">
                    <c:v>83765.15114940897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(112414)'!$P$9:$P$14</c:f>
              <c:numCache>
                <c:formatCode>General</c:formatCode>
                <c:ptCount val="6"/>
                <c:pt idx="0">
                  <c:v>3.1120945E6</c:v>
                </c:pt>
                <c:pt idx="1">
                  <c:v>3.38190575E6</c:v>
                </c:pt>
                <c:pt idx="2">
                  <c:v>2.76165575E6</c:v>
                </c:pt>
                <c:pt idx="3">
                  <c:v>3.263801E6</c:v>
                </c:pt>
                <c:pt idx="4">
                  <c:v>4.07772125E6</c:v>
                </c:pt>
                <c:pt idx="5">
                  <c:v>3.5544945E6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plus>
            <c:min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(122914)'!$P$3:$P$8</c:f>
              <c:numCache>
                <c:formatCode>General</c:formatCode>
                <c:ptCount val="6"/>
                <c:pt idx="0">
                  <c:v>140148.5</c:v>
                </c:pt>
                <c:pt idx="1">
                  <c:v>113693.25</c:v>
                </c:pt>
                <c:pt idx="2">
                  <c:v>134386.5</c:v>
                </c:pt>
                <c:pt idx="3">
                  <c:v>118745.75</c:v>
                </c:pt>
                <c:pt idx="4">
                  <c:v>172766.5</c:v>
                </c:pt>
                <c:pt idx="5">
                  <c:v>103010.75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plus>
            <c:min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(122914)'!$P$9:$P$14</c:f>
              <c:numCache>
                <c:formatCode>General</c:formatCode>
                <c:ptCount val="6"/>
                <c:pt idx="0">
                  <c:v>116030.75</c:v>
                </c:pt>
                <c:pt idx="1">
                  <c:v>110520.75</c:v>
                </c:pt>
                <c:pt idx="2">
                  <c:v>154076.0</c:v>
                </c:pt>
                <c:pt idx="3">
                  <c:v>86019.0</c:v>
                </c:pt>
                <c:pt idx="4">
                  <c:v>141921.0</c:v>
                </c:pt>
                <c:pt idx="5">
                  <c:v>104789.75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2769056"/>
        <c:axId val="-2083015104"/>
      </c:barChart>
      <c:catAx>
        <c:axId val="-2082769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3015104"/>
        <c:crosses val="autoZero"/>
        <c:auto val="1"/>
        <c:lblAlgn val="ctr"/>
        <c:lblOffset val="100"/>
        <c:noMultiLvlLbl val="0"/>
      </c:catAx>
      <c:valAx>
        <c:axId val="-2083015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769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FF0000"/>
                </a:solidFill>
              </a:rPr>
              <a:t>Firefly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No Egf</c:v>
          </c:tx>
          <c:invertIfNegative val="0"/>
          <c:errBars>
            <c:errBarType val="both"/>
            <c:errValType val="cust"/>
            <c:noEndCap val="0"/>
            <c:pl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plus>
            <c:min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(112414)'!$N$3:$N$6,'No infection (112414)'!$N$8)</c:f>
              <c:numCache>
                <c:formatCode>General</c:formatCode>
                <c:ptCount val="5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18199.0</c:v>
                </c:pt>
              </c:numCache>
            </c:numRef>
          </c:val>
        </c:ser>
        <c:ser>
          <c:idx val="3"/>
          <c:order val="1"/>
          <c:tx>
            <c:v>Egf</c:v>
          </c:tx>
          <c:invertIfNegative val="0"/>
          <c:errBars>
            <c:errBarType val="both"/>
            <c:errValType val="cust"/>
            <c:noEndCap val="0"/>
            <c:pl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plus>
            <c:min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(112414)'!$N$9:$N$12,'No infection (112414)'!$N$14)</c:f>
              <c:numCache>
                <c:formatCode>General</c:formatCode>
                <c:ptCount val="5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15613.75</c:v>
                </c:pt>
              </c:numCache>
            </c:numRef>
          </c:val>
        </c:ser>
        <c:ser>
          <c:idx val="0"/>
          <c:order val="2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plus>
            <c:min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(122914)'!$N$3:$N$6,'Infection (122914)'!$N$8)</c:f>
              <c:numCache>
                <c:formatCode>General</c:formatCode>
                <c:ptCount val="5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12272.75</c:v>
                </c:pt>
              </c:numCache>
            </c:numRef>
          </c:val>
        </c:ser>
        <c:ser>
          <c:idx val="1"/>
          <c:order val="3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plus>
            <c:min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(122914)'!$N$9:$N$12,'Infection (122914)'!$N$14)</c:f>
              <c:numCache>
                <c:formatCode>General</c:formatCode>
                <c:ptCount val="5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5805792"/>
        <c:axId val="-2086833808"/>
      </c:barChart>
      <c:catAx>
        <c:axId val="-212580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6833808"/>
        <c:crosses val="autoZero"/>
        <c:auto val="1"/>
        <c:lblAlgn val="ctr"/>
        <c:lblOffset val="100"/>
        <c:noMultiLvlLbl val="0"/>
      </c:catAx>
      <c:valAx>
        <c:axId val="-2086833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58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1"/>
              <a:t>Avg. </a:t>
            </a:r>
            <a:r>
              <a:rPr lang="en-US" b="1">
                <a:solidFill>
                  <a:srgbClr val="FF0000"/>
                </a:solidFill>
              </a:rPr>
              <a:t>Firefly</a:t>
            </a:r>
            <a:r>
              <a:rPr lang="en-US" b="1" baseline="0">
                <a:solidFill>
                  <a:srgbClr val="FF0000"/>
                </a:solidFill>
              </a:rPr>
              <a:t> </a:t>
            </a:r>
            <a:r>
              <a:rPr lang="en-US" b="1"/>
              <a:t>w/SEM - NO</a:t>
            </a:r>
            <a:r>
              <a:rPr lang="en-US" b="1" baseline="0"/>
              <a:t> (+) CONTROL</a:t>
            </a:r>
            <a:endParaRPr lang="en-US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plus>
            <c:min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(112414)'!$N$3:$N$6,'No infection (112414)'!$N$8)</c:f>
              <c:numCache>
                <c:formatCode>General</c:formatCode>
                <c:ptCount val="5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18199.0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plus>
            <c:min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(112414)'!$N$9:$N$12,'No infection (112414)'!$N$14)</c:f>
              <c:numCache>
                <c:formatCode>General</c:formatCode>
                <c:ptCount val="5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15613.75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68528"/>
        <c:axId val="-2084263504"/>
      </c:barChart>
      <c:catAx>
        <c:axId val="-208426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4263504"/>
        <c:crosses val="autoZero"/>
        <c:auto val="1"/>
        <c:lblAlgn val="ctr"/>
        <c:lblOffset val="100"/>
        <c:noMultiLvlLbl val="0"/>
      </c:catAx>
      <c:valAx>
        <c:axId val="-2084263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26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0070C0"/>
                </a:solidFill>
              </a:rPr>
              <a:t>Renilla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(112414)'!$Q$3:$Q$8</c:f>
                <c:numCache>
                  <c:formatCode>General</c:formatCode>
                  <c:ptCount val="6"/>
                  <c:pt idx="0">
                    <c:v>533245.4130077757</c:v>
                  </c:pt>
                  <c:pt idx="1">
                    <c:v>78937.90664648491</c:v>
                  </c:pt>
                  <c:pt idx="2">
                    <c:v>441282.2245338718</c:v>
                  </c:pt>
                  <c:pt idx="3">
                    <c:v>486180.2566271074</c:v>
                  </c:pt>
                  <c:pt idx="4">
                    <c:v>115971.4488968262</c:v>
                  </c:pt>
                  <c:pt idx="5">
                    <c:v>161362</c:v>
                  </c:pt>
                </c:numCache>
              </c:numRef>
            </c:plus>
            <c:minus>
              <c:numRef>
                <c:f>'No infection (112414)'!$Q$3:$Q$8</c:f>
                <c:numCache>
                  <c:formatCode>General</c:formatCode>
                  <c:ptCount val="6"/>
                  <c:pt idx="0">
                    <c:v>533245.4130077757</c:v>
                  </c:pt>
                  <c:pt idx="1">
                    <c:v>78937.90664648491</c:v>
                  </c:pt>
                  <c:pt idx="2">
                    <c:v>441282.2245338718</c:v>
                  </c:pt>
                  <c:pt idx="3">
                    <c:v>486180.2566271074</c:v>
                  </c:pt>
                  <c:pt idx="4">
                    <c:v>115971.4488968262</c:v>
                  </c:pt>
                  <c:pt idx="5">
                    <c:v>161362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(112414)'!$P$3:$P$8</c:f>
              <c:numCache>
                <c:formatCode>General</c:formatCode>
                <c:ptCount val="6"/>
                <c:pt idx="0">
                  <c:v>2.549054E6</c:v>
                </c:pt>
                <c:pt idx="1">
                  <c:v>2.09242025E6</c:v>
                </c:pt>
                <c:pt idx="2">
                  <c:v>2.83056525E6</c:v>
                </c:pt>
                <c:pt idx="3">
                  <c:v>2.130462E6</c:v>
                </c:pt>
                <c:pt idx="4">
                  <c:v>2.63501625E6</c:v>
                </c:pt>
                <c:pt idx="5">
                  <c:v>3.233118E6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(112414)'!$Q$9:$Q$14</c:f>
                <c:numCache>
                  <c:formatCode>General</c:formatCode>
                  <c:ptCount val="6"/>
                  <c:pt idx="0">
                    <c:v>88485.52893505619</c:v>
                  </c:pt>
                  <c:pt idx="1">
                    <c:v>224163.229800063</c:v>
                  </c:pt>
                  <c:pt idx="2">
                    <c:v>115989.697094451</c:v>
                  </c:pt>
                  <c:pt idx="3">
                    <c:v>114045.2973296137</c:v>
                  </c:pt>
                  <c:pt idx="4">
                    <c:v>386896.4658461345</c:v>
                  </c:pt>
                  <c:pt idx="5">
                    <c:v>83765.15114940897</c:v>
                  </c:pt>
                </c:numCache>
              </c:numRef>
            </c:plus>
            <c:minus>
              <c:numRef>
                <c:f>'No infection (112414)'!$Q$9:$Q$14</c:f>
                <c:numCache>
                  <c:formatCode>General</c:formatCode>
                  <c:ptCount val="6"/>
                  <c:pt idx="0">
                    <c:v>88485.52893505619</c:v>
                  </c:pt>
                  <c:pt idx="1">
                    <c:v>224163.229800063</c:v>
                  </c:pt>
                  <c:pt idx="2">
                    <c:v>115989.697094451</c:v>
                  </c:pt>
                  <c:pt idx="3">
                    <c:v>114045.2973296137</c:v>
                  </c:pt>
                  <c:pt idx="4">
                    <c:v>386896.4658461345</c:v>
                  </c:pt>
                  <c:pt idx="5">
                    <c:v>83765.15114940897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(112414)'!$P$9:$P$14</c:f>
              <c:numCache>
                <c:formatCode>General</c:formatCode>
                <c:ptCount val="6"/>
                <c:pt idx="0">
                  <c:v>3.1120945E6</c:v>
                </c:pt>
                <c:pt idx="1">
                  <c:v>3.38190575E6</c:v>
                </c:pt>
                <c:pt idx="2">
                  <c:v>2.76165575E6</c:v>
                </c:pt>
                <c:pt idx="3">
                  <c:v>3.263801E6</c:v>
                </c:pt>
                <c:pt idx="4">
                  <c:v>4.07772125E6</c:v>
                </c:pt>
                <c:pt idx="5">
                  <c:v>3.5544945E6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8522608"/>
        <c:axId val="-2082535472"/>
      </c:barChart>
      <c:catAx>
        <c:axId val="-212852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2535472"/>
        <c:crosses val="autoZero"/>
        <c:auto val="1"/>
        <c:lblAlgn val="ctr"/>
        <c:lblOffset val="100"/>
        <c:noMultiLvlLbl val="0"/>
      </c:catAx>
      <c:valAx>
        <c:axId val="-2082535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8522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FF0000"/>
                </a:solidFill>
              </a:rPr>
              <a:t>Firefly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/>
              <a:t>w/SEM - NO</a:t>
            </a:r>
            <a:r>
              <a:rPr lang="en-US" baseline="0"/>
              <a:t> (+) CONTROL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plus>
            <c:minus>
              <c:numRef>
                <c:f>('Infection (122914)'!$O$3:$O$6,'Infection (122914)'!$O$8)</c:f>
                <c:numCache>
                  <c:formatCode>General</c:formatCode>
                  <c:ptCount val="5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2297.767639470972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(122914)'!$N$3:$N$6,'Infection (122914)'!$N$8)</c:f>
              <c:numCache>
                <c:formatCode>General</c:formatCode>
                <c:ptCount val="5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12272.75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plus>
            <c:minus>
              <c:numRef>
                <c:f>('Infection (122914)'!$O$9:$O$12,'Infection (122914)'!$O$14)</c:f>
                <c:numCache>
                  <c:formatCode>General</c:formatCode>
                  <c:ptCount val="5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725.0587763531082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('Infection (122914)'!$N$9:$N$12,'Infection (122914)'!$N$14)</c:f>
              <c:numCache>
                <c:formatCode>General</c:formatCode>
                <c:ptCount val="5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96704"/>
        <c:axId val="-2096091696"/>
      </c:barChart>
      <c:catAx>
        <c:axId val="-2096096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6091696"/>
        <c:crosses val="autoZero"/>
        <c:auto val="1"/>
        <c:lblAlgn val="ctr"/>
        <c:lblOffset val="100"/>
        <c:noMultiLvlLbl val="0"/>
      </c:catAx>
      <c:valAx>
        <c:axId val="-209609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96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chemeClr val="accent2"/>
                </a:solidFill>
              </a:rPr>
              <a:t>N.</a:t>
            </a:r>
            <a:r>
              <a:rPr lang="en-US" baseline="0">
                <a:solidFill>
                  <a:schemeClr val="accent2"/>
                </a:solidFill>
              </a:rPr>
              <a:t> Firefly</a:t>
            </a:r>
            <a:r>
              <a:rPr lang="en-US">
                <a:solidFill>
                  <a:schemeClr val="accent2"/>
                </a:solidFill>
              </a:rPr>
              <a:t> </a:t>
            </a:r>
            <a:r>
              <a:rPr lang="en-US" baseline="0"/>
              <a:t>w/SEM            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plus>
            <c:min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'Total prot norm. (inf)'!$R$17:$R$22</c:f>
              <c:numCache>
                <c:formatCode>General</c:formatCode>
                <c:ptCount val="6"/>
                <c:pt idx="0">
                  <c:v>18811.6822292009</c:v>
                </c:pt>
                <c:pt idx="1">
                  <c:v>11248.72115493918</c:v>
                </c:pt>
                <c:pt idx="2">
                  <c:v>6658.063884898233</c:v>
                </c:pt>
                <c:pt idx="3">
                  <c:v>17761.23614590507</c:v>
                </c:pt>
                <c:pt idx="4">
                  <c:v>3103.288223605007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plus>
            <c:min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'Total prot norm. (inf)'!$R$23:$R$28</c:f>
              <c:numCache>
                <c:formatCode>General</c:formatCode>
                <c:ptCount val="6"/>
                <c:pt idx="0">
                  <c:v>6723.507360109915</c:v>
                </c:pt>
                <c:pt idx="1">
                  <c:v>9427.730647116588</c:v>
                </c:pt>
                <c:pt idx="2">
                  <c:v>13832.06193125785</c:v>
                </c:pt>
                <c:pt idx="3">
                  <c:v>12304.77089597014</c:v>
                </c:pt>
                <c:pt idx="4">
                  <c:v>4477.511490903164</c:v>
                </c:pt>
                <c:pt idx="5">
                  <c:v>19752.10075899199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4719984"/>
        <c:axId val="-2128646512"/>
      </c:barChart>
      <c:catAx>
        <c:axId val="-212471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28646512"/>
        <c:crosses val="autoZero"/>
        <c:auto val="1"/>
        <c:lblAlgn val="ctr"/>
        <c:lblOffset val="100"/>
        <c:noMultiLvlLbl val="0"/>
      </c:catAx>
      <c:valAx>
        <c:axId val="-212864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719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chemeClr val="accent2"/>
                </a:solidFill>
              </a:rPr>
              <a:t>N.</a:t>
            </a:r>
            <a:r>
              <a:rPr lang="en-US" baseline="0">
                <a:solidFill>
                  <a:schemeClr val="accent2"/>
                </a:solidFill>
              </a:rPr>
              <a:t> Firefly</a:t>
            </a:r>
            <a:r>
              <a:rPr lang="en-US">
                <a:solidFill>
                  <a:schemeClr val="accent2"/>
                </a:solidFill>
              </a:rPr>
              <a:t> </a:t>
            </a:r>
            <a:r>
              <a:rPr lang="en-US" baseline="0"/>
              <a:t>w/SEM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 (1)</c:v>
          </c:tx>
          <c:invertIfNegative val="0"/>
          <c:errBars>
            <c:errBarType val="both"/>
            <c:errValType val="cust"/>
            <c:noEndCap val="0"/>
            <c:plus>
              <c:numRef>
                <c:f>'Total prot norm. (inf)'!$N$3:$N$6</c:f>
                <c:numCache>
                  <c:formatCode>General</c:formatCode>
                  <c:ptCount val="4"/>
                  <c:pt idx="0">
                    <c:v>358.0946035976012</c:v>
                  </c:pt>
                  <c:pt idx="1">
                    <c:v>6.252131408435162</c:v>
                  </c:pt>
                  <c:pt idx="2">
                    <c:v>4.12724617436038</c:v>
                  </c:pt>
                  <c:pt idx="3">
                    <c:v>1178.735476898135</c:v>
                  </c:pt>
                </c:numCache>
              </c:numRef>
            </c:plus>
            <c:minus>
              <c:numRef>
                <c:f>'Total prot norm. (inf)'!$N$3:$N$6</c:f>
                <c:numCache>
                  <c:formatCode>General</c:formatCode>
                  <c:ptCount val="4"/>
                  <c:pt idx="0">
                    <c:v>358.0946035976012</c:v>
                  </c:pt>
                  <c:pt idx="1">
                    <c:v>6.252131408435162</c:v>
                  </c:pt>
                  <c:pt idx="2">
                    <c:v>4.12724617436038</c:v>
                  </c:pt>
                  <c:pt idx="3">
                    <c:v>1178.735476898135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'Total prot norm. (inf)'!$M$3:$M$9</c:f>
              <c:numCache>
                <c:formatCode>General</c:formatCode>
                <c:ptCount val="7"/>
                <c:pt idx="0">
                  <c:v>30213.19120586276</c:v>
                </c:pt>
                <c:pt idx="1">
                  <c:v>11248.72115493918</c:v>
                </c:pt>
                <c:pt idx="2">
                  <c:v>2735.729252650962</c:v>
                </c:pt>
                <c:pt idx="3">
                  <c:v>25462.71278032964</c:v>
                </c:pt>
                <c:pt idx="4">
                  <c:v>0.0</c:v>
                </c:pt>
                <c:pt idx="5">
                  <c:v>0.0</c:v>
                </c:pt>
                <c:pt idx="6">
                  <c:v>7410.173252539046</c:v>
                </c:pt>
              </c:numCache>
            </c:numRef>
          </c:val>
        </c:ser>
        <c:ser>
          <c:idx val="1"/>
          <c:order val="1"/>
          <c:tx>
            <c:v>No Egf (2)</c:v>
          </c:tx>
          <c:invertIfNegative val="0"/>
          <c:errBars>
            <c:errBarType val="both"/>
            <c:errValType val="cust"/>
            <c:noEndCap val="0"/>
            <c:plus>
              <c:numRef>
                <c:f>'Total prot norm. (inf)'!$N$9:$N$14</c:f>
                <c:numCache>
                  <c:formatCode>General</c:formatCode>
                  <c:ptCount val="6"/>
                  <c:pt idx="0">
                    <c:v>94.59190350203425</c:v>
                  </c:pt>
                  <c:pt idx="1">
                    <c:v>0.0</c:v>
                  </c:pt>
                  <c:pt idx="2">
                    <c:v>135.5421686746986</c:v>
                  </c:pt>
                  <c:pt idx="3">
                    <c:v>267.6123754405816</c:v>
                  </c:pt>
                  <c:pt idx="4">
                    <c:v>38.43754986002932</c:v>
                  </c:pt>
                  <c:pt idx="5">
                    <c:v>0.0</c:v>
                  </c:pt>
                </c:numCache>
              </c:numRef>
            </c:plus>
            <c:minus>
              <c:numRef>
                <c:f>'Total prot norm. (inf)'!$N$9:$N$14</c:f>
                <c:numCache>
                  <c:formatCode>General</c:formatCode>
                  <c:ptCount val="6"/>
                  <c:pt idx="0">
                    <c:v>94.59190350203425</c:v>
                  </c:pt>
                  <c:pt idx="1">
                    <c:v>0.0</c:v>
                  </c:pt>
                  <c:pt idx="2">
                    <c:v>135.5421686746986</c:v>
                  </c:pt>
                  <c:pt idx="3">
                    <c:v>267.6123754405816</c:v>
                  </c:pt>
                  <c:pt idx="4">
                    <c:v>38.43754986002932</c:v>
                  </c:pt>
                  <c:pt idx="5">
                    <c:v>0.0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'Total prot norm. (inf)'!$M$9:$M$14</c:f>
              <c:numCache>
                <c:formatCode>General</c:formatCode>
                <c:ptCount val="6"/>
                <c:pt idx="0">
                  <c:v>7410.173252539046</c:v>
                </c:pt>
                <c:pt idx="1">
                  <c:v>0.0</c:v>
                </c:pt>
                <c:pt idx="2">
                  <c:v>10580.39851714551</c:v>
                </c:pt>
                <c:pt idx="3">
                  <c:v>10059.7595114805</c:v>
                </c:pt>
                <c:pt idx="4">
                  <c:v>3103.288223605007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tx>
            <c:v>Egf (1)</c:v>
          </c:tx>
          <c:invertIfNegative val="0"/>
          <c:errBars>
            <c:errBarType val="both"/>
            <c:errValType val="cust"/>
            <c:noEndCap val="0"/>
            <c:plus>
              <c:numRef>
                <c:f>'Total prot norm. (inf)'!$N$15:$N$20</c:f>
                <c:numCache>
                  <c:formatCode>General</c:formatCode>
                  <c:ptCount val="6"/>
                  <c:pt idx="0">
                    <c:v>117.1536583444909</c:v>
                  </c:pt>
                  <c:pt idx="1">
                    <c:v>109.780534808579</c:v>
                  </c:pt>
                  <c:pt idx="2">
                    <c:v>41.10554337613393</c:v>
                  </c:pt>
                  <c:pt idx="3">
                    <c:v>313.370473537605</c:v>
                  </c:pt>
                  <c:pt idx="4">
                    <c:v>7.674008134448285</c:v>
                  </c:pt>
                  <c:pt idx="5">
                    <c:v>49.22029832064254</c:v>
                  </c:pt>
                </c:numCache>
              </c:numRef>
            </c:plus>
            <c:minus>
              <c:numRef>
                <c:f>'Total prot norm. (inf)'!$N$15:$N$20</c:f>
                <c:numCache>
                  <c:formatCode>General</c:formatCode>
                  <c:ptCount val="6"/>
                  <c:pt idx="0">
                    <c:v>117.1536583444909</c:v>
                  </c:pt>
                  <c:pt idx="1">
                    <c:v>109.780534808579</c:v>
                  </c:pt>
                  <c:pt idx="2">
                    <c:v>41.10554337613393</c:v>
                  </c:pt>
                  <c:pt idx="3">
                    <c:v>313.370473537605</c:v>
                  </c:pt>
                  <c:pt idx="4">
                    <c:v>7.674008134448285</c:v>
                  </c:pt>
                  <c:pt idx="5">
                    <c:v>49.22029832064254</c:v>
                  </c:pt>
                </c:numCache>
              </c:numRef>
            </c:minus>
          </c:errBars>
          <c:val>
            <c:numRef>
              <c:f>'Total prot norm. (inf)'!$M$15:$M$20</c:f>
              <c:numCache>
                <c:formatCode>General</c:formatCode>
                <c:ptCount val="6"/>
                <c:pt idx="0">
                  <c:v>4682.20839568402</c:v>
                </c:pt>
                <c:pt idx="1">
                  <c:v>5537.44522958034</c:v>
                </c:pt>
                <c:pt idx="2">
                  <c:v>17649.93736298152</c:v>
                </c:pt>
                <c:pt idx="3">
                  <c:v>15550.58855243059</c:v>
                </c:pt>
                <c:pt idx="4">
                  <c:v>6410.354794976083</c:v>
                </c:pt>
                <c:pt idx="5">
                  <c:v>10290.30197141963</c:v>
                </c:pt>
              </c:numCache>
            </c:numRef>
          </c:val>
        </c:ser>
        <c:ser>
          <c:idx val="3"/>
          <c:order val="3"/>
          <c:tx>
            <c:v>Egf (2)</c:v>
          </c:tx>
          <c:invertIfNegative val="0"/>
          <c:errBars>
            <c:errBarType val="both"/>
            <c:errValType val="cust"/>
            <c:noEndCap val="0"/>
            <c:plus>
              <c:numRef>
                <c:f>'Total prot norm. (inf)'!$N$21:$N$26</c:f>
                <c:numCache>
                  <c:formatCode>General</c:formatCode>
                  <c:ptCount val="6"/>
                  <c:pt idx="0">
                    <c:v>18.82302324643388</c:v>
                  </c:pt>
                  <c:pt idx="1">
                    <c:v>359.1139801902136</c:v>
                  </c:pt>
                  <c:pt idx="2">
                    <c:v>276.3191327178793</c:v>
                  </c:pt>
                  <c:pt idx="3">
                    <c:v>267.2028017381153</c:v>
                  </c:pt>
                  <c:pt idx="4">
                    <c:v>39.60989605078635</c:v>
                  </c:pt>
                  <c:pt idx="5">
                    <c:v>1209.888385071503</c:v>
                  </c:pt>
                </c:numCache>
              </c:numRef>
            </c:plus>
            <c:minus>
              <c:numRef>
                <c:f>'Total prot norm. (inf)'!$N$21:$N$26</c:f>
                <c:numCache>
                  <c:formatCode>General</c:formatCode>
                  <c:ptCount val="6"/>
                  <c:pt idx="0">
                    <c:v>18.82302324643388</c:v>
                  </c:pt>
                  <c:pt idx="1">
                    <c:v>359.1139801902136</c:v>
                  </c:pt>
                  <c:pt idx="2">
                    <c:v>276.3191327178793</c:v>
                  </c:pt>
                  <c:pt idx="3">
                    <c:v>267.2028017381153</c:v>
                  </c:pt>
                  <c:pt idx="4">
                    <c:v>39.60989605078635</c:v>
                  </c:pt>
                  <c:pt idx="5">
                    <c:v>1209.888385071503</c:v>
                  </c:pt>
                </c:numCache>
              </c:numRef>
            </c:minus>
          </c:errBars>
          <c:val>
            <c:numRef>
              <c:f>'Total prot norm. (inf)'!$M$21:$M$26</c:f>
              <c:numCache>
                <c:formatCode>General</c:formatCode>
                <c:ptCount val="6"/>
                <c:pt idx="0">
                  <c:v>8764.80632453581</c:v>
                </c:pt>
                <c:pt idx="1">
                  <c:v>13318.01606465284</c:v>
                </c:pt>
                <c:pt idx="2">
                  <c:v>10014.18649953417</c:v>
                </c:pt>
                <c:pt idx="3">
                  <c:v>9058.953239509694</c:v>
                </c:pt>
                <c:pt idx="4">
                  <c:v>2544.668186830245</c:v>
                </c:pt>
                <c:pt idx="5">
                  <c:v>29213.89954656435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35840"/>
        <c:axId val="-2096050272"/>
      </c:barChart>
      <c:catAx>
        <c:axId val="-209603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6050272"/>
        <c:crosses val="autoZero"/>
        <c:auto val="1"/>
        <c:lblAlgn val="ctr"/>
        <c:lblOffset val="100"/>
        <c:noMultiLvlLbl val="0"/>
      </c:catAx>
      <c:valAx>
        <c:axId val="-2096050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3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i="1"/>
              <a:t>FF/Ren</a:t>
            </a:r>
            <a:r>
              <a:rPr lang="en-US" i="1" baseline="0"/>
              <a:t> ratio</a:t>
            </a:r>
            <a:r>
              <a:rPr lang="en-US" baseline="0"/>
              <a:t> ratio </a:t>
            </a:r>
            <a:r>
              <a:rPr lang="en-US"/>
              <a:t>of technical replicates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B/A (1)</c:v>
          </c:tx>
          <c:invertIfNegative val="0"/>
          <c:cat>
            <c:strRef>
              <c:f>'No infection (112414)'!$C$29:$C$34</c:f>
              <c:strCache>
                <c:ptCount val="6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+ control</c:v>
                </c:pt>
                <c:pt idx="5">
                  <c:v>- control</c:v>
                </c:pt>
              </c:strCache>
            </c:strRef>
          </c:cat>
          <c:val>
            <c:numRef>
              <c:f>'Techincal replicates'!$I$3:$I$8</c:f>
              <c:numCache>
                <c:formatCode>General</c:formatCode>
                <c:ptCount val="6"/>
                <c:pt idx="0">
                  <c:v>1.121868831730958</c:v>
                </c:pt>
                <c:pt idx="1">
                  <c:v>0.928076057984528</c:v>
                </c:pt>
                <c:pt idx="2">
                  <c:v>0.922269846972169</c:v>
                </c:pt>
                <c:pt idx="3">
                  <c:v>1.1124023928053</c:v>
                </c:pt>
                <c:pt idx="4">
                  <c:v>1.516367553059131</c:v>
                </c:pt>
                <c:pt idx="5">
                  <c:v>0.959048483890287</c:v>
                </c:pt>
              </c:numCache>
            </c:numRef>
          </c:val>
        </c:ser>
        <c:ser>
          <c:idx val="1"/>
          <c:order val="1"/>
          <c:tx>
            <c:v>B/A (2)</c:v>
          </c:tx>
          <c:invertIfNegative val="0"/>
          <c:val>
            <c:numRef>
              <c:f>'Techincal replicates'!$J$3:$J$8</c:f>
              <c:numCache>
                <c:formatCode>General</c:formatCode>
                <c:ptCount val="6"/>
                <c:pt idx="0">
                  <c:v>1.21208722672867</c:v>
                </c:pt>
                <c:pt idx="1">
                  <c:v>0.968758806709382</c:v>
                </c:pt>
                <c:pt idx="2">
                  <c:v>0.998874226252841</c:v>
                </c:pt>
                <c:pt idx="3">
                  <c:v>0.978329817420284</c:v>
                </c:pt>
                <c:pt idx="4">
                  <c:v>1.468513629684443</c:v>
                </c:pt>
                <c:pt idx="5">
                  <c:v>0.917263499967866</c:v>
                </c:pt>
              </c:numCache>
            </c:numRef>
          </c:val>
        </c:ser>
        <c:ser>
          <c:idx val="2"/>
          <c:order val="2"/>
          <c:tx>
            <c:v>D/C (1)</c:v>
          </c:tx>
          <c:invertIfNegative val="0"/>
          <c:val>
            <c:numRef>
              <c:f>'Techincal replicates'!$I$15:$I$20</c:f>
              <c:numCache>
                <c:formatCode>General</c:formatCode>
                <c:ptCount val="6"/>
                <c:pt idx="0">
                  <c:v>1.452916428413346</c:v>
                </c:pt>
                <c:pt idx="1">
                  <c:v>1.042136707442985</c:v>
                </c:pt>
                <c:pt idx="2">
                  <c:v>1.303689804152281</c:v>
                </c:pt>
                <c:pt idx="3">
                  <c:v>1.052927688926642</c:v>
                </c:pt>
                <c:pt idx="4">
                  <c:v>0.636346930648373</c:v>
                </c:pt>
                <c:pt idx="5">
                  <c:v>1.075722901236611</c:v>
                </c:pt>
              </c:numCache>
            </c:numRef>
          </c:val>
        </c:ser>
        <c:ser>
          <c:idx val="3"/>
          <c:order val="3"/>
          <c:tx>
            <c:v>D/C (2)</c:v>
          </c:tx>
          <c:invertIfNegative val="0"/>
          <c:val>
            <c:numRef>
              <c:f>'Techincal replicates'!$J$15:$J$20</c:f>
              <c:numCache>
                <c:formatCode>General</c:formatCode>
                <c:ptCount val="6"/>
                <c:pt idx="0">
                  <c:v>1.499128219915802</c:v>
                </c:pt>
                <c:pt idx="1">
                  <c:v>0.926684274545178</c:v>
                </c:pt>
                <c:pt idx="2">
                  <c:v>1.187202298238998</c:v>
                </c:pt>
                <c:pt idx="3">
                  <c:v>1.012408723252826</c:v>
                </c:pt>
                <c:pt idx="4">
                  <c:v>0.635961481081083</c:v>
                </c:pt>
                <c:pt idx="5">
                  <c:v>1.000738378959562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427632"/>
        <c:axId val="-2087172608"/>
      </c:barChart>
      <c:catAx>
        <c:axId val="-211542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7172608"/>
        <c:crosses val="autoZero"/>
        <c:auto val="1"/>
        <c:lblAlgn val="ctr"/>
        <c:lblOffset val="100"/>
        <c:noMultiLvlLbl val="0"/>
      </c:catAx>
      <c:valAx>
        <c:axId val="-20871726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5427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Avg. </a:t>
            </a:r>
            <a:r>
              <a:rPr lang="en-US">
                <a:solidFill>
                  <a:srgbClr val="7030A0"/>
                </a:solidFill>
              </a:rPr>
              <a:t>ratio </a:t>
            </a:r>
            <a:r>
              <a:rPr lang="en-US"/>
              <a:t>w/SEM - NO</a:t>
            </a:r>
            <a:r>
              <a:rPr lang="en-US" baseline="0"/>
              <a:t> (+) CONTROL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Ref>
                <c:f>('No infection (112414)'!$M$3:$M$6,'No infection (112414)'!$M$8)</c:f>
                <c:numCache>
                  <c:formatCode>General</c:formatCode>
                  <c:ptCount val="5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1.65254542603154E-5</c:v>
                  </c:pt>
                </c:numCache>
              </c:numRef>
            </c:plus>
            <c:minus>
              <c:numRef>
                <c:f>('No infection (112414)'!$M$9:$M$12,'No infection (112414)'!$M$14)</c:f>
                <c:numCache>
                  <c:formatCode>General</c:formatCode>
                  <c:ptCount val="5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0.000261776750958566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(112414)'!$L$3:$L$6,'No infection (112414)'!$L$8)</c:f>
              <c:numCache>
                <c:formatCode>General</c:formatCode>
                <c:ptCount val="5"/>
                <c:pt idx="0">
                  <c:v>0.00222642573701276</c:v>
                </c:pt>
                <c:pt idx="1">
                  <c:v>0.00945698103014487</c:v>
                </c:pt>
                <c:pt idx="2">
                  <c:v>0.00240814790347973</c:v>
                </c:pt>
                <c:pt idx="3">
                  <c:v>0.00415989074434254</c:v>
                </c:pt>
                <c:pt idx="4">
                  <c:v>0.00562975634676815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1"/>
            <c:plus>
              <c:numLit>
                <c:formatCode>General</c:formatCode>
                <c:ptCount val="5"/>
                <c:pt idx="0">
                  <c:v>0.000113316265148456</c:v>
                </c:pt>
                <c:pt idx="1">
                  <c:v>0.000479819371450711</c:v>
                </c:pt>
                <c:pt idx="2">
                  <c:v>0.000121549566301241</c:v>
                </c:pt>
                <c:pt idx="3">
                  <c:v>0.00020486731694724</c:v>
                </c:pt>
                <c:pt idx="4">
                  <c:v>0.000261776750958566</c:v>
                </c:pt>
              </c:numLit>
            </c:plus>
            <c:minus>
              <c:numLit>
                <c:formatCode>General</c:formatCode>
                <c:ptCount val="5"/>
                <c:pt idx="0">
                  <c:v>0.000113316265148456</c:v>
                </c:pt>
                <c:pt idx="1">
                  <c:v>0.000479819371450711</c:v>
                </c:pt>
                <c:pt idx="2">
                  <c:v>0.000121549566301241</c:v>
                </c:pt>
                <c:pt idx="3">
                  <c:v>0.00020486731694724</c:v>
                </c:pt>
                <c:pt idx="4">
                  <c:v>0.000261776750958566</c:v>
                </c:pt>
              </c:numLit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(112414)'!$L$9:$L$12,'No infection (112414)'!$L$14)</c:f>
              <c:numCache>
                <c:formatCode>General</c:formatCode>
                <c:ptCount val="5"/>
                <c:pt idx="0">
                  <c:v>0.00261729384210973</c:v>
                </c:pt>
                <c:pt idx="1">
                  <c:v>0.0100247651480284</c:v>
                </c:pt>
                <c:pt idx="2">
                  <c:v>0.00250926615853125</c:v>
                </c:pt>
                <c:pt idx="3">
                  <c:v>0.00405565096810908</c:v>
                </c:pt>
                <c:pt idx="4">
                  <c:v>0.00439251403869075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343152"/>
        <c:axId val="-2084303392"/>
      </c:barChart>
      <c:catAx>
        <c:axId val="-208434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84303392"/>
        <c:crosses val="autoZero"/>
        <c:auto val="1"/>
        <c:lblAlgn val="ctr"/>
        <c:lblOffset val="100"/>
        <c:noMultiLvlLbl val="0"/>
      </c:catAx>
      <c:valAx>
        <c:axId val="-2084303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4343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7030A0"/>
                </a:solidFill>
              </a:rPr>
              <a:t>ratio</a:t>
            </a:r>
            <a:r>
              <a:rPr lang="en-US"/>
              <a:t> </a:t>
            </a:r>
            <a:r>
              <a:rPr lang="en-US" baseline="0"/>
              <a:t>w/SEM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(112414)'!$M$3:$M$8</c:f>
                <c:numCache>
                  <c:formatCode>General</c:formatCode>
                  <c:ptCount val="6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0.00495138807688322</c:v>
                  </c:pt>
                  <c:pt idx="5">
                    <c:v>1.65254542603154E-5</c:v>
                  </c:pt>
                </c:numCache>
              </c:numRef>
            </c:plus>
            <c:minus>
              <c:numRef>
                <c:f>'No infection (112414)'!$M$3:$M$8</c:f>
                <c:numCache>
                  <c:formatCode>General</c:formatCode>
                  <c:ptCount val="6"/>
                  <c:pt idx="0">
                    <c:v>6.41864813836916E-5</c:v>
                  </c:pt>
                  <c:pt idx="1">
                    <c:v>0.000164695525215342</c:v>
                  </c:pt>
                  <c:pt idx="2">
                    <c:v>0.000126305820910587</c:v>
                  </c:pt>
                  <c:pt idx="3">
                    <c:v>0.000155293725478492</c:v>
                  </c:pt>
                  <c:pt idx="4">
                    <c:v>0.00495138807688322</c:v>
                  </c:pt>
                  <c:pt idx="5">
                    <c:v>1.65254542603154E-5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(112414)'!$L$3:$L$8</c:f>
              <c:numCache>
                <c:formatCode>General</c:formatCode>
                <c:ptCount val="6"/>
                <c:pt idx="0">
                  <c:v>0.00222642573701276</c:v>
                </c:pt>
                <c:pt idx="1">
                  <c:v>0.00945698103014487</c:v>
                </c:pt>
                <c:pt idx="2">
                  <c:v>0.00240814790347973</c:v>
                </c:pt>
                <c:pt idx="3">
                  <c:v>0.00415989074434254</c:v>
                </c:pt>
                <c:pt idx="4">
                  <c:v>0.178373818743509</c:v>
                </c:pt>
                <c:pt idx="5">
                  <c:v>0.00562975634676815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'No infection (112414)'!$M$9:$M$14</c:f>
                <c:numCache>
                  <c:formatCode>General</c:formatCode>
                  <c:ptCount val="6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0.0048272267211093</c:v>
                  </c:pt>
                  <c:pt idx="5">
                    <c:v>0.000261776750958566</c:v>
                  </c:pt>
                </c:numCache>
              </c:numRef>
            </c:plus>
            <c:minus>
              <c:numRef>
                <c:f>'No infection (112414)'!$M$9:$M$14</c:f>
                <c:numCache>
                  <c:formatCode>General</c:formatCode>
                  <c:ptCount val="6"/>
                  <c:pt idx="0">
                    <c:v>0.000113316265148456</c:v>
                  </c:pt>
                  <c:pt idx="1">
                    <c:v>0.000479819371450711</c:v>
                  </c:pt>
                  <c:pt idx="2">
                    <c:v>0.000121549566301241</c:v>
                  </c:pt>
                  <c:pt idx="3">
                    <c:v>0.00020486731694724</c:v>
                  </c:pt>
                  <c:pt idx="4">
                    <c:v>0.0048272267211093</c:v>
                  </c:pt>
                  <c:pt idx="5">
                    <c:v>0.000261776750958566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'No infection (112414)'!$L$9:$L$14</c:f>
              <c:numCache>
                <c:formatCode>General</c:formatCode>
                <c:ptCount val="6"/>
                <c:pt idx="0">
                  <c:v>0.00261729384210973</c:v>
                </c:pt>
                <c:pt idx="1">
                  <c:v>0.0100247651480284</c:v>
                </c:pt>
                <c:pt idx="2">
                  <c:v>0.00250926615853125</c:v>
                </c:pt>
                <c:pt idx="3">
                  <c:v>0.00405565096810908</c:v>
                </c:pt>
                <c:pt idx="4">
                  <c:v>0.178153423639882</c:v>
                </c:pt>
                <c:pt idx="5">
                  <c:v>0.00439251403869075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184544"/>
        <c:axId val="-2115837520"/>
      </c:barChart>
      <c:catAx>
        <c:axId val="-2127184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15837520"/>
        <c:crosses val="autoZero"/>
        <c:auto val="1"/>
        <c:lblAlgn val="ctr"/>
        <c:lblOffset val="100"/>
        <c:noMultiLvlLbl val="0"/>
      </c:catAx>
      <c:valAx>
        <c:axId val="-211583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Firefly/Renilla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18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b="1"/>
              <a:t>Avg. </a:t>
            </a:r>
            <a:r>
              <a:rPr lang="en-US" b="1">
                <a:solidFill>
                  <a:srgbClr val="FF0000"/>
                </a:solidFill>
              </a:rPr>
              <a:t>Firefly</a:t>
            </a:r>
            <a:r>
              <a:rPr lang="en-US" b="1" baseline="0">
                <a:solidFill>
                  <a:srgbClr val="FF0000"/>
                </a:solidFill>
              </a:rPr>
              <a:t> </a:t>
            </a:r>
            <a:r>
              <a:rPr lang="en-US" b="1"/>
              <a:t>w/SEM - NO</a:t>
            </a:r>
            <a:r>
              <a:rPr lang="en-US" b="1" baseline="0"/>
              <a:t> (+) CONTROL</a:t>
            </a:r>
            <a:endParaRPr lang="en-US" b="1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Egf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plus>
            <c:minus>
              <c:numRef>
                <c:f>('No infection (112414)'!$O$3:$O$6,'No infection (112414)'!$O$8)</c:f>
                <c:numCache>
                  <c:formatCode>General</c:formatCode>
                  <c:ptCount val="5"/>
                  <c:pt idx="0">
                    <c:v>1143.934475104817</c:v>
                  </c:pt>
                  <c:pt idx="1">
                    <c:v>880.4942267461686</c:v>
                  </c:pt>
                  <c:pt idx="2">
                    <c:v>1415.152722912501</c:v>
                  </c:pt>
                  <c:pt idx="3">
                    <c:v>1731.378785823599</c:v>
                  </c:pt>
                  <c:pt idx="4">
                    <c:v>854.9999999999999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(112414)'!$N$3:$N$6,'No infection (112414)'!$N$8)</c:f>
              <c:numCache>
                <c:formatCode>General</c:formatCode>
                <c:ptCount val="5"/>
                <c:pt idx="0">
                  <c:v>5643.5</c:v>
                </c:pt>
                <c:pt idx="1">
                  <c:v>19795.5</c:v>
                </c:pt>
                <c:pt idx="2">
                  <c:v>6975.25</c:v>
                </c:pt>
                <c:pt idx="3">
                  <c:v>8656.0</c:v>
                </c:pt>
                <c:pt idx="4">
                  <c:v>18199.0</c:v>
                </c:pt>
              </c:numCache>
            </c:numRef>
          </c:val>
        </c:ser>
        <c:ser>
          <c:idx val="1"/>
          <c:order val="1"/>
          <c:tx>
            <c:v>Egf</c:v>
          </c:tx>
          <c:spPr>
            <a:solidFill>
              <a:schemeClr val="accent4"/>
            </a:solidFill>
            <a:ln>
              <a:solidFill>
                <a:schemeClr val="accent4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plus>
            <c:minus>
              <c:numRef>
                <c:f>('No infection (112414)'!$O$9:$O$12,'No infection (112414)'!$O$14)</c:f>
                <c:numCache>
                  <c:formatCode>General</c:formatCode>
                  <c:ptCount val="5"/>
                  <c:pt idx="0">
                    <c:v>453.8205179363313</c:v>
                  </c:pt>
                  <c:pt idx="1">
                    <c:v>665.6657068929819</c:v>
                  </c:pt>
                  <c:pt idx="2">
                    <c:v>153.2532626080111</c:v>
                  </c:pt>
                  <c:pt idx="3">
                    <c:v>380.0475847399462</c:v>
                  </c:pt>
                  <c:pt idx="4">
                    <c:v>972.777584634158</c:v>
                  </c:pt>
                </c:numCache>
              </c:numRef>
            </c:minus>
          </c:errBars>
          <c:cat>
            <c:strRef>
              <c:f>('No infection (112414)'!$K$3:$K$6,'No infection (112414)'!$K$8)</c:f>
              <c:strCache>
                <c:ptCount val="5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- control</c:v>
                </c:pt>
              </c:strCache>
            </c:strRef>
          </c:cat>
          <c:val>
            <c:numRef>
              <c:f>('No infection (112414)'!$N$9:$N$12,'No infection (112414)'!$N$14)</c:f>
              <c:numCache>
                <c:formatCode>General</c:formatCode>
                <c:ptCount val="5"/>
                <c:pt idx="0">
                  <c:v>8151.25</c:v>
                </c:pt>
                <c:pt idx="1">
                  <c:v>33587.0</c:v>
                </c:pt>
                <c:pt idx="2">
                  <c:v>6891.75</c:v>
                </c:pt>
                <c:pt idx="3">
                  <c:v>13181.0</c:v>
                </c:pt>
                <c:pt idx="4">
                  <c:v>15613.75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875440"/>
        <c:axId val="-2100886880"/>
      </c:barChart>
      <c:catAx>
        <c:axId val="-210087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00886880"/>
        <c:crosses val="autoZero"/>
        <c:auto val="1"/>
        <c:lblAlgn val="ctr"/>
        <c:lblOffset val="100"/>
        <c:noMultiLvlLbl val="0"/>
      </c:catAx>
      <c:valAx>
        <c:axId val="-210088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87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Reponse ratio for 1/2 (given) samples </a:t>
            </a:r>
            <a:r>
              <a:rPr lang="en-US">
                <a:solidFill>
                  <a:srgbClr val="FF0000"/>
                </a:solidFill>
              </a:rPr>
              <a:t>NO INFECTION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A, C</c:v>
          </c:tx>
          <c:invertIfNegative val="0"/>
          <c:cat>
            <c:strRef>
              <c:f>'No infection (112414)'!$C$29:$C$34</c:f>
              <c:strCache>
                <c:ptCount val="6"/>
                <c:pt idx="0">
                  <c:v>133/5/6</c:v>
                </c:pt>
                <c:pt idx="1">
                  <c:v>133/5</c:v>
                </c:pt>
                <c:pt idx="2">
                  <c:v>135/6</c:v>
                </c:pt>
                <c:pt idx="3">
                  <c:v>135</c:v>
                </c:pt>
                <c:pt idx="4">
                  <c:v>+ control</c:v>
                </c:pt>
                <c:pt idx="5">
                  <c:v>- control</c:v>
                </c:pt>
              </c:strCache>
            </c:strRef>
          </c:cat>
          <c:val>
            <c:numRef>
              <c:f>'No infection (112414)'!$D$29:$D$34</c:f>
              <c:numCache>
                <c:formatCode>General</c:formatCode>
                <c:ptCount val="6"/>
                <c:pt idx="0">
                  <c:v>2.010040705563094</c:v>
                </c:pt>
                <c:pt idx="1">
                  <c:v>1.618186084711956</c:v>
                </c:pt>
                <c:pt idx="2">
                  <c:v>1.480760822037604</c:v>
                </c:pt>
                <c:pt idx="3">
                  <c:v>2.310278578290106</c:v>
                </c:pt>
                <c:pt idx="4">
                  <c:v>1.202698887054931</c:v>
                </c:pt>
                <c:pt idx="5">
                  <c:v>1.191864954025409</c:v>
                </c:pt>
              </c:numCache>
            </c:numRef>
          </c:val>
        </c:ser>
        <c:ser>
          <c:idx val="1"/>
          <c:order val="1"/>
          <c:tx>
            <c:v>B, D</c:v>
          </c:tx>
          <c:invertIfNegative val="0"/>
          <c:val>
            <c:numRef>
              <c:f>'No infection (112414)'!$E$29:$E$34</c:f>
              <c:numCache>
                <c:formatCode>General</c:formatCode>
                <c:ptCount val="6"/>
                <c:pt idx="0">
                  <c:v>1.17015259142331</c:v>
                </c:pt>
                <c:pt idx="1">
                  <c:v>1.788197008231465</c:v>
                </c:pt>
                <c:pt idx="2">
                  <c:v>0.747667039940276</c:v>
                </c:pt>
                <c:pt idx="3">
                  <c:v>1.133603763000043</c:v>
                </c:pt>
                <c:pt idx="4">
                  <c:v>1.944889000195053</c:v>
                </c:pt>
                <c:pt idx="5">
                  <c:v>0.782845211275345</c:v>
                </c:pt>
              </c:numCache>
            </c:numRef>
          </c:val>
        </c:ser>
        <c:ser>
          <c:idx val="2"/>
          <c:order val="2"/>
          <c:tx>
            <c:v>A, D</c:v>
          </c:tx>
          <c:invertIfNegative val="0"/>
          <c:val>
            <c:numRef>
              <c:f>'No infection (112414)'!$F$29:$F$34</c:f>
              <c:numCache>
                <c:formatCode>General</c:formatCode>
                <c:ptCount val="6"/>
                <c:pt idx="0">
                  <c:v>2.413975576662144</c:v>
                </c:pt>
                <c:pt idx="1">
                  <c:v>1.060116683776996</c:v>
                </c:pt>
                <c:pt idx="2">
                  <c:v>1.532684739833843</c:v>
                </c:pt>
                <c:pt idx="3">
                  <c:v>1.224434547201118</c:v>
                </c:pt>
                <c:pt idx="4">
                  <c:v>1.53052402979729</c:v>
                </c:pt>
                <c:pt idx="5">
                  <c:v>0.782845211275345</c:v>
                </c:pt>
              </c:numCache>
            </c:numRef>
          </c:val>
        </c:ser>
        <c:ser>
          <c:idx val="3"/>
          <c:order val="3"/>
          <c:tx>
            <c:v>B, C</c:v>
          </c:tx>
          <c:invertIfNegative val="0"/>
          <c:val>
            <c:numRef>
              <c:f>'No infection (112414)'!$G$29:$G$34</c:f>
              <c:numCache>
                <c:formatCode>General</c:formatCode>
                <c:ptCount val="6"/>
                <c:pt idx="0">
                  <c:v>0.974348855564325</c:v>
                </c:pt>
                <c:pt idx="1">
                  <c:v>1.885826017994366</c:v>
                </c:pt>
                <c:pt idx="2">
                  <c:v>0.722337759291847</c:v>
                </c:pt>
                <c:pt idx="3">
                  <c:v>1.141630345660898</c:v>
                </c:pt>
                <c:pt idx="4">
                  <c:v>1.528310428611678</c:v>
                </c:pt>
                <c:pt idx="5">
                  <c:v>0.9330457717457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735888"/>
        <c:axId val="-2100730544"/>
      </c:barChart>
      <c:catAx>
        <c:axId val="-2100735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ratio for 1/2 of samples</a:t>
                </a:r>
                <a:endParaRPr lang="en-US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100730544"/>
        <c:crosses val="autoZero"/>
        <c:auto val="1"/>
        <c:lblAlgn val="ctr"/>
        <c:lblOffset val="100"/>
        <c:noMultiLvlLbl val="0"/>
      </c:catAx>
      <c:valAx>
        <c:axId val="-2100730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Ratio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35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FF0000"/>
                </a:solidFill>
              </a:rPr>
              <a:t>Firefly </a:t>
            </a:r>
            <a:r>
              <a:rPr lang="en-US" baseline="0"/>
              <a:t>w/SEM             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(122914)'!$O$3:$O$8</c:f>
                <c:numCache>
                  <c:formatCode>General</c:formatCode>
                  <c:ptCount val="6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150.3703067984723</c:v>
                  </c:pt>
                  <c:pt idx="5">
                    <c:v>2297.767639470972</c:v>
                  </c:pt>
                </c:numCache>
              </c:numRef>
            </c:plus>
            <c:minus>
              <c:numRef>
                <c:f>'Infection (122914)'!$O$3:$O$8</c:f>
                <c:numCache>
                  <c:formatCode>General</c:formatCode>
                  <c:ptCount val="6"/>
                  <c:pt idx="0">
                    <c:v>457.6830007403232</c:v>
                  </c:pt>
                  <c:pt idx="1">
                    <c:v>679.8188943878117</c:v>
                  </c:pt>
                  <c:pt idx="2">
                    <c:v>78.25865234379306</c:v>
                  </c:pt>
                  <c:pt idx="3">
                    <c:v>237.3279640076154</c:v>
                  </c:pt>
                  <c:pt idx="4">
                    <c:v>150.3703067984723</c:v>
                  </c:pt>
                  <c:pt idx="5">
                    <c:v>2297.767639470972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(122914)'!$N$3:$N$8</c:f>
              <c:numCache>
                <c:formatCode>General</c:formatCode>
                <c:ptCount val="6"/>
                <c:pt idx="0">
                  <c:v>4418.75</c:v>
                </c:pt>
                <c:pt idx="1">
                  <c:v>8723.75</c:v>
                </c:pt>
                <c:pt idx="2">
                  <c:v>4437.5</c:v>
                </c:pt>
                <c:pt idx="3">
                  <c:v>7237.25</c:v>
                </c:pt>
                <c:pt idx="4">
                  <c:v>2399.25</c:v>
                </c:pt>
                <c:pt idx="5">
                  <c:v>12272.75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(122914)'!$O$9:$O$14</c:f>
                <c:numCache>
                  <c:formatCode>General</c:formatCode>
                  <c:ptCount val="6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40.20468463583152</c:v>
                  </c:pt>
                  <c:pt idx="5">
                    <c:v>725.0587763531082</c:v>
                  </c:pt>
                </c:numCache>
              </c:numRef>
            </c:plus>
            <c:minus>
              <c:numRef>
                <c:f>'Infection (122914)'!$O$9:$O$14</c:f>
                <c:numCache>
                  <c:formatCode>General</c:formatCode>
                  <c:ptCount val="6"/>
                  <c:pt idx="0">
                    <c:v>511.2796853647391</c:v>
                  </c:pt>
                  <c:pt idx="1">
                    <c:v>1459.091897951142</c:v>
                  </c:pt>
                  <c:pt idx="2">
                    <c:v>83.2275995889184</c:v>
                  </c:pt>
                  <c:pt idx="3">
                    <c:v>103.1078521096559</c:v>
                  </c:pt>
                  <c:pt idx="4">
                    <c:v>40.20468463583152</c:v>
                  </c:pt>
                  <c:pt idx="5">
                    <c:v>725.0587763531082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(122914)'!$N$9:$N$14</c:f>
              <c:numCache>
                <c:formatCode>General</c:formatCode>
                <c:ptCount val="6"/>
                <c:pt idx="0">
                  <c:v>5637.5</c:v>
                </c:pt>
                <c:pt idx="1">
                  <c:v>8293.0</c:v>
                </c:pt>
                <c:pt idx="2">
                  <c:v>4619.0</c:v>
                </c:pt>
                <c:pt idx="3">
                  <c:v>6953.25</c:v>
                </c:pt>
                <c:pt idx="4">
                  <c:v>2441.5</c:v>
                </c:pt>
                <c:pt idx="5">
                  <c:v>14592.75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540032"/>
        <c:axId val="-2092516032"/>
      </c:barChart>
      <c:catAx>
        <c:axId val="-209254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2516032"/>
        <c:crosses val="autoZero"/>
        <c:auto val="1"/>
        <c:lblAlgn val="ctr"/>
        <c:lblOffset val="100"/>
        <c:noMultiLvlLbl val="0"/>
      </c:catAx>
      <c:valAx>
        <c:axId val="-2092516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540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0070C0"/>
                </a:solidFill>
              </a:rPr>
              <a:t>Renilla </a:t>
            </a:r>
            <a:r>
              <a:rPr lang="en-US" baseline="0"/>
              <a:t>w/SEM            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plus>
            <c:minus>
              <c:numRef>
                <c:f>'Infection (122914)'!$Q$3:$Q$8</c:f>
                <c:numCache>
                  <c:formatCode>General</c:formatCode>
                  <c:ptCount val="6"/>
                  <c:pt idx="0">
                    <c:v>8772.318664412505</c:v>
                  </c:pt>
                  <c:pt idx="1">
                    <c:v>7365.063479868995</c:v>
                  </c:pt>
                  <c:pt idx="2">
                    <c:v>4049.26226819981</c:v>
                  </c:pt>
                  <c:pt idx="3">
                    <c:v>4305.740264944771</c:v>
                  </c:pt>
                  <c:pt idx="4">
                    <c:v>29868.84373808267</c:v>
                  </c:pt>
                  <c:pt idx="5">
                    <c:v>15455.09706847011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(122914)'!$P$3:$P$8</c:f>
              <c:numCache>
                <c:formatCode>General</c:formatCode>
                <c:ptCount val="6"/>
                <c:pt idx="0">
                  <c:v>140148.5</c:v>
                </c:pt>
                <c:pt idx="1">
                  <c:v>113693.25</c:v>
                </c:pt>
                <c:pt idx="2">
                  <c:v>134386.5</c:v>
                </c:pt>
                <c:pt idx="3">
                  <c:v>118745.75</c:v>
                </c:pt>
                <c:pt idx="4">
                  <c:v>172766.5</c:v>
                </c:pt>
                <c:pt idx="5">
                  <c:v>103010.75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plus>
            <c:minus>
              <c:numRef>
                <c:f>'Infection (122914)'!$Q$9:$Q$14</c:f>
                <c:numCache>
                  <c:formatCode>General</c:formatCode>
                  <c:ptCount val="6"/>
                  <c:pt idx="0">
                    <c:v>2912.07455762497</c:v>
                  </c:pt>
                  <c:pt idx="1">
                    <c:v>20016.82036178157</c:v>
                  </c:pt>
                  <c:pt idx="2">
                    <c:v>7831.749900245793</c:v>
                  </c:pt>
                  <c:pt idx="3">
                    <c:v>865.8135865569831</c:v>
                  </c:pt>
                  <c:pt idx="4">
                    <c:v>16155.66676639088</c:v>
                  </c:pt>
                  <c:pt idx="5">
                    <c:v>6643.798968148169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(122914)'!$P$9:$P$14</c:f>
              <c:numCache>
                <c:formatCode>General</c:formatCode>
                <c:ptCount val="6"/>
                <c:pt idx="0">
                  <c:v>116030.75</c:v>
                </c:pt>
                <c:pt idx="1">
                  <c:v>110520.75</c:v>
                </c:pt>
                <c:pt idx="2">
                  <c:v>154076.0</c:v>
                </c:pt>
                <c:pt idx="3">
                  <c:v>86019.0</c:v>
                </c:pt>
                <c:pt idx="4">
                  <c:v>141921.0</c:v>
                </c:pt>
                <c:pt idx="5">
                  <c:v>104789.75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0700528"/>
        <c:axId val="-2092431232"/>
      </c:barChart>
      <c:catAx>
        <c:axId val="-210070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2431232"/>
        <c:crosses val="autoZero"/>
        <c:auto val="1"/>
        <c:lblAlgn val="ctr"/>
        <c:lblOffset val="100"/>
        <c:noMultiLvlLbl val="0"/>
      </c:catAx>
      <c:valAx>
        <c:axId val="-2092431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070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</a:t>
            </a:r>
            <a:r>
              <a:rPr lang="en-US">
                <a:solidFill>
                  <a:srgbClr val="7030A0"/>
                </a:solidFill>
              </a:rPr>
              <a:t>ratio</a:t>
            </a:r>
            <a:r>
              <a:rPr lang="en-US"/>
              <a:t> </a:t>
            </a:r>
            <a:r>
              <a:rPr lang="en-US" baseline="0"/>
              <a:t>w/SEM                </a:t>
            </a:r>
            <a:r>
              <a:rPr lang="en-US" baseline="0">
                <a:solidFill>
                  <a:srgbClr val="00B050"/>
                </a:solidFill>
              </a:rPr>
              <a:t>Infection</a:t>
            </a:r>
            <a:endParaRPr lang="en-US">
              <a:solidFill>
                <a:srgbClr val="00B050"/>
              </a:solidFill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Inf No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(122914)'!$M$3:$M$8</c:f>
                <c:numCache>
                  <c:formatCode>General</c:formatCode>
                  <c:ptCount val="6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0.00168620146744818</c:v>
                  </c:pt>
                  <c:pt idx="5">
                    <c:v>0.00249787776300838</c:v>
                  </c:pt>
                </c:numCache>
              </c:numRef>
            </c:plus>
            <c:minus>
              <c:numRef>
                <c:f>'Infection (122914)'!$M$3:$M$8</c:f>
                <c:numCache>
                  <c:formatCode>General</c:formatCode>
                  <c:ptCount val="6"/>
                  <c:pt idx="0">
                    <c:v>0.00142851992173116</c:v>
                  </c:pt>
                  <c:pt idx="1">
                    <c:v>0.00169100516113794</c:v>
                  </c:pt>
                  <c:pt idx="2">
                    <c:v>0.000594155314460066</c:v>
                  </c:pt>
                  <c:pt idx="3">
                    <c:v>0.00143926171054369</c:v>
                  </c:pt>
                  <c:pt idx="4">
                    <c:v>0.00168620146744818</c:v>
                  </c:pt>
                  <c:pt idx="5">
                    <c:v>0.00249787776300838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(122914)'!$L$3:$L$8</c:f>
              <c:numCache>
                <c:formatCode>General</c:formatCode>
                <c:ptCount val="6"/>
                <c:pt idx="0">
                  <c:v>0.0312993796239263</c:v>
                </c:pt>
                <c:pt idx="1">
                  <c:v>0.0765586641000156</c:v>
                </c:pt>
                <c:pt idx="2">
                  <c:v>0.0330661963160822</c:v>
                </c:pt>
                <c:pt idx="3">
                  <c:v>0.0610237958244374</c:v>
                </c:pt>
                <c:pt idx="4">
                  <c:v>0.01476047479525</c:v>
                </c:pt>
                <c:pt idx="5">
                  <c:v>0.120191999761763</c:v>
                </c:pt>
              </c:numCache>
            </c:numRef>
          </c:val>
        </c:ser>
        <c:ser>
          <c:idx val="1"/>
          <c:order val="1"/>
          <c:tx>
            <c:v>Inf Egf</c:v>
          </c:tx>
          <c:invertIfNegative val="0"/>
          <c:errBars>
            <c:errBarType val="both"/>
            <c:errValType val="cust"/>
            <c:noEndCap val="0"/>
            <c:plus>
              <c:numRef>
                <c:f>'Infection (122914)'!$M$9:$M$14</c:f>
                <c:numCache>
                  <c:formatCode>General</c:formatCode>
                  <c:ptCount val="6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0.0023127184447776</c:v>
                  </c:pt>
                  <c:pt idx="5">
                    <c:v>0.00242194622713821</c:v>
                  </c:pt>
                </c:numCache>
              </c:numRef>
            </c:plus>
            <c:minus>
              <c:numRef>
                <c:f>'Infection (122914)'!$M$9:$M$14</c:f>
                <c:numCache>
                  <c:formatCode>General</c:formatCode>
                  <c:ptCount val="6"/>
                  <c:pt idx="0">
                    <c:v>0.00545049430863025</c:v>
                  </c:pt>
                  <c:pt idx="1">
                    <c:v>0.00199124857145238</c:v>
                  </c:pt>
                  <c:pt idx="2">
                    <c:v>0.00194054812109309</c:v>
                  </c:pt>
                  <c:pt idx="3">
                    <c:v>0.00108050659157594</c:v>
                  </c:pt>
                  <c:pt idx="4">
                    <c:v>0.0023127184447776</c:v>
                  </c:pt>
                  <c:pt idx="5">
                    <c:v>0.00242194622713821</c:v>
                  </c:pt>
                </c:numCache>
              </c:numRef>
            </c:minus>
          </c:errBars>
          <c:cat>
            <c:strLit>
              <c:ptCount val="6"/>
              <c:pt idx="0">
                <c:v>_x0007_133/5/6</c:v>
              </c:pt>
              <c:pt idx="1">
                <c:v>_x0005_133/5</c:v>
              </c:pt>
              <c:pt idx="2">
                <c:v>_x0005_135/6</c:v>
              </c:pt>
              <c:pt idx="3">
                <c:v>_x0003_135</c:v>
              </c:pt>
              <c:pt idx="4">
                <c:v>	+ control</c:v>
              </c:pt>
              <c:pt idx="5">
                <c:v>	- control</c:v>
              </c:pt>
            </c:strLit>
          </c:cat>
          <c:val>
            <c:numRef>
              <c:f>'Infection (122914)'!$L$9:$L$14</c:f>
              <c:numCache>
                <c:formatCode>General</c:formatCode>
                <c:ptCount val="6"/>
                <c:pt idx="0">
                  <c:v>0.0489432227548695</c:v>
                </c:pt>
                <c:pt idx="1">
                  <c:v>0.0753367119354224</c:v>
                </c:pt>
                <c:pt idx="2">
                  <c:v>0.0302681613537433</c:v>
                </c:pt>
                <c:pt idx="3">
                  <c:v>0.0808407957548019</c:v>
                </c:pt>
                <c:pt idx="4">
                  <c:v>0.0179920505645037</c:v>
                </c:pt>
                <c:pt idx="5">
                  <c:v>0.139671685614242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2371712"/>
        <c:axId val="-2092336928"/>
      </c:barChart>
      <c:catAx>
        <c:axId val="-209237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Treatment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-2092336928"/>
        <c:crosses val="autoZero"/>
        <c:auto val="1"/>
        <c:lblAlgn val="ctr"/>
        <c:lblOffset val="100"/>
        <c:noMultiLvlLbl val="0"/>
      </c:catAx>
      <c:valAx>
        <c:axId val="-2092336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Firefly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2371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21</xdr:row>
      <xdr:rowOff>88900</xdr:rowOff>
    </xdr:from>
    <xdr:to>
      <xdr:col>14</xdr:col>
      <xdr:colOff>596900</xdr:colOff>
      <xdr:row>35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161925</xdr:colOff>
      <xdr:row>18</xdr:row>
      <xdr:rowOff>161925</xdr:rowOff>
    </xdr:from>
    <xdr:to>
      <xdr:col>17</xdr:col>
      <xdr:colOff>390525</xdr:colOff>
      <xdr:row>33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654050</xdr:colOff>
      <xdr:row>19</xdr:row>
      <xdr:rowOff>174625</xdr:rowOff>
    </xdr:from>
    <xdr:to>
      <xdr:col>20</xdr:col>
      <xdr:colOff>101600</xdr:colOff>
      <xdr:row>34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974725</xdr:colOff>
      <xdr:row>17</xdr:row>
      <xdr:rowOff>76200</xdr:rowOff>
    </xdr:from>
    <xdr:to>
      <xdr:col>16</xdr:col>
      <xdr:colOff>79375</xdr:colOff>
      <xdr:row>31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600075</xdr:colOff>
      <xdr:row>19</xdr:row>
      <xdr:rowOff>133350</xdr:rowOff>
    </xdr:from>
    <xdr:to>
      <xdr:col>13</xdr:col>
      <xdr:colOff>771525</xdr:colOff>
      <xdr:row>34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85725</xdr:colOff>
      <xdr:row>6</xdr:row>
      <xdr:rowOff>0</xdr:rowOff>
    </xdr:from>
    <xdr:to>
      <xdr:col>6</xdr:col>
      <xdr:colOff>641350</xdr:colOff>
      <xdr:row>20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16</xdr:row>
      <xdr:rowOff>28575</xdr:rowOff>
    </xdr:from>
    <xdr:to>
      <xdr:col>17</xdr:col>
      <xdr:colOff>536575</xdr:colOff>
      <xdr:row>30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352425</xdr:colOff>
      <xdr:row>16</xdr:row>
      <xdr:rowOff>107950</xdr:rowOff>
    </xdr:from>
    <xdr:to>
      <xdr:col>18</xdr:col>
      <xdr:colOff>574675</xdr:colOff>
      <xdr:row>30</xdr:row>
      <xdr:rowOff>184150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625475</xdr:colOff>
      <xdr:row>29</xdr:row>
      <xdr:rowOff>168275</xdr:rowOff>
    </xdr:from>
    <xdr:to>
      <xdr:col>19</xdr:col>
      <xdr:colOff>9525</xdr:colOff>
      <xdr:row>44</xdr:row>
      <xdr:rowOff>53975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282575</xdr:colOff>
      <xdr:row>34</xdr:row>
      <xdr:rowOff>79375</xdr:rowOff>
    </xdr:from>
    <xdr:to>
      <xdr:col>16</xdr:col>
      <xdr:colOff>504825</xdr:colOff>
      <xdr:row>48</xdr:row>
      <xdr:rowOff>155575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400050</xdr:colOff>
      <xdr:row>26</xdr:row>
      <xdr:rowOff>152400</xdr:rowOff>
    </xdr:from>
    <xdr:to>
      <xdr:col>20</xdr:col>
      <xdr:colOff>730250</xdr:colOff>
      <xdr:row>41</xdr:row>
      <xdr:rowOff>28575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323850</xdr:colOff>
      <xdr:row>7</xdr:row>
      <xdr:rowOff>0</xdr:rowOff>
    </xdr:from>
    <xdr:to>
      <xdr:col>8</xdr:col>
      <xdr:colOff>193675</xdr:colOff>
      <xdr:row>21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96610</xdr:colOff>
      <xdr:row>1</xdr:row>
      <xdr:rowOff>126546</xdr:rowOff>
    </xdr:from>
    <xdr:to>
      <xdr:col>6</xdr:col>
      <xdr:colOff>586467</xdr:colOff>
      <xdr:row>15</xdr:row>
      <xdr:rowOff>202746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89807</xdr:colOff>
      <xdr:row>16</xdr:row>
      <xdr:rowOff>138793</xdr:rowOff>
    </xdr:from>
    <xdr:to>
      <xdr:col>6</xdr:col>
      <xdr:colOff>605064</xdr:colOff>
      <xdr:row>31</xdr:row>
      <xdr:rowOff>14969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72119</xdr:colOff>
      <xdr:row>1</xdr:row>
      <xdr:rowOff>108858</xdr:rowOff>
    </xdr:from>
    <xdr:to>
      <xdr:col>13</xdr:col>
      <xdr:colOff>567419</xdr:colOff>
      <xdr:row>15</xdr:row>
      <xdr:rowOff>185058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59871</xdr:colOff>
      <xdr:row>16</xdr:row>
      <xdr:rowOff>180975</xdr:rowOff>
    </xdr:from>
    <xdr:to>
      <xdr:col>13</xdr:col>
      <xdr:colOff>575128</xdr:colOff>
      <xdr:row>31</xdr:row>
      <xdr:rowOff>53068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142875</xdr:colOff>
      <xdr:row>2</xdr:row>
      <xdr:rowOff>38100</xdr:rowOff>
    </xdr:from>
    <xdr:to>
      <xdr:col>20</xdr:col>
      <xdr:colOff>638175</xdr:colOff>
      <xdr:row>16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2</xdr:row>
      <xdr:rowOff>0</xdr:rowOff>
    </xdr:from>
    <xdr:to>
      <xdr:col>13</xdr:col>
      <xdr:colOff>225425</xdr:colOff>
      <xdr:row>16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266700</xdr:colOff>
      <xdr:row>17</xdr:row>
      <xdr:rowOff>19050</xdr:rowOff>
    </xdr:from>
    <xdr:to>
      <xdr:col>8</xdr:col>
      <xdr:colOff>101600</xdr:colOff>
      <xdr:row>31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276225</xdr:colOff>
      <xdr:row>16</xdr:row>
      <xdr:rowOff>133350</xdr:rowOff>
    </xdr:from>
    <xdr:to>
      <xdr:col>20</xdr:col>
      <xdr:colOff>111125</xdr:colOff>
      <xdr:row>31</xdr:row>
      <xdr:rowOff>9525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76200</xdr:rowOff>
    </xdr:from>
    <xdr:to>
      <xdr:col>17</xdr:col>
      <xdr:colOff>229588</xdr:colOff>
      <xdr:row>31</xdr:row>
      <xdr:rowOff>143423</xdr:rowOff>
    </xdr:to>
    <xdr:grpSp>
      <xdr:nvGrpSpPr>
        <xdr:cNvPr id="4" name="Group 3"/>
        <xdr:cNvGrpSpPr/>
      </xdr:nvGrpSpPr>
      <xdr:grpSpPr>
        <a:xfrm>
          <a:off x="6321425" y="76200"/>
          <a:ext cx="6951063" cy="6366423"/>
          <a:chOff x="6324600" y="76200"/>
          <a:chExt cx="7078063" cy="6267998"/>
        </a:xfrm>
      </xdr:grpSpPr>
      <xdr:pic>
        <xdr:nvPicPr>
          <xdr:cNvPr id="2" name="Picture 1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53175" y="76200"/>
            <a:ext cx="6973273" cy="2543530"/>
          </a:xfrm>
          <a:prstGeom prst="rect">
            <a:avLst/>
          </a:prstGeom>
        </xdr:spPr>
      </xdr:pic>
      <xdr:pic>
        <xdr:nvPicPr>
          <xdr:cNvPr id="3" name="Picture 2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24600" y="2419350"/>
            <a:ext cx="7078063" cy="3924848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317500</xdr:colOff>
      <xdr:row>16</xdr:row>
      <xdr:rowOff>50800</xdr:rowOff>
    </xdr:from>
    <xdr:to>
      <xdr:col>18</xdr:col>
      <xdr:colOff>654050</xdr:colOff>
      <xdr:row>30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</xdr:colOff>
      <xdr:row>41</xdr:row>
      <xdr:rowOff>127000</xdr:rowOff>
    </xdr:from>
    <xdr:to>
      <xdr:col>7</xdr:col>
      <xdr:colOff>711200</xdr:colOff>
      <xdr:row>62</xdr:row>
      <xdr:rowOff>152400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749300</xdr:colOff>
      <xdr:row>3</xdr:row>
      <xdr:rowOff>76200</xdr:rowOff>
    </xdr:from>
    <xdr:to>
      <xdr:col>16</xdr:col>
      <xdr:colOff>365125</xdr:colOff>
      <xdr:row>17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tabSelected="1" workbookViewId="0">
      <selection sqref="A1:B2"/>
    </sheetView>
  </sheetViews>
  <sheetFormatPr baseColWidth="10" defaultColWidth="11" defaultRowHeight="16" x14ac:dyDescent="0.2"/>
  <cols>
    <col min="1" max="1" width="3.33203125" customWidth="1"/>
    <col min="2" max="2" width="6" customWidth="1"/>
    <col min="3" max="3" width="13" bestFit="1" customWidth="1"/>
    <col min="4" max="4" width="13.33203125" bestFit="1" customWidth="1"/>
    <col min="5" max="5" width="13" bestFit="1" customWidth="1"/>
    <col min="6" max="6" width="13.33203125" bestFit="1" customWidth="1"/>
    <col min="10" max="10" width="9.83203125" bestFit="1" customWidth="1"/>
    <col min="11" max="11" width="14.33203125" bestFit="1" customWidth="1"/>
    <col min="12" max="12" width="11.83203125" bestFit="1" customWidth="1"/>
    <col min="13" max="18" width="11.5" customWidth="1"/>
    <col min="21" max="21" width="14.33203125" bestFit="1" customWidth="1"/>
  </cols>
  <sheetData>
    <row r="1" spans="1:24" x14ac:dyDescent="0.2">
      <c r="A1" s="46" t="s">
        <v>0</v>
      </c>
      <c r="B1" s="46"/>
      <c r="C1" s="46" t="s">
        <v>1</v>
      </c>
      <c r="D1" s="46"/>
      <c r="E1" s="46" t="s">
        <v>2</v>
      </c>
      <c r="F1" s="46"/>
      <c r="G1" s="50" t="s">
        <v>3</v>
      </c>
      <c r="H1" s="51"/>
      <c r="R1" s="45" t="s">
        <v>47</v>
      </c>
      <c r="S1" s="45"/>
      <c r="T1" s="45"/>
      <c r="V1" s="45" t="s">
        <v>48</v>
      </c>
      <c r="W1" s="45"/>
      <c r="X1" s="45"/>
    </row>
    <row r="2" spans="1:24" x14ac:dyDescent="0.2">
      <c r="A2" s="46"/>
      <c r="B2" s="46"/>
      <c r="C2" s="6" t="s">
        <v>4</v>
      </c>
      <c r="D2" s="6" t="s">
        <v>5</v>
      </c>
      <c r="E2" s="6" t="s">
        <v>4</v>
      </c>
      <c r="F2" s="6" t="s">
        <v>5</v>
      </c>
      <c r="G2" s="2" t="s">
        <v>1</v>
      </c>
      <c r="H2" s="2" t="s">
        <v>2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2" t="s">
        <v>44</v>
      </c>
      <c r="S2" s="2" t="s">
        <v>45</v>
      </c>
      <c r="T2" s="2" t="s">
        <v>46</v>
      </c>
      <c r="U2" s="9" t="s">
        <v>7</v>
      </c>
      <c r="V2" s="2" t="s">
        <v>44</v>
      </c>
      <c r="W2" s="2" t="s">
        <v>45</v>
      </c>
      <c r="X2" s="2" t="s">
        <v>46</v>
      </c>
    </row>
    <row r="3" spans="1:24" x14ac:dyDescent="0.2">
      <c r="A3" s="46" t="s">
        <v>14</v>
      </c>
      <c r="B3" s="1">
        <v>1</v>
      </c>
      <c r="C3" s="7">
        <v>3919</v>
      </c>
      <c r="D3" s="7">
        <v>1628166</v>
      </c>
      <c r="E3" s="7">
        <v>3451</v>
      </c>
      <c r="F3" s="7">
        <v>1628641</v>
      </c>
      <c r="G3" s="4">
        <f>C3/D3</f>
        <v>2.4070027257662918E-3</v>
      </c>
      <c r="H3" s="4">
        <f>E3/F3</f>
        <v>2.1189445678943364E-3</v>
      </c>
      <c r="J3" s="5" t="s">
        <v>15</v>
      </c>
      <c r="K3" s="5" t="s">
        <v>16</v>
      </c>
      <c r="L3" s="3">
        <f>AVERAGE(G3,H3,G9,H9)</f>
        <v>2.2264257370127622E-3</v>
      </c>
      <c r="M3" s="3">
        <f>STDEV(G3,H3,G9,H9)/2</f>
        <v>6.418648138369156E-5</v>
      </c>
      <c r="N3" s="3">
        <f>AVERAGE(C3,E3,E9,C9)</f>
        <v>5643.5</v>
      </c>
      <c r="O3" s="3">
        <f>STDEV(C3,E3,C9,E9)/2</f>
        <v>1143.934475104817</v>
      </c>
      <c r="P3" s="3">
        <f>AVERAGE(D3,F3,F9,D9)</f>
        <v>2549054</v>
      </c>
      <c r="Q3" s="3">
        <f>STDEV(D3,F3,D9,F9)/2</f>
        <v>533245.41300777579</v>
      </c>
      <c r="R3" s="4">
        <f>100*(L3-0.005629)/(0.172)</f>
        <v>-1.9782408505739757</v>
      </c>
      <c r="S3" s="4">
        <f>100*(N3-18199)/453286</f>
        <v>-2.7698847967949596</v>
      </c>
      <c r="T3" s="4">
        <f>100*(P3-3233118)/-598101.75</f>
        <v>114.37251270373311</v>
      </c>
      <c r="U3" s="5" t="s">
        <v>16</v>
      </c>
      <c r="V3" s="4">
        <f>R9/R3</f>
        <v>0.51587286760386664</v>
      </c>
      <c r="W3" s="4">
        <f>S9/S3</f>
        <v>0.38185409949057231</v>
      </c>
      <c r="X3" s="4">
        <f>T9/T3</f>
        <v>-0.73927073878702687</v>
      </c>
    </row>
    <row r="4" spans="1:24" x14ac:dyDescent="0.2">
      <c r="A4" s="46"/>
      <c r="B4" s="1">
        <v>2</v>
      </c>
      <c r="C4" s="7">
        <v>21208</v>
      </c>
      <c r="D4" s="7">
        <v>2268644</v>
      </c>
      <c r="E4" s="7">
        <v>21407</v>
      </c>
      <c r="F4" s="7">
        <v>2162264</v>
      </c>
      <c r="G4" s="4">
        <f t="shared" ref="G4:G25" si="0">C4/D4</f>
        <v>9.3483155576635207E-3</v>
      </c>
      <c r="H4" s="4">
        <f t="shared" ref="H4:H25" si="1">E4/F4</f>
        <v>9.9002711972266105E-3</v>
      </c>
      <c r="J4" s="5" t="s">
        <v>17</v>
      </c>
      <c r="K4" s="5" t="s">
        <v>18</v>
      </c>
      <c r="L4" s="3">
        <f>AVERAGE(G4,H4,G10,H10)</f>
        <v>9.4569810301448759E-3</v>
      </c>
      <c r="M4" s="3">
        <f>STDEV(G4,H4,G10,H10)/2</f>
        <v>1.6469552521534194E-4</v>
      </c>
      <c r="N4" s="3">
        <f>AVERAGE(C4,E4,E10,C10)</f>
        <v>19795.5</v>
      </c>
      <c r="O4" s="3">
        <f>STDEV(C4,E4,C10,E10)/2</f>
        <v>880.49422674616858</v>
      </c>
      <c r="P4" s="3">
        <f>AVERAGE(D4,F4,F10,D10)</f>
        <v>2092420.25</v>
      </c>
      <c r="Q4" s="3">
        <f>STDEV(D4,F4,D10,F10)/2</f>
        <v>78937.906646484917</v>
      </c>
      <c r="R4" s="4">
        <f t="shared" ref="R4:R6" si="2">100*(L4-0.005629)/(0.172)</f>
        <v>2.2255703663633</v>
      </c>
      <c r="S4" s="4">
        <f t="shared" ref="S4:S6" si="3">100*(N4-18199)/453286</f>
        <v>0.35220589208579128</v>
      </c>
      <c r="T4" s="4">
        <f t="shared" ref="T4:T6" si="4">100*(P4-3233118)/-598101.75</f>
        <v>190.71968105761269</v>
      </c>
      <c r="U4" s="5" t="s">
        <v>18</v>
      </c>
      <c r="V4" s="12">
        <f t="shared" ref="V4:V6" si="5">R10/R4</f>
        <v>1.4542998440830144</v>
      </c>
      <c r="W4" s="12">
        <f t="shared" ref="W4:W6" si="6">S10/S4</f>
        <v>7.2327727167928808</v>
      </c>
      <c r="X4" s="4">
        <f t="shared" ref="X4:X6" si="7">T10/T4</f>
        <v>-0.17295257497237765</v>
      </c>
    </row>
    <row r="5" spans="1:24" x14ac:dyDescent="0.2">
      <c r="A5" s="46"/>
      <c r="B5" s="1">
        <v>3</v>
      </c>
      <c r="C5" s="7">
        <v>4752</v>
      </c>
      <c r="D5" s="7">
        <v>2218584</v>
      </c>
      <c r="E5" s="7">
        <v>4396</v>
      </c>
      <c r="F5" s="7">
        <v>1959000</v>
      </c>
      <c r="G5" s="4">
        <f t="shared" si="0"/>
        <v>2.1419067296978614E-3</v>
      </c>
      <c r="H5" s="4">
        <f t="shared" si="1"/>
        <v>2.2440020418580909E-3</v>
      </c>
      <c r="J5" s="5" t="s">
        <v>19</v>
      </c>
      <c r="K5" s="5" t="s">
        <v>20</v>
      </c>
      <c r="L5" s="3">
        <f>AVERAGE(G5,H5,G11,H11)</f>
        <v>2.4081479034797322E-3</v>
      </c>
      <c r="M5" s="3">
        <f>STDEV(G5,H5,G11,H11)/2</f>
        <v>1.2630582091058688E-4</v>
      </c>
      <c r="N5" s="3">
        <f>AVERAGE(C5,E5,E11,C11)</f>
        <v>6975.25</v>
      </c>
      <c r="O5" s="3">
        <f>STDEV(C5,E5,C11,E11)/2</f>
        <v>1415.1527229125013</v>
      </c>
      <c r="P5" s="3">
        <f>AVERAGE(D5,F5,F11,D11)</f>
        <v>2830565.25</v>
      </c>
      <c r="Q5" s="3">
        <f>STDEV(D5,F5,D11,F11)/2</f>
        <v>441282.22453387186</v>
      </c>
      <c r="R5" s="4">
        <f t="shared" si="2"/>
        <v>-1.8725884282094583</v>
      </c>
      <c r="S5" s="4">
        <f t="shared" si="3"/>
        <v>-2.4760857383638584</v>
      </c>
      <c r="T5" s="4">
        <f t="shared" si="4"/>
        <v>67.305061387966177</v>
      </c>
      <c r="U5" s="5" t="s">
        <v>20</v>
      </c>
      <c r="V5" s="4">
        <f t="shared" si="5"/>
        <v>0.5781332618036612</v>
      </c>
      <c r="W5" s="4">
        <f t="shared" si="6"/>
        <v>0.49925821936207115</v>
      </c>
      <c r="X5" s="12">
        <f t="shared" si="7"/>
        <v>-2.251371708125478</v>
      </c>
    </row>
    <row r="6" spans="1:24" x14ac:dyDescent="0.2">
      <c r="A6" s="46"/>
      <c r="B6" s="1">
        <v>4</v>
      </c>
      <c r="C6" s="7">
        <v>5882</v>
      </c>
      <c r="D6" s="7">
        <v>1309564</v>
      </c>
      <c r="E6" s="7">
        <v>5569</v>
      </c>
      <c r="F6" s="7">
        <v>1282834</v>
      </c>
      <c r="G6" s="4">
        <f t="shared" si="0"/>
        <v>4.4915712405044729E-3</v>
      </c>
      <c r="H6" s="4">
        <f t="shared" si="1"/>
        <v>4.3411696291180309E-3</v>
      </c>
      <c r="J6" s="5" t="s">
        <v>21</v>
      </c>
      <c r="K6" s="5" t="s">
        <v>22</v>
      </c>
      <c r="L6" s="3">
        <f>AVERAGE(G6,H6,G12,H12)</f>
        <v>4.1598907443425402E-3</v>
      </c>
      <c r="M6" s="3">
        <f>STDEV(G6,H6,G12,H12)/2</f>
        <v>1.552937254784925E-4</v>
      </c>
      <c r="N6" s="3">
        <f>AVERAGE(C6,E6,E12,C12)</f>
        <v>8656</v>
      </c>
      <c r="O6" s="3">
        <f>STDEV(C6,E6,C12,E12)/2</f>
        <v>1731.3787858235989</v>
      </c>
      <c r="P6" s="3">
        <f>AVERAGE(D6,F6,F12,D12)</f>
        <v>2130462</v>
      </c>
      <c r="Q6" s="3">
        <f>STDEV(D6,F6,D12,F12)/2</f>
        <v>486180.25662710739</v>
      </c>
      <c r="R6" s="4">
        <f t="shared" si="2"/>
        <v>-0.8541332881729421</v>
      </c>
      <c r="S6" s="4">
        <f t="shared" si="3"/>
        <v>-2.1052933468053281</v>
      </c>
      <c r="T6" s="4">
        <f t="shared" si="4"/>
        <v>184.35926662980003</v>
      </c>
      <c r="U6" s="5" t="s">
        <v>22</v>
      </c>
      <c r="V6" s="4">
        <f t="shared" si="5"/>
        <v>0.22698887473993939</v>
      </c>
      <c r="W6" s="4">
        <f t="shared" si="6"/>
        <v>0.16377955361081289</v>
      </c>
      <c r="X6" s="4">
        <f t="shared" si="7"/>
        <v>-0.30135639354057076</v>
      </c>
    </row>
    <row r="7" spans="1:24" ht="15.75" customHeight="1" x14ac:dyDescent="0.2">
      <c r="A7" s="46"/>
      <c r="B7" s="1">
        <v>5</v>
      </c>
      <c r="C7" s="7">
        <v>528530</v>
      </c>
      <c r="D7" s="7">
        <v>2892571</v>
      </c>
      <c r="E7" s="7">
        <v>526868</v>
      </c>
      <c r="F7" s="7">
        <v>2768799</v>
      </c>
      <c r="G7" s="4">
        <f t="shared" si="0"/>
        <v>0.18271980186484618</v>
      </c>
      <c r="H7" s="4">
        <f t="shared" si="1"/>
        <v>0.19028755789062335</v>
      </c>
      <c r="J7" s="5" t="s">
        <v>23</v>
      </c>
      <c r="K7" s="5" t="s">
        <v>24</v>
      </c>
      <c r="L7" s="3">
        <f>AVERAGE(G7,H7,G13,H13)</f>
        <v>0.17837381874350913</v>
      </c>
      <c r="M7" s="3">
        <f>STDEV(G7,H7,G13,H13)/2</f>
        <v>4.9513880768832204E-3</v>
      </c>
      <c r="N7" s="3">
        <f>AVERAGE(C7,E7,E13,C13)</f>
        <v>471485</v>
      </c>
      <c r="O7" s="3">
        <f>STDEV(C7,E7,C13,E13)/2</f>
        <v>32459.739393593412</v>
      </c>
      <c r="P7" s="3">
        <f>AVERAGE(D7,F7,F13,D13)</f>
        <v>2635016.25</v>
      </c>
      <c r="Q7" s="3">
        <f>STDEV(D7,F7,D13,F13)/2</f>
        <v>115971.44889682617</v>
      </c>
      <c r="U7" s="5" t="s">
        <v>24</v>
      </c>
      <c r="V7" s="52" t="s">
        <v>52</v>
      </c>
      <c r="W7" s="53"/>
      <c r="X7" s="53"/>
    </row>
    <row r="8" spans="1:24" x14ac:dyDescent="0.2">
      <c r="A8" s="46"/>
      <c r="B8" s="1">
        <v>6</v>
      </c>
      <c r="C8" s="7">
        <v>15571</v>
      </c>
      <c r="D8" s="7">
        <v>3759200</v>
      </c>
      <c r="E8" s="7">
        <v>12923</v>
      </c>
      <c r="F8" s="7">
        <v>3379571</v>
      </c>
      <c r="G8" s="4">
        <f t="shared" si="0"/>
        <v>4.1421047031283253E-3</v>
      </c>
      <c r="H8" s="4">
        <f t="shared" si="1"/>
        <v>3.8238581169030032E-3</v>
      </c>
      <c r="J8" s="5" t="s">
        <v>25</v>
      </c>
      <c r="K8" s="5" t="s">
        <v>26</v>
      </c>
      <c r="L8" s="3">
        <f>AVERAGE(G14,H14)</f>
        <v>5.629756346768152E-3</v>
      </c>
      <c r="M8" s="3">
        <f>STDEV(G14,H14)/SQRT(2)</f>
        <v>1.6525454260315434E-5</v>
      </c>
      <c r="N8" s="3">
        <f>AVERAGE(E14,C14)</f>
        <v>18199</v>
      </c>
      <c r="O8" s="3">
        <f>STDEV(C14,E14)/SQRT(2)</f>
        <v>854.99999999999989</v>
      </c>
      <c r="P8" s="3">
        <f>AVERAGE(F14,D14)</f>
        <v>3233118</v>
      </c>
      <c r="Q8" s="3">
        <f>STDEV(D14,F14)/SQRT(2)</f>
        <v>161361.99999999997</v>
      </c>
      <c r="U8" s="5" t="s">
        <v>26</v>
      </c>
      <c r="V8" s="54"/>
      <c r="W8" s="55"/>
      <c r="X8" s="55"/>
    </row>
    <row r="9" spans="1:24" x14ac:dyDescent="0.2">
      <c r="A9" s="46" t="s">
        <v>27</v>
      </c>
      <c r="B9" s="1">
        <v>1</v>
      </c>
      <c r="C9" s="7">
        <v>7956</v>
      </c>
      <c r="D9" s="7">
        <v>3574152</v>
      </c>
      <c r="E9" s="7">
        <v>7248</v>
      </c>
      <c r="F9" s="7">
        <v>3365257</v>
      </c>
      <c r="G9" s="4">
        <f t="shared" si="0"/>
        <v>2.2259825547430549E-3</v>
      </c>
      <c r="H9" s="4">
        <f t="shared" si="1"/>
        <v>2.1537730996473671E-3</v>
      </c>
      <c r="J9" s="5" t="s">
        <v>28</v>
      </c>
      <c r="K9" s="5" t="s">
        <v>29</v>
      </c>
      <c r="L9" s="3">
        <f>AVERAGE(G15,H15,G21,H21)</f>
        <v>2.6172938421097267E-3</v>
      </c>
      <c r="M9" s="3">
        <f>STDEV(G15,H15,G21,H21)/2</f>
        <v>1.1331626514845632E-4</v>
      </c>
      <c r="N9" s="3">
        <f>AVERAGE(C15,E15,C21,E21)</f>
        <v>8151.25</v>
      </c>
      <c r="O9" s="3">
        <f>STDEV(C15,E15,C21,E21)/2</f>
        <v>453.82051793633133</v>
      </c>
      <c r="P9" s="3">
        <f>AVERAGE(D15,F15,D21,F21)</f>
        <v>3112094.5</v>
      </c>
      <c r="Q9" s="3">
        <f>STDEV(D15,F15,D21,F21)/2</f>
        <v>88485.528935056194</v>
      </c>
      <c r="R9" s="4">
        <f>100*(L9-0.004393)/(0.174)</f>
        <v>-1.0205207803967091</v>
      </c>
      <c r="S9" s="4">
        <f>100*(N9-15613.75)/705545.75</f>
        <v>-1.0576918647727662</v>
      </c>
      <c r="T9" s="4">
        <f>100*(P9-3554494.5)/523226.75</f>
        <v>-84.55225196341739</v>
      </c>
      <c r="U9" s="5" t="s">
        <v>29</v>
      </c>
      <c r="V9" s="54"/>
      <c r="W9" s="55"/>
      <c r="X9" s="55"/>
    </row>
    <row r="10" spans="1:24" x14ac:dyDescent="0.2">
      <c r="A10" s="46"/>
      <c r="B10" s="1">
        <v>2</v>
      </c>
      <c r="C10" s="7">
        <v>18020</v>
      </c>
      <c r="D10" s="7">
        <v>1903939</v>
      </c>
      <c r="E10" s="7">
        <v>18547</v>
      </c>
      <c r="F10" s="7">
        <v>2034834</v>
      </c>
      <c r="G10" s="4">
        <f t="shared" si="0"/>
        <v>9.4645889390363881E-3</v>
      </c>
      <c r="H10" s="4">
        <f t="shared" si="1"/>
        <v>9.1147484266529844E-3</v>
      </c>
      <c r="J10" s="5" t="s">
        <v>30</v>
      </c>
      <c r="K10" s="5" t="s">
        <v>31</v>
      </c>
      <c r="L10" s="3">
        <f>AVERAGE(G16,H16,G22,H22)</f>
        <v>1.0024765148028388E-2</v>
      </c>
      <c r="M10" s="3">
        <f>STDEV(G16,H16,G22,H22)/2</f>
        <v>4.798193714507111E-4</v>
      </c>
      <c r="N10" s="3">
        <f>AVERAGE(C16,E16,C22,E22)</f>
        <v>33587</v>
      </c>
      <c r="O10" s="3">
        <f>STDEV(C16,E16,C22,E22)/2</f>
        <v>665.66570689298192</v>
      </c>
      <c r="P10" s="3">
        <f>AVERAGE(D16,F16,D22,F22)</f>
        <v>3381905.75</v>
      </c>
      <c r="Q10" s="3">
        <f>STDEV(D16,F16,D22,F22)/2</f>
        <v>224163.22980006295</v>
      </c>
      <c r="R10" s="8">
        <f t="shared" ref="R10:R12" si="8">100*(L10-0.004393)/(0.174)</f>
        <v>3.2366466367979245</v>
      </c>
      <c r="S10" s="8">
        <f t="shared" ref="S10:S12" si="9">100*(N10-15613.75)/705545.75</f>
        <v>2.5474251669718089</v>
      </c>
      <c r="T10" s="4">
        <f t="shared" ref="T10:T12" si="10">100*(P10-3554494.5)/523226.75</f>
        <v>-32.985459936824711</v>
      </c>
      <c r="U10" s="5" t="s">
        <v>31</v>
      </c>
      <c r="V10" s="54"/>
      <c r="W10" s="55"/>
      <c r="X10" s="55"/>
    </row>
    <row r="11" spans="1:24" x14ac:dyDescent="0.2">
      <c r="A11" s="46"/>
      <c r="B11" s="1">
        <v>3</v>
      </c>
      <c r="C11" s="7">
        <v>10049</v>
      </c>
      <c r="D11" s="7">
        <v>3798345</v>
      </c>
      <c r="E11" s="7">
        <v>8704</v>
      </c>
      <c r="F11" s="7">
        <v>3346332</v>
      </c>
      <c r="G11" s="4">
        <f t="shared" si="0"/>
        <v>2.6456259239221293E-3</v>
      </c>
      <c r="H11" s="4">
        <f t="shared" si="1"/>
        <v>2.6010569184408481E-3</v>
      </c>
      <c r="J11" s="5" t="s">
        <v>32</v>
      </c>
      <c r="K11" s="5" t="s">
        <v>33</v>
      </c>
      <c r="L11" s="3">
        <f>AVERAGE(G17,H17,G23,H23)</f>
        <v>2.5092661585312463E-3</v>
      </c>
      <c r="M11" s="3">
        <f>STDEV(G17,H17,G23,H23)/2</f>
        <v>1.2154956630124137E-4</v>
      </c>
      <c r="N11" s="3">
        <f>AVERAGE(C17,E17,C23,E23)</f>
        <v>6891.75</v>
      </c>
      <c r="O11" s="3">
        <f>STDEV(C17,E17,C23,E23)/2</f>
        <v>153.25326260801106</v>
      </c>
      <c r="P11" s="3">
        <f>AVERAGE(D17,F17,D23,F23)</f>
        <v>2761655.75</v>
      </c>
      <c r="Q11" s="3">
        <f>STDEV(D17,F17,D23,F23)/2</f>
        <v>115989.69709445102</v>
      </c>
      <c r="R11" s="4">
        <f t="shared" si="8"/>
        <v>-1.0826056560165251</v>
      </c>
      <c r="S11" s="4">
        <f t="shared" si="9"/>
        <v>-1.2362061567233591</v>
      </c>
      <c r="T11" s="4">
        <f t="shared" si="10"/>
        <v>-151.52871102251558</v>
      </c>
      <c r="U11" s="5" t="s">
        <v>33</v>
      </c>
      <c r="V11" s="54"/>
      <c r="W11" s="55"/>
      <c r="X11" s="55"/>
    </row>
    <row r="12" spans="1:24" x14ac:dyDescent="0.2">
      <c r="A12" s="46"/>
      <c r="B12" s="1">
        <v>4</v>
      </c>
      <c r="C12" s="7">
        <v>10700</v>
      </c>
      <c r="D12" s="7">
        <v>2803296</v>
      </c>
      <c r="E12" s="7">
        <v>12473</v>
      </c>
      <c r="F12" s="7">
        <v>3126154</v>
      </c>
      <c r="G12" s="4">
        <f t="shared" si="0"/>
        <v>3.816935493076721E-3</v>
      </c>
      <c r="H12" s="4">
        <f t="shared" si="1"/>
        <v>3.9898866146709346E-3</v>
      </c>
      <c r="J12" s="5" t="s">
        <v>34</v>
      </c>
      <c r="K12" s="5" t="s">
        <v>35</v>
      </c>
      <c r="L12" s="3">
        <f>AVERAGE(G18,H18,G24,H24)</f>
        <v>4.0556509681090773E-3</v>
      </c>
      <c r="M12" s="3">
        <f>STDEV(G18,H18,G24,H24)/2</f>
        <v>2.0486731694723979E-4</v>
      </c>
      <c r="N12" s="3">
        <f>AVERAGE(C18,E18,C24,E24)</f>
        <v>13181</v>
      </c>
      <c r="O12" s="3">
        <f>STDEV(C18,E18,C24,E24)/2</f>
        <v>380.04758473994627</v>
      </c>
      <c r="P12" s="3">
        <f>AVERAGE(D18,F18,D24,F24)</f>
        <v>3263801</v>
      </c>
      <c r="Q12" s="3">
        <f>STDEV(D18,F18,D24,F24)/2</f>
        <v>114045.29732961372</v>
      </c>
      <c r="R12" s="4">
        <f t="shared" si="8"/>
        <v>-0.19387875396030052</v>
      </c>
      <c r="S12" s="4">
        <f t="shared" si="9"/>
        <v>-0.34480400455959093</v>
      </c>
      <c r="T12" s="4">
        <f t="shared" si="10"/>
        <v>-55.557843707341036</v>
      </c>
      <c r="U12" s="5" t="s">
        <v>35</v>
      </c>
    </row>
    <row r="13" spans="1:24" x14ac:dyDescent="0.2">
      <c r="A13" s="46"/>
      <c r="B13" s="1">
        <v>5</v>
      </c>
      <c r="C13" s="3">
        <v>414227</v>
      </c>
      <c r="D13" s="3">
        <v>2422205</v>
      </c>
      <c r="E13" s="3">
        <v>416315</v>
      </c>
      <c r="F13" s="3">
        <v>2456490</v>
      </c>
      <c r="G13" s="4">
        <f t="shared" si="0"/>
        <v>0.17101236270257886</v>
      </c>
      <c r="H13" s="4">
        <f t="shared" si="1"/>
        <v>0.16947555251598825</v>
      </c>
      <c r="J13" s="5" t="s">
        <v>36</v>
      </c>
      <c r="K13" s="5" t="s">
        <v>37</v>
      </c>
      <c r="L13" s="3">
        <f>AVERAGE(G19,H19,G25,H25)</f>
        <v>0.17815342363988246</v>
      </c>
      <c r="M13" s="3">
        <f>STDEV(G19,H19,G25,H25)/2</f>
        <v>4.8272267211093029E-3</v>
      </c>
      <c r="N13" s="3">
        <f>AVERAGE(C19,E19,C25,E25)</f>
        <v>721159.5</v>
      </c>
      <c r="O13" s="3">
        <f>STDEV(C19,E19,C25,E25)/2</f>
        <v>50620.645836621508</v>
      </c>
      <c r="P13" s="3">
        <f>AVERAGE(D19,F19,D25,F25)</f>
        <v>4077721.25</v>
      </c>
      <c r="Q13" s="3">
        <f>STDEV(D19,F19,D25,F25)/2</f>
        <v>386896.46584613452</v>
      </c>
      <c r="U13" s="5" t="s">
        <v>37</v>
      </c>
    </row>
    <row r="14" spans="1:24" x14ac:dyDescent="0.2">
      <c r="A14" s="46"/>
      <c r="B14" s="1">
        <v>6</v>
      </c>
      <c r="C14" s="3">
        <v>17344</v>
      </c>
      <c r="D14" s="3">
        <v>3071756</v>
      </c>
      <c r="E14" s="3">
        <v>19054</v>
      </c>
      <c r="F14" s="3">
        <v>3394480</v>
      </c>
      <c r="G14" s="4">
        <f t="shared" si="0"/>
        <v>5.646281801028467E-3</v>
      </c>
      <c r="H14" s="4">
        <f t="shared" si="1"/>
        <v>5.6132308925078362E-3</v>
      </c>
      <c r="J14" s="5" t="s">
        <v>38</v>
      </c>
      <c r="K14" s="5" t="s">
        <v>39</v>
      </c>
      <c r="L14" s="3">
        <f>AVERAGE(G20,H20,G8,H8)</f>
        <v>4.3925140386907556E-3</v>
      </c>
      <c r="M14" s="3">
        <f>STDEV(G20,H20,G8,H8)/2</f>
        <v>2.6177675095856635E-4</v>
      </c>
      <c r="N14" s="3">
        <f>AVERAGE(C20,E20,C8,E8)</f>
        <v>15613.75</v>
      </c>
      <c r="O14" s="3">
        <f>STDEV(C20,E20,C8,E8)/2</f>
        <v>972.77758463415807</v>
      </c>
      <c r="P14" s="3">
        <f>AVERAGE(D20,F20,D8,F8)</f>
        <v>3554494.5</v>
      </c>
      <c r="Q14" s="3">
        <f>STDEV(D20,F20,D8,F8)/2</f>
        <v>83765.151149408979</v>
      </c>
      <c r="U14" s="5" t="s">
        <v>39</v>
      </c>
    </row>
    <row r="15" spans="1:24" x14ac:dyDescent="0.2">
      <c r="A15" s="46" t="s">
        <v>40</v>
      </c>
      <c r="B15" s="1">
        <v>1</v>
      </c>
      <c r="C15" s="3">
        <v>7743</v>
      </c>
      <c r="D15" s="3">
        <v>3201886</v>
      </c>
      <c r="E15" s="3">
        <v>7071</v>
      </c>
      <c r="F15" s="3">
        <v>2899444</v>
      </c>
      <c r="G15" s="4">
        <f t="shared" si="0"/>
        <v>2.4182622366942484E-3</v>
      </c>
      <c r="H15" s="4">
        <f t="shared" si="1"/>
        <v>2.4387434280503436E-3</v>
      </c>
      <c r="P15" s="11"/>
    </row>
    <row r="16" spans="1:24" x14ac:dyDescent="0.2">
      <c r="A16" s="46"/>
      <c r="B16" s="1">
        <v>2</v>
      </c>
      <c r="C16" s="3">
        <v>35130</v>
      </c>
      <c r="D16" s="3">
        <v>3945546</v>
      </c>
      <c r="E16" s="3">
        <v>33829</v>
      </c>
      <c r="F16" s="3">
        <v>3537532</v>
      </c>
      <c r="G16" s="4">
        <f t="shared" si="0"/>
        <v>8.9037106651398811E-3</v>
      </c>
      <c r="H16" s="4">
        <f t="shared" si="1"/>
        <v>9.5628816926603064E-3</v>
      </c>
    </row>
    <row r="17" spans="1:8" x14ac:dyDescent="0.2">
      <c r="A17" s="46"/>
      <c r="B17" s="1">
        <v>3</v>
      </c>
      <c r="C17" s="3">
        <v>6661</v>
      </c>
      <c r="D17" s="3">
        <v>2897096</v>
      </c>
      <c r="E17" s="3">
        <v>6885</v>
      </c>
      <c r="F17" s="3">
        <v>2994979</v>
      </c>
      <c r="G17" s="4">
        <f t="shared" si="0"/>
        <v>2.2991989219549509E-3</v>
      </c>
      <c r="H17" s="4">
        <f t="shared" si="1"/>
        <v>2.2988475044399309E-3</v>
      </c>
    </row>
    <row r="18" spans="1:8" x14ac:dyDescent="0.2">
      <c r="A18" s="46"/>
      <c r="B18" s="1">
        <v>4</v>
      </c>
      <c r="C18" s="3">
        <v>13579</v>
      </c>
      <c r="D18" s="3">
        <v>3462012</v>
      </c>
      <c r="E18" s="3">
        <v>12876</v>
      </c>
      <c r="F18" s="3">
        <v>3449124</v>
      </c>
      <c r="G18" s="4">
        <f t="shared" si="0"/>
        <v>3.9222856535448174E-3</v>
      </c>
      <c r="H18" s="4">
        <f t="shared" si="1"/>
        <v>3.7331218013617372E-3</v>
      </c>
    </row>
    <row r="19" spans="1:8" x14ac:dyDescent="0.2">
      <c r="A19" s="46"/>
      <c r="B19" s="1">
        <v>5</v>
      </c>
      <c r="C19" s="3">
        <v>648384</v>
      </c>
      <c r="D19" s="3">
        <v>3422936</v>
      </c>
      <c r="E19" s="3">
        <v>620942</v>
      </c>
      <c r="F19" s="3">
        <v>3395096</v>
      </c>
      <c r="G19" s="4">
        <f t="shared" si="0"/>
        <v>0.18942334884438389</v>
      </c>
      <c r="H19" s="4">
        <f t="shared" si="1"/>
        <v>0.18289379740661235</v>
      </c>
    </row>
    <row r="20" spans="1:8" x14ac:dyDescent="0.2">
      <c r="A20" s="46"/>
      <c r="B20" s="1">
        <v>6</v>
      </c>
      <c r="C20" s="3">
        <v>17415</v>
      </c>
      <c r="D20" s="3">
        <v>3464593</v>
      </c>
      <c r="E20" s="3">
        <v>16546</v>
      </c>
      <c r="F20" s="3">
        <v>3614614</v>
      </c>
      <c r="G20" s="4">
        <f t="shared" si="0"/>
        <v>5.0265644478298026E-3</v>
      </c>
      <c r="H20" s="4">
        <f t="shared" si="1"/>
        <v>4.5775288869018931E-3</v>
      </c>
    </row>
    <row r="21" spans="1:8" x14ac:dyDescent="0.2">
      <c r="A21" s="46" t="s">
        <v>41</v>
      </c>
      <c r="B21" s="1">
        <v>1</v>
      </c>
      <c r="C21" s="3">
        <v>9018</v>
      </c>
      <c r="D21" s="3">
        <v>3302222</v>
      </c>
      <c r="E21" s="3">
        <v>8773</v>
      </c>
      <c r="F21" s="3">
        <v>3044826</v>
      </c>
      <c r="G21" s="4">
        <f t="shared" si="0"/>
        <v>2.7308884744877845E-3</v>
      </c>
      <c r="H21" s="4">
        <f t="shared" si="1"/>
        <v>2.8812812292065295E-3</v>
      </c>
    </row>
    <row r="22" spans="1:8" x14ac:dyDescent="0.2">
      <c r="A22" s="46"/>
      <c r="B22" s="1">
        <v>2</v>
      </c>
      <c r="C22" s="3">
        <v>33496</v>
      </c>
      <c r="D22" s="3">
        <v>3056970</v>
      </c>
      <c r="E22" s="3">
        <v>31893</v>
      </c>
      <c r="F22" s="3">
        <v>2987575</v>
      </c>
      <c r="G22" s="4">
        <f t="shared" si="0"/>
        <v>1.0957255059748705E-2</v>
      </c>
      <c r="H22" s="4">
        <f t="shared" si="1"/>
        <v>1.0675213174564656E-2</v>
      </c>
    </row>
    <row r="23" spans="1:8" x14ac:dyDescent="0.2">
      <c r="A23" s="46"/>
      <c r="B23" s="1">
        <v>3</v>
      </c>
      <c r="C23" s="3">
        <v>7327</v>
      </c>
      <c r="D23" s="3">
        <v>2678926</v>
      </c>
      <c r="E23" s="3">
        <v>6694</v>
      </c>
      <c r="F23" s="3">
        <v>2475622</v>
      </c>
      <c r="G23" s="4">
        <f t="shared" si="0"/>
        <v>2.7350512854778372E-3</v>
      </c>
      <c r="H23" s="4">
        <f t="shared" si="1"/>
        <v>2.7039669222522662E-3</v>
      </c>
    </row>
    <row r="24" spans="1:8" x14ac:dyDescent="0.2">
      <c r="A24" s="46"/>
      <c r="B24" s="1">
        <v>4</v>
      </c>
      <c r="C24" s="3">
        <v>13994</v>
      </c>
      <c r="D24" s="3">
        <v>3005346</v>
      </c>
      <c r="E24" s="3">
        <v>12275</v>
      </c>
      <c r="F24" s="3">
        <v>3138722</v>
      </c>
      <c r="G24" s="4">
        <f t="shared" si="0"/>
        <v>4.6563690170782334E-3</v>
      </c>
      <c r="H24" s="4">
        <f t="shared" si="1"/>
        <v>3.9108274004515213E-3</v>
      </c>
    </row>
    <row r="25" spans="1:8" x14ac:dyDescent="0.2">
      <c r="A25" s="46"/>
      <c r="B25" s="1">
        <v>5</v>
      </c>
      <c r="C25" s="3">
        <v>822594</v>
      </c>
      <c r="D25" s="3">
        <v>4806477</v>
      </c>
      <c r="E25" s="3">
        <v>792718</v>
      </c>
      <c r="F25" s="3">
        <v>4686376</v>
      </c>
      <c r="G25" s="4">
        <f t="shared" si="0"/>
        <v>0.17114281416513591</v>
      </c>
      <c r="H25" s="4">
        <f t="shared" si="1"/>
        <v>0.16915373414339779</v>
      </c>
    </row>
    <row r="26" spans="1:8" x14ac:dyDescent="0.2">
      <c r="A26" s="46"/>
      <c r="B26" s="1">
        <v>6</v>
      </c>
      <c r="C26" s="47" t="s">
        <v>42</v>
      </c>
      <c r="D26" s="48"/>
      <c r="E26" s="48"/>
      <c r="F26" s="48"/>
      <c r="G26" s="48"/>
      <c r="H26" s="49"/>
    </row>
    <row r="28" spans="1:8" x14ac:dyDescent="0.2">
      <c r="C28" s="42"/>
      <c r="D28" s="42" t="s">
        <v>53</v>
      </c>
      <c r="E28" s="42" t="s">
        <v>54</v>
      </c>
      <c r="F28" s="42" t="s">
        <v>64</v>
      </c>
      <c r="G28" s="42" t="s">
        <v>65</v>
      </c>
    </row>
    <row r="29" spans="1:8" x14ac:dyDescent="0.2">
      <c r="C29" s="43" t="s">
        <v>16</v>
      </c>
      <c r="D29" s="42">
        <f>AVERAGE(C15,E15)/AVERAGE(C3,E3)</f>
        <v>2.0100407055630938</v>
      </c>
      <c r="E29" s="42">
        <f>AVERAGE(C21,E21)/AVERAGE(C9,E9)</f>
        <v>1.1701525914233097</v>
      </c>
      <c r="F29" s="42">
        <f>AVERAGE(C21,E21)/AVERAGE(C3,E3)</f>
        <v>2.413975576662144</v>
      </c>
      <c r="G29" s="42">
        <f>AVERAGE(C15,E15)/AVERAGE(C9,E9)</f>
        <v>0.97434885556432516</v>
      </c>
    </row>
    <row r="30" spans="1:8" x14ac:dyDescent="0.2">
      <c r="C30" s="43" t="s">
        <v>18</v>
      </c>
      <c r="D30" s="42">
        <f t="shared" ref="D30:D33" si="11">AVERAGE(C16,E16)/AVERAGE(C4,E4)</f>
        <v>1.6181860847119558</v>
      </c>
      <c r="E30" s="42">
        <f t="shared" ref="E30:E33" si="12">AVERAGE(C22,E22)/AVERAGE(C10,E10)</f>
        <v>1.7881970082314655</v>
      </c>
      <c r="F30" s="42">
        <f>AVERAGE(C22/E22)/AVERAGE(C4/E4)</f>
        <v>1.060116683776996</v>
      </c>
      <c r="G30" s="42">
        <f t="shared" ref="G30:G34" si="13">AVERAGE(C16,E16)/AVERAGE(C10,E10)</f>
        <v>1.8858260179943664</v>
      </c>
    </row>
    <row r="31" spans="1:8" x14ac:dyDescent="0.2">
      <c r="C31" s="43" t="s">
        <v>20</v>
      </c>
      <c r="D31" s="42">
        <f t="shared" si="11"/>
        <v>1.4807608220376038</v>
      </c>
      <c r="E31" s="42">
        <f t="shared" si="12"/>
        <v>0.74766703994027617</v>
      </c>
      <c r="F31" s="42">
        <f>AVERAGE(C23,E23)/AVERAGE(C5,E5)</f>
        <v>1.5326847398338435</v>
      </c>
      <c r="G31" s="42">
        <f t="shared" si="13"/>
        <v>0.72233775929184663</v>
      </c>
    </row>
    <row r="32" spans="1:8" x14ac:dyDescent="0.2">
      <c r="C32" s="43" t="s">
        <v>22</v>
      </c>
      <c r="D32" s="42">
        <f t="shared" si="11"/>
        <v>2.3102785782901059</v>
      </c>
      <c r="E32" s="42">
        <f t="shared" si="12"/>
        <v>1.1336037630000431</v>
      </c>
      <c r="F32" s="42">
        <f>AVERAGE(C23,E23)/AVERAGE(C6,E6)</f>
        <v>1.2244345472011178</v>
      </c>
      <c r="G32" s="42">
        <f t="shared" si="13"/>
        <v>1.1416303456608985</v>
      </c>
    </row>
    <row r="33" spans="3:7" x14ac:dyDescent="0.2">
      <c r="C33" s="43" t="s">
        <v>24</v>
      </c>
      <c r="D33" s="42">
        <f t="shared" si="11"/>
        <v>1.2026988870549309</v>
      </c>
      <c r="E33" s="42">
        <f t="shared" si="12"/>
        <v>1.9448890001950534</v>
      </c>
      <c r="F33" s="42">
        <f>AVERAGE(C25,E25)/AVERAGE(C7,E7)</f>
        <v>1.5305240297972897</v>
      </c>
      <c r="G33" s="42">
        <f t="shared" si="13"/>
        <v>1.5283104286116778</v>
      </c>
    </row>
    <row r="34" spans="3:7" x14ac:dyDescent="0.2">
      <c r="C34" s="43" t="s">
        <v>26</v>
      </c>
      <c r="D34" s="42">
        <f>AVERAGE(C20,E20)/AVERAGE(C8,E8)</f>
        <v>1.1918649540254089</v>
      </c>
      <c r="E34" s="42">
        <f>AVERAGE(C8,E8)/AVERAGE(C14,E14)</f>
        <v>0.78284521127534479</v>
      </c>
      <c r="F34" s="42">
        <f>AVERAGE(C8,E8)/AVERAGE(C14,E14)</f>
        <v>0.78284521127534479</v>
      </c>
      <c r="G34" s="42">
        <f t="shared" si="13"/>
        <v>0.93304577174570036</v>
      </c>
    </row>
    <row r="35" spans="3:7" x14ac:dyDescent="0.2">
      <c r="C35" s="42"/>
      <c r="D35" s="42"/>
      <c r="E35" s="42"/>
      <c r="F35" s="42"/>
      <c r="G35" s="42"/>
    </row>
  </sheetData>
  <mergeCells count="12">
    <mergeCell ref="R1:T1"/>
    <mergeCell ref="V1:X1"/>
    <mergeCell ref="A15:A20"/>
    <mergeCell ref="A21:A26"/>
    <mergeCell ref="C26:H26"/>
    <mergeCell ref="A1:B2"/>
    <mergeCell ref="C1:D1"/>
    <mergeCell ref="E1:F1"/>
    <mergeCell ref="G1:H1"/>
    <mergeCell ref="A3:A8"/>
    <mergeCell ref="A9:A14"/>
    <mergeCell ref="V7:X11"/>
  </mergeCells>
  <pageMargins left="0.7" right="0.7" top="0.75" bottom="0.75" header="0.3" footer="0.3"/>
  <pageSetup orientation="portrait"/>
  <ignoredErrors>
    <ignoredError sqref="K6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K24" sqref="K24"/>
    </sheetView>
  </sheetViews>
  <sheetFormatPr baseColWidth="10" defaultColWidth="11" defaultRowHeight="16" x14ac:dyDescent="0.2"/>
  <cols>
    <col min="1" max="1" width="3.33203125" customWidth="1"/>
    <col min="2" max="2" width="6" customWidth="1"/>
    <col min="3" max="3" width="13" bestFit="1" customWidth="1"/>
    <col min="4" max="4" width="13.33203125" bestFit="1" customWidth="1"/>
    <col min="5" max="5" width="13" bestFit="1" customWidth="1"/>
    <col min="6" max="6" width="13.33203125" bestFit="1" customWidth="1"/>
    <col min="10" max="10" width="9.83203125" bestFit="1" customWidth="1"/>
    <col min="11" max="11" width="14.33203125" bestFit="1" customWidth="1"/>
    <col min="12" max="12" width="11.83203125" bestFit="1" customWidth="1"/>
    <col min="13" max="18" width="11.5" customWidth="1"/>
    <col min="21" max="21" width="14.33203125" bestFit="1" customWidth="1"/>
  </cols>
  <sheetData>
    <row r="1" spans="1:24" x14ac:dyDescent="0.2">
      <c r="A1" s="58" t="s">
        <v>0</v>
      </c>
      <c r="B1" s="58"/>
      <c r="C1" s="58" t="s">
        <v>1</v>
      </c>
      <c r="D1" s="58"/>
      <c r="E1" s="58" t="s">
        <v>2</v>
      </c>
      <c r="F1" s="58"/>
      <c r="G1" s="56" t="s">
        <v>3</v>
      </c>
      <c r="H1" s="57"/>
      <c r="R1" s="45" t="s">
        <v>47</v>
      </c>
      <c r="S1" s="45"/>
      <c r="T1" s="45"/>
      <c r="V1" s="45" t="s">
        <v>48</v>
      </c>
      <c r="W1" s="45"/>
      <c r="X1" s="45"/>
    </row>
    <row r="2" spans="1:24" x14ac:dyDescent="0.2">
      <c r="A2" s="58"/>
      <c r="B2" s="58"/>
      <c r="C2" s="6" t="s">
        <v>4</v>
      </c>
      <c r="D2" s="6" t="s">
        <v>5</v>
      </c>
      <c r="E2" s="6" t="s">
        <v>4</v>
      </c>
      <c r="F2" s="6" t="s">
        <v>5</v>
      </c>
      <c r="G2" s="6" t="s">
        <v>1</v>
      </c>
      <c r="H2" s="6" t="s">
        <v>2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10</v>
      </c>
      <c r="O2" s="1" t="s">
        <v>11</v>
      </c>
      <c r="P2" s="1" t="s">
        <v>12</v>
      </c>
      <c r="Q2" s="1" t="s">
        <v>13</v>
      </c>
      <c r="R2" s="2" t="s">
        <v>44</v>
      </c>
      <c r="S2" s="2" t="s">
        <v>45</v>
      </c>
      <c r="T2" s="2" t="s">
        <v>46</v>
      </c>
      <c r="U2" s="9" t="s">
        <v>7</v>
      </c>
      <c r="V2" s="2" t="s">
        <v>44</v>
      </c>
      <c r="W2" s="2" t="s">
        <v>45</v>
      </c>
      <c r="X2" s="2" t="s">
        <v>46</v>
      </c>
    </row>
    <row r="3" spans="1:24" x14ac:dyDescent="0.2">
      <c r="A3" s="58" t="s">
        <v>14</v>
      </c>
      <c r="B3" s="6">
        <v>1</v>
      </c>
      <c r="C3" s="3">
        <v>3585</v>
      </c>
      <c r="D3" s="3">
        <v>121587</v>
      </c>
      <c r="E3" s="3">
        <v>3671</v>
      </c>
      <c r="F3" s="3">
        <v>129651</v>
      </c>
      <c r="G3" s="8">
        <f>C3/D3</f>
        <v>2.9485060080436231E-2</v>
      </c>
      <c r="H3" s="8">
        <f>E3/F3</f>
        <v>2.8314475013690599E-2</v>
      </c>
      <c r="J3" s="5" t="s">
        <v>15</v>
      </c>
      <c r="K3" s="5" t="s">
        <v>16</v>
      </c>
      <c r="L3" s="3">
        <f>AVERAGE(G3,H3,G9,H9)</f>
        <v>3.129937962392635E-2</v>
      </c>
      <c r="M3" s="3">
        <f>STDEV(G3,H3,G9,H9)/2</f>
        <v>1.4285199217311624E-3</v>
      </c>
      <c r="N3" s="3">
        <f>AVERAGE(C3,E3,E9,C9)</f>
        <v>4418.75</v>
      </c>
      <c r="O3" s="3">
        <f>STDEV(C3,E3,C9,E9)/2</f>
        <v>457.68300074032317</v>
      </c>
      <c r="P3" s="3">
        <f>AVERAGE(D3,F3,F9,D9)</f>
        <v>140148.5</v>
      </c>
      <c r="Q3" s="3">
        <f>STDEV(D3,F3,D9,F9)/2</f>
        <v>8772.3186644125053</v>
      </c>
      <c r="R3" s="4">
        <f>100*(L3-0.120192)/-0.10543</f>
        <v>84.314351110759418</v>
      </c>
      <c r="S3" s="4">
        <f>100*(N3-12272.75)/-9873.5</f>
        <v>79.546260191421482</v>
      </c>
      <c r="T3" s="4">
        <f>100*(P3-103010.75)/69755.75</f>
        <v>53.239697085903316</v>
      </c>
      <c r="U3" s="5" t="s">
        <v>16</v>
      </c>
      <c r="V3" s="4">
        <f>R9/R3</f>
        <v>0.88433376847623846</v>
      </c>
      <c r="W3" s="4">
        <f>S9/S3</f>
        <v>0.92648201213133408</v>
      </c>
      <c r="X3" s="8">
        <f>T9/T3</f>
        <v>0.56863004402361861</v>
      </c>
    </row>
    <row r="4" spans="1:24" x14ac:dyDescent="0.2">
      <c r="A4" s="58"/>
      <c r="B4" s="6">
        <v>2</v>
      </c>
      <c r="C4" s="3">
        <v>9890</v>
      </c>
      <c r="D4" s="3">
        <v>121527</v>
      </c>
      <c r="E4" s="3">
        <v>9901</v>
      </c>
      <c r="F4" s="3">
        <v>130538</v>
      </c>
      <c r="G4" s="8">
        <f t="shared" ref="G4:G26" si="0">C4/D4</f>
        <v>8.1381092267561947E-2</v>
      </c>
      <c r="H4" s="8">
        <f t="shared" ref="H4:H26" si="1">E4/F4</f>
        <v>7.5847645896214136E-2</v>
      </c>
      <c r="J4" s="5" t="s">
        <v>17</v>
      </c>
      <c r="K4" s="5" t="s">
        <v>18</v>
      </c>
      <c r="L4" s="3">
        <f>AVERAGE(G4,H4,G10,H10)</f>
        <v>7.6558664100015578E-2</v>
      </c>
      <c r="M4" s="3">
        <f>STDEV(G4,H4,G10,H10)/2</f>
        <v>1.6910051611379445E-3</v>
      </c>
      <c r="N4" s="3">
        <f>AVERAGE(C4,E4,E10,C10)</f>
        <v>8723.75</v>
      </c>
      <c r="O4" s="3">
        <f>STDEV(C4,E4,C10,E10)/2</f>
        <v>679.81889438781172</v>
      </c>
      <c r="P4" s="3">
        <f>AVERAGE(D4,F4,F10,D10)</f>
        <v>113693.25</v>
      </c>
      <c r="Q4" s="3">
        <f>STDEV(D4,F4,D10,F10)/2</f>
        <v>7365.0634798689953</v>
      </c>
      <c r="R4" s="4">
        <f t="shared" ref="R4:R6" si="2">100*(L4-0.120192)/-0.10543</f>
        <v>41.386072180578985</v>
      </c>
      <c r="S4" s="4">
        <f t="shared" ref="S4:S6" si="3">100*(N4-12272.75)/-9873.5</f>
        <v>35.944700460829495</v>
      </c>
      <c r="T4" s="4">
        <f t="shared" ref="T4:T6" si="4">100*(P4-103010.75)/69755.75</f>
        <v>15.314149729592184</v>
      </c>
      <c r="U4" s="5" t="s">
        <v>18</v>
      </c>
      <c r="V4" s="4">
        <f t="shared" ref="V4:X6" si="5">R10/R4</f>
        <v>1.2775084000559933</v>
      </c>
      <c r="W4" s="12">
        <f t="shared" si="5"/>
        <v>1.4423394765232025</v>
      </c>
      <c r="X4" s="4">
        <f t="shared" si="5"/>
        <v>1.0078547564980282</v>
      </c>
    </row>
    <row r="5" spans="1:24" x14ac:dyDescent="0.2">
      <c r="A5" s="58"/>
      <c r="B5" s="6">
        <v>3</v>
      </c>
      <c r="C5" s="3">
        <v>4302</v>
      </c>
      <c r="D5" s="3">
        <v>126709</v>
      </c>
      <c r="E5" s="3">
        <v>4315</v>
      </c>
      <c r="F5" s="3">
        <v>128733</v>
      </c>
      <c r="G5" s="8">
        <f t="shared" si="0"/>
        <v>3.3951810842165905E-2</v>
      </c>
      <c r="H5" s="8">
        <f t="shared" si="1"/>
        <v>3.3518988915041209E-2</v>
      </c>
      <c r="J5" s="5" t="s">
        <v>19</v>
      </c>
      <c r="K5" s="5" t="s">
        <v>20</v>
      </c>
      <c r="L5" s="3">
        <f>AVERAGE(G5,H5,G11,H11)</f>
        <v>3.3066196316082215E-2</v>
      </c>
      <c r="M5" s="3">
        <f>STDEV(G5,H5,G11,H11)/2</f>
        <v>5.9415531446006657E-4</v>
      </c>
      <c r="N5" s="3">
        <f>AVERAGE(C5,E5,E11,C11)</f>
        <v>4437.5</v>
      </c>
      <c r="O5" s="3">
        <f>STDEV(C5,E5,C11,E11)/2</f>
        <v>78.258652343793059</v>
      </c>
      <c r="P5" s="3">
        <f>AVERAGE(D5,F5,F11,D11)</f>
        <v>134386.5</v>
      </c>
      <c r="Q5" s="3">
        <f>STDEV(D5,F5,D11,F11)/2</f>
        <v>4049.2622681998096</v>
      </c>
      <c r="R5" s="4">
        <f t="shared" si="2"/>
        <v>82.638531427409461</v>
      </c>
      <c r="S5" s="4">
        <f t="shared" si="3"/>
        <v>79.356357927786505</v>
      </c>
      <c r="T5" s="4">
        <f t="shared" si="4"/>
        <v>44.979446138848772</v>
      </c>
      <c r="U5" s="5" t="s">
        <v>20</v>
      </c>
      <c r="V5" s="4">
        <f t="shared" si="5"/>
        <v>1.0879883796507517</v>
      </c>
      <c r="W5" s="4">
        <f t="shared" si="5"/>
        <v>1.0343220765387953</v>
      </c>
      <c r="X5" s="12">
        <f t="shared" si="5"/>
        <v>2.9510196579467505</v>
      </c>
    </row>
    <row r="6" spans="1:24" x14ac:dyDescent="0.2">
      <c r="A6" s="58"/>
      <c r="B6" s="6">
        <v>4</v>
      </c>
      <c r="C6" s="3">
        <v>7190</v>
      </c>
      <c r="D6" s="3">
        <v>126379</v>
      </c>
      <c r="E6" s="3">
        <v>7888</v>
      </c>
      <c r="F6" s="3">
        <v>125933</v>
      </c>
      <c r="G6" s="8">
        <f t="shared" si="0"/>
        <v>5.689236344645867E-2</v>
      </c>
      <c r="H6" s="8">
        <f t="shared" si="1"/>
        <v>6.2636481303550304E-2</v>
      </c>
      <c r="J6" s="5" t="s">
        <v>21</v>
      </c>
      <c r="K6" s="5" t="s">
        <v>22</v>
      </c>
      <c r="L6" s="3">
        <f>AVERAGE(G6,H6,G12,H12)</f>
        <v>6.1023795824437441E-2</v>
      </c>
      <c r="M6" s="3">
        <f>STDEV(G6,H6,G12,H12)/2</f>
        <v>1.4392617105436875E-3</v>
      </c>
      <c r="N6" s="3">
        <f>AVERAGE(C6,E6,E12,C12)</f>
        <v>7237.25</v>
      </c>
      <c r="O6" s="3">
        <f>STDEV(C6,E6,C12,E12)/2</f>
        <v>237.32796400761541</v>
      </c>
      <c r="P6" s="3">
        <f>AVERAGE(D6,F6,F12,D12)</f>
        <v>118745.75</v>
      </c>
      <c r="Q6" s="3">
        <f>STDEV(D6,F6,D12,F12)/2</f>
        <v>4305.7402649447713</v>
      </c>
      <c r="R6" s="4">
        <f t="shared" si="2"/>
        <v>56.120842431530448</v>
      </c>
      <c r="S6" s="4">
        <f t="shared" si="3"/>
        <v>51.000151921810911</v>
      </c>
      <c r="T6" s="4">
        <f t="shared" si="4"/>
        <v>22.557280224210906</v>
      </c>
      <c r="U6" s="5" t="s">
        <v>22</v>
      </c>
      <c r="V6" s="4">
        <f t="shared" si="5"/>
        <v>0.86149154393133065</v>
      </c>
      <c r="W6" s="4">
        <f t="shared" si="5"/>
        <v>1.2327428983259081</v>
      </c>
      <c r="X6" s="12">
        <f t="shared" si="5"/>
        <v>-2.241069479475835</v>
      </c>
    </row>
    <row r="7" spans="1:24" ht="15.75" customHeight="1" x14ac:dyDescent="0.2">
      <c r="A7" s="58"/>
      <c r="B7" s="6">
        <v>5</v>
      </c>
      <c r="C7" s="3">
        <v>2664</v>
      </c>
      <c r="D7" s="3">
        <v>225593</v>
      </c>
      <c r="E7" s="3">
        <v>2654</v>
      </c>
      <c r="F7" s="3">
        <v>223397</v>
      </c>
      <c r="G7" s="8">
        <f t="shared" si="0"/>
        <v>1.180887704848998E-2</v>
      </c>
      <c r="H7" s="8">
        <f t="shared" si="1"/>
        <v>1.1880195347296518E-2</v>
      </c>
      <c r="J7" s="5" t="s">
        <v>23</v>
      </c>
      <c r="K7" s="5" t="s">
        <v>24</v>
      </c>
      <c r="L7" s="3">
        <f>AVERAGE(G7,H7,G13,H13)</f>
        <v>1.4760474795250007E-2</v>
      </c>
      <c r="M7" s="3">
        <f>STDEV(G7,H7,G13,H13)/2</f>
        <v>1.6862014674481776E-3</v>
      </c>
      <c r="N7" s="3">
        <f>AVERAGE(C7,E7,E13,C13)</f>
        <v>2399.25</v>
      </c>
      <c r="O7" s="3">
        <f>STDEV(C7,E7,C13,E13)/2</f>
        <v>150.37030679847226</v>
      </c>
      <c r="P7" s="3">
        <f>AVERAGE(D7,F7,F13,D13)</f>
        <v>172766.5</v>
      </c>
      <c r="Q7" s="3">
        <f>STDEV(D7,F7,D13,F13)/2</f>
        <v>29868.843738082665</v>
      </c>
      <c r="U7" s="5" t="s">
        <v>24</v>
      </c>
      <c r="V7" s="52" t="s">
        <v>52</v>
      </c>
      <c r="W7" s="53"/>
      <c r="X7" s="53"/>
    </row>
    <row r="8" spans="1:24" x14ac:dyDescent="0.2">
      <c r="A8" s="58"/>
      <c r="B8" s="6">
        <v>6</v>
      </c>
      <c r="C8" s="3">
        <v>9747</v>
      </c>
      <c r="D8" s="3">
        <v>80350</v>
      </c>
      <c r="E8" s="3">
        <v>9185</v>
      </c>
      <c r="F8" s="3">
        <v>72433</v>
      </c>
      <c r="G8" s="8">
        <f t="shared" si="0"/>
        <v>0.12130678282514001</v>
      </c>
      <c r="H8" s="8">
        <f t="shared" si="1"/>
        <v>0.12680684218519184</v>
      </c>
      <c r="J8" s="5" t="s">
        <v>43</v>
      </c>
      <c r="K8" s="5" t="s">
        <v>26</v>
      </c>
      <c r="L8" s="3">
        <f>AVERAGE(G14,H14,G8,H8)</f>
        <v>0.12019199976176316</v>
      </c>
      <c r="M8" s="3">
        <f>STDEV(G14,H14,G8,H8)/(2)</f>
        <v>2.4978777630083816E-3</v>
      </c>
      <c r="N8" s="3">
        <f>AVERAGE(E14,C14,C8,E8)</f>
        <v>12272.75</v>
      </c>
      <c r="O8" s="3">
        <f>STDEV(C14,E14,C8,E8)/SQRT(2)</f>
        <v>2297.7676394709715</v>
      </c>
      <c r="P8" s="3">
        <f>AVERAGE(F14,D14,D8,F8)</f>
        <v>103010.75</v>
      </c>
      <c r="Q8" s="3">
        <f>STDEV(D14,F14,D8,F8)/(2)</f>
        <v>15455.097068470108</v>
      </c>
      <c r="U8" s="5" t="s">
        <v>26</v>
      </c>
      <c r="V8" s="54"/>
      <c r="W8" s="55"/>
      <c r="X8" s="55"/>
    </row>
    <row r="9" spans="1:24" x14ac:dyDescent="0.2">
      <c r="A9" s="58" t="s">
        <v>27</v>
      </c>
      <c r="B9" s="6">
        <v>1</v>
      </c>
      <c r="C9" s="3">
        <v>5276</v>
      </c>
      <c r="D9" s="3">
        <v>159500</v>
      </c>
      <c r="E9" s="3">
        <v>5143</v>
      </c>
      <c r="F9" s="3">
        <v>149856</v>
      </c>
      <c r="G9" s="8">
        <f t="shared" si="0"/>
        <v>3.3078369905956112E-2</v>
      </c>
      <c r="H9" s="8">
        <f t="shared" si="1"/>
        <v>3.4319613495622465E-2</v>
      </c>
      <c r="J9" s="5" t="s">
        <v>28</v>
      </c>
      <c r="K9" s="5" t="s">
        <v>29</v>
      </c>
      <c r="L9" s="3">
        <f t="shared" ref="L9:L14" si="6">AVERAGE(G15,H15,G21,H21)</f>
        <v>4.894322275486946E-2</v>
      </c>
      <c r="M9" s="3">
        <f t="shared" ref="M9:M14" si="7">STDEV(G15,H15,G21,H21)/2</f>
        <v>5.4504943086302561E-3</v>
      </c>
      <c r="N9" s="3">
        <f t="shared" ref="N9:N14" si="8">AVERAGE(C15,E15,C21,E21)</f>
        <v>5637.5</v>
      </c>
      <c r="O9" s="3">
        <f t="shared" ref="O9:O14" si="9">STDEV(C15,E15,C21,E21)/2</f>
        <v>511.27968536473912</v>
      </c>
      <c r="P9" s="3">
        <f t="shared" ref="P9:P14" si="10">AVERAGE(D15,F15,D21,F21)</f>
        <v>116030.75</v>
      </c>
      <c r="Q9" s="3">
        <f t="shared" ref="Q9:Q14" si="11">STDEV(D15,F15,D21,F21)/2</f>
        <v>2912.0745576249701</v>
      </c>
      <c r="R9" s="4">
        <f>100*(L9-0.13967)/-0.1216796</f>
        <v>74.562027854406594</v>
      </c>
      <c r="S9" s="4">
        <f>100*(N9-14592.75)/-12151.25</f>
        <v>73.698179199670818</v>
      </c>
      <c r="T9" s="4">
        <f>100*(P9-104789.75)/37131.25</f>
        <v>30.273691297761321</v>
      </c>
      <c r="U9" s="5" t="s">
        <v>29</v>
      </c>
      <c r="V9" s="54"/>
      <c r="W9" s="55"/>
      <c r="X9" s="55"/>
    </row>
    <row r="10" spans="1:24" ht="15.75" customHeight="1" x14ac:dyDescent="0.2">
      <c r="A10" s="58"/>
      <c r="B10" s="6">
        <v>2</v>
      </c>
      <c r="C10" s="3">
        <v>7716</v>
      </c>
      <c r="D10" s="3">
        <v>102161</v>
      </c>
      <c r="E10" s="3">
        <v>7388</v>
      </c>
      <c r="F10" s="3">
        <v>100547</v>
      </c>
      <c r="G10" s="8">
        <f t="shared" si="0"/>
        <v>7.5527843306154016E-2</v>
      </c>
      <c r="H10" s="8">
        <f t="shared" si="1"/>
        <v>7.347807493013217E-2</v>
      </c>
      <c r="J10" s="5" t="s">
        <v>30</v>
      </c>
      <c r="K10" s="5" t="s">
        <v>31</v>
      </c>
      <c r="L10" s="3">
        <f t="shared" si="6"/>
        <v>7.5336711935422407E-2</v>
      </c>
      <c r="M10" s="3">
        <f t="shared" si="7"/>
        <v>1.9912485714523765E-3</v>
      </c>
      <c r="N10" s="3">
        <f t="shared" si="8"/>
        <v>8293</v>
      </c>
      <c r="O10" s="3">
        <f t="shared" si="9"/>
        <v>1459.0918979511423</v>
      </c>
      <c r="P10" s="3">
        <f t="shared" si="10"/>
        <v>110520.75</v>
      </c>
      <c r="Q10" s="3">
        <f t="shared" si="11"/>
        <v>20016.820361781571</v>
      </c>
      <c r="R10" s="4">
        <f t="shared" ref="R10:R12" si="12">100*(L10-0.13967)/-0.1216796</f>
        <v>52.871054856013316</v>
      </c>
      <c r="S10" s="4">
        <f t="shared" ref="S10:S12" si="13">100*(N10-14592.75)/-12151.25</f>
        <v>51.844460446456125</v>
      </c>
      <c r="T10" s="4">
        <f t="shared" ref="T10:T12" si="14">100*(P10-104789.75)/37131.25</f>
        <v>15.434438646692476</v>
      </c>
      <c r="U10" s="5" t="s">
        <v>31</v>
      </c>
      <c r="V10" s="54"/>
      <c r="W10" s="55"/>
      <c r="X10" s="55"/>
    </row>
    <row r="11" spans="1:24" x14ac:dyDescent="0.2">
      <c r="A11" s="58"/>
      <c r="B11" s="6">
        <v>3</v>
      </c>
      <c r="C11" s="3">
        <v>4508</v>
      </c>
      <c r="D11" s="3">
        <v>143967</v>
      </c>
      <c r="E11" s="3">
        <v>4625</v>
      </c>
      <c r="F11" s="3">
        <v>138137</v>
      </c>
      <c r="G11" s="8">
        <f t="shared" si="0"/>
        <v>3.1312731389832392E-2</v>
      </c>
      <c r="H11" s="8">
        <f t="shared" si="1"/>
        <v>3.3481254117289361E-2</v>
      </c>
      <c r="J11" s="5" t="s">
        <v>32</v>
      </c>
      <c r="K11" s="5" t="s">
        <v>33</v>
      </c>
      <c r="L11" s="3">
        <f t="shared" si="6"/>
        <v>3.0268161353743342E-2</v>
      </c>
      <c r="M11" s="3">
        <f t="shared" si="7"/>
        <v>1.9405481210930887E-3</v>
      </c>
      <c r="N11" s="3">
        <f t="shared" si="8"/>
        <v>4619</v>
      </c>
      <c r="O11" s="3">
        <f t="shared" si="9"/>
        <v>83.227599588918423</v>
      </c>
      <c r="P11" s="3">
        <f t="shared" si="10"/>
        <v>154076</v>
      </c>
      <c r="Q11" s="3">
        <f t="shared" si="11"/>
        <v>7831.7499002457935</v>
      </c>
      <c r="R11" s="4">
        <f t="shared" si="12"/>
        <v>89.90976190442494</v>
      </c>
      <c r="S11" s="4">
        <f t="shared" si="13"/>
        <v>82.080032918424024</v>
      </c>
      <c r="T11" s="4">
        <f t="shared" si="14"/>
        <v>132.73522975929978</v>
      </c>
      <c r="U11" s="5" t="s">
        <v>33</v>
      </c>
      <c r="V11" s="54"/>
      <c r="W11" s="55"/>
      <c r="X11" s="55"/>
    </row>
    <row r="12" spans="1:24" x14ac:dyDescent="0.2">
      <c r="A12" s="58"/>
      <c r="B12" s="6">
        <v>4</v>
      </c>
      <c r="C12" s="3">
        <v>7120</v>
      </c>
      <c r="D12" s="3">
        <v>112503</v>
      </c>
      <c r="E12" s="3">
        <v>6751</v>
      </c>
      <c r="F12" s="3">
        <v>110168</v>
      </c>
      <c r="G12" s="8">
        <f t="shared" si="0"/>
        <v>6.328720123018941E-2</v>
      </c>
      <c r="H12" s="8">
        <f t="shared" si="1"/>
        <v>6.1279137317551378E-2</v>
      </c>
      <c r="J12" s="5" t="s">
        <v>34</v>
      </c>
      <c r="K12" s="5" t="s">
        <v>35</v>
      </c>
      <c r="L12" s="3">
        <f t="shared" si="6"/>
        <v>8.0840795754801936E-2</v>
      </c>
      <c r="M12" s="3">
        <f t="shared" si="7"/>
        <v>1.0805065915759442E-3</v>
      </c>
      <c r="N12" s="3">
        <f t="shared" si="8"/>
        <v>6953.25</v>
      </c>
      <c r="O12" s="3">
        <f t="shared" si="9"/>
        <v>103.10785210965587</v>
      </c>
      <c r="P12" s="3">
        <f t="shared" si="10"/>
        <v>86019</v>
      </c>
      <c r="Q12" s="3">
        <f t="shared" si="11"/>
        <v>865.81358655698318</v>
      </c>
      <c r="R12" s="4">
        <f t="shared" si="12"/>
        <v>48.3476311930661</v>
      </c>
      <c r="S12" s="4">
        <f t="shared" si="13"/>
        <v>62.870075095154817</v>
      </c>
      <c r="T12" s="4">
        <f t="shared" si="14"/>
        <v>-50.552432250462886</v>
      </c>
      <c r="U12" s="5" t="s">
        <v>35</v>
      </c>
      <c r="V12" s="20"/>
      <c r="W12" s="21"/>
      <c r="X12" s="22"/>
    </row>
    <row r="13" spans="1:24" x14ac:dyDescent="0.2">
      <c r="A13" s="58"/>
      <c r="B13" s="6">
        <v>5</v>
      </c>
      <c r="C13" s="3">
        <v>2166</v>
      </c>
      <c r="D13" s="3">
        <v>120961</v>
      </c>
      <c r="E13" s="3">
        <v>2113</v>
      </c>
      <c r="F13" s="3">
        <v>121115</v>
      </c>
      <c r="G13" s="8">
        <f t="shared" si="0"/>
        <v>1.7906597994394889E-2</v>
      </c>
      <c r="H13" s="8">
        <f t="shared" si="1"/>
        <v>1.7446228790818644E-2</v>
      </c>
      <c r="J13" s="5" t="s">
        <v>36</v>
      </c>
      <c r="K13" s="5" t="s">
        <v>37</v>
      </c>
      <c r="L13" s="3">
        <f t="shared" si="6"/>
        <v>1.7992050564503734E-2</v>
      </c>
      <c r="M13" s="3">
        <f t="shared" si="7"/>
        <v>2.3127184447776024E-3</v>
      </c>
      <c r="N13" s="3">
        <f t="shared" si="8"/>
        <v>2441.5</v>
      </c>
      <c r="O13" s="3">
        <f t="shared" si="9"/>
        <v>40.204684635831519</v>
      </c>
      <c r="P13" s="3">
        <f t="shared" si="10"/>
        <v>141921</v>
      </c>
      <c r="Q13" s="3">
        <f t="shared" si="11"/>
        <v>16155.666766390877</v>
      </c>
      <c r="U13" s="5" t="s">
        <v>37</v>
      </c>
    </row>
    <row r="14" spans="1:24" x14ac:dyDescent="0.2">
      <c r="A14" s="58"/>
      <c r="B14" s="6">
        <v>6</v>
      </c>
      <c r="C14" s="3">
        <v>15147</v>
      </c>
      <c r="D14" s="3">
        <v>130197</v>
      </c>
      <c r="E14" s="3">
        <v>15012</v>
      </c>
      <c r="F14" s="3">
        <v>129063</v>
      </c>
      <c r="G14" s="8">
        <f t="shared" si="0"/>
        <v>0.11633908615405884</v>
      </c>
      <c r="H14" s="8">
        <f t="shared" si="1"/>
        <v>0.11631528788266196</v>
      </c>
      <c r="J14" s="5" t="s">
        <v>38</v>
      </c>
      <c r="K14" s="5" t="s">
        <v>39</v>
      </c>
      <c r="L14" s="3">
        <f t="shared" si="6"/>
        <v>0.13967168561424154</v>
      </c>
      <c r="M14" s="3">
        <f t="shared" si="7"/>
        <v>2.4219462271382088E-3</v>
      </c>
      <c r="N14" s="3">
        <f t="shared" si="8"/>
        <v>14592.75</v>
      </c>
      <c r="O14" s="3">
        <f t="shared" si="9"/>
        <v>725.05877635310821</v>
      </c>
      <c r="P14" s="3">
        <f t="shared" si="10"/>
        <v>104789.75</v>
      </c>
      <c r="Q14" s="3">
        <f t="shared" si="11"/>
        <v>6643.7989681481686</v>
      </c>
      <c r="U14" s="5" t="s">
        <v>39</v>
      </c>
    </row>
    <row r="15" spans="1:24" x14ac:dyDescent="0.2">
      <c r="A15" s="46" t="s">
        <v>40</v>
      </c>
      <c r="B15" s="1">
        <v>1</v>
      </c>
      <c r="C15" s="3">
        <v>4875</v>
      </c>
      <c r="D15" s="3">
        <v>123628</v>
      </c>
      <c r="E15" s="3">
        <v>4637</v>
      </c>
      <c r="F15" s="3">
        <v>116999</v>
      </c>
      <c r="G15" s="4">
        <f t="shared" si="0"/>
        <v>3.943281457275051E-2</v>
      </c>
      <c r="H15" s="4">
        <f t="shared" si="1"/>
        <v>3.9632817374507474E-2</v>
      </c>
      <c r="L15" s="11">
        <f>L7-L8</f>
        <v>-0.10543152496651315</v>
      </c>
      <c r="N15" s="11">
        <f>N7-N8</f>
        <v>-9873.5</v>
      </c>
      <c r="P15" s="11">
        <f>P7-P8</f>
        <v>69755.75</v>
      </c>
    </row>
    <row r="16" spans="1:24" x14ac:dyDescent="0.2">
      <c r="A16" s="46"/>
      <c r="B16" s="1">
        <v>2</v>
      </c>
      <c r="C16" s="3">
        <v>5661</v>
      </c>
      <c r="D16" s="3">
        <v>74164</v>
      </c>
      <c r="E16" s="3">
        <v>5890</v>
      </c>
      <c r="F16" s="3">
        <v>78011</v>
      </c>
      <c r="G16" s="4">
        <f t="shared" si="0"/>
        <v>7.6330834367078368E-2</v>
      </c>
      <c r="H16" s="4">
        <f t="shared" si="1"/>
        <v>7.550217277050672E-2</v>
      </c>
      <c r="L16" s="11">
        <f>L13-L14</f>
        <v>-0.12167963504973781</v>
      </c>
      <c r="N16" s="11">
        <f>N13-N14</f>
        <v>-12151.25</v>
      </c>
      <c r="P16" s="11">
        <f>P13-P14</f>
        <v>37131.25</v>
      </c>
    </row>
    <row r="17" spans="1:8" x14ac:dyDescent="0.2">
      <c r="A17" s="46"/>
      <c r="B17" s="1">
        <v>3</v>
      </c>
      <c r="C17" s="3">
        <v>4498</v>
      </c>
      <c r="D17" s="3">
        <v>171686</v>
      </c>
      <c r="E17" s="3">
        <v>4519</v>
      </c>
      <c r="F17" s="3">
        <v>162784</v>
      </c>
      <c r="G17" s="4">
        <f t="shared" si="0"/>
        <v>2.6198991181575666E-2</v>
      </c>
      <c r="H17" s="4">
        <f t="shared" si="1"/>
        <v>2.7760713583644583E-2</v>
      </c>
    </row>
    <row r="18" spans="1:8" x14ac:dyDescent="0.2">
      <c r="A18" s="46"/>
      <c r="B18" s="1">
        <v>4</v>
      </c>
      <c r="C18" s="3">
        <v>7062</v>
      </c>
      <c r="D18" s="3">
        <v>88494</v>
      </c>
      <c r="E18" s="3">
        <v>6783</v>
      </c>
      <c r="F18" s="3">
        <v>85562</v>
      </c>
      <c r="G18" s="4">
        <f t="shared" si="0"/>
        <v>7.9802020475964477E-2</v>
      </c>
      <c r="H18" s="4">
        <f t="shared" si="1"/>
        <v>7.9275846754400317E-2</v>
      </c>
    </row>
    <row r="19" spans="1:8" x14ac:dyDescent="0.2">
      <c r="A19" s="46"/>
      <c r="B19" s="1">
        <v>5</v>
      </c>
      <c r="C19" s="3">
        <v>2503</v>
      </c>
      <c r="D19" s="3">
        <v>115025</v>
      </c>
      <c r="E19" s="3">
        <v>2509</v>
      </c>
      <c r="F19" s="3">
        <v>112887</v>
      </c>
      <c r="G19" s="4">
        <f t="shared" si="0"/>
        <v>2.1760486850684633E-2</v>
      </c>
      <c r="H19" s="4">
        <f t="shared" si="1"/>
        <v>2.2225765588597447E-2</v>
      </c>
    </row>
    <row r="20" spans="1:8" x14ac:dyDescent="0.2">
      <c r="A20" s="46"/>
      <c r="B20" s="1">
        <v>6</v>
      </c>
      <c r="C20" s="3">
        <v>15860</v>
      </c>
      <c r="D20" s="3">
        <v>116141</v>
      </c>
      <c r="E20" s="3">
        <v>15709</v>
      </c>
      <c r="F20" s="3">
        <v>114194</v>
      </c>
      <c r="G20" s="4">
        <f t="shared" si="0"/>
        <v>0.13655814914629633</v>
      </c>
      <c r="H20" s="4">
        <f t="shared" si="1"/>
        <v>0.13756414522654431</v>
      </c>
    </row>
    <row r="21" spans="1:8" x14ac:dyDescent="0.2">
      <c r="A21" s="46" t="s">
        <v>41</v>
      </c>
      <c r="B21" s="1">
        <v>1</v>
      </c>
      <c r="C21" s="3">
        <v>6505</v>
      </c>
      <c r="D21" s="3">
        <v>113540</v>
      </c>
      <c r="E21" s="3">
        <v>6533</v>
      </c>
      <c r="F21" s="3">
        <v>109956</v>
      </c>
      <c r="G21" s="4">
        <f t="shared" si="0"/>
        <v>5.7292584111326407E-2</v>
      </c>
      <c r="H21" s="4">
        <f t="shared" si="1"/>
        <v>5.9414674960893449E-2</v>
      </c>
    </row>
    <row r="22" spans="1:8" x14ac:dyDescent="0.2">
      <c r="A22" s="46"/>
      <c r="B22" s="1">
        <v>2</v>
      </c>
      <c r="C22" s="3">
        <v>11102</v>
      </c>
      <c r="D22" s="3">
        <v>139565</v>
      </c>
      <c r="E22" s="3">
        <v>10519</v>
      </c>
      <c r="F22" s="3">
        <v>150343</v>
      </c>
      <c r="G22" s="4">
        <f t="shared" si="0"/>
        <v>7.9547164403682868E-2</v>
      </c>
      <c r="H22" s="4">
        <f t="shared" si="1"/>
        <v>6.9966676200421699E-2</v>
      </c>
    </row>
    <row r="23" spans="1:8" x14ac:dyDescent="0.2">
      <c r="A23" s="46"/>
      <c r="B23" s="1">
        <v>3</v>
      </c>
      <c r="C23" s="3">
        <v>4860</v>
      </c>
      <c r="D23" s="3">
        <v>142291</v>
      </c>
      <c r="E23" s="3">
        <v>4599</v>
      </c>
      <c r="F23" s="3">
        <v>139543</v>
      </c>
      <c r="G23" s="4">
        <f t="shared" si="0"/>
        <v>3.4155357682495731E-2</v>
      </c>
      <c r="H23" s="4">
        <f t="shared" si="1"/>
        <v>3.2957582967257405E-2</v>
      </c>
    </row>
    <row r="24" spans="1:8" x14ac:dyDescent="0.2">
      <c r="A24" s="46"/>
      <c r="B24" s="1">
        <v>4</v>
      </c>
      <c r="C24" s="3">
        <v>7190</v>
      </c>
      <c r="D24" s="3">
        <v>85569</v>
      </c>
      <c r="E24" s="3">
        <v>6778</v>
      </c>
      <c r="F24" s="3">
        <v>84451</v>
      </c>
      <c r="G24" s="4">
        <f t="shared" si="0"/>
        <v>8.4025756991433817E-2</v>
      </c>
      <c r="H24" s="4">
        <f t="shared" si="1"/>
        <v>8.0259558797409147E-2</v>
      </c>
    </row>
    <row r="25" spans="1:8" x14ac:dyDescent="0.2">
      <c r="A25" s="46"/>
      <c r="B25" s="1">
        <v>5</v>
      </c>
      <c r="C25" s="3">
        <v>2340</v>
      </c>
      <c r="D25" s="3">
        <v>168987</v>
      </c>
      <c r="E25" s="3">
        <v>2414</v>
      </c>
      <c r="F25" s="3">
        <v>170785</v>
      </c>
      <c r="G25" s="4">
        <f t="shared" si="0"/>
        <v>1.384721901684745E-2</v>
      </c>
      <c r="H25" s="4">
        <f t="shared" si="1"/>
        <v>1.4134730801885412E-2</v>
      </c>
    </row>
    <row r="26" spans="1:8" x14ac:dyDescent="0.2">
      <c r="A26" s="46"/>
      <c r="B26" s="1">
        <v>6</v>
      </c>
      <c r="C26" s="3">
        <v>12846</v>
      </c>
      <c r="D26" s="3">
        <v>87448</v>
      </c>
      <c r="E26" s="3">
        <v>13956</v>
      </c>
      <c r="F26" s="3">
        <v>101376</v>
      </c>
      <c r="G26" s="4">
        <f t="shared" si="0"/>
        <v>0.14689872838715579</v>
      </c>
      <c r="H26" s="4">
        <f t="shared" si="1"/>
        <v>0.1376657196969697</v>
      </c>
    </row>
    <row r="29" spans="1:8" x14ac:dyDescent="0.2">
      <c r="D29" t="s">
        <v>53</v>
      </c>
      <c r="E29" t="s">
        <v>54</v>
      </c>
      <c r="F29" s="42" t="s">
        <v>64</v>
      </c>
      <c r="G29" s="42" t="s">
        <v>65</v>
      </c>
    </row>
    <row r="30" spans="1:8" x14ac:dyDescent="0.2">
      <c r="C30" s="5" t="s">
        <v>16</v>
      </c>
      <c r="D30">
        <f>AVERAGE(C15,E15)/AVERAGE(C3,E3)</f>
        <v>1.310915104740904</v>
      </c>
      <c r="E30">
        <f>AVERAGE(C21,E21)/AVERAGE(C15,E15)</f>
        <v>1.3706896551724137</v>
      </c>
      <c r="F30" s="42">
        <f>AVERAGE(C21,E21)/AVERAGE(C3,E3)</f>
        <v>1.7968577728776185</v>
      </c>
      <c r="G30" s="42">
        <f>AVERAGE(C15,E15)/AVERAGE(E9,C9)</f>
        <v>0.91294749976005374</v>
      </c>
    </row>
    <row r="31" spans="1:8" x14ac:dyDescent="0.2">
      <c r="C31" s="5" t="s">
        <v>18</v>
      </c>
      <c r="D31">
        <f t="shared" ref="D31:D35" si="15">AVERAGE(C16,E16)/AVERAGE(C4,E4)</f>
        <v>0.58364913344449498</v>
      </c>
      <c r="E31">
        <f t="shared" ref="E31:E35" si="16">AVERAGE(C22,E22)/AVERAGE(C16,E16)</f>
        <v>1.8717859925547571</v>
      </c>
      <c r="F31" s="42">
        <f t="shared" ref="F31:F35" si="17">AVERAGE(C22,E22)/AVERAGE(C4,E4)</f>
        <v>1.092466272548128</v>
      </c>
      <c r="G31" s="42">
        <f t="shared" ref="G31:G35" si="18">AVERAGE(C16,E16)/AVERAGE(E10,C10)</f>
        <v>0.76476430084745761</v>
      </c>
    </row>
    <row r="32" spans="1:8" x14ac:dyDescent="0.2">
      <c r="C32" s="5" t="s">
        <v>20</v>
      </c>
      <c r="D32">
        <f t="shared" si="15"/>
        <v>1.0464198677033771</v>
      </c>
      <c r="E32">
        <f t="shared" si="16"/>
        <v>1.0490185205722524</v>
      </c>
      <c r="F32" s="42">
        <f t="shared" si="17"/>
        <v>1.0977138215156086</v>
      </c>
      <c r="G32" s="42">
        <f t="shared" si="18"/>
        <v>0.98729880652578561</v>
      </c>
    </row>
    <row r="33" spans="3:7" x14ac:dyDescent="0.2">
      <c r="C33" s="5" t="s">
        <v>22</v>
      </c>
      <c r="D33">
        <f t="shared" si="15"/>
        <v>0.91822522881018698</v>
      </c>
      <c r="E33">
        <f t="shared" si="16"/>
        <v>1.008884073672806</v>
      </c>
      <c r="F33" s="42">
        <f t="shared" si="17"/>
        <v>0.92638280939116591</v>
      </c>
      <c r="G33" s="42">
        <f t="shared" si="18"/>
        <v>0.99812558575445176</v>
      </c>
    </row>
    <row r="34" spans="3:7" x14ac:dyDescent="0.2">
      <c r="C34" s="5" t="s">
        <v>24</v>
      </c>
      <c r="D34">
        <f t="shared" si="15"/>
        <v>0.94245957126739377</v>
      </c>
      <c r="E34">
        <f t="shared" si="16"/>
        <v>0.94852354349561052</v>
      </c>
      <c r="F34" s="42">
        <f t="shared" si="17"/>
        <v>0.89394509213990225</v>
      </c>
      <c r="G34" s="42">
        <f t="shared" si="18"/>
        <v>1.1713017060060762</v>
      </c>
    </row>
    <row r="35" spans="3:7" x14ac:dyDescent="0.2">
      <c r="C35" s="5" t="s">
        <v>26</v>
      </c>
      <c r="D35">
        <f t="shared" si="15"/>
        <v>1.6674941897316713</v>
      </c>
      <c r="E35">
        <f t="shared" si="16"/>
        <v>0.84899743419177043</v>
      </c>
      <c r="F35" s="42">
        <f t="shared" si="17"/>
        <v>1.4156982886118741</v>
      </c>
      <c r="G35" s="42">
        <f t="shared" si="18"/>
        <v>1.0467522132696707</v>
      </c>
    </row>
  </sheetData>
  <mergeCells count="11">
    <mergeCell ref="A15:A20"/>
    <mergeCell ref="A21:A26"/>
    <mergeCell ref="A1:B2"/>
    <mergeCell ref="C1:D1"/>
    <mergeCell ref="E1:F1"/>
    <mergeCell ref="R1:T1"/>
    <mergeCell ref="V1:X1"/>
    <mergeCell ref="G1:H1"/>
    <mergeCell ref="A3:A8"/>
    <mergeCell ref="A9:A14"/>
    <mergeCell ref="V7:X11"/>
  </mergeCells>
  <pageMargins left="0.7" right="0.7" top="0.75" bottom="0.75" header="0.3" footer="0.3"/>
  <pageSetup orientation="portrait" horizontalDpi="4294967292" verticalDpi="4294967292"/>
  <ignoredErrors>
    <ignoredError sqref="K6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2" sqref="O22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6" sqref="R6"/>
    </sheetView>
  </sheetViews>
  <sheetFormatPr baseColWidth="10" defaultColWidth="8.83203125" defaultRowHeight="16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24" sqref="D24"/>
    </sheetView>
  </sheetViews>
  <sheetFormatPr baseColWidth="10" defaultColWidth="8.83203125" defaultRowHeight="16" x14ac:dyDescent="0.2"/>
  <cols>
    <col min="1" max="1" width="10.1640625" style="10" bestFit="1" customWidth="1"/>
    <col min="2" max="5" width="11.83203125" style="10" bestFit="1" customWidth="1"/>
    <col min="6" max="7" width="12.6640625" style="10" bestFit="1" customWidth="1"/>
    <col min="8" max="16384" width="8.83203125" style="10"/>
  </cols>
  <sheetData>
    <row r="1" spans="1:7" x14ac:dyDescent="0.2">
      <c r="A1" s="18" t="s">
        <v>49</v>
      </c>
      <c r="B1" s="45" t="s">
        <v>48</v>
      </c>
      <c r="C1" s="45"/>
      <c r="D1" s="45"/>
      <c r="E1" s="45"/>
      <c r="F1" s="45"/>
      <c r="G1" s="45"/>
    </row>
    <row r="2" spans="1:7" x14ac:dyDescent="0.2">
      <c r="A2" s="19" t="s">
        <v>50</v>
      </c>
      <c r="B2" s="45" t="s">
        <v>44</v>
      </c>
      <c r="C2" s="45"/>
      <c r="D2" s="45" t="s">
        <v>45</v>
      </c>
      <c r="E2" s="45"/>
      <c r="F2" s="45" t="s">
        <v>46</v>
      </c>
      <c r="G2" s="45"/>
    </row>
    <row r="3" spans="1:7" x14ac:dyDescent="0.2">
      <c r="A3" s="17" t="s">
        <v>16</v>
      </c>
      <c r="B3" s="13">
        <v>0.51587286760386664</v>
      </c>
      <c r="C3" s="14">
        <v>0.88433376847623846</v>
      </c>
      <c r="D3" s="13">
        <v>0.38185409949057231</v>
      </c>
      <c r="E3" s="14">
        <v>0.92648201213133408</v>
      </c>
      <c r="F3" s="13">
        <v>-0.73927073878702687</v>
      </c>
      <c r="G3" s="14">
        <v>0.56863004402361861</v>
      </c>
    </row>
    <row r="4" spans="1:7" x14ac:dyDescent="0.2">
      <c r="A4" s="17" t="s">
        <v>18</v>
      </c>
      <c r="B4" s="13">
        <v>1.4542998440830144</v>
      </c>
      <c r="C4" s="14">
        <v>1.2775084000559933</v>
      </c>
      <c r="D4" s="15">
        <v>7.2327727167928808</v>
      </c>
      <c r="E4" s="16">
        <v>1.4423394765232025</v>
      </c>
      <c r="F4" s="15">
        <v>-0.17295257497237765</v>
      </c>
      <c r="G4" s="16">
        <v>1.0078547564980282</v>
      </c>
    </row>
    <row r="5" spans="1:7" x14ac:dyDescent="0.2">
      <c r="A5" s="17" t="s">
        <v>20</v>
      </c>
      <c r="B5" s="13">
        <v>0.5781332618036612</v>
      </c>
      <c r="C5" s="14">
        <v>1.0879883796507517</v>
      </c>
      <c r="D5" s="13">
        <v>0.49925821936207115</v>
      </c>
      <c r="E5" s="14">
        <v>1.0343220765387953</v>
      </c>
      <c r="F5" s="15">
        <v>-2.251371708125478</v>
      </c>
      <c r="G5" s="16">
        <v>2.9510196579467505</v>
      </c>
    </row>
    <row r="6" spans="1:7" x14ac:dyDescent="0.2">
      <c r="A6" s="17" t="s">
        <v>22</v>
      </c>
      <c r="B6" s="13">
        <v>0.22698887473993939</v>
      </c>
      <c r="C6" s="14">
        <v>0.86149154393133065</v>
      </c>
      <c r="D6" s="15">
        <v>0.16377955361081289</v>
      </c>
      <c r="E6" s="16">
        <v>1.2327428983259081</v>
      </c>
      <c r="F6" s="13">
        <v>-0.30135639354057076</v>
      </c>
      <c r="G6" s="14">
        <v>-2.241069479475835</v>
      </c>
    </row>
    <row r="8" spans="1:7" x14ac:dyDescent="0.2">
      <c r="A8" s="59" t="s">
        <v>51</v>
      </c>
      <c r="B8" s="59"/>
      <c r="C8" s="59"/>
      <c r="D8" s="59"/>
      <c r="E8" s="59"/>
      <c r="F8" s="59"/>
      <c r="G8" s="59"/>
    </row>
  </sheetData>
  <mergeCells count="5">
    <mergeCell ref="B2:C2"/>
    <mergeCell ref="D2:E2"/>
    <mergeCell ref="F2:G2"/>
    <mergeCell ref="B1:G1"/>
    <mergeCell ref="A8:G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workbookViewId="0">
      <selection activeCell="D2" sqref="D2"/>
    </sheetView>
  </sheetViews>
  <sheetFormatPr baseColWidth="10" defaultColWidth="10.83203125" defaultRowHeight="16" x14ac:dyDescent="0.2"/>
  <cols>
    <col min="1" max="1" width="3.33203125" style="25" customWidth="1"/>
    <col min="2" max="2" width="6" style="25" customWidth="1"/>
    <col min="3" max="3" width="13" style="25" bestFit="1" customWidth="1"/>
    <col min="4" max="4" width="13.33203125" style="25" bestFit="1" customWidth="1"/>
    <col min="5" max="5" width="13" style="25" bestFit="1" customWidth="1"/>
    <col min="6" max="6" width="13.33203125" style="25" bestFit="1" customWidth="1"/>
    <col min="7" max="8" width="10.83203125" style="25"/>
    <col min="9" max="9" width="14.6640625" style="25" customWidth="1"/>
    <col min="10" max="10" width="16.1640625" style="25" customWidth="1"/>
    <col min="11" max="11" width="10.83203125" style="25" customWidth="1"/>
    <col min="12" max="15" width="10.83203125" style="25"/>
    <col min="16" max="16" width="9.83203125" style="25" bestFit="1" customWidth="1"/>
    <col min="17" max="17" width="14.33203125" style="25" bestFit="1" customWidth="1"/>
    <col min="18" max="18" width="21" style="25" bestFit="1" customWidth="1"/>
    <col min="19" max="23" width="11.5" style="25" customWidth="1"/>
    <col min="24" max="16384" width="10.83203125" style="25"/>
  </cols>
  <sheetData>
    <row r="1" spans="1:23" x14ac:dyDescent="0.2">
      <c r="A1" s="60" t="s">
        <v>0</v>
      </c>
      <c r="B1" s="60"/>
      <c r="C1" s="60" t="s">
        <v>1</v>
      </c>
      <c r="D1" s="60"/>
      <c r="E1" s="60" t="s">
        <v>2</v>
      </c>
      <c r="F1" s="60"/>
      <c r="G1" s="62" t="s">
        <v>3</v>
      </c>
      <c r="H1" s="63"/>
      <c r="I1" s="30"/>
      <c r="J1" s="24"/>
      <c r="K1" s="2" t="s">
        <v>1</v>
      </c>
      <c r="L1" s="2" t="s">
        <v>2</v>
      </c>
      <c r="M1" s="26"/>
      <c r="N1" s="26"/>
    </row>
    <row r="2" spans="1:23" ht="45" customHeight="1" x14ac:dyDescent="0.2">
      <c r="A2" s="60"/>
      <c r="B2" s="60"/>
      <c r="C2" s="2" t="s">
        <v>4</v>
      </c>
      <c r="D2" s="2" t="s">
        <v>5</v>
      </c>
      <c r="E2" s="2" t="s">
        <v>4</v>
      </c>
      <c r="F2" s="2" t="s">
        <v>5</v>
      </c>
      <c r="G2" s="2" t="s">
        <v>1</v>
      </c>
      <c r="H2" s="2" t="s">
        <v>2</v>
      </c>
      <c r="I2" s="32" t="s">
        <v>56</v>
      </c>
      <c r="J2" s="32" t="s">
        <v>55</v>
      </c>
      <c r="K2" s="61" t="s">
        <v>57</v>
      </c>
      <c r="L2" s="61"/>
      <c r="M2" s="32" t="s">
        <v>58</v>
      </c>
      <c r="N2" s="2" t="s">
        <v>59</v>
      </c>
      <c r="O2" s="31"/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  <c r="V2" s="2" t="s">
        <v>12</v>
      </c>
      <c r="W2" s="2" t="s">
        <v>13</v>
      </c>
    </row>
    <row r="3" spans="1:23" x14ac:dyDescent="0.2">
      <c r="A3" s="60" t="s">
        <v>14</v>
      </c>
      <c r="B3" s="2">
        <v>1</v>
      </c>
      <c r="C3" s="27">
        <v>3585</v>
      </c>
      <c r="D3" s="27">
        <v>121587</v>
      </c>
      <c r="E3" s="27">
        <v>3671</v>
      </c>
      <c r="F3" s="27">
        <v>129651</v>
      </c>
      <c r="G3" s="28">
        <f>C3/D3</f>
        <v>2.9485060080436231E-2</v>
      </c>
      <c r="H3" s="28">
        <f>E3/F3</f>
        <v>2.8314475013690599E-2</v>
      </c>
      <c r="I3" s="3">
        <v>1.2008E-2</v>
      </c>
      <c r="J3" s="27">
        <f>I3*10</f>
        <v>0.12007999999999999</v>
      </c>
      <c r="K3" s="27">
        <f>C3/J3</f>
        <v>29855.096602265159</v>
      </c>
      <c r="L3" s="27">
        <f>E3/J3</f>
        <v>30571.285809460362</v>
      </c>
      <c r="M3" s="37">
        <f>AVERAGE(K3:L3)</f>
        <v>30213.19120586276</v>
      </c>
      <c r="N3" s="37">
        <f>STDEV(K3:L3)/SQRT(2)</f>
        <v>358.09460359760118</v>
      </c>
      <c r="P3" s="29" t="s">
        <v>15</v>
      </c>
      <c r="Q3" s="29" t="s">
        <v>16</v>
      </c>
      <c r="R3" s="27">
        <f>AVERAGE(G3,H3,G9,H9)</f>
        <v>3.129937962392635E-2</v>
      </c>
      <c r="S3" s="27">
        <f>STDEV(G3,H3,G9,H9)/2</f>
        <v>1.4285199217311624E-3</v>
      </c>
      <c r="T3" s="27">
        <f>AVERAGE(C3,E3,E9,C9)</f>
        <v>4418.75</v>
      </c>
      <c r="U3" s="27">
        <f>STDEV(C3,E3,C9,E9)/2</f>
        <v>457.68300074032317</v>
      </c>
      <c r="V3" s="27">
        <f>AVERAGE(D3,F3,F9,D9)</f>
        <v>140148.5</v>
      </c>
      <c r="W3" s="27">
        <f>STDEV(D3,F3,D9,F9)/2</f>
        <v>8772.3186644125053</v>
      </c>
    </row>
    <row r="4" spans="1:23" x14ac:dyDescent="0.2">
      <c r="A4" s="60"/>
      <c r="B4" s="2">
        <v>2</v>
      </c>
      <c r="C4" s="27">
        <v>9890</v>
      </c>
      <c r="D4" s="27">
        <v>121527</v>
      </c>
      <c r="E4" s="27">
        <v>9901</v>
      </c>
      <c r="F4" s="27">
        <v>130538</v>
      </c>
      <c r="G4" s="28">
        <f t="shared" ref="G4:G26" si="0">C4/D4</f>
        <v>8.1381092267561947E-2</v>
      </c>
      <c r="H4" s="28">
        <f t="shared" ref="H4:H26" si="1">E4/F4</f>
        <v>7.5847645896214136E-2</v>
      </c>
      <c r="I4" s="33">
        <v>8.7969999999999993E-2</v>
      </c>
      <c r="J4" s="27">
        <f t="shared" ref="J4:J26" si="2">I4*10</f>
        <v>0.87969999999999993</v>
      </c>
      <c r="K4" s="27">
        <f t="shared" ref="K4:K26" si="3">C4/J4</f>
        <v>11242.46902353075</v>
      </c>
      <c r="L4" s="27">
        <f t="shared" ref="L4:L26" si="4">E4/J4</f>
        <v>11254.97328634762</v>
      </c>
      <c r="M4" s="37">
        <f t="shared" ref="M4:M26" si="5">AVERAGE(K4:L4)</f>
        <v>11248.721154939185</v>
      </c>
      <c r="N4" s="37">
        <f t="shared" ref="N4:N26" si="6">STDEV(K4:L4)/SQRT(2)</f>
        <v>6.2521314084351616</v>
      </c>
      <c r="P4" s="29" t="s">
        <v>17</v>
      </c>
      <c r="Q4" s="29" t="s">
        <v>18</v>
      </c>
      <c r="R4" s="27">
        <f>AVERAGE(G4,H4,G10,H10)</f>
        <v>7.6558664100015578E-2</v>
      </c>
      <c r="S4" s="27">
        <f>STDEV(G4,H4,G10,H10)/2</f>
        <v>1.6910051611379445E-3</v>
      </c>
      <c r="T4" s="27">
        <f>AVERAGE(C4,E4,E10,C10)</f>
        <v>8723.75</v>
      </c>
      <c r="U4" s="27">
        <f>STDEV(C4,E4,C10,E10)/2</f>
        <v>679.81889438781172</v>
      </c>
      <c r="V4" s="27">
        <f>AVERAGE(D4,F4,F10,D10)</f>
        <v>113693.25</v>
      </c>
      <c r="W4" s="27">
        <f>STDEV(D4,F4,D10,F10)/2</f>
        <v>7365.0634798689953</v>
      </c>
    </row>
    <row r="5" spans="1:23" x14ac:dyDescent="0.2">
      <c r="A5" s="60"/>
      <c r="B5" s="2">
        <v>3</v>
      </c>
      <c r="C5" s="27">
        <v>4302</v>
      </c>
      <c r="D5" s="27">
        <v>126709</v>
      </c>
      <c r="E5" s="27">
        <v>4315</v>
      </c>
      <c r="F5" s="27">
        <v>128733</v>
      </c>
      <c r="G5" s="28">
        <f t="shared" si="0"/>
        <v>3.3951810842165905E-2</v>
      </c>
      <c r="H5" s="28">
        <f t="shared" si="1"/>
        <v>3.3518988915041209E-2</v>
      </c>
      <c r="I5" s="33">
        <v>0.15749000000000002</v>
      </c>
      <c r="J5" s="27">
        <f t="shared" si="2"/>
        <v>1.5749000000000002</v>
      </c>
      <c r="K5" s="27">
        <f t="shared" si="3"/>
        <v>2731.6020064766012</v>
      </c>
      <c r="L5" s="27">
        <f t="shared" si="4"/>
        <v>2739.856498825322</v>
      </c>
      <c r="M5" s="37">
        <f t="shared" si="5"/>
        <v>2735.7292526509618</v>
      </c>
      <c r="N5" s="37">
        <f t="shared" si="6"/>
        <v>4.1272461743603799</v>
      </c>
      <c r="P5" s="29" t="s">
        <v>19</v>
      </c>
      <c r="Q5" s="29" t="s">
        <v>20</v>
      </c>
      <c r="R5" s="27">
        <f>AVERAGE(G5,H5,G11,H11)</f>
        <v>3.3066196316082215E-2</v>
      </c>
      <c r="S5" s="27">
        <f>STDEV(G5,H5,G11,H11)/2</f>
        <v>5.9415531446006657E-4</v>
      </c>
      <c r="T5" s="27">
        <f>AVERAGE(C5,E5,E11,C11)</f>
        <v>4437.5</v>
      </c>
      <c r="U5" s="27">
        <f>STDEV(C5,E5,C11,E11)/2</f>
        <v>78.258652343793059</v>
      </c>
      <c r="V5" s="27">
        <f>AVERAGE(D5,F5,F11,D11)</f>
        <v>134386.5</v>
      </c>
      <c r="W5" s="27">
        <f>STDEV(D5,F5,D11,F11)/2</f>
        <v>4049.2622681998096</v>
      </c>
    </row>
    <row r="6" spans="1:23" x14ac:dyDescent="0.2">
      <c r="A6" s="60"/>
      <c r="B6" s="2">
        <v>4</v>
      </c>
      <c r="C6" s="27">
        <v>7190</v>
      </c>
      <c r="D6" s="27">
        <v>126379</v>
      </c>
      <c r="E6" s="27">
        <v>7888</v>
      </c>
      <c r="F6" s="27">
        <v>125933</v>
      </c>
      <c r="G6" s="28">
        <f t="shared" si="0"/>
        <v>5.689236344645867E-2</v>
      </c>
      <c r="H6" s="28">
        <f t="shared" si="1"/>
        <v>6.2636481303550304E-2</v>
      </c>
      <c r="I6" s="33">
        <v>2.9607999999999999E-2</v>
      </c>
      <c r="J6" s="27">
        <f t="shared" si="2"/>
        <v>0.29608000000000001</v>
      </c>
      <c r="K6" s="27">
        <f t="shared" si="3"/>
        <v>24283.977303431504</v>
      </c>
      <c r="L6" s="27">
        <f t="shared" si="4"/>
        <v>26641.448257227774</v>
      </c>
      <c r="M6" s="37">
        <f t="shared" si="5"/>
        <v>25462.712780329639</v>
      </c>
      <c r="N6" s="37">
        <f t="shared" si="6"/>
        <v>1178.7354768981347</v>
      </c>
      <c r="P6" s="29" t="s">
        <v>21</v>
      </c>
      <c r="Q6" s="29" t="s">
        <v>22</v>
      </c>
      <c r="R6" s="27">
        <f>AVERAGE(G6,H6,G12,H12)</f>
        <v>6.1023795824437441E-2</v>
      </c>
      <c r="S6" s="27">
        <f>STDEV(G6,H6,G12,H12)/2</f>
        <v>1.4392617105436875E-3</v>
      </c>
      <c r="T6" s="27">
        <f>AVERAGE(C6,E6,E12,C12)</f>
        <v>7237.25</v>
      </c>
      <c r="U6" s="27">
        <f>STDEV(C6,E6,C12,E12)/2</f>
        <v>237.32796400761541</v>
      </c>
      <c r="V6" s="27">
        <f>AVERAGE(D6,F6,F12,D12)</f>
        <v>118745.75</v>
      </c>
      <c r="W6" s="27">
        <f>STDEV(D6,F6,D12,F12)/2</f>
        <v>4305.7402649447713</v>
      </c>
    </row>
    <row r="7" spans="1:23" x14ac:dyDescent="0.2">
      <c r="A7" s="60"/>
      <c r="B7" s="2">
        <v>5</v>
      </c>
      <c r="C7" s="27">
        <v>2664</v>
      </c>
      <c r="D7" s="27">
        <v>225593</v>
      </c>
      <c r="E7" s="27">
        <v>2654</v>
      </c>
      <c r="F7" s="27">
        <v>223397</v>
      </c>
      <c r="G7" s="28">
        <f t="shared" si="0"/>
        <v>1.180887704848998E-2</v>
      </c>
      <c r="H7" s="28">
        <f t="shared" si="1"/>
        <v>1.1880195347296518E-2</v>
      </c>
      <c r="I7" s="34" t="e">
        <v>#VALUE!</v>
      </c>
      <c r="J7" s="35" t="e">
        <f t="shared" si="2"/>
        <v>#VALUE!</v>
      </c>
      <c r="K7" s="35" t="e">
        <f t="shared" si="3"/>
        <v>#VALUE!</v>
      </c>
      <c r="L7" s="35" t="e">
        <f t="shared" si="4"/>
        <v>#VALUE!</v>
      </c>
      <c r="M7" s="39" t="e">
        <f t="shared" si="5"/>
        <v>#VALUE!</v>
      </c>
      <c r="N7" s="39">
        <v>0</v>
      </c>
      <c r="P7" s="29" t="s">
        <v>23</v>
      </c>
      <c r="Q7" s="29" t="s">
        <v>24</v>
      </c>
      <c r="R7" s="27">
        <f>AVERAGE(G7,H7,G13,H13)</f>
        <v>1.4760474795250007E-2</v>
      </c>
      <c r="S7" s="27">
        <f>STDEV(G7,H7,G13,H13)/2</f>
        <v>1.6862014674481776E-3</v>
      </c>
      <c r="T7" s="27">
        <f>AVERAGE(C7,E7,E13,C13)</f>
        <v>2399.25</v>
      </c>
      <c r="U7" s="27">
        <f>STDEV(C7,E7,C13,E13)/2</f>
        <v>150.37030679847226</v>
      </c>
      <c r="V7" s="27">
        <f>AVERAGE(D7,F7,F13,D13)</f>
        <v>172766.5</v>
      </c>
      <c r="W7" s="27">
        <f>STDEV(D7,F7,D13,F13)/2</f>
        <v>29868.843738082665</v>
      </c>
    </row>
    <row r="8" spans="1:23" x14ac:dyDescent="0.2">
      <c r="A8" s="60"/>
      <c r="B8" s="2">
        <v>6</v>
      </c>
      <c r="C8" s="27">
        <v>9747</v>
      </c>
      <c r="D8" s="27">
        <v>80350</v>
      </c>
      <c r="E8" s="27">
        <v>9185</v>
      </c>
      <c r="F8" s="27">
        <v>72433</v>
      </c>
      <c r="G8" s="28">
        <f t="shared" si="0"/>
        <v>0.12130678282514001</v>
      </c>
      <c r="H8" s="28">
        <f t="shared" si="1"/>
        <v>0.12680684218519184</v>
      </c>
      <c r="I8" s="34" t="e">
        <v>#VALUE!</v>
      </c>
      <c r="J8" s="35" t="e">
        <f t="shared" si="2"/>
        <v>#VALUE!</v>
      </c>
      <c r="K8" s="35" t="e">
        <f t="shared" si="3"/>
        <v>#VALUE!</v>
      </c>
      <c r="L8" s="35" t="e">
        <f t="shared" si="4"/>
        <v>#VALUE!</v>
      </c>
      <c r="M8" s="39" t="e">
        <f t="shared" si="5"/>
        <v>#VALUE!</v>
      </c>
      <c r="N8" s="39">
        <v>0</v>
      </c>
      <c r="P8" s="29" t="s">
        <v>43</v>
      </c>
      <c r="Q8" s="29" t="s">
        <v>26</v>
      </c>
      <c r="R8" s="27">
        <f>AVERAGE(G14,H14,G8,H8)</f>
        <v>0.12019199976176316</v>
      </c>
      <c r="S8" s="27">
        <f>STDEV(G14,H14,G8,H8)/(2)</f>
        <v>2.4978777630083816E-3</v>
      </c>
      <c r="T8" s="27">
        <f>AVERAGE(E14,C14,C8,E8)</f>
        <v>12272.75</v>
      </c>
      <c r="U8" s="27">
        <f>STDEV(C14,E14,C8,E8)/SQRT(2)</f>
        <v>2297.7676394709715</v>
      </c>
      <c r="V8" s="27">
        <f>AVERAGE(F14,D14,D8,F8)</f>
        <v>103010.75</v>
      </c>
      <c r="W8" s="27">
        <f>STDEV(D14,F14,D8,F8)/(2)</f>
        <v>15455.097068470108</v>
      </c>
    </row>
    <row r="9" spans="1:23" x14ac:dyDescent="0.2">
      <c r="A9" s="60" t="s">
        <v>27</v>
      </c>
      <c r="B9" s="2">
        <v>1</v>
      </c>
      <c r="C9" s="27">
        <v>5276</v>
      </c>
      <c r="D9" s="27">
        <v>159500</v>
      </c>
      <c r="E9" s="27">
        <v>5143</v>
      </c>
      <c r="F9" s="27">
        <v>149856</v>
      </c>
      <c r="G9" s="28">
        <f t="shared" si="0"/>
        <v>3.3078369905956112E-2</v>
      </c>
      <c r="H9" s="28">
        <f t="shared" si="1"/>
        <v>3.4319613495622465E-2</v>
      </c>
      <c r="I9" s="33">
        <v>7.0302000000000003E-2</v>
      </c>
      <c r="J9" s="27">
        <f t="shared" si="2"/>
        <v>0.70301999999999998</v>
      </c>
      <c r="K9" s="27">
        <f t="shared" si="3"/>
        <v>7504.7651560410804</v>
      </c>
      <c r="L9" s="27">
        <f t="shared" si="4"/>
        <v>7315.5813490370119</v>
      </c>
      <c r="M9" s="37">
        <f t="shared" si="5"/>
        <v>7410.1732525390462</v>
      </c>
      <c r="N9" s="37">
        <f t="shared" si="6"/>
        <v>94.591903502034256</v>
      </c>
      <c r="P9" s="29" t="s">
        <v>28</v>
      </c>
      <c r="Q9" s="29" t="s">
        <v>29</v>
      </c>
      <c r="R9" s="27">
        <f t="shared" ref="R9:R14" si="7">AVERAGE(G15,H15,G21,H21)</f>
        <v>4.894322275486946E-2</v>
      </c>
      <c r="S9" s="27">
        <f t="shared" ref="S9:S14" si="8">STDEV(G15,H15,G21,H21)/2</f>
        <v>5.4504943086302561E-3</v>
      </c>
      <c r="T9" s="27">
        <f t="shared" ref="T9:T14" si="9">AVERAGE(C15,E15,C21,E21)</f>
        <v>5637.5</v>
      </c>
      <c r="U9" s="27">
        <f t="shared" ref="U9:U14" si="10">STDEV(C15,E15,C21,E21)/2</f>
        <v>511.27968536473912</v>
      </c>
      <c r="V9" s="27">
        <f t="shared" ref="V9:V14" si="11">AVERAGE(D15,F15,D21,F21)</f>
        <v>116030.75</v>
      </c>
      <c r="W9" s="27">
        <f t="shared" ref="W9:W14" si="12">STDEV(D15,F15,D21,F21)/2</f>
        <v>2912.0745576249701</v>
      </c>
    </row>
    <row r="10" spans="1:23" x14ac:dyDescent="0.2">
      <c r="A10" s="60"/>
      <c r="B10" s="2">
        <v>2</v>
      </c>
      <c r="C10" s="27">
        <v>7716</v>
      </c>
      <c r="D10" s="27">
        <v>102161</v>
      </c>
      <c r="E10" s="27">
        <v>7388</v>
      </c>
      <c r="F10" s="27">
        <v>100547</v>
      </c>
      <c r="G10" s="28">
        <f t="shared" si="0"/>
        <v>7.5527843306154016E-2</v>
      </c>
      <c r="H10" s="28">
        <f t="shared" si="1"/>
        <v>7.347807493013217E-2</v>
      </c>
      <c r="I10" s="34" t="e">
        <v>#VALUE!</v>
      </c>
      <c r="J10" s="35" t="e">
        <f t="shared" si="2"/>
        <v>#VALUE!</v>
      </c>
      <c r="K10" s="35" t="e">
        <f t="shared" si="3"/>
        <v>#VALUE!</v>
      </c>
      <c r="L10" s="35" t="e">
        <f t="shared" si="4"/>
        <v>#VALUE!</v>
      </c>
      <c r="M10" s="39" t="e">
        <f t="shared" si="5"/>
        <v>#VALUE!</v>
      </c>
      <c r="N10" s="39">
        <v>0</v>
      </c>
      <c r="P10" s="29" t="s">
        <v>30</v>
      </c>
      <c r="Q10" s="29" t="s">
        <v>31</v>
      </c>
      <c r="R10" s="27">
        <f t="shared" si="7"/>
        <v>7.5336711935422407E-2</v>
      </c>
      <c r="S10" s="27">
        <f t="shared" si="8"/>
        <v>1.9912485714523765E-3</v>
      </c>
      <c r="T10" s="27">
        <f t="shared" si="9"/>
        <v>8293</v>
      </c>
      <c r="U10" s="27">
        <f t="shared" si="10"/>
        <v>1459.0918979511423</v>
      </c>
      <c r="V10" s="27">
        <f t="shared" si="11"/>
        <v>110520.75</v>
      </c>
      <c r="W10" s="27">
        <f t="shared" si="12"/>
        <v>20016.820361781571</v>
      </c>
    </row>
    <row r="11" spans="1:23" x14ac:dyDescent="0.2">
      <c r="A11" s="60"/>
      <c r="B11" s="2">
        <v>3</v>
      </c>
      <c r="C11" s="27">
        <v>4508</v>
      </c>
      <c r="D11" s="27">
        <v>143967</v>
      </c>
      <c r="E11" s="27">
        <v>4625</v>
      </c>
      <c r="F11" s="27">
        <v>138137</v>
      </c>
      <c r="G11" s="28">
        <f t="shared" si="0"/>
        <v>3.1312731389832392E-2</v>
      </c>
      <c r="H11" s="28">
        <f t="shared" si="1"/>
        <v>3.3481254117289361E-2</v>
      </c>
      <c r="I11" s="33">
        <v>4.3159999999999997E-2</v>
      </c>
      <c r="J11" s="27">
        <f t="shared" si="2"/>
        <v>0.43159999999999998</v>
      </c>
      <c r="K11" s="27">
        <f t="shared" si="3"/>
        <v>10444.856348470807</v>
      </c>
      <c r="L11" s="27">
        <f t="shared" si="4"/>
        <v>10715.940685820204</v>
      </c>
      <c r="M11" s="37">
        <f t="shared" si="5"/>
        <v>10580.398517145506</v>
      </c>
      <c r="N11" s="37">
        <f t="shared" si="6"/>
        <v>135.54216867469856</v>
      </c>
      <c r="P11" s="29" t="s">
        <v>32</v>
      </c>
      <c r="Q11" s="29" t="s">
        <v>33</v>
      </c>
      <c r="R11" s="27">
        <f t="shared" si="7"/>
        <v>3.0268161353743342E-2</v>
      </c>
      <c r="S11" s="27">
        <f t="shared" si="8"/>
        <v>1.9405481210930887E-3</v>
      </c>
      <c r="T11" s="27">
        <f t="shared" si="9"/>
        <v>4619</v>
      </c>
      <c r="U11" s="27">
        <f t="shared" si="10"/>
        <v>83.227599588918423</v>
      </c>
      <c r="V11" s="27">
        <f t="shared" si="11"/>
        <v>154076</v>
      </c>
      <c r="W11" s="27">
        <f t="shared" si="12"/>
        <v>7831.7499002457935</v>
      </c>
    </row>
    <row r="12" spans="1:23" x14ac:dyDescent="0.2">
      <c r="A12" s="60"/>
      <c r="B12" s="2">
        <v>4</v>
      </c>
      <c r="C12" s="27">
        <v>7120</v>
      </c>
      <c r="D12" s="27">
        <v>112503</v>
      </c>
      <c r="E12" s="27">
        <v>6751</v>
      </c>
      <c r="F12" s="27">
        <v>110168</v>
      </c>
      <c r="G12" s="28">
        <f t="shared" si="0"/>
        <v>6.328720123018941E-2</v>
      </c>
      <c r="H12" s="28">
        <f t="shared" si="1"/>
        <v>6.1279137317551378E-2</v>
      </c>
      <c r="I12" s="33">
        <v>6.8943000000000004E-2</v>
      </c>
      <c r="J12" s="27">
        <f t="shared" si="2"/>
        <v>0.68942999999999999</v>
      </c>
      <c r="K12" s="27">
        <f t="shared" si="3"/>
        <v>10327.371886921081</v>
      </c>
      <c r="L12" s="27">
        <f t="shared" si="4"/>
        <v>9792.1471360399173</v>
      </c>
      <c r="M12" s="37">
        <f t="shared" si="5"/>
        <v>10059.759511480499</v>
      </c>
      <c r="N12" s="37">
        <f t="shared" si="6"/>
        <v>267.61237544058162</v>
      </c>
      <c r="P12" s="29" t="s">
        <v>34</v>
      </c>
      <c r="Q12" s="29" t="s">
        <v>35</v>
      </c>
      <c r="R12" s="27">
        <f t="shared" si="7"/>
        <v>8.0840795754801936E-2</v>
      </c>
      <c r="S12" s="27">
        <f t="shared" si="8"/>
        <v>1.0805065915759442E-3</v>
      </c>
      <c r="T12" s="27">
        <f t="shared" si="9"/>
        <v>6953.25</v>
      </c>
      <c r="U12" s="27">
        <f t="shared" si="10"/>
        <v>103.10785210965587</v>
      </c>
      <c r="V12" s="27">
        <f t="shared" si="11"/>
        <v>86019</v>
      </c>
      <c r="W12" s="27">
        <f t="shared" si="12"/>
        <v>865.81358655698318</v>
      </c>
    </row>
    <row r="13" spans="1:23" x14ac:dyDescent="0.2">
      <c r="A13" s="60"/>
      <c r="B13" s="2">
        <v>5</v>
      </c>
      <c r="C13" s="27">
        <v>2166</v>
      </c>
      <c r="D13" s="27">
        <v>120961</v>
      </c>
      <c r="E13" s="27">
        <v>2113</v>
      </c>
      <c r="F13" s="27">
        <v>121115</v>
      </c>
      <c r="G13" s="28">
        <f t="shared" si="0"/>
        <v>1.7906597994394889E-2</v>
      </c>
      <c r="H13" s="28">
        <f t="shared" si="1"/>
        <v>1.7446228790818644E-2</v>
      </c>
      <c r="I13" s="33">
        <v>6.8943000000000004E-2</v>
      </c>
      <c r="J13" s="27">
        <f t="shared" si="2"/>
        <v>0.68942999999999999</v>
      </c>
      <c r="K13" s="27">
        <f t="shared" si="3"/>
        <v>3141.7257734650366</v>
      </c>
      <c r="L13" s="27">
        <f t="shared" si="4"/>
        <v>3064.8506737449779</v>
      </c>
      <c r="M13" s="37">
        <f t="shared" si="5"/>
        <v>3103.2882236050073</v>
      </c>
      <c r="N13" s="37">
        <f t="shared" si="6"/>
        <v>38.437549860029321</v>
      </c>
      <c r="P13" s="29" t="s">
        <v>36</v>
      </c>
      <c r="Q13" s="29" t="s">
        <v>37</v>
      </c>
      <c r="R13" s="27">
        <f t="shared" si="7"/>
        <v>1.7992050564503734E-2</v>
      </c>
      <c r="S13" s="27">
        <f t="shared" si="8"/>
        <v>2.3127184447776024E-3</v>
      </c>
      <c r="T13" s="27">
        <f t="shared" si="9"/>
        <v>2441.5</v>
      </c>
      <c r="U13" s="27">
        <f t="shared" si="10"/>
        <v>40.204684635831519</v>
      </c>
      <c r="V13" s="27">
        <f t="shared" si="11"/>
        <v>141921</v>
      </c>
      <c r="W13" s="27">
        <f t="shared" si="12"/>
        <v>16155.666766390877</v>
      </c>
    </row>
    <row r="14" spans="1:23" x14ac:dyDescent="0.2">
      <c r="A14" s="60"/>
      <c r="B14" s="2">
        <v>6</v>
      </c>
      <c r="C14" s="27">
        <v>15147</v>
      </c>
      <c r="D14" s="27">
        <v>130197</v>
      </c>
      <c r="E14" s="27">
        <v>15012</v>
      </c>
      <c r="F14" s="27">
        <v>129063</v>
      </c>
      <c r="G14" s="28">
        <f t="shared" si="0"/>
        <v>0.11633908615405884</v>
      </c>
      <c r="H14" s="28">
        <f t="shared" si="1"/>
        <v>0.11631528788266196</v>
      </c>
      <c r="I14" s="34" t="e">
        <v>#VALUE!</v>
      </c>
      <c r="J14" s="35" t="e">
        <f t="shared" si="2"/>
        <v>#VALUE!</v>
      </c>
      <c r="K14" s="35" t="e">
        <f t="shared" si="3"/>
        <v>#VALUE!</v>
      </c>
      <c r="L14" s="35" t="e">
        <f t="shared" si="4"/>
        <v>#VALUE!</v>
      </c>
      <c r="M14" s="39" t="e">
        <f t="shared" si="5"/>
        <v>#VALUE!</v>
      </c>
      <c r="N14" s="39">
        <v>0</v>
      </c>
      <c r="P14" s="29" t="s">
        <v>38</v>
      </c>
      <c r="Q14" s="29" t="s">
        <v>39</v>
      </c>
      <c r="R14" s="27">
        <f t="shared" si="7"/>
        <v>0.13967168561424154</v>
      </c>
      <c r="S14" s="27">
        <f t="shared" si="8"/>
        <v>2.4219462271382088E-3</v>
      </c>
      <c r="T14" s="27">
        <f t="shared" si="9"/>
        <v>14592.75</v>
      </c>
      <c r="U14" s="27">
        <f t="shared" si="10"/>
        <v>725.05877635310821</v>
      </c>
      <c r="V14" s="27">
        <f t="shared" si="11"/>
        <v>104789.75</v>
      </c>
      <c r="W14" s="27">
        <f t="shared" si="12"/>
        <v>6643.7989681481686</v>
      </c>
    </row>
    <row r="15" spans="1:23" x14ac:dyDescent="0.2">
      <c r="A15" s="60" t="s">
        <v>40</v>
      </c>
      <c r="B15" s="2">
        <v>1</v>
      </c>
      <c r="C15" s="27">
        <v>4875</v>
      </c>
      <c r="D15" s="27">
        <v>123628</v>
      </c>
      <c r="E15" s="27">
        <v>4637</v>
      </c>
      <c r="F15" s="27">
        <v>116999</v>
      </c>
      <c r="G15" s="28">
        <f t="shared" si="0"/>
        <v>3.943281457275051E-2</v>
      </c>
      <c r="H15" s="28">
        <f t="shared" si="1"/>
        <v>3.9632817374507474E-2</v>
      </c>
      <c r="I15" s="33">
        <v>0.101576</v>
      </c>
      <c r="J15" s="27">
        <f t="shared" si="2"/>
        <v>1.01576</v>
      </c>
      <c r="K15" s="27">
        <f t="shared" si="3"/>
        <v>4799.362054028511</v>
      </c>
      <c r="L15" s="27">
        <f t="shared" si="4"/>
        <v>4565.0547373395293</v>
      </c>
      <c r="M15" s="37">
        <f t="shared" si="5"/>
        <v>4682.2083956840197</v>
      </c>
      <c r="N15" s="37">
        <f t="shared" si="6"/>
        <v>117.15365834449086</v>
      </c>
    </row>
    <row r="16" spans="1:23" x14ac:dyDescent="0.2">
      <c r="A16" s="60"/>
      <c r="B16" s="2">
        <v>2</v>
      </c>
      <c r="C16" s="27">
        <v>5661</v>
      </c>
      <c r="D16" s="27">
        <v>74164</v>
      </c>
      <c r="E16" s="27">
        <v>5890</v>
      </c>
      <c r="F16" s="27">
        <v>78011</v>
      </c>
      <c r="G16" s="28">
        <f t="shared" si="0"/>
        <v>7.6330834367078368E-2</v>
      </c>
      <c r="H16" s="28">
        <f t="shared" si="1"/>
        <v>7.550217277050672E-2</v>
      </c>
      <c r="I16" s="33">
        <v>0.104299</v>
      </c>
      <c r="J16" s="27">
        <f t="shared" si="2"/>
        <v>1.0429900000000001</v>
      </c>
      <c r="K16" s="27">
        <f t="shared" si="3"/>
        <v>5427.6646947717618</v>
      </c>
      <c r="L16" s="27">
        <f t="shared" si="4"/>
        <v>5647.2257643889197</v>
      </c>
      <c r="M16" s="37">
        <f t="shared" si="5"/>
        <v>5537.4452295803403</v>
      </c>
      <c r="N16" s="37">
        <f t="shared" si="6"/>
        <v>109.78053480857896</v>
      </c>
      <c r="P16" s="2" t="s">
        <v>6</v>
      </c>
      <c r="Q16" s="2" t="s">
        <v>7</v>
      </c>
      <c r="R16" s="2" t="s">
        <v>58</v>
      </c>
      <c r="S16" s="2" t="s">
        <v>59</v>
      </c>
      <c r="T16" s="26"/>
    </row>
    <row r="17" spans="1:20" x14ac:dyDescent="0.2">
      <c r="A17" s="60"/>
      <c r="B17" s="2">
        <v>3</v>
      </c>
      <c r="C17" s="27">
        <v>4498</v>
      </c>
      <c r="D17" s="27">
        <v>171686</v>
      </c>
      <c r="E17" s="27">
        <v>4519</v>
      </c>
      <c r="F17" s="27">
        <v>162784</v>
      </c>
      <c r="G17" s="28">
        <f t="shared" si="0"/>
        <v>2.6198991181575666E-2</v>
      </c>
      <c r="H17" s="28">
        <f t="shared" si="1"/>
        <v>2.7760713583644583E-2</v>
      </c>
      <c r="I17" s="33">
        <v>2.5544000000000001E-2</v>
      </c>
      <c r="J17" s="27">
        <f t="shared" si="2"/>
        <v>0.25544</v>
      </c>
      <c r="K17" s="27">
        <f t="shared" si="3"/>
        <v>17608.831819605388</v>
      </c>
      <c r="L17" s="27">
        <f t="shared" si="4"/>
        <v>17691.042906357656</v>
      </c>
      <c r="M17" s="37">
        <f t="shared" si="5"/>
        <v>17649.937362981524</v>
      </c>
      <c r="N17" s="37">
        <f t="shared" si="6"/>
        <v>41.10554337613393</v>
      </c>
      <c r="P17" s="29" t="s">
        <v>15</v>
      </c>
      <c r="Q17" s="29" t="s">
        <v>16</v>
      </c>
      <c r="R17" s="27">
        <f>AVERAGE(K3,L3,K9,L9)</f>
        <v>18811.682229200902</v>
      </c>
      <c r="S17" s="27">
        <f>STDEV(K3,L3,K9,L9)/SQRT(2)</f>
        <v>9311.7487305578215</v>
      </c>
      <c r="T17" s="36"/>
    </row>
    <row r="18" spans="1:20" x14ac:dyDescent="0.2">
      <c r="A18" s="60"/>
      <c r="B18" s="2">
        <v>4</v>
      </c>
      <c r="C18" s="27">
        <v>7062</v>
      </c>
      <c r="D18" s="27">
        <v>88494</v>
      </c>
      <c r="E18" s="27">
        <v>6783</v>
      </c>
      <c r="F18" s="27">
        <v>85562</v>
      </c>
      <c r="G18" s="28">
        <f t="shared" si="0"/>
        <v>7.9802020475964477E-2</v>
      </c>
      <c r="H18" s="28">
        <f t="shared" si="1"/>
        <v>7.9275846754400317E-2</v>
      </c>
      <c r="I18" s="33">
        <v>4.4516E-2</v>
      </c>
      <c r="J18" s="27">
        <f t="shared" si="2"/>
        <v>0.44516</v>
      </c>
      <c r="K18" s="27">
        <f t="shared" si="3"/>
        <v>15863.959025968192</v>
      </c>
      <c r="L18" s="27">
        <f t="shared" si="4"/>
        <v>15237.218078892982</v>
      </c>
      <c r="M18" s="37">
        <f t="shared" si="5"/>
        <v>15550.588552430587</v>
      </c>
      <c r="N18" s="37">
        <f t="shared" si="6"/>
        <v>313.37047353760499</v>
      </c>
      <c r="P18" s="29" t="s">
        <v>17</v>
      </c>
      <c r="Q18" s="29" t="s">
        <v>18</v>
      </c>
      <c r="R18" s="27">
        <f>AVERAGE(K4,L4)</f>
        <v>11248.721154939185</v>
      </c>
      <c r="S18" s="27">
        <f>STDEV(K4,L4)/SQRT(2)</f>
        <v>6.2521314084351616</v>
      </c>
      <c r="T18" s="38" t="s">
        <v>60</v>
      </c>
    </row>
    <row r="19" spans="1:20" x14ac:dyDescent="0.2">
      <c r="A19" s="60"/>
      <c r="B19" s="2">
        <v>5</v>
      </c>
      <c r="C19" s="27">
        <v>2503</v>
      </c>
      <c r="D19" s="27">
        <v>115025</v>
      </c>
      <c r="E19" s="27">
        <v>2509</v>
      </c>
      <c r="F19" s="27">
        <v>112887</v>
      </c>
      <c r="G19" s="28">
        <f t="shared" si="0"/>
        <v>2.1760486850684633E-2</v>
      </c>
      <c r="H19" s="28">
        <f t="shared" si="1"/>
        <v>2.2225765588597447E-2</v>
      </c>
      <c r="I19" s="3">
        <v>3.9093000000000003E-2</v>
      </c>
      <c r="J19" s="27">
        <f t="shared" si="2"/>
        <v>0.39093</v>
      </c>
      <c r="K19" s="27">
        <f t="shared" si="3"/>
        <v>6402.6807868416345</v>
      </c>
      <c r="L19" s="27">
        <f t="shared" si="4"/>
        <v>6418.028803110531</v>
      </c>
      <c r="M19" s="37">
        <f t="shared" si="5"/>
        <v>6410.3547949760832</v>
      </c>
      <c r="N19" s="37">
        <f t="shared" si="6"/>
        <v>7.6740081344482851</v>
      </c>
      <c r="P19" s="29" t="s">
        <v>19</v>
      </c>
      <c r="Q19" s="29" t="s">
        <v>20</v>
      </c>
      <c r="R19" s="27">
        <f t="shared" ref="R19:R20" si="13">AVERAGE(K5,L5,K11,L11)</f>
        <v>6658.0638848982335</v>
      </c>
      <c r="S19" s="27">
        <f>STDEV(K5,L5,K11,L11)/SQRT(2)</f>
        <v>3203.5296496366159</v>
      </c>
      <c r="T19" s="36"/>
    </row>
    <row r="20" spans="1:20" x14ac:dyDescent="0.2">
      <c r="A20" s="60"/>
      <c r="B20" s="2">
        <v>6</v>
      </c>
      <c r="C20" s="27">
        <v>15860</v>
      </c>
      <c r="D20" s="27">
        <v>116141</v>
      </c>
      <c r="E20" s="27">
        <v>15709</v>
      </c>
      <c r="F20" s="27">
        <v>114194</v>
      </c>
      <c r="G20" s="28">
        <f t="shared" si="0"/>
        <v>0.13655814914629633</v>
      </c>
      <c r="H20" s="28">
        <f t="shared" si="1"/>
        <v>0.13756414522654431</v>
      </c>
      <c r="I20" s="3">
        <v>0.153392</v>
      </c>
      <c r="J20" s="27">
        <f t="shared" si="2"/>
        <v>1.53392</v>
      </c>
      <c r="K20" s="27">
        <f t="shared" si="3"/>
        <v>10339.522269740273</v>
      </c>
      <c r="L20" s="27">
        <f t="shared" si="4"/>
        <v>10241.081673098988</v>
      </c>
      <c r="M20" s="37">
        <f t="shared" si="5"/>
        <v>10290.301971419631</v>
      </c>
      <c r="N20" s="37">
        <f t="shared" si="6"/>
        <v>49.220298320642542</v>
      </c>
      <c r="P20" s="29" t="s">
        <v>21</v>
      </c>
      <c r="Q20" s="29" t="s">
        <v>22</v>
      </c>
      <c r="R20" s="27">
        <f t="shared" si="13"/>
        <v>17761.23614590507</v>
      </c>
      <c r="S20" s="27">
        <f>STDEV(K6,L6,K12,L12)/SQRT(2)</f>
        <v>6326.8348698002856</v>
      </c>
      <c r="T20" s="36"/>
    </row>
    <row r="21" spans="1:20" x14ac:dyDescent="0.2">
      <c r="A21" s="60" t="s">
        <v>41</v>
      </c>
      <c r="B21" s="2">
        <v>1</v>
      </c>
      <c r="C21" s="27">
        <v>6505</v>
      </c>
      <c r="D21" s="27">
        <v>113540</v>
      </c>
      <c r="E21" s="27">
        <v>6533</v>
      </c>
      <c r="F21" s="27">
        <v>109956</v>
      </c>
      <c r="G21" s="28">
        <f t="shared" si="0"/>
        <v>5.7292584111326407E-2</v>
      </c>
      <c r="H21" s="28">
        <f t="shared" si="1"/>
        <v>5.9414674960893449E-2</v>
      </c>
      <c r="I21" s="3">
        <v>7.4376999999999999E-2</v>
      </c>
      <c r="J21" s="27">
        <f t="shared" si="2"/>
        <v>0.74377000000000004</v>
      </c>
      <c r="K21" s="27">
        <f t="shared" si="3"/>
        <v>8745.983301289376</v>
      </c>
      <c r="L21" s="27">
        <f t="shared" si="4"/>
        <v>8783.6293477822437</v>
      </c>
      <c r="M21" s="37">
        <f t="shared" si="5"/>
        <v>8764.8063245358098</v>
      </c>
      <c r="N21" s="37">
        <f t="shared" si="6"/>
        <v>18.823023246433877</v>
      </c>
      <c r="P21" s="29" t="s">
        <v>23</v>
      </c>
      <c r="Q21" s="29" t="s">
        <v>24</v>
      </c>
      <c r="R21" s="27">
        <f>AVERAGE(K13,L13)</f>
        <v>3103.2882236050073</v>
      </c>
      <c r="S21" s="27">
        <f>STDEV(K13,L13)/SQRT(2)</f>
        <v>38.437549860029321</v>
      </c>
      <c r="T21" s="38" t="s">
        <v>61</v>
      </c>
    </row>
    <row r="22" spans="1:20" x14ac:dyDescent="0.2">
      <c r="A22" s="60"/>
      <c r="B22" s="2">
        <v>2</v>
      </c>
      <c r="C22" s="27">
        <v>11102</v>
      </c>
      <c r="D22" s="27">
        <v>139565</v>
      </c>
      <c r="E22" s="27">
        <v>10519</v>
      </c>
      <c r="F22" s="27">
        <v>150343</v>
      </c>
      <c r="G22" s="28">
        <f t="shared" si="0"/>
        <v>7.9547164403682868E-2</v>
      </c>
      <c r="H22" s="28">
        <f t="shared" si="1"/>
        <v>6.9966676200421699E-2</v>
      </c>
      <c r="I22" s="3">
        <v>8.1171999999999994E-2</v>
      </c>
      <c r="J22" s="27">
        <f t="shared" si="2"/>
        <v>0.81172</v>
      </c>
      <c r="K22" s="27">
        <f t="shared" si="3"/>
        <v>13677.13004484305</v>
      </c>
      <c r="L22" s="27">
        <f t="shared" si="4"/>
        <v>12958.902084462623</v>
      </c>
      <c r="M22" s="37">
        <f t="shared" si="5"/>
        <v>13318.016064652837</v>
      </c>
      <c r="N22" s="37">
        <f t="shared" si="6"/>
        <v>359.11398019021362</v>
      </c>
      <c r="P22" s="29" t="s">
        <v>43</v>
      </c>
      <c r="Q22" s="29" t="s">
        <v>26</v>
      </c>
      <c r="R22" s="35" t="s">
        <v>62</v>
      </c>
      <c r="S22" s="35" t="s">
        <v>62</v>
      </c>
      <c r="T22" s="38" t="s">
        <v>63</v>
      </c>
    </row>
    <row r="23" spans="1:20" x14ac:dyDescent="0.2">
      <c r="A23" s="60"/>
      <c r="B23" s="2">
        <v>3</v>
      </c>
      <c r="C23" s="27">
        <v>4860</v>
      </c>
      <c r="D23" s="27">
        <v>142291</v>
      </c>
      <c r="E23" s="27">
        <v>4599</v>
      </c>
      <c r="F23" s="27">
        <v>139543</v>
      </c>
      <c r="G23" s="28">
        <f t="shared" si="0"/>
        <v>3.4155357682495731E-2</v>
      </c>
      <c r="H23" s="28">
        <f t="shared" si="1"/>
        <v>3.2957582967257405E-2</v>
      </c>
      <c r="I23" s="3">
        <v>4.7227999999999999E-2</v>
      </c>
      <c r="J23" s="27">
        <f t="shared" si="2"/>
        <v>0.47227999999999998</v>
      </c>
      <c r="K23" s="27">
        <f t="shared" si="3"/>
        <v>10290.505632252054</v>
      </c>
      <c r="L23" s="27">
        <f t="shared" si="4"/>
        <v>9737.8673668162955</v>
      </c>
      <c r="M23" s="37">
        <f t="shared" si="5"/>
        <v>10014.186499534175</v>
      </c>
      <c r="N23" s="37">
        <f t="shared" si="6"/>
        <v>276.31913271787926</v>
      </c>
      <c r="P23" s="29" t="s">
        <v>28</v>
      </c>
      <c r="Q23" s="29" t="s">
        <v>29</v>
      </c>
      <c r="R23" s="27">
        <f>AVERAGE(K15,L15,K21,L21)</f>
        <v>6723.5073601099148</v>
      </c>
      <c r="S23" s="27">
        <f>STDEV(K15,L15,K21,L21)/SQRT(2)</f>
        <v>1668.1209198976055</v>
      </c>
      <c r="T23" s="36"/>
    </row>
    <row r="24" spans="1:20" x14ac:dyDescent="0.2">
      <c r="A24" s="60"/>
      <c r="B24" s="2">
        <v>4</v>
      </c>
      <c r="C24" s="27">
        <v>7190</v>
      </c>
      <c r="D24" s="27">
        <v>85569</v>
      </c>
      <c r="E24" s="27">
        <v>6778</v>
      </c>
      <c r="F24" s="27">
        <v>84451</v>
      </c>
      <c r="G24" s="28">
        <f t="shared" si="0"/>
        <v>8.4025756991433817E-2</v>
      </c>
      <c r="H24" s="28">
        <f t="shared" si="1"/>
        <v>8.0259558797409147E-2</v>
      </c>
      <c r="I24" s="3">
        <v>7.7094999999999997E-2</v>
      </c>
      <c r="J24" s="27">
        <f t="shared" si="2"/>
        <v>0.77095000000000002</v>
      </c>
      <c r="K24" s="27">
        <f t="shared" si="3"/>
        <v>9326.1560412478102</v>
      </c>
      <c r="L24" s="27">
        <f t="shared" si="4"/>
        <v>8791.7504377715795</v>
      </c>
      <c r="M24" s="37">
        <f t="shared" si="5"/>
        <v>9058.953239509694</v>
      </c>
      <c r="N24" s="37">
        <f t="shared" si="6"/>
        <v>267.20280173811534</v>
      </c>
      <c r="P24" s="29" t="s">
        <v>30</v>
      </c>
      <c r="Q24" s="29" t="s">
        <v>31</v>
      </c>
      <c r="R24" s="27">
        <f t="shared" ref="R24:R28" si="14">AVERAGE(K16,L16,K22,L22)</f>
        <v>9427.7306471165884</v>
      </c>
      <c r="S24" s="27">
        <f t="shared" ref="S24:S28" si="15">STDEV(K16,L16,K22,L22)/SQRT(2)</f>
        <v>3183.7952130741323</v>
      </c>
      <c r="T24" s="36"/>
    </row>
    <row r="25" spans="1:20" x14ac:dyDescent="0.2">
      <c r="A25" s="60"/>
      <c r="B25" s="2">
        <v>5</v>
      </c>
      <c r="C25" s="27">
        <v>2340</v>
      </c>
      <c r="D25" s="27">
        <v>168987</v>
      </c>
      <c r="E25" s="27">
        <v>2414</v>
      </c>
      <c r="F25" s="27">
        <v>170785</v>
      </c>
      <c r="G25" s="28">
        <f t="shared" si="0"/>
        <v>1.384721901684745E-2</v>
      </c>
      <c r="H25" s="28">
        <f t="shared" si="1"/>
        <v>1.4134730801885412E-2</v>
      </c>
      <c r="I25" s="3">
        <v>9.3411000000000008E-2</v>
      </c>
      <c r="J25" s="27">
        <f t="shared" si="2"/>
        <v>0.93411000000000011</v>
      </c>
      <c r="K25" s="27">
        <f t="shared" si="3"/>
        <v>2505.0582907794583</v>
      </c>
      <c r="L25" s="27">
        <f t="shared" si="4"/>
        <v>2584.278082881031</v>
      </c>
      <c r="M25" s="37">
        <f t="shared" si="5"/>
        <v>2544.6681868302448</v>
      </c>
      <c r="N25" s="37">
        <f t="shared" si="6"/>
        <v>39.609896050786347</v>
      </c>
      <c r="P25" s="29" t="s">
        <v>32</v>
      </c>
      <c r="Q25" s="29" t="s">
        <v>33</v>
      </c>
      <c r="R25" s="27">
        <f t="shared" si="14"/>
        <v>13832.061931257849</v>
      </c>
      <c r="S25" s="27">
        <f t="shared" si="15"/>
        <v>3121.45198869162</v>
      </c>
      <c r="T25" s="36"/>
    </row>
    <row r="26" spans="1:20" x14ac:dyDescent="0.2">
      <c r="A26" s="60"/>
      <c r="B26" s="2">
        <v>6</v>
      </c>
      <c r="C26" s="27">
        <v>12846</v>
      </c>
      <c r="D26" s="27">
        <v>87448</v>
      </c>
      <c r="E26" s="27">
        <v>13956</v>
      </c>
      <c r="F26" s="27">
        <v>101376</v>
      </c>
      <c r="G26" s="28">
        <f t="shared" si="0"/>
        <v>0.14689872838715579</v>
      </c>
      <c r="H26" s="28">
        <f t="shared" si="1"/>
        <v>0.1376657196969697</v>
      </c>
      <c r="I26" s="3">
        <v>4.5872000000000003E-2</v>
      </c>
      <c r="J26" s="27">
        <f t="shared" si="2"/>
        <v>0.45872000000000002</v>
      </c>
      <c r="K26" s="27">
        <f t="shared" si="3"/>
        <v>28004.01116149285</v>
      </c>
      <c r="L26" s="27">
        <f t="shared" si="4"/>
        <v>30423.787931635856</v>
      </c>
      <c r="M26" s="37">
        <f t="shared" si="5"/>
        <v>29213.899546564353</v>
      </c>
      <c r="N26" s="37">
        <f t="shared" si="6"/>
        <v>1209.8883850715029</v>
      </c>
      <c r="P26" s="29" t="s">
        <v>34</v>
      </c>
      <c r="Q26" s="29" t="s">
        <v>35</v>
      </c>
      <c r="R26" s="27">
        <f t="shared" si="14"/>
        <v>12304.770895970141</v>
      </c>
      <c r="S26" s="27">
        <f t="shared" si="15"/>
        <v>2660.8434069496716</v>
      </c>
      <c r="T26" s="36"/>
    </row>
    <row r="27" spans="1:20" x14ac:dyDescent="0.2">
      <c r="P27" s="29" t="s">
        <v>36</v>
      </c>
      <c r="Q27" s="29" t="s">
        <v>37</v>
      </c>
      <c r="R27" s="27">
        <f t="shared" si="14"/>
        <v>4477.5114909031636</v>
      </c>
      <c r="S27" s="27">
        <f t="shared" si="15"/>
        <v>1578.3318525651318</v>
      </c>
      <c r="T27" s="36"/>
    </row>
    <row r="28" spans="1:20" x14ac:dyDescent="0.2">
      <c r="P28" s="29" t="s">
        <v>38</v>
      </c>
      <c r="Q28" s="29" t="s">
        <v>39</v>
      </c>
      <c r="R28" s="27">
        <f t="shared" si="14"/>
        <v>19752.100758991994</v>
      </c>
      <c r="S28" s="27">
        <f t="shared" si="15"/>
        <v>7757.0940679077548</v>
      </c>
      <c r="T28" s="36"/>
    </row>
  </sheetData>
  <mergeCells count="9">
    <mergeCell ref="A15:A20"/>
    <mergeCell ref="A21:A26"/>
    <mergeCell ref="K2:L2"/>
    <mergeCell ref="A1:B2"/>
    <mergeCell ref="C1:D1"/>
    <mergeCell ref="E1:F1"/>
    <mergeCell ref="G1:H1"/>
    <mergeCell ref="A3:A8"/>
    <mergeCell ref="A9:A14"/>
  </mergeCells>
  <phoneticPr fontId="9" type="noConversion"/>
  <pageMargins left="0.75" right="0.75" top="1" bottom="1" header="0.5" footer="0.5"/>
  <pageSetup orientation="portrait" horizontalDpi="4294967292" verticalDpi="4294967292"/>
  <ignoredErrors>
    <ignoredError sqref="Q6 Q20" numberStoredAsText="1"/>
    <ignoredError sqref="R18" formula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G35" sqref="G35"/>
    </sheetView>
  </sheetViews>
  <sheetFormatPr baseColWidth="10" defaultColWidth="11" defaultRowHeight="16" x14ac:dyDescent="0.2"/>
  <cols>
    <col min="1" max="1" width="3.33203125" customWidth="1"/>
    <col min="2" max="2" width="6" customWidth="1"/>
    <col min="3" max="3" width="12.6640625" customWidth="1"/>
  </cols>
  <sheetData>
    <row r="1" spans="1:3" ht="15" customHeight="1" x14ac:dyDescent="0.2">
      <c r="A1" s="60" t="s">
        <v>0</v>
      </c>
      <c r="B1" s="60"/>
      <c r="C1" s="61" t="s">
        <v>56</v>
      </c>
    </row>
    <row r="2" spans="1:3" ht="45" customHeight="1" x14ac:dyDescent="0.2">
      <c r="A2" s="60"/>
      <c r="B2" s="60"/>
      <c r="C2" s="61"/>
    </row>
    <row r="3" spans="1:3" x14ac:dyDescent="0.2">
      <c r="A3" s="60" t="s">
        <v>14</v>
      </c>
      <c r="B3" s="23">
        <v>1</v>
      </c>
      <c r="C3" s="3">
        <v>1.2008E-2</v>
      </c>
    </row>
    <row r="4" spans="1:3" x14ac:dyDescent="0.2">
      <c r="A4" s="60"/>
      <c r="B4" s="23">
        <v>2</v>
      </c>
      <c r="C4" s="33">
        <v>8.7969999999999993E-2</v>
      </c>
    </row>
    <row r="5" spans="1:3" x14ac:dyDescent="0.2">
      <c r="A5" s="60"/>
      <c r="B5" s="23">
        <v>3</v>
      </c>
      <c r="C5" s="33">
        <v>0.15749000000000002</v>
      </c>
    </row>
    <row r="6" spans="1:3" x14ac:dyDescent="0.2">
      <c r="A6" s="60"/>
      <c r="B6" s="23">
        <v>4</v>
      </c>
      <c r="C6" s="33">
        <v>2.9607999999999999E-2</v>
      </c>
    </row>
    <row r="7" spans="1:3" x14ac:dyDescent="0.2">
      <c r="A7" s="60"/>
      <c r="B7" s="23">
        <v>5</v>
      </c>
      <c r="C7" s="34" t="e">
        <v>#VALUE!</v>
      </c>
    </row>
    <row r="8" spans="1:3" x14ac:dyDescent="0.2">
      <c r="A8" s="60"/>
      <c r="B8" s="23">
        <v>6</v>
      </c>
      <c r="C8" s="34" t="e">
        <v>#VALUE!</v>
      </c>
    </row>
    <row r="9" spans="1:3" x14ac:dyDescent="0.2">
      <c r="A9" s="60" t="s">
        <v>27</v>
      </c>
      <c r="B9" s="23">
        <v>1</v>
      </c>
      <c r="C9" s="33">
        <v>7.0302000000000003E-2</v>
      </c>
    </row>
    <row r="10" spans="1:3" x14ac:dyDescent="0.2">
      <c r="A10" s="60"/>
      <c r="B10" s="23">
        <v>2</v>
      </c>
      <c r="C10" s="34" t="e">
        <v>#VALUE!</v>
      </c>
    </row>
    <row r="11" spans="1:3" x14ac:dyDescent="0.2">
      <c r="A11" s="60"/>
      <c r="B11" s="23">
        <v>3</v>
      </c>
      <c r="C11" s="33">
        <v>4.3159999999999997E-2</v>
      </c>
    </row>
    <row r="12" spans="1:3" x14ac:dyDescent="0.2">
      <c r="A12" s="60"/>
      <c r="B12" s="23">
        <v>4</v>
      </c>
      <c r="C12" s="33">
        <v>6.8943000000000004E-2</v>
      </c>
    </row>
    <row r="13" spans="1:3" x14ac:dyDescent="0.2">
      <c r="A13" s="60"/>
      <c r="B13" s="23">
        <v>5</v>
      </c>
      <c r="C13" s="33">
        <v>6.8943000000000004E-2</v>
      </c>
    </row>
    <row r="14" spans="1:3" x14ac:dyDescent="0.2">
      <c r="A14" s="60"/>
      <c r="B14" s="23">
        <v>6</v>
      </c>
      <c r="C14" s="34" t="e">
        <v>#VALUE!</v>
      </c>
    </row>
    <row r="15" spans="1:3" x14ac:dyDescent="0.2">
      <c r="A15" s="60" t="s">
        <v>40</v>
      </c>
      <c r="B15" s="23">
        <v>1</v>
      </c>
      <c r="C15" s="33">
        <v>0.101576</v>
      </c>
    </row>
    <row r="16" spans="1:3" x14ac:dyDescent="0.2">
      <c r="A16" s="60"/>
      <c r="B16" s="23">
        <v>2</v>
      </c>
      <c r="C16" s="33">
        <v>0.104299</v>
      </c>
    </row>
    <row r="17" spans="1:3" x14ac:dyDescent="0.2">
      <c r="A17" s="60"/>
      <c r="B17" s="23">
        <v>3</v>
      </c>
      <c r="C17" s="33">
        <v>2.5544000000000001E-2</v>
      </c>
    </row>
    <row r="18" spans="1:3" x14ac:dyDescent="0.2">
      <c r="A18" s="60"/>
      <c r="B18" s="23">
        <v>4</v>
      </c>
      <c r="C18" s="33">
        <v>4.4516E-2</v>
      </c>
    </row>
    <row r="19" spans="1:3" x14ac:dyDescent="0.2">
      <c r="A19" s="60"/>
      <c r="B19" s="23">
        <v>5</v>
      </c>
      <c r="C19" s="3">
        <v>3.9093000000000003E-2</v>
      </c>
    </row>
    <row r="20" spans="1:3" x14ac:dyDescent="0.2">
      <c r="A20" s="60"/>
      <c r="B20" s="23">
        <v>6</v>
      </c>
      <c r="C20" s="3">
        <v>0.153392</v>
      </c>
    </row>
    <row r="21" spans="1:3" x14ac:dyDescent="0.2">
      <c r="A21" s="60" t="s">
        <v>41</v>
      </c>
      <c r="B21" s="23">
        <v>1</v>
      </c>
      <c r="C21" s="3">
        <v>7.4376999999999999E-2</v>
      </c>
    </row>
    <row r="22" spans="1:3" x14ac:dyDescent="0.2">
      <c r="A22" s="60"/>
      <c r="B22" s="23">
        <v>2</v>
      </c>
      <c r="C22" s="3">
        <v>8.1171999999999994E-2</v>
      </c>
    </row>
    <row r="23" spans="1:3" x14ac:dyDescent="0.2">
      <c r="A23" s="60"/>
      <c r="B23" s="23">
        <v>3</v>
      </c>
      <c r="C23" s="3">
        <v>4.7227999999999999E-2</v>
      </c>
    </row>
    <row r="24" spans="1:3" x14ac:dyDescent="0.2">
      <c r="A24" s="60"/>
      <c r="B24" s="23">
        <v>4</v>
      </c>
      <c r="C24" s="3">
        <v>7.7094999999999997E-2</v>
      </c>
    </row>
    <row r="25" spans="1:3" x14ac:dyDescent="0.2">
      <c r="A25" s="60"/>
      <c r="B25" s="23">
        <v>5</v>
      </c>
      <c r="C25" s="3">
        <v>9.3411000000000008E-2</v>
      </c>
    </row>
    <row r="26" spans="1:3" x14ac:dyDescent="0.2">
      <c r="A26" s="60"/>
      <c r="B26" s="23">
        <v>6</v>
      </c>
      <c r="C26" s="3">
        <v>4.5872000000000003E-2</v>
      </c>
    </row>
  </sheetData>
  <mergeCells count="6">
    <mergeCell ref="A21:A26"/>
    <mergeCell ref="C1:C2"/>
    <mergeCell ref="A1:B2"/>
    <mergeCell ref="A3:A8"/>
    <mergeCell ref="A9:A14"/>
    <mergeCell ref="A15:A20"/>
  </mergeCells>
  <phoneticPr fontId="9" type="noConversion"/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M23" sqref="M23"/>
    </sheetView>
  </sheetViews>
  <sheetFormatPr baseColWidth="10" defaultRowHeight="16" x14ac:dyDescent="0.2"/>
  <sheetData>
    <row r="1" spans="1:10" x14ac:dyDescent="0.2">
      <c r="A1" s="58" t="s">
        <v>0</v>
      </c>
      <c r="B1" s="58"/>
      <c r="C1" s="58" t="s">
        <v>1</v>
      </c>
      <c r="D1" s="58"/>
      <c r="E1" s="58" t="s">
        <v>2</v>
      </c>
      <c r="F1" s="58"/>
      <c r="G1" s="56" t="s">
        <v>3</v>
      </c>
      <c r="H1" s="57"/>
    </row>
    <row r="2" spans="1:10" x14ac:dyDescent="0.2">
      <c r="A2" s="58"/>
      <c r="B2" s="58"/>
      <c r="C2" s="41" t="s">
        <v>4</v>
      </c>
      <c r="D2" s="41" t="s">
        <v>5</v>
      </c>
      <c r="E2" s="41" t="s">
        <v>4</v>
      </c>
      <c r="F2" s="41" t="s">
        <v>5</v>
      </c>
      <c r="G2" s="41" t="s">
        <v>1</v>
      </c>
      <c r="H2" s="41" t="s">
        <v>2</v>
      </c>
      <c r="I2" s="44" t="s">
        <v>66</v>
      </c>
    </row>
    <row r="3" spans="1:10" x14ac:dyDescent="0.2">
      <c r="A3" s="58" t="s">
        <v>14</v>
      </c>
      <c r="B3" s="41">
        <v>1</v>
      </c>
      <c r="C3" s="3">
        <v>3585</v>
      </c>
      <c r="D3" s="3">
        <v>121587</v>
      </c>
      <c r="E3" s="3">
        <v>3671</v>
      </c>
      <c r="F3" s="3">
        <v>129651</v>
      </c>
      <c r="G3" s="8">
        <f>C3/D3</f>
        <v>2.9485060080436231E-2</v>
      </c>
      <c r="H3" s="8">
        <f>E3/F3</f>
        <v>2.8314475013690599E-2</v>
      </c>
      <c r="I3">
        <f>G9/G3</f>
        <v>1.1218688317309584</v>
      </c>
      <c r="J3">
        <f>H9/H3</f>
        <v>1.2120872267286702</v>
      </c>
    </row>
    <row r="4" spans="1:10" x14ac:dyDescent="0.2">
      <c r="A4" s="58"/>
      <c r="B4" s="41">
        <v>2</v>
      </c>
      <c r="C4" s="3">
        <v>9890</v>
      </c>
      <c r="D4" s="3">
        <v>121527</v>
      </c>
      <c r="E4" s="3">
        <v>9901</v>
      </c>
      <c r="F4" s="3">
        <v>130538</v>
      </c>
      <c r="G4" s="8">
        <f t="shared" ref="G4:G26" si="0">C4/D4</f>
        <v>8.1381092267561947E-2</v>
      </c>
      <c r="H4" s="8">
        <f t="shared" ref="H4:H26" si="1">E4/F4</f>
        <v>7.5847645896214136E-2</v>
      </c>
      <c r="I4">
        <f t="shared" ref="I4:I8" si="2">G10/G4</f>
        <v>0.92807605798452764</v>
      </c>
      <c r="J4">
        <f t="shared" ref="J4:J8" si="3">H10/H4</f>
        <v>0.96875880670938208</v>
      </c>
    </row>
    <row r="5" spans="1:10" x14ac:dyDescent="0.2">
      <c r="A5" s="58"/>
      <c r="B5" s="41">
        <v>3</v>
      </c>
      <c r="C5" s="3">
        <v>4302</v>
      </c>
      <c r="D5" s="3">
        <v>126709</v>
      </c>
      <c r="E5" s="3">
        <v>4315</v>
      </c>
      <c r="F5" s="3">
        <v>128733</v>
      </c>
      <c r="G5" s="8">
        <f t="shared" si="0"/>
        <v>3.3951810842165905E-2</v>
      </c>
      <c r="H5" s="8">
        <f t="shared" si="1"/>
        <v>3.3518988915041209E-2</v>
      </c>
      <c r="I5">
        <f t="shared" si="2"/>
        <v>0.9222698469721694</v>
      </c>
      <c r="J5">
        <f t="shared" si="3"/>
        <v>0.9988742262528415</v>
      </c>
    </row>
    <row r="6" spans="1:10" x14ac:dyDescent="0.2">
      <c r="A6" s="58"/>
      <c r="B6" s="41">
        <v>4</v>
      </c>
      <c r="C6" s="3">
        <v>7190</v>
      </c>
      <c r="D6" s="3">
        <v>126379</v>
      </c>
      <c r="E6" s="3">
        <v>7888</v>
      </c>
      <c r="F6" s="3">
        <v>125933</v>
      </c>
      <c r="G6" s="8">
        <f t="shared" si="0"/>
        <v>5.689236344645867E-2</v>
      </c>
      <c r="H6" s="8">
        <f t="shared" si="1"/>
        <v>6.2636481303550304E-2</v>
      </c>
      <c r="I6">
        <f t="shared" si="2"/>
        <v>1.1124023928053</v>
      </c>
      <c r="J6">
        <f t="shared" si="3"/>
        <v>0.97832981742028369</v>
      </c>
    </row>
    <row r="7" spans="1:10" x14ac:dyDescent="0.2">
      <c r="A7" s="58"/>
      <c r="B7" s="41">
        <v>5</v>
      </c>
      <c r="C7" s="3">
        <v>2664</v>
      </c>
      <c r="D7" s="3">
        <v>225593</v>
      </c>
      <c r="E7" s="3">
        <v>2654</v>
      </c>
      <c r="F7" s="3">
        <v>223397</v>
      </c>
      <c r="G7" s="8">
        <f t="shared" si="0"/>
        <v>1.180887704848998E-2</v>
      </c>
      <c r="H7" s="8">
        <f t="shared" si="1"/>
        <v>1.1880195347296518E-2</v>
      </c>
      <c r="I7">
        <f t="shared" si="2"/>
        <v>1.5163675530591314</v>
      </c>
      <c r="J7">
        <f t="shared" si="3"/>
        <v>1.4685136296844432</v>
      </c>
    </row>
    <row r="8" spans="1:10" x14ac:dyDescent="0.2">
      <c r="A8" s="58"/>
      <c r="B8" s="41">
        <v>6</v>
      </c>
      <c r="C8" s="3">
        <v>9747</v>
      </c>
      <c r="D8" s="3">
        <v>80350</v>
      </c>
      <c r="E8" s="3">
        <v>9185</v>
      </c>
      <c r="F8" s="3">
        <v>72433</v>
      </c>
      <c r="G8" s="8">
        <f t="shared" si="0"/>
        <v>0.12130678282514001</v>
      </c>
      <c r="H8" s="8">
        <f t="shared" si="1"/>
        <v>0.12680684218519184</v>
      </c>
      <c r="I8">
        <f t="shared" si="2"/>
        <v>0.95904848389028707</v>
      </c>
      <c r="J8">
        <f t="shared" si="3"/>
        <v>0.91726349996786649</v>
      </c>
    </row>
    <row r="9" spans="1:10" x14ac:dyDescent="0.2">
      <c r="A9" s="58" t="s">
        <v>27</v>
      </c>
      <c r="B9" s="41">
        <v>1</v>
      </c>
      <c r="C9" s="3">
        <v>5276</v>
      </c>
      <c r="D9" s="3">
        <v>159500</v>
      </c>
      <c r="E9" s="3">
        <v>5143</v>
      </c>
      <c r="F9" s="3">
        <v>149856</v>
      </c>
      <c r="G9" s="8">
        <f t="shared" si="0"/>
        <v>3.3078369905956112E-2</v>
      </c>
      <c r="H9" s="8">
        <f t="shared" si="1"/>
        <v>3.4319613495622465E-2</v>
      </c>
    </row>
    <row r="10" spans="1:10" x14ac:dyDescent="0.2">
      <c r="A10" s="58"/>
      <c r="B10" s="41">
        <v>2</v>
      </c>
      <c r="C10" s="3">
        <v>7716</v>
      </c>
      <c r="D10" s="3">
        <v>102161</v>
      </c>
      <c r="E10" s="3">
        <v>7388</v>
      </c>
      <c r="F10" s="3">
        <v>100547</v>
      </c>
      <c r="G10" s="8">
        <f t="shared" si="0"/>
        <v>7.5527843306154016E-2</v>
      </c>
      <c r="H10" s="8">
        <f t="shared" si="1"/>
        <v>7.347807493013217E-2</v>
      </c>
    </row>
    <row r="11" spans="1:10" x14ac:dyDescent="0.2">
      <c r="A11" s="58"/>
      <c r="B11" s="41">
        <v>3</v>
      </c>
      <c r="C11" s="3">
        <v>4508</v>
      </c>
      <c r="D11" s="3">
        <v>143967</v>
      </c>
      <c r="E11" s="3">
        <v>4625</v>
      </c>
      <c r="F11" s="3">
        <v>138137</v>
      </c>
      <c r="G11" s="8">
        <f t="shared" si="0"/>
        <v>3.1312731389832392E-2</v>
      </c>
      <c r="H11" s="8">
        <f t="shared" si="1"/>
        <v>3.3481254117289361E-2</v>
      </c>
    </row>
    <row r="12" spans="1:10" x14ac:dyDescent="0.2">
      <c r="A12" s="58"/>
      <c r="B12" s="41">
        <v>4</v>
      </c>
      <c r="C12" s="3">
        <v>7120</v>
      </c>
      <c r="D12" s="3">
        <v>112503</v>
      </c>
      <c r="E12" s="3">
        <v>6751</v>
      </c>
      <c r="F12" s="3">
        <v>110168</v>
      </c>
      <c r="G12" s="8">
        <f t="shared" si="0"/>
        <v>6.328720123018941E-2</v>
      </c>
      <c r="H12" s="8">
        <f t="shared" si="1"/>
        <v>6.1279137317551378E-2</v>
      </c>
    </row>
    <row r="13" spans="1:10" x14ac:dyDescent="0.2">
      <c r="A13" s="58"/>
      <c r="B13" s="41">
        <v>5</v>
      </c>
      <c r="C13" s="3">
        <v>2166</v>
      </c>
      <c r="D13" s="3">
        <v>120961</v>
      </c>
      <c r="E13" s="3">
        <v>2113</v>
      </c>
      <c r="F13" s="3">
        <v>121115</v>
      </c>
      <c r="G13" s="8">
        <f t="shared" si="0"/>
        <v>1.7906597994394889E-2</v>
      </c>
      <c r="H13" s="8">
        <f t="shared" si="1"/>
        <v>1.7446228790818644E-2</v>
      </c>
    </row>
    <row r="14" spans="1:10" x14ac:dyDescent="0.2">
      <c r="A14" s="58"/>
      <c r="B14" s="41">
        <v>6</v>
      </c>
      <c r="C14" s="3">
        <v>15147</v>
      </c>
      <c r="D14" s="3">
        <v>130197</v>
      </c>
      <c r="E14" s="3">
        <v>15012</v>
      </c>
      <c r="F14" s="3">
        <v>129063</v>
      </c>
      <c r="G14" s="8">
        <f t="shared" si="0"/>
        <v>0.11633908615405884</v>
      </c>
      <c r="H14" s="8">
        <f t="shared" si="1"/>
        <v>0.11631528788266196</v>
      </c>
    </row>
    <row r="15" spans="1:10" x14ac:dyDescent="0.2">
      <c r="A15" s="46" t="s">
        <v>40</v>
      </c>
      <c r="B15" s="40">
        <v>1</v>
      </c>
      <c r="C15" s="3">
        <v>4875</v>
      </c>
      <c r="D15" s="3">
        <v>123628</v>
      </c>
      <c r="E15" s="3">
        <v>4637</v>
      </c>
      <c r="F15" s="3">
        <v>116999</v>
      </c>
      <c r="G15" s="4">
        <f t="shared" si="0"/>
        <v>3.943281457275051E-2</v>
      </c>
      <c r="H15" s="4">
        <f t="shared" si="1"/>
        <v>3.9632817374507474E-2</v>
      </c>
      <c r="I15">
        <f>G21/G15</f>
        <v>1.4529164284133458</v>
      </c>
      <c r="J15">
        <f>H21/H15</f>
        <v>1.4991282199158018</v>
      </c>
    </row>
    <row r="16" spans="1:10" x14ac:dyDescent="0.2">
      <c r="A16" s="46"/>
      <c r="B16" s="40">
        <v>2</v>
      </c>
      <c r="C16" s="3">
        <v>5661</v>
      </c>
      <c r="D16" s="3">
        <v>74164</v>
      </c>
      <c r="E16" s="3">
        <v>5890</v>
      </c>
      <c r="F16" s="3">
        <v>78011</v>
      </c>
      <c r="G16" s="4">
        <f t="shared" si="0"/>
        <v>7.6330834367078368E-2</v>
      </c>
      <c r="H16" s="4">
        <f t="shared" si="1"/>
        <v>7.550217277050672E-2</v>
      </c>
      <c r="I16">
        <f t="shared" ref="I16:I20" si="4">G22/G16</f>
        <v>1.0421367074429846</v>
      </c>
      <c r="J16">
        <f t="shared" ref="J16:J20" si="5">H22/H16</f>
        <v>0.92668427454517777</v>
      </c>
    </row>
    <row r="17" spans="1:10" x14ac:dyDescent="0.2">
      <c r="A17" s="46"/>
      <c r="B17" s="40">
        <v>3</v>
      </c>
      <c r="C17" s="3">
        <v>4498</v>
      </c>
      <c r="D17" s="3">
        <v>171686</v>
      </c>
      <c r="E17" s="3">
        <v>4519</v>
      </c>
      <c r="F17" s="3">
        <v>162784</v>
      </c>
      <c r="G17" s="4">
        <f t="shared" si="0"/>
        <v>2.6198991181575666E-2</v>
      </c>
      <c r="H17" s="4">
        <f t="shared" si="1"/>
        <v>2.7760713583644583E-2</v>
      </c>
      <c r="I17">
        <f t="shared" si="4"/>
        <v>1.3036898041522815</v>
      </c>
      <c r="J17">
        <f t="shared" si="5"/>
        <v>1.1872022982389976</v>
      </c>
    </row>
    <row r="18" spans="1:10" x14ac:dyDescent="0.2">
      <c r="A18" s="46"/>
      <c r="B18" s="40">
        <v>4</v>
      </c>
      <c r="C18" s="3">
        <v>7062</v>
      </c>
      <c r="D18" s="3">
        <v>88494</v>
      </c>
      <c r="E18" s="3">
        <v>6783</v>
      </c>
      <c r="F18" s="3">
        <v>85562</v>
      </c>
      <c r="G18" s="4">
        <f t="shared" si="0"/>
        <v>7.9802020475964477E-2</v>
      </c>
      <c r="H18" s="4">
        <f t="shared" si="1"/>
        <v>7.9275846754400317E-2</v>
      </c>
      <c r="I18">
        <f t="shared" si="4"/>
        <v>1.0529276889266417</v>
      </c>
      <c r="J18">
        <f t="shared" si="5"/>
        <v>1.0124087232528265</v>
      </c>
    </row>
    <row r="19" spans="1:10" x14ac:dyDescent="0.2">
      <c r="A19" s="46"/>
      <c r="B19" s="40">
        <v>5</v>
      </c>
      <c r="C19" s="3">
        <v>2503</v>
      </c>
      <c r="D19" s="3">
        <v>115025</v>
      </c>
      <c r="E19" s="3">
        <v>2509</v>
      </c>
      <c r="F19" s="3">
        <v>112887</v>
      </c>
      <c r="G19" s="4">
        <f t="shared" si="0"/>
        <v>2.1760486850684633E-2</v>
      </c>
      <c r="H19" s="4">
        <f t="shared" si="1"/>
        <v>2.2225765588597447E-2</v>
      </c>
      <c r="I19">
        <f t="shared" si="4"/>
        <v>0.63634693064837311</v>
      </c>
      <c r="J19">
        <f t="shared" si="5"/>
        <v>0.63596148108108352</v>
      </c>
    </row>
    <row r="20" spans="1:10" x14ac:dyDescent="0.2">
      <c r="A20" s="46"/>
      <c r="B20" s="40">
        <v>6</v>
      </c>
      <c r="C20" s="3">
        <v>15860</v>
      </c>
      <c r="D20" s="3">
        <v>116141</v>
      </c>
      <c r="E20" s="3">
        <v>15709</v>
      </c>
      <c r="F20" s="3">
        <v>114194</v>
      </c>
      <c r="G20" s="4">
        <f t="shared" si="0"/>
        <v>0.13655814914629633</v>
      </c>
      <c r="H20" s="4">
        <f t="shared" si="1"/>
        <v>0.13756414522654431</v>
      </c>
      <c r="I20">
        <f t="shared" si="4"/>
        <v>1.0757229012366114</v>
      </c>
      <c r="J20">
        <f t="shared" si="5"/>
        <v>1.0007383789595619</v>
      </c>
    </row>
    <row r="21" spans="1:10" x14ac:dyDescent="0.2">
      <c r="A21" s="46" t="s">
        <v>41</v>
      </c>
      <c r="B21" s="40">
        <v>1</v>
      </c>
      <c r="C21" s="3">
        <v>6505</v>
      </c>
      <c r="D21" s="3">
        <v>113540</v>
      </c>
      <c r="E21" s="3">
        <v>6533</v>
      </c>
      <c r="F21" s="3">
        <v>109956</v>
      </c>
      <c r="G21" s="4">
        <f t="shared" si="0"/>
        <v>5.7292584111326407E-2</v>
      </c>
      <c r="H21" s="4">
        <f t="shared" si="1"/>
        <v>5.9414674960893449E-2</v>
      </c>
    </row>
    <row r="22" spans="1:10" x14ac:dyDescent="0.2">
      <c r="A22" s="46"/>
      <c r="B22" s="40">
        <v>2</v>
      </c>
      <c r="C22" s="3">
        <v>11102</v>
      </c>
      <c r="D22" s="3">
        <v>139565</v>
      </c>
      <c r="E22" s="3">
        <v>10519</v>
      </c>
      <c r="F22" s="3">
        <v>150343</v>
      </c>
      <c r="G22" s="4">
        <f t="shared" si="0"/>
        <v>7.9547164403682868E-2</v>
      </c>
      <c r="H22" s="4">
        <f t="shared" si="1"/>
        <v>6.9966676200421699E-2</v>
      </c>
    </row>
    <row r="23" spans="1:10" x14ac:dyDescent="0.2">
      <c r="A23" s="46"/>
      <c r="B23" s="40">
        <v>3</v>
      </c>
      <c r="C23" s="3">
        <v>4860</v>
      </c>
      <c r="D23" s="3">
        <v>142291</v>
      </c>
      <c r="E23" s="3">
        <v>4599</v>
      </c>
      <c r="F23" s="3">
        <v>139543</v>
      </c>
      <c r="G23" s="4">
        <f t="shared" si="0"/>
        <v>3.4155357682495731E-2</v>
      </c>
      <c r="H23" s="4">
        <f t="shared" si="1"/>
        <v>3.2957582967257405E-2</v>
      </c>
    </row>
    <row r="24" spans="1:10" x14ac:dyDescent="0.2">
      <c r="A24" s="46"/>
      <c r="B24" s="40">
        <v>4</v>
      </c>
      <c r="C24" s="3">
        <v>7190</v>
      </c>
      <c r="D24" s="3">
        <v>85569</v>
      </c>
      <c r="E24" s="3">
        <v>6778</v>
      </c>
      <c r="F24" s="3">
        <v>84451</v>
      </c>
      <c r="G24" s="4">
        <f t="shared" si="0"/>
        <v>8.4025756991433817E-2</v>
      </c>
      <c r="H24" s="4">
        <f t="shared" si="1"/>
        <v>8.0259558797409147E-2</v>
      </c>
    </row>
    <row r="25" spans="1:10" x14ac:dyDescent="0.2">
      <c r="A25" s="46"/>
      <c r="B25" s="40">
        <v>5</v>
      </c>
      <c r="C25" s="3">
        <v>2340</v>
      </c>
      <c r="D25" s="3">
        <v>168987</v>
      </c>
      <c r="E25" s="3">
        <v>2414</v>
      </c>
      <c r="F25" s="3">
        <v>170785</v>
      </c>
      <c r="G25" s="4">
        <f t="shared" si="0"/>
        <v>1.384721901684745E-2</v>
      </c>
      <c r="H25" s="4">
        <f t="shared" si="1"/>
        <v>1.4134730801885412E-2</v>
      </c>
    </row>
    <row r="26" spans="1:10" x14ac:dyDescent="0.2">
      <c r="A26" s="46"/>
      <c r="B26" s="40">
        <v>6</v>
      </c>
      <c r="C26" s="3">
        <v>12846</v>
      </c>
      <c r="D26" s="3">
        <v>87448</v>
      </c>
      <c r="E26" s="3">
        <v>13956</v>
      </c>
      <c r="F26" s="3">
        <v>101376</v>
      </c>
      <c r="G26" s="4">
        <f t="shared" si="0"/>
        <v>0.14689872838715579</v>
      </c>
      <c r="H26" s="4">
        <f t="shared" si="1"/>
        <v>0.1376657196969697</v>
      </c>
    </row>
  </sheetData>
  <mergeCells count="8">
    <mergeCell ref="G1:H1"/>
    <mergeCell ref="A3:A8"/>
    <mergeCell ref="A9:A14"/>
    <mergeCell ref="A15:A20"/>
    <mergeCell ref="A21:A26"/>
    <mergeCell ref="A1:B2"/>
    <mergeCell ref="C1:D1"/>
    <mergeCell ref="E1:F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 infection (112414)</vt:lpstr>
      <vt:lpstr>Infection (122914)</vt:lpstr>
      <vt:lpstr>All graphs</vt:lpstr>
      <vt:lpstr>Firefly comparison</vt:lpstr>
      <vt:lpstr>RR%r comparison</vt:lpstr>
      <vt:lpstr>Total prot norm. (inf)</vt:lpstr>
      <vt:lpstr>Prot. conc. (inf)</vt:lpstr>
      <vt:lpstr>Techincal replicates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Van Maren</dc:creator>
  <cp:lastModifiedBy>Microsoft Office User</cp:lastModifiedBy>
  <cp:lastPrinted>2015-01-26T03:15:18Z</cp:lastPrinted>
  <dcterms:created xsi:type="dcterms:W3CDTF">2014-12-30T03:36:40Z</dcterms:created>
  <dcterms:modified xsi:type="dcterms:W3CDTF">2018-10-10T02:02:41Z</dcterms:modified>
</cp:coreProperties>
</file>