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chael McDonald\Pictures\AI in FinTech\Exercises\"/>
    </mc:Choice>
  </mc:AlternateContent>
  <xr:revisionPtr revIDLastSave="0" documentId="13_ncr:1_{958071F5-76CB-41BB-A71B-5808F936D346}" xr6:coauthVersionLast="44" xr6:coauthVersionMax="44" xr10:uidLastSave="{00000000-0000-0000-0000-000000000000}"/>
  <bookViews>
    <workbookView xWindow="-103" yWindow="-103" windowWidth="22149" windowHeight="12549" activeTab="1" xr2:uid="{00000000-000D-0000-FFFF-FFFF00000000}"/>
  </bookViews>
  <sheets>
    <sheet name="Questionaire" sheetId="1" r:id="rId1"/>
    <sheet name="Recommended Portfolio" sheetId="3" r:id="rId2"/>
    <sheet name="Portfolio Calculator" sheetId="2" r:id="rId3"/>
  </sheets>
  <externalReferences>
    <externalReference r:id="rId4"/>
  </externalReferences>
  <definedNames>
    <definedName name="Age">'[1]User Input'!$B$3</definedName>
    <definedName name="Bonds">'Portfolio Calculator'!#REF!</definedName>
    <definedName name="Corp_Factor">'Portfolio Calculator'!#REF!</definedName>
    <definedName name="Intl_REIT">'Portfolio Calculator'!#REF!</definedName>
    <definedName name="Intl_SCV">'Portfolio Calculator'!#REF!</definedName>
    <definedName name="Intl_Tilt_Factor">'Portfolio Calculator'!#REF!</definedName>
    <definedName name="intlSCV_Factor">'Portfolio Calculator'!#REF!</definedName>
    <definedName name="MonthlyContribution">'[1]User Input'!$E$38</definedName>
    <definedName name="RA">'Portfolio Calculator'!#REF!</definedName>
    <definedName name="RAf">'Portfolio Calculator'!#REF!</definedName>
    <definedName name="REIT_Factor">'Portfolio Calculator'!#REF!</definedName>
    <definedName name="REITs">'Portfolio Calculator'!#REF!</definedName>
    <definedName name="SCV">'Portfolio Calculator'!#REF!</definedName>
    <definedName name="SCV_Factor">'Portfolio Calculator'!#REF!</definedName>
    <definedName name="Stocks">'Portfolio Calculator'!#REF!</definedName>
    <definedName name="TBM_Allocation">'Portfolio Calculator'!#REF!</definedName>
    <definedName name="TIPS_Allocation">'Portfolio Calculator'!#REF!</definedName>
    <definedName name="Total_Intl">'Portfolio Calculator'!#REF!</definedName>
    <definedName name="TotalAssets">'[1]User Input'!$E$37</definedName>
    <definedName name="US">'Portfolio Calculator'!#REF!</definedName>
    <definedName name="US_REIT">'Portfolio Calculator'!#REF!</definedName>
    <definedName name="US_Tilt_Factor">'Portfolio Calculator'!#REF!</definedName>
    <definedName name="user_Intl_Tilt">'[1]User Input'!$B$29</definedName>
    <definedName name="user_RA">'[1]User Input'!$C$9</definedName>
    <definedName name="user_Tilt">'[1]User Input'!$B$23</definedName>
    <definedName name="userCorp">'[1]User Input'!$C$16</definedName>
    <definedName name="userIntl">'[1]User Input'!$D$12</definedName>
    <definedName name="userIntlSCV">'[1]User Input'!$C$26</definedName>
    <definedName name="userREIT">'[1]User Input'!$C$32</definedName>
    <definedName name="userSCV">'[1]User Input'!$C$20</definedName>
    <definedName name="userUS">'[1]User Input'!$C$12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2" l="1"/>
  <c r="B19" i="2" l="1"/>
  <c r="D17" i="2"/>
  <c r="C15" i="2"/>
  <c r="B15" i="2"/>
  <c r="D3" i="2"/>
  <c r="P9" i="2" l="1"/>
  <c r="B14" i="3"/>
  <c r="C12" i="2"/>
  <c r="D12" i="2" s="1"/>
  <c r="B23" i="2" s="1"/>
  <c r="P4" i="2" s="1"/>
  <c r="C11" i="2"/>
  <c r="D11" i="2" s="1"/>
  <c r="C10" i="2"/>
  <c r="D10" i="2" s="1"/>
  <c r="C9" i="2"/>
  <c r="D9" i="2" s="1"/>
  <c r="B21" i="2" s="1"/>
  <c r="N8" i="2" s="1"/>
  <c r="C8" i="2"/>
  <c r="D8" i="2" s="1"/>
  <c r="C7" i="2"/>
  <c r="D7" i="2" s="1"/>
  <c r="C6" i="2"/>
  <c r="D6" i="2" s="1"/>
  <c r="C5" i="2"/>
  <c r="D5" i="2" s="1"/>
  <c r="C4" i="2"/>
  <c r="D4" i="2" s="1"/>
  <c r="C3" i="2"/>
  <c r="P3" i="2" l="1"/>
  <c r="P8" i="2"/>
  <c r="P7" i="2"/>
  <c r="P6" i="2"/>
  <c r="P5" i="2"/>
  <c r="Q8" i="2"/>
  <c r="E8" i="3" s="1"/>
  <c r="O8" i="2"/>
  <c r="D8" i="3" s="1"/>
  <c r="S8" i="2" l="1"/>
  <c r="R8" i="2"/>
  <c r="C17" i="2"/>
  <c r="N4" i="2" s="1"/>
  <c r="D15" i="2"/>
  <c r="N3" i="2" l="1"/>
  <c r="O4" i="2"/>
  <c r="D4" i="3" s="1"/>
  <c r="Q4" i="2"/>
  <c r="N6" i="2"/>
  <c r="C19" i="2"/>
  <c r="N9" i="2" s="1"/>
  <c r="N7" i="2"/>
  <c r="E4" i="3" l="1"/>
  <c r="S4" i="2"/>
  <c r="R4" i="2"/>
  <c r="O3" i="2"/>
  <c r="D3" i="3" s="1"/>
  <c r="Q3" i="2"/>
  <c r="O7" i="2"/>
  <c r="D7" i="3" s="1"/>
  <c r="Q7" i="2"/>
  <c r="Q6" i="2"/>
  <c r="O6" i="2"/>
  <c r="D6" i="3" s="1"/>
  <c r="Q9" i="2"/>
  <c r="O9" i="2"/>
  <c r="D9" i="3" s="1"/>
  <c r="N5" i="2"/>
  <c r="P10" i="2" s="1"/>
  <c r="C15" i="3" s="1"/>
  <c r="E3" i="3"/>
  <c r="E6" i="3" l="1"/>
  <c r="S6" i="2"/>
  <c r="R6" i="2"/>
  <c r="E7" i="3"/>
  <c r="S7" i="2"/>
  <c r="R7" i="2"/>
  <c r="R3" i="2"/>
  <c r="E9" i="3"/>
  <c r="S9" i="2"/>
  <c r="R9" i="2"/>
  <c r="O5" i="2"/>
  <c r="Q5" i="2"/>
  <c r="N10" i="2"/>
  <c r="S5" i="2" l="1"/>
  <c r="S10" i="2" s="1"/>
  <c r="C14" i="3" s="1"/>
  <c r="R5" i="2"/>
  <c r="R10" i="2" s="1"/>
  <c r="C13" i="3" s="1"/>
  <c r="E5" i="3"/>
  <c r="Q10" i="2"/>
  <c r="E10" i="3" s="1"/>
  <c r="D5" i="3"/>
  <c r="O10" i="2"/>
  <c r="D10" i="3" s="1"/>
</calcChain>
</file>

<file path=xl/sharedStrings.xml><?xml version="1.0" encoding="utf-8"?>
<sst xmlns="http://schemas.openxmlformats.org/spreadsheetml/2006/main" count="107" uniqueCount="80">
  <si>
    <t>RoboPortfolioX</t>
  </si>
  <si>
    <t>© Michael McDonald, 2019</t>
  </si>
  <si>
    <t>Questionaire</t>
  </si>
  <si>
    <t>1. What is your Age?</t>
  </si>
  <si>
    <t>2. If your portfolio of stocks lost half it's value over the next 12 months, what would you do? (a.) Sell remaining portfolio and move to cash. (b.) sell some assets and hold the rest (c.) Do nothing and wait it out (d.) buy more assets (e.) buy everything you can and look for ways to buy even more.</t>
  </si>
  <si>
    <t>5. Academic research has found that small cap stocks and deep value stocks tend to have more risk, but also higher returns on average over time. Should your portfolio focus on small value stocks? (Y/N)</t>
  </si>
  <si>
    <t>7. Do you want to include real estate stocks called REITs in your portfolio? These can provide diversification but also have negative tax consequences. (Y/N)</t>
  </si>
  <si>
    <t>Answer</t>
  </si>
  <si>
    <t>4. Do you want to include corporate bonds in portfolio? (Y/N)</t>
  </si>
  <si>
    <t>3. Do you want to invest in international stocks in addition to US stocks? (Yes Aggressive - A, Yes Moderate - M, Yes Slight - S, No - N)</t>
  </si>
  <si>
    <t>8. Portfolio Size (in USD)</t>
  </si>
  <si>
    <t>9. Portfolio Contribution Annually (in USD)</t>
  </si>
  <si>
    <t>10. Historically stocks have returned about 10.5% annually since 1928. Do you think stocks will return more, less, or about the same as the historical average going forward?  (More - M, Same - S, Less - L)</t>
  </si>
  <si>
    <t>Stock Allocation</t>
  </si>
  <si>
    <t>Bonds</t>
  </si>
  <si>
    <t>M</t>
  </si>
  <si>
    <t>A</t>
  </si>
  <si>
    <t>% Allocation</t>
  </si>
  <si>
    <t>VBR</t>
  </si>
  <si>
    <t>VXUS</t>
  </si>
  <si>
    <t>VSS</t>
  </si>
  <si>
    <t>VNQ</t>
  </si>
  <si>
    <t>User Responses</t>
  </si>
  <si>
    <t>Translation</t>
  </si>
  <si>
    <t>c</t>
  </si>
  <si>
    <t>Y</t>
  </si>
  <si>
    <t>US Stocks</t>
  </si>
  <si>
    <t>Intl Stocks</t>
  </si>
  <si>
    <t>Bond Allocation</t>
  </si>
  <si>
    <t>REIT Allocation</t>
  </si>
  <si>
    <t>US Small &amp; Value Stocks</t>
  </si>
  <si>
    <t>Intl Small &amp; Value Stocks</t>
  </si>
  <si>
    <t>Investor Specific Choices</t>
  </si>
  <si>
    <t>Parameters for System</t>
  </si>
  <si>
    <t>Age Adjustment (#1)</t>
  </si>
  <si>
    <t>Intl Exposure (#3)</t>
  </si>
  <si>
    <t>Bond Adjustment</t>
  </si>
  <si>
    <t>Small/Value Exposure (#5)</t>
  </si>
  <si>
    <t>6. If you want to tilt towards small &amp; value, how stong is that focus? Slight - S, Moderate - M, or Aggressive - A, N/A - N?</t>
  </si>
  <si>
    <t>S/V Exposure (#6)</t>
  </si>
  <si>
    <t>REIT Exposure (#7)</t>
  </si>
  <si>
    <t>Forecaster (#10)</t>
  </si>
  <si>
    <t>Risk Adjustment (#2)</t>
  </si>
  <si>
    <t>Investor Results</t>
  </si>
  <si>
    <t>US Stocks - Non-S/V</t>
  </si>
  <si>
    <t>Intl Stocks - Non-S/V</t>
  </si>
  <si>
    <t>Intl Stocks - S/V</t>
  </si>
  <si>
    <t>US Stocks - SV</t>
  </si>
  <si>
    <t>REITS</t>
  </si>
  <si>
    <t>Category</t>
  </si>
  <si>
    <t>Ticker</t>
  </si>
  <si>
    <t>SPY</t>
  </si>
  <si>
    <t>BND</t>
  </si>
  <si>
    <t>Exp. Ret.</t>
  </si>
  <si>
    <t>Forecaster</t>
  </si>
  <si>
    <t>#1 - Age</t>
  </si>
  <si>
    <t>#2 - Risk</t>
  </si>
  <si>
    <t>#3 - Intl.</t>
  </si>
  <si>
    <t>#4 - Bonds</t>
  </si>
  <si>
    <t>#5 - S/V</t>
  </si>
  <si>
    <t xml:space="preserve"> #6 - S/V Tilt</t>
  </si>
  <si>
    <t>#7 - REITs</t>
  </si>
  <si>
    <t>#8 - Portfolio</t>
  </si>
  <si>
    <t>#9 - Annual Saving</t>
  </si>
  <si>
    <t>#10 - Forecast</t>
  </si>
  <si>
    <t>Cash Allocation</t>
  </si>
  <si>
    <t>Cash</t>
  </si>
  <si>
    <t>BIL</t>
  </si>
  <si>
    <t>$ Allocation</t>
  </si>
  <si>
    <t>Ann. Savings</t>
  </si>
  <si>
    <t>Historical Returns</t>
  </si>
  <si>
    <t>Totals</t>
  </si>
  <si>
    <t>Annual Contribution</t>
  </si>
  <si>
    <t>Exp.FV 10 Yrs</t>
  </si>
  <si>
    <t>10 Years</t>
  </si>
  <si>
    <t>How far in the future do you want to project your portfolio returns? Longer term forecasts are more accurate. (# of Years)</t>
  </si>
  <si>
    <t>Exp.FV Custom</t>
  </si>
  <si>
    <t>Annual Portfolio Return</t>
  </si>
  <si>
    <t>Expected Value in the Future (Excludes Taxes)</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</si>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</sst>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3" x14ac:knownFonts="1">
    <font>
      <sz val="11"/>
      <color theme="1"/>
      <name val="Calibri"/>
      <family val="2"/>
      <scheme val="minor"/>
    </font>
    <font>
      <b/>
      <u/>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2" fillId="3" borderId="2" xfId="0" applyFont="1" applyFill="1" applyBorder="1" applyAlignment="1">
      <alignment horizontal="center"/>
    </xf>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1" fillId="3" borderId="5" xfId="0" applyFont="1" applyFill="1" applyBorder="1" applyAlignment="1">
      <alignment horizontal="center"/>
    </xf>
    <xf numFmtId="0" fontId="0" fillId="3" borderId="5" xfId="0" applyFill="1" applyBorder="1" applyAlignment="1">
      <alignment wrapText="1"/>
    </xf>
    <xf numFmtId="0" fontId="0" fillId="3" borderId="7" xfId="0" applyFill="1" applyBorder="1" applyAlignment="1">
      <alignment wrapText="1"/>
    </xf>
    <xf numFmtId="0" fontId="0" fillId="3" borderId="8" xfId="0" applyFill="1" applyBorder="1"/>
    <xf numFmtId="0" fontId="0" fillId="3" borderId="9"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9" fontId="0" fillId="0" borderId="0" xfId="0" applyNumberFormat="1" applyBorder="1"/>
    <xf numFmtId="9" fontId="0" fillId="0" borderId="6" xfId="0" applyNumberFormat="1" applyBorder="1"/>
    <xf numFmtId="10" fontId="0" fillId="0" borderId="0" xfId="0" applyNumberFormat="1" applyBorder="1"/>
    <xf numFmtId="10" fontId="0" fillId="0" borderId="6" xfId="0" applyNumberFormat="1" applyBorder="1"/>
    <xf numFmtId="0" fontId="0" fillId="0" borderId="7" xfId="0" applyBorder="1"/>
    <xf numFmtId="0" fontId="0" fillId="0" borderId="8" xfId="0" applyBorder="1"/>
    <xf numFmtId="0" fontId="0" fillId="0" borderId="9" xfId="0" applyBorder="1"/>
    <xf numFmtId="10" fontId="0" fillId="0" borderId="5" xfId="0" applyNumberFormat="1" applyBorder="1"/>
    <xf numFmtId="164" fontId="0" fillId="0" borderId="5" xfId="0" applyNumberFormat="1" applyBorder="1"/>
    <xf numFmtId="10" fontId="0" fillId="0" borderId="8" xfId="0" applyNumberFormat="1" applyBorder="1"/>
    <xf numFmtId="0" fontId="0" fillId="0" borderId="7" xfId="0" applyFill="1" applyBorder="1"/>
    <xf numFmtId="165" fontId="0" fillId="0" borderId="8" xfId="0" applyNumberFormat="1" applyBorder="1"/>
    <xf numFmtId="165" fontId="0" fillId="0" borderId="0" xfId="0" applyNumberFormat="1" applyBorder="1"/>
    <xf numFmtId="165" fontId="0" fillId="0" borderId="6" xfId="0" applyNumberFormat="1" applyBorder="1"/>
    <xf numFmtId="165" fontId="0" fillId="0" borderId="9" xfId="0" applyNumberFormat="1" applyBorder="1"/>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3" borderId="5" xfId="0" applyFill="1" applyBorder="1" applyAlignment="1">
      <alignment horizontal="center" vertical="center"/>
    </xf>
    <xf numFmtId="0" fontId="0" fillId="3" borderId="0" xfId="0" applyFill="1" applyBorder="1" applyAlignment="1">
      <alignment horizontal="center" vertical="center"/>
    </xf>
    <xf numFmtId="165" fontId="0" fillId="3" borderId="0" xfId="0" applyNumberFormat="1" applyFill="1" applyBorder="1" applyAlignment="1">
      <alignment horizontal="center" vertical="center"/>
    </xf>
    <xf numFmtId="165" fontId="0" fillId="3" borderId="6" xfId="0" applyNumberFormat="1"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165" fontId="0" fillId="3" borderId="8" xfId="0" applyNumberFormat="1" applyFill="1" applyBorder="1" applyAlignment="1">
      <alignment horizontal="center" vertical="center"/>
    </xf>
    <xf numFmtId="165" fontId="0" fillId="3" borderId="9" xfId="0" applyNumberFormat="1" applyFill="1" applyBorder="1" applyAlignment="1">
      <alignment horizontal="center" vertical="center"/>
    </xf>
    <xf numFmtId="0" fontId="0" fillId="5" borderId="5" xfId="0" applyFill="1" applyBorder="1" applyAlignment="1">
      <alignment vertical="center"/>
    </xf>
    <xf numFmtId="165" fontId="0" fillId="5" borderId="6" xfId="0" applyNumberFormat="1" applyFill="1" applyBorder="1" applyAlignment="1">
      <alignment vertical="center"/>
    </xf>
    <xf numFmtId="0" fontId="0" fillId="5" borderId="7" xfId="0" applyFill="1" applyBorder="1" applyAlignment="1">
      <alignment vertical="center"/>
    </xf>
    <xf numFmtId="10" fontId="0" fillId="5" borderId="9" xfId="0" applyNumberFormat="1" applyFill="1" applyBorder="1" applyAlignment="1">
      <alignment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0" fillId="0" borderId="5" xfId="0" applyBorder="1" applyAlignment="1">
      <alignment horizontal="center"/>
    </xf>
    <xf numFmtId="0" fontId="0" fillId="0" borderId="0" xfId="0"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Investor</a:t>
            </a:r>
            <a:r>
              <a:rPr lang="en-US" baseline="0"/>
              <a:t> Recommended </a:t>
            </a:r>
            <a:r>
              <a:rPr lang="en-US"/>
              <a:t>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DE-4929-BB75-C7E3BAAC0A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DE-4929-BB75-C7E3BAAC0A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DE-4929-BB75-C7E3BAAC0A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DE-4929-BB75-C7E3BAAC0A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DE-4929-BB75-C7E3BAAC0A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DE-4929-BB75-C7E3BAAC0A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DE-4929-BB75-C7E3BAAC0A3B}"/>
              </c:ext>
            </c:extLst>
          </c:dPt>
          <c:cat>
            <c:strRef>
              <c:f>'Recommended Portfolio'!$C$3:$C$9</c:f>
              <c:strCache>
                <c:ptCount val="7"/>
                <c:pt idx="0">
                  <c:v>SPY</c:v>
                </c:pt>
                <c:pt idx="1">
                  <c:v>VBR</c:v>
                </c:pt>
                <c:pt idx="2">
                  <c:v>VXUS</c:v>
                </c:pt>
                <c:pt idx="3">
                  <c:v>VSS</c:v>
                </c:pt>
                <c:pt idx="4">
                  <c:v>BND</c:v>
                </c:pt>
                <c:pt idx="5">
                  <c:v>VNQ</c:v>
                </c:pt>
                <c:pt idx="6">
                  <c:v>BIL</c:v>
                </c:pt>
              </c:strCache>
            </c:strRef>
          </c:cat>
          <c:val>
            <c:numRef>
              <c:f>'Recommended Portfolio'!$D$3:$D$9</c:f>
              <c:numCache>
                <c:formatCode>"$"#,##0</c:formatCode>
                <c:ptCount val="7"/>
                <c:pt idx="0">
                  <c:v>19218.750000000004</c:v>
                </c:pt>
                <c:pt idx="1">
                  <c:v>19218.750000000004</c:v>
                </c:pt>
                <c:pt idx="2">
                  <c:v>44843.75</c:v>
                </c:pt>
                <c:pt idx="3">
                  <c:v>44843.75</c:v>
                </c:pt>
                <c:pt idx="4">
                  <c:v>62500</c:v>
                </c:pt>
                <c:pt idx="5">
                  <c:v>50000</c:v>
                </c:pt>
                <c:pt idx="6">
                  <c:v>9374.99999999998</c:v>
                </c:pt>
              </c:numCache>
            </c:numRef>
          </c:val>
          <c:extLst>
            <c:ext xmlns:c16="http://schemas.microsoft.com/office/drawing/2014/chart" uri="{C3380CC4-5D6E-409C-BE32-E72D297353CC}">
              <c16:uniqueId val="{00000000-B28D-4AD6-8FD0-A7EF0EC08DC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320040</xdr:colOff>
      <xdr:row>1</xdr:row>
      <xdr:rowOff>110490</xdr:rowOff>
    </xdr:from>
    <xdr:to>
      <xdr:col>13</xdr:col>
      <xdr:colOff>15240</xdr:colOff>
      <xdr:row>16</xdr:row>
      <xdr:rowOff>87630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cdonald8/Desktop/Business/Morning%20Investments/Online%20Video%20Courses/Lynda.com/Steve%20Weiss%20Course%20Set%203/AI%20and%20FinTech%20for%20Quants/03_02_Begin%20to%2003_03%20MUST%20BE%20RE-CREATED%20BY%20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Input"/>
      <sheetName val="AA Calculator"/>
    </sheetNames>
    <sheetDataSet>
      <sheetData sheetId="0">
        <row r="3">
          <cell r="B3">
            <v>30</v>
          </cell>
        </row>
        <row r="9">
          <cell r="C9">
            <v>4</v>
          </cell>
        </row>
        <row r="12">
          <cell r="C12">
            <v>0.6</v>
          </cell>
          <cell r="D12">
            <v>0.4</v>
          </cell>
        </row>
        <row r="16">
          <cell r="C16" t="str">
            <v>N</v>
          </cell>
        </row>
        <row r="20">
          <cell r="C20" t="str">
            <v>N</v>
          </cell>
        </row>
        <row r="23">
          <cell r="B23" t="str">
            <v>M</v>
          </cell>
        </row>
        <row r="26">
          <cell r="C26" t="str">
            <v>N</v>
          </cell>
        </row>
        <row r="29">
          <cell r="B29" t="str">
            <v>M</v>
          </cell>
        </row>
        <row r="32">
          <cell r="C32" t="str">
            <v>N</v>
          </cell>
        </row>
        <row r="37">
          <cell r="E37">
            <v>100000</v>
          </cell>
        </row>
        <row r="38">
          <cell r="E38">
            <v>1000</v>
          </cell>
        </row>
      </sheetData>
      <sheetData sheetId="1">
        <row r="4">
          <cell r="G4" t="str">
            <v>Stocks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zoomScale="130" zoomScaleNormal="130" workbookViewId="0">
      <selection activeCell="C5" sqref="C5"/>
    </sheetView>
  </sheetViews>
  <sheetFormatPr defaultRowHeight="14.6" x14ac:dyDescent="0.4"/>
  <cols>
    <col min="1" max="1" width="60.69140625" customWidth="1"/>
  </cols>
  <sheetData>
    <row r="1" spans="1:4" ht="15" thickBot="1" x14ac:dyDescent="0.45">
      <c r="A1" s="50" t="s">
        <v>0</v>
      </c>
      <c r="B1" s="51"/>
      <c r="C1" s="51"/>
      <c r="D1" s="52"/>
    </row>
    <row r="2" spans="1:4" x14ac:dyDescent="0.4">
      <c r="A2" s="1" t="s">
        <v>1</v>
      </c>
      <c r="B2" s="2"/>
      <c r="C2" s="2"/>
      <c r="D2" s="3"/>
    </row>
    <row r="3" spans="1:4" x14ac:dyDescent="0.4">
      <c r="A3" s="4"/>
      <c r="B3" s="5"/>
      <c r="C3" s="5"/>
      <c r="D3" s="6"/>
    </row>
    <row r="4" spans="1:4" ht="15" thickBot="1" x14ac:dyDescent="0.45">
      <c r="A4" s="7" t="s">
        <v>2</v>
      </c>
      <c r="B4" s="5"/>
      <c r="C4" s="5" t="s">
        <v>7</v>
      </c>
      <c r="D4" s="6"/>
    </row>
    <row r="5" spans="1:4" ht="15" thickBot="1" x14ac:dyDescent="0.45">
      <c r="A5" s="4" t="s">
        <v>3</v>
      </c>
      <c r="B5" s="5"/>
      <c r="C5" s="48">
        <v>35</v>
      </c>
      <c r="D5" s="6"/>
    </row>
    <row r="6" spans="1:4" ht="15" thickBot="1" x14ac:dyDescent="0.45">
      <c r="A6" s="4"/>
      <c r="B6" s="5"/>
      <c r="C6" s="37"/>
      <c r="D6" s="6"/>
    </row>
    <row r="7" spans="1:4" ht="73.3" thickBot="1" x14ac:dyDescent="0.45">
      <c r="A7" s="8" t="s">
        <v>4</v>
      </c>
      <c r="B7" s="5"/>
      <c r="C7" s="48" t="s">
        <v>24</v>
      </c>
      <c r="D7" s="6"/>
    </row>
    <row r="8" spans="1:4" ht="15" thickBot="1" x14ac:dyDescent="0.45">
      <c r="A8" s="8"/>
      <c r="B8" s="5"/>
      <c r="C8" s="37"/>
      <c r="D8" s="6"/>
    </row>
    <row r="9" spans="1:4" ht="29.6" thickBot="1" x14ac:dyDescent="0.45">
      <c r="A9" s="8" t="s">
        <v>9</v>
      </c>
      <c r="B9" s="5"/>
      <c r="C9" s="48" t="s">
        <v>15</v>
      </c>
      <c r="D9" s="6"/>
    </row>
    <row r="10" spans="1:4" ht="15" thickBot="1" x14ac:dyDescent="0.45">
      <c r="A10" s="8"/>
      <c r="B10" s="5"/>
      <c r="C10" s="37"/>
      <c r="D10" s="6"/>
    </row>
    <row r="11" spans="1:4" ht="15" thickBot="1" x14ac:dyDescent="0.45">
      <c r="A11" s="8" t="s">
        <v>8</v>
      </c>
      <c r="B11" s="5"/>
      <c r="C11" s="48" t="s">
        <v>25</v>
      </c>
      <c r="D11" s="6"/>
    </row>
    <row r="12" spans="1:4" ht="15" thickBot="1" x14ac:dyDescent="0.45">
      <c r="A12" s="8"/>
      <c r="B12" s="5"/>
      <c r="C12" s="37"/>
      <c r="D12" s="6"/>
    </row>
    <row r="13" spans="1:4" ht="44.15" thickBot="1" x14ac:dyDescent="0.45">
      <c r="A13" s="8" t="s">
        <v>5</v>
      </c>
      <c r="B13" s="5"/>
      <c r="C13" s="48" t="s">
        <v>25</v>
      </c>
      <c r="D13" s="6"/>
    </row>
    <row r="14" spans="1:4" ht="15" thickBot="1" x14ac:dyDescent="0.45">
      <c r="A14" s="8"/>
      <c r="B14" s="5"/>
      <c r="C14" s="37"/>
      <c r="D14" s="6"/>
    </row>
    <row r="15" spans="1:4" ht="29.6" thickBot="1" x14ac:dyDescent="0.45">
      <c r="A15" s="8" t="s">
        <v>38</v>
      </c>
      <c r="B15" s="5"/>
      <c r="C15" s="48" t="s">
        <v>16</v>
      </c>
      <c r="D15" s="6"/>
    </row>
    <row r="16" spans="1:4" ht="15" thickBot="1" x14ac:dyDescent="0.45">
      <c r="A16" s="8"/>
      <c r="B16" s="5"/>
      <c r="C16" s="37"/>
      <c r="D16" s="6"/>
    </row>
    <row r="17" spans="1:4" ht="44.15" thickBot="1" x14ac:dyDescent="0.45">
      <c r="A17" s="8" t="s">
        <v>6</v>
      </c>
      <c r="B17" s="5"/>
      <c r="C17" s="48" t="s">
        <v>25</v>
      </c>
      <c r="D17" s="6"/>
    </row>
    <row r="18" spans="1:4" ht="15" thickBot="1" x14ac:dyDescent="0.45">
      <c r="A18" s="8"/>
      <c r="B18" s="5"/>
      <c r="C18" s="37"/>
      <c r="D18" s="6"/>
    </row>
    <row r="19" spans="1:4" ht="15" thickBot="1" x14ac:dyDescent="0.45">
      <c r="A19" s="8" t="s">
        <v>10</v>
      </c>
      <c r="B19" s="5"/>
      <c r="C19" s="49">
        <v>250000</v>
      </c>
      <c r="D19" s="6"/>
    </row>
    <row r="20" spans="1:4" ht="15" thickBot="1" x14ac:dyDescent="0.45">
      <c r="A20" s="8"/>
      <c r="B20" s="5"/>
      <c r="C20" s="37"/>
      <c r="D20" s="6"/>
    </row>
    <row r="21" spans="1:4" ht="15" thickBot="1" x14ac:dyDescent="0.45">
      <c r="A21" s="8" t="s">
        <v>11</v>
      </c>
      <c r="B21" s="5"/>
      <c r="C21" s="49">
        <v>10000</v>
      </c>
      <c r="D21" s="6"/>
    </row>
    <row r="22" spans="1:4" ht="15" thickBot="1" x14ac:dyDescent="0.45">
      <c r="A22" s="8"/>
      <c r="B22" s="5"/>
      <c r="C22" s="37"/>
      <c r="D22" s="6"/>
    </row>
    <row r="23" spans="1:4" ht="44.15" thickBot="1" x14ac:dyDescent="0.45">
      <c r="A23" s="8" t="s">
        <v>12</v>
      </c>
      <c r="B23" s="5"/>
      <c r="C23" s="48" t="s">
        <v>79</v>
      </c>
      <c r="D23" s="6"/>
    </row>
    <row r="24" spans="1:4" ht="15" thickBot="1" x14ac:dyDescent="0.45">
      <c r="A24" s="8"/>
      <c r="B24" s="5"/>
      <c r="C24" s="37"/>
      <c r="D24" s="6"/>
    </row>
    <row r="25" spans="1:4" ht="29.6" thickBot="1" x14ac:dyDescent="0.45">
      <c r="A25" s="8" t="s">
        <v>75</v>
      </c>
      <c r="B25" s="5"/>
      <c r="C25" s="48">
        <v>30</v>
      </c>
      <c r="D25" s="6"/>
    </row>
    <row r="26" spans="1:4" ht="15" thickBot="1" x14ac:dyDescent="0.45">
      <c r="A26" s="9"/>
      <c r="B26" s="10"/>
      <c r="C26" s="10"/>
      <c r="D26" s="11"/>
    </row>
  </sheetData>
  <mergeCells count="1">
    <mergeCell ref="A1:D1"/>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5"/>
  <sheetViews>
    <sheetView tabSelected="1" workbookViewId="0">
      <selection activeCell="A2" sqref="A2"/>
    </sheetView>
  </sheetViews>
  <sheetFormatPr defaultRowHeight="14.6" x14ac:dyDescent="0.4"/>
  <cols>
    <col min="2" max="2" width="29" customWidth="1"/>
    <col min="3" max="3" width="12.765625" customWidth="1"/>
    <col min="4" max="4" width="10.69140625" bestFit="1" customWidth="1"/>
    <col min="5" max="5" width="17.4609375" bestFit="1" customWidth="1"/>
  </cols>
  <sheetData>
    <row r="1" spans="2:5" ht="15" thickBot="1" x14ac:dyDescent="0.45"/>
    <row r="2" spans="2:5" x14ac:dyDescent="0.4">
      <c r="B2" s="33" t="s">
        <v>49</v>
      </c>
      <c r="C2" s="34" t="s">
        <v>50</v>
      </c>
      <c r="D2" s="34" t="s">
        <v>68</v>
      </c>
      <c r="E2" s="35" t="s">
        <v>72</v>
      </c>
    </row>
    <row r="3" spans="2:5" x14ac:dyDescent="0.4">
      <c r="B3" s="36" t="s">
        <v>44</v>
      </c>
      <c r="C3" s="37" t="s">
        <v>51</v>
      </c>
      <c r="D3" s="38">
        <f>'Portfolio Calculator'!O3</f>
        <v>19218.750000000004</v>
      </c>
      <c r="E3" s="39">
        <f>'Portfolio Calculator'!Q3</f>
        <v>768.75000000000011</v>
      </c>
    </row>
    <row r="4" spans="2:5" x14ac:dyDescent="0.4">
      <c r="B4" s="36" t="s">
        <v>47</v>
      </c>
      <c r="C4" s="37" t="s">
        <v>18</v>
      </c>
      <c r="D4" s="38">
        <f>'Portfolio Calculator'!O4</f>
        <v>19218.750000000004</v>
      </c>
      <c r="E4" s="39">
        <f>'Portfolio Calculator'!Q4</f>
        <v>768.75000000000011</v>
      </c>
    </row>
    <row r="5" spans="2:5" x14ac:dyDescent="0.4">
      <c r="B5" s="36" t="s">
        <v>45</v>
      </c>
      <c r="C5" s="37" t="s">
        <v>19</v>
      </c>
      <c r="D5" s="38">
        <f>'Portfolio Calculator'!O5</f>
        <v>44843.75</v>
      </c>
      <c r="E5" s="39">
        <f>'Portfolio Calculator'!Q5</f>
        <v>1793.75</v>
      </c>
    </row>
    <row r="6" spans="2:5" x14ac:dyDescent="0.4">
      <c r="B6" s="36" t="s">
        <v>46</v>
      </c>
      <c r="C6" s="37" t="s">
        <v>20</v>
      </c>
      <c r="D6" s="38">
        <f>'Portfolio Calculator'!O6</f>
        <v>44843.75</v>
      </c>
      <c r="E6" s="39">
        <f>'Portfolio Calculator'!Q6</f>
        <v>1793.75</v>
      </c>
    </row>
    <row r="7" spans="2:5" x14ac:dyDescent="0.4">
      <c r="B7" s="36" t="s">
        <v>14</v>
      </c>
      <c r="C7" s="37" t="s">
        <v>52</v>
      </c>
      <c r="D7" s="38">
        <f>'Portfolio Calculator'!O7</f>
        <v>62500</v>
      </c>
      <c r="E7" s="39">
        <f>'Portfolio Calculator'!Q7</f>
        <v>2500</v>
      </c>
    </row>
    <row r="8" spans="2:5" x14ac:dyDescent="0.4">
      <c r="B8" s="36" t="s">
        <v>48</v>
      </c>
      <c r="C8" s="37" t="s">
        <v>21</v>
      </c>
      <c r="D8" s="38">
        <f>'Portfolio Calculator'!O8</f>
        <v>50000</v>
      </c>
      <c r="E8" s="39">
        <f>'Portfolio Calculator'!Q8</f>
        <v>2000</v>
      </c>
    </row>
    <row r="9" spans="2:5" x14ac:dyDescent="0.4">
      <c r="B9" s="36" t="s">
        <v>66</v>
      </c>
      <c r="C9" s="37" t="s">
        <v>67</v>
      </c>
      <c r="D9" s="38">
        <f>'Portfolio Calculator'!O9</f>
        <v>9374.99999999998</v>
      </c>
      <c r="E9" s="39">
        <f>'Portfolio Calculator'!Q9</f>
        <v>374.9999999999992</v>
      </c>
    </row>
    <row r="10" spans="2:5" ht="15" thickBot="1" x14ac:dyDescent="0.45">
      <c r="B10" s="40" t="s">
        <v>71</v>
      </c>
      <c r="C10" s="41"/>
      <c r="D10" s="42">
        <f>'Portfolio Calculator'!O10</f>
        <v>249999.99999999997</v>
      </c>
      <c r="E10" s="43">
        <f>'Portfolio Calculator'!Q10</f>
        <v>10000</v>
      </c>
    </row>
    <row r="11" spans="2:5" ht="15" thickBot="1" x14ac:dyDescent="0.45"/>
    <row r="12" spans="2:5" x14ac:dyDescent="0.4">
      <c r="B12" s="53" t="s">
        <v>78</v>
      </c>
      <c r="C12" s="54"/>
    </row>
    <row r="13" spans="2:5" x14ac:dyDescent="0.4">
      <c r="B13" s="44" t="s">
        <v>74</v>
      </c>
      <c r="C13" s="45">
        <f>'Portfolio Calculator'!R10</f>
        <v>864101.94922807335</v>
      </c>
    </row>
    <row r="14" spans="2:5" x14ac:dyDescent="0.4">
      <c r="B14" s="44" t="str">
        <f>CONCATENATE(Questionaire!C25," Years")</f>
        <v>30 Years</v>
      </c>
      <c r="C14" s="45">
        <f>'Portfolio Calculator'!S10</f>
        <v>8129161.6158545064</v>
      </c>
    </row>
    <row r="15" spans="2:5" ht="15" thickBot="1" x14ac:dyDescent="0.45">
      <c r="B15" s="46" t="s">
        <v>77</v>
      </c>
      <c r="C15" s="47">
        <f>'Portfolio Calculator'!P10</f>
        <v>0.10589562500000002</v>
      </c>
    </row>
  </sheetData>
  <mergeCells count="1">
    <mergeCell ref="B12:C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31"/>
  <sheetViews>
    <sheetView topLeftCell="E1" workbookViewId="0">
      <selection activeCell="O14" sqref="O14"/>
    </sheetView>
  </sheetViews>
  <sheetFormatPr defaultRowHeight="14.6" x14ac:dyDescent="0.4"/>
  <cols>
    <col min="2" max="2" width="18" bestFit="1" customWidth="1"/>
    <col min="3" max="3" width="20.69140625" bestFit="1" customWidth="1"/>
    <col min="4" max="4" width="21.07421875" bestFit="1" customWidth="1"/>
    <col min="5" max="5" width="15.4609375" bestFit="1" customWidth="1"/>
    <col min="6" max="6" width="22.4609375" bestFit="1" customWidth="1"/>
    <col min="8" max="8" width="2.53515625" customWidth="1"/>
    <col min="9" max="9" width="17.69140625" bestFit="1" customWidth="1"/>
    <col min="10" max="10" width="6" bestFit="1" customWidth="1"/>
    <col min="12" max="12" width="18" bestFit="1" customWidth="1"/>
    <col min="14" max="14" width="11.07421875" bestFit="1" customWidth="1"/>
    <col min="15" max="15" width="10.69140625" bestFit="1" customWidth="1"/>
    <col min="16" max="16" width="7.23046875" bestFit="1" customWidth="1"/>
    <col min="17" max="17" width="11" bestFit="1" customWidth="1"/>
    <col min="18" max="18" width="12.3046875" bestFit="1" customWidth="1"/>
    <col min="19" max="19" width="13.23046875" bestFit="1" customWidth="1"/>
  </cols>
  <sheetData>
    <row r="1" spans="2:19" x14ac:dyDescent="0.4">
      <c r="B1" s="57" t="s">
        <v>32</v>
      </c>
      <c r="C1" s="58"/>
      <c r="D1" s="59"/>
      <c r="F1" s="12" t="s">
        <v>33</v>
      </c>
      <c r="G1" s="13"/>
      <c r="H1" s="13"/>
      <c r="I1" s="13"/>
      <c r="J1" s="14"/>
      <c r="L1" s="61" t="s">
        <v>43</v>
      </c>
      <c r="M1" s="62"/>
      <c r="N1" s="62"/>
      <c r="O1" s="62"/>
      <c r="P1" s="62"/>
      <c r="Q1" s="62"/>
      <c r="R1" s="62"/>
      <c r="S1" s="63"/>
    </row>
    <row r="2" spans="2:19" x14ac:dyDescent="0.4">
      <c r="B2" s="55" t="s">
        <v>22</v>
      </c>
      <c r="C2" s="56"/>
      <c r="D2" s="17" t="s">
        <v>23</v>
      </c>
      <c r="F2" s="15"/>
      <c r="G2" s="16"/>
      <c r="H2" s="16"/>
      <c r="I2" s="16"/>
      <c r="J2" s="17"/>
      <c r="L2" s="15" t="s">
        <v>49</v>
      </c>
      <c r="M2" s="16" t="s">
        <v>50</v>
      </c>
      <c r="N2" s="16" t="s">
        <v>17</v>
      </c>
      <c r="O2" s="16" t="s">
        <v>68</v>
      </c>
      <c r="P2" s="16" t="s">
        <v>53</v>
      </c>
      <c r="Q2" s="16" t="s">
        <v>69</v>
      </c>
      <c r="R2" s="16" t="s">
        <v>73</v>
      </c>
      <c r="S2" s="17" t="s">
        <v>76</v>
      </c>
    </row>
    <row r="3" spans="2:19" x14ac:dyDescent="0.4">
      <c r="B3" s="15" t="s">
        <v>55</v>
      </c>
      <c r="C3" s="16">
        <f>Questionaire!C5</f>
        <v>35</v>
      </c>
      <c r="D3" s="17">
        <f>IF(C3&lt;=25,1,IF(AND(C3&lt;=40,C3&gt;25),2,IF(AND(C3&lt;=65,C3&gt;40),3,IF(C3&gt;65,4,0))))</f>
        <v>2</v>
      </c>
      <c r="F3" s="15" t="s">
        <v>34</v>
      </c>
      <c r="G3" s="16"/>
      <c r="H3" s="16"/>
      <c r="I3" s="16" t="s">
        <v>42</v>
      </c>
      <c r="J3" s="17"/>
      <c r="L3" s="15" t="s">
        <v>44</v>
      </c>
      <c r="M3" s="16" t="s">
        <v>51</v>
      </c>
      <c r="N3" s="20">
        <f>C15-C17</f>
        <v>7.6875000000000013E-2</v>
      </c>
      <c r="O3" s="30">
        <f>$D$10*N3</f>
        <v>19218.750000000004</v>
      </c>
      <c r="P3" s="20">
        <f>(G25+$B$23)</f>
        <v>0.125</v>
      </c>
      <c r="Q3" s="30">
        <f>$D$11*N3</f>
        <v>768.75000000000011</v>
      </c>
      <c r="R3" s="30">
        <f>-1*FV(P3,10,Q3,O3,0)</f>
        <v>76230.475264851717</v>
      </c>
      <c r="S3" s="31">
        <f>-1*FV(P3,Questionaire!$C$25,Q3,O3,0)</f>
        <v>862559.84245342645</v>
      </c>
    </row>
    <row r="4" spans="2:19" x14ac:dyDescent="0.4">
      <c r="B4" s="15" t="s">
        <v>56</v>
      </c>
      <c r="C4" s="16" t="str">
        <f>Questionaire!C7</f>
        <v>c</v>
      </c>
      <c r="D4" s="17">
        <f>IF(C4="a",1,IF(C4="b",2,IF(C4="c",3,IF(C4="d",4,IF(C4="e",5)))))</f>
        <v>3</v>
      </c>
      <c r="F4" s="15">
        <v>1</v>
      </c>
      <c r="G4" s="18">
        <v>0.15</v>
      </c>
      <c r="H4" s="16"/>
      <c r="I4" s="16">
        <v>1</v>
      </c>
      <c r="J4" s="19">
        <v>-0.25</v>
      </c>
      <c r="L4" s="15" t="s">
        <v>47</v>
      </c>
      <c r="M4" s="16" t="s">
        <v>18</v>
      </c>
      <c r="N4" s="20">
        <f>C17</f>
        <v>7.6875000000000013E-2</v>
      </c>
      <c r="O4" s="30">
        <f t="shared" ref="O4:O9" si="0">$D$10*N4</f>
        <v>19218.750000000004</v>
      </c>
      <c r="P4" s="20">
        <f t="shared" ref="P4:P8" si="1">(G26+$B$23)</f>
        <v>0.13799999999999998</v>
      </c>
      <c r="Q4" s="30">
        <f t="shared" ref="Q4:Q9" si="2">$D$11*N4</f>
        <v>768.75000000000011</v>
      </c>
      <c r="R4" s="30">
        <f t="shared" ref="R4:R9" si="3">-1*FV(P4,10,Q4,O4,0)</f>
        <v>84729.539872730296</v>
      </c>
      <c r="S4" s="31">
        <f>-1*FV(P4,Questionaire!$C$25,Q4,O4,0)</f>
        <v>1192642.0387676114</v>
      </c>
    </row>
    <row r="5" spans="2:19" x14ac:dyDescent="0.4">
      <c r="B5" s="15" t="s">
        <v>57</v>
      </c>
      <c r="C5" s="16" t="str">
        <f>Questionaire!C9</f>
        <v>M</v>
      </c>
      <c r="D5" s="17">
        <f>IF(C5="a",1,IF(C5="m",2,IF(C5="s",3,IF(C5="n",4,))))</f>
        <v>2</v>
      </c>
      <c r="F5" s="15">
        <v>2</v>
      </c>
      <c r="G5" s="18">
        <v>0.05</v>
      </c>
      <c r="H5" s="16"/>
      <c r="I5" s="16">
        <v>2</v>
      </c>
      <c r="J5" s="19">
        <v>-0.1</v>
      </c>
      <c r="L5" s="15" t="s">
        <v>45</v>
      </c>
      <c r="M5" s="16" t="s">
        <v>19</v>
      </c>
      <c r="N5" s="20">
        <f>D15-D17</f>
        <v>0.17937500000000001</v>
      </c>
      <c r="O5" s="30">
        <f t="shared" si="0"/>
        <v>44843.75</v>
      </c>
      <c r="P5" s="20">
        <f t="shared" si="1"/>
        <v>0.1</v>
      </c>
      <c r="Q5" s="30">
        <f t="shared" si="2"/>
        <v>1793.75</v>
      </c>
      <c r="R5" s="30">
        <f t="shared" si="3"/>
        <v>144900.89382315325</v>
      </c>
      <c r="S5" s="31">
        <f>-1*FV(P5,Questionaire!$C$25,Q5,O5,0)</f>
        <v>1077557.786193527</v>
      </c>
    </row>
    <row r="6" spans="2:19" x14ac:dyDescent="0.4">
      <c r="B6" s="15" t="s">
        <v>58</v>
      </c>
      <c r="C6" s="16" t="str">
        <f>Questionaire!C11</f>
        <v>Y</v>
      </c>
      <c r="D6" s="17">
        <f>IF(C6="Y",1,IF(C6="N",2,))</f>
        <v>1</v>
      </c>
      <c r="F6" s="15">
        <v>3</v>
      </c>
      <c r="G6" s="18">
        <v>-0.05</v>
      </c>
      <c r="H6" s="16"/>
      <c r="I6" s="16">
        <v>3</v>
      </c>
      <c r="J6" s="19">
        <v>0</v>
      </c>
      <c r="L6" s="15" t="s">
        <v>46</v>
      </c>
      <c r="M6" s="16" t="s">
        <v>20</v>
      </c>
      <c r="N6" s="20">
        <f>D17</f>
        <v>0.17937500000000001</v>
      </c>
      <c r="O6" s="30">
        <f t="shared" si="0"/>
        <v>44843.75</v>
      </c>
      <c r="P6" s="20">
        <f t="shared" si="1"/>
        <v>0.112</v>
      </c>
      <c r="Q6" s="30">
        <f t="shared" si="2"/>
        <v>1793.75</v>
      </c>
      <c r="R6" s="30">
        <f t="shared" si="3"/>
        <v>159928.73931700669</v>
      </c>
      <c r="S6" s="31">
        <f>-1*FV(P6,Questionaire!$C$25,Q6,O6,0)</f>
        <v>1454504.9500900321</v>
      </c>
    </row>
    <row r="7" spans="2:19" x14ac:dyDescent="0.4">
      <c r="B7" s="15" t="s">
        <v>59</v>
      </c>
      <c r="C7" s="16" t="str">
        <f>Questionaire!C13</f>
        <v>Y</v>
      </c>
      <c r="D7" s="17">
        <f>IF(C7="Y",1,IF(C7="N",2,))</f>
        <v>1</v>
      </c>
      <c r="F7" s="15">
        <v>4</v>
      </c>
      <c r="G7" s="18">
        <v>-0.15</v>
      </c>
      <c r="H7" s="16"/>
      <c r="I7" s="16">
        <v>4</v>
      </c>
      <c r="J7" s="19">
        <v>0.1</v>
      </c>
      <c r="L7" s="15" t="s">
        <v>14</v>
      </c>
      <c r="M7" s="16" t="s">
        <v>52</v>
      </c>
      <c r="N7" s="20">
        <f>B19</f>
        <v>0.25</v>
      </c>
      <c r="O7" s="30">
        <f t="shared" si="0"/>
        <v>62500</v>
      </c>
      <c r="P7" s="20">
        <f t="shared" si="1"/>
        <v>8.5000000000000006E-2</v>
      </c>
      <c r="Q7" s="30">
        <f t="shared" si="2"/>
        <v>2500</v>
      </c>
      <c r="R7" s="30">
        <f t="shared" si="3"/>
        <v>178399.21341152879</v>
      </c>
      <c r="S7" s="31">
        <f>-1*FV(P7,Questionaire!$C$25,Q7,O7,0)</f>
        <v>1032927.5406337189</v>
      </c>
    </row>
    <row r="8" spans="2:19" x14ac:dyDescent="0.4">
      <c r="B8" s="15" t="s">
        <v>60</v>
      </c>
      <c r="C8" s="16" t="str">
        <f>Questionaire!C15</f>
        <v>A</v>
      </c>
      <c r="D8" s="17">
        <f>IF(C8="a",1,IF(C8="m",2,IF(C8="s",3,IF(C8="n",4,))))</f>
        <v>1</v>
      </c>
      <c r="F8" s="15"/>
      <c r="G8" s="18"/>
      <c r="H8" s="16"/>
      <c r="I8" s="16">
        <v>5</v>
      </c>
      <c r="J8" s="19">
        <v>0.25</v>
      </c>
      <c r="L8" s="15" t="s">
        <v>48</v>
      </c>
      <c r="M8" s="16" t="s">
        <v>21</v>
      </c>
      <c r="N8" s="20">
        <f>B21</f>
        <v>0.2</v>
      </c>
      <c r="O8" s="30">
        <f t="shared" si="0"/>
        <v>50000</v>
      </c>
      <c r="P8" s="20">
        <f t="shared" si="1"/>
        <v>0.129</v>
      </c>
      <c r="Q8" s="30">
        <f t="shared" si="2"/>
        <v>2000</v>
      </c>
      <c r="R8" s="30">
        <f t="shared" si="3"/>
        <v>204893.49916772096</v>
      </c>
      <c r="S8" s="31">
        <f>-1*FV(P8,Questionaire!$C$25,Q8,O8,0)</f>
        <v>2479580.6132215634</v>
      </c>
    </row>
    <row r="9" spans="2:19" x14ac:dyDescent="0.4">
      <c r="B9" s="15" t="s">
        <v>61</v>
      </c>
      <c r="C9" s="16" t="str">
        <f>Questionaire!C17</f>
        <v>Y</v>
      </c>
      <c r="D9" s="17">
        <f>IF(C9="Y",1,IF(C9="N",2,))</f>
        <v>1</v>
      </c>
      <c r="F9" s="15" t="s">
        <v>35</v>
      </c>
      <c r="G9" s="16"/>
      <c r="H9" s="16"/>
      <c r="I9" s="16" t="s">
        <v>36</v>
      </c>
      <c r="J9" s="17"/>
      <c r="L9" s="15" t="s">
        <v>66</v>
      </c>
      <c r="M9" s="16" t="s">
        <v>67</v>
      </c>
      <c r="N9" s="20">
        <f>C19</f>
        <v>3.7499999999999922E-2</v>
      </c>
      <c r="O9" s="30">
        <f t="shared" si="0"/>
        <v>9374.99999999998</v>
      </c>
      <c r="P9" s="20">
        <f>(G31)</f>
        <v>1.6E-2</v>
      </c>
      <c r="Q9" s="30">
        <f t="shared" si="2"/>
        <v>374.9999999999992</v>
      </c>
      <c r="R9" s="30">
        <f t="shared" si="3"/>
        <v>15019.588371081609</v>
      </c>
      <c r="S9" s="31">
        <f>-1*FV(P9,Questionaire!$C$25,Q9,O9,0)</f>
        <v>29388.844494626996</v>
      </c>
    </row>
    <row r="10" spans="2:19" ht="15" thickBot="1" x14ac:dyDescent="0.45">
      <c r="B10" s="15" t="s">
        <v>62</v>
      </c>
      <c r="C10" s="16">
        <f>Questionaire!C19</f>
        <v>250000</v>
      </c>
      <c r="D10" s="17">
        <f>C10</f>
        <v>250000</v>
      </c>
      <c r="F10" s="15">
        <v>1</v>
      </c>
      <c r="G10" s="18">
        <v>0.5</v>
      </c>
      <c r="H10" s="16"/>
      <c r="I10" s="16">
        <v>1</v>
      </c>
      <c r="J10" s="19">
        <v>0.45</v>
      </c>
      <c r="L10" s="28" t="s">
        <v>71</v>
      </c>
      <c r="M10" s="23"/>
      <c r="N10" s="27">
        <f>SUM(N3:N9)</f>
        <v>0.99999999999999978</v>
      </c>
      <c r="O10" s="29">
        <f>SUM(O3:O9)</f>
        <v>249999.99999999997</v>
      </c>
      <c r="P10" s="27">
        <f>SUMPRODUCT(N3:N9,P3:P9)</f>
        <v>0.10589562500000002</v>
      </c>
      <c r="Q10" s="29">
        <f>SUM(Q3:Q9)</f>
        <v>10000</v>
      </c>
      <c r="R10" s="29">
        <f>SUM(R3:R9)</f>
        <v>864101.94922807335</v>
      </c>
      <c r="S10" s="32">
        <f>SUM(S3:S9)</f>
        <v>8129161.6158545064</v>
      </c>
    </row>
    <row r="11" spans="2:19" x14ac:dyDescent="0.4">
      <c r="B11" s="15" t="s">
        <v>63</v>
      </c>
      <c r="C11" s="16">
        <f>Questionaire!C21</f>
        <v>10000</v>
      </c>
      <c r="D11" s="17">
        <f>C11</f>
        <v>10000</v>
      </c>
      <c r="F11" s="15">
        <v>2</v>
      </c>
      <c r="G11" s="18">
        <v>0.3</v>
      </c>
      <c r="H11" s="16"/>
      <c r="I11" s="16">
        <v>2</v>
      </c>
      <c r="J11" s="19">
        <v>0</v>
      </c>
    </row>
    <row r="12" spans="2:19" x14ac:dyDescent="0.4">
      <c r="B12" s="15" t="s">
        <v>64</v>
      </c>
      <c r="C12" s="16" t="str">
        <f>Questionaire!C23</f>
        <v>L</v>
      </c>
      <c r="D12" s="17">
        <f>IF(C12="L",1,IF(C12="S",2,IF(C12="M",3)))</f>
        <v>1</v>
      </c>
      <c r="F12" s="15">
        <v>3</v>
      </c>
      <c r="G12" s="18">
        <v>0.1</v>
      </c>
      <c r="H12" s="16"/>
      <c r="I12" s="16"/>
      <c r="J12" s="17"/>
    </row>
    <row r="13" spans="2:19" x14ac:dyDescent="0.4">
      <c r="B13" s="15"/>
      <c r="C13" s="16"/>
      <c r="D13" s="17"/>
      <c r="F13" s="15">
        <v>4</v>
      </c>
      <c r="G13" s="20">
        <v>0</v>
      </c>
      <c r="H13" s="16"/>
      <c r="I13" s="16"/>
      <c r="J13" s="17"/>
    </row>
    <row r="14" spans="2:19" x14ac:dyDescent="0.4">
      <c r="B14" s="15" t="s">
        <v>13</v>
      </c>
      <c r="C14" s="16" t="s">
        <v>26</v>
      </c>
      <c r="D14" s="17" t="s">
        <v>27</v>
      </c>
      <c r="F14" s="15"/>
      <c r="G14" s="16"/>
      <c r="H14" s="16"/>
      <c r="I14" s="16"/>
      <c r="J14" s="17"/>
    </row>
    <row r="15" spans="2:19" x14ac:dyDescent="0.4">
      <c r="B15" s="26">
        <f>55%+VLOOKUP(D3,F4:G7,2,0)+VLOOKUP(D4,I4:J8,2,0)-0.25%*C3</f>
        <v>0.51250000000000007</v>
      </c>
      <c r="C15" s="20">
        <f>B15*VLOOKUP(D5,F10:G13,2,0)</f>
        <v>0.15375000000000003</v>
      </c>
      <c r="D15" s="21">
        <f>B15-C15</f>
        <v>0.35875000000000001</v>
      </c>
      <c r="F15" s="15" t="s">
        <v>37</v>
      </c>
      <c r="G15" s="16"/>
      <c r="H15" s="16"/>
      <c r="I15" s="16" t="s">
        <v>39</v>
      </c>
      <c r="J15" s="17"/>
    </row>
    <row r="16" spans="2:19" x14ac:dyDescent="0.4">
      <c r="B16" s="15"/>
      <c r="C16" s="16" t="s">
        <v>30</v>
      </c>
      <c r="D16" s="17" t="s">
        <v>31</v>
      </c>
      <c r="F16" s="15">
        <v>1</v>
      </c>
      <c r="G16" s="18">
        <v>1</v>
      </c>
      <c r="H16" s="16"/>
      <c r="I16" s="16">
        <v>1</v>
      </c>
      <c r="J16" s="19">
        <v>0.5</v>
      </c>
    </row>
    <row r="17" spans="2:10" x14ac:dyDescent="0.4">
      <c r="B17" s="15"/>
      <c r="C17" s="20">
        <f>C15*VLOOKUP(D7,F16:G17,2,0)*VLOOKUP(D8,I16:J19,2,0)</f>
        <v>7.6875000000000013E-2</v>
      </c>
      <c r="D17" s="21">
        <f>D15*VLOOKUP(D7,F16:G17,2,0)*VLOOKUP(D8,I16:J19,2,0)</f>
        <v>0.17937500000000001</v>
      </c>
      <c r="F17" s="15">
        <v>2</v>
      </c>
      <c r="G17" s="18">
        <v>0</v>
      </c>
      <c r="H17" s="16"/>
      <c r="I17" s="16">
        <v>2</v>
      </c>
      <c r="J17" s="19">
        <v>0.3</v>
      </c>
    </row>
    <row r="18" spans="2:10" x14ac:dyDescent="0.4">
      <c r="B18" s="15" t="s">
        <v>28</v>
      </c>
      <c r="C18" s="20" t="s">
        <v>65</v>
      </c>
      <c r="D18" s="21"/>
      <c r="F18" s="15"/>
      <c r="G18" s="16"/>
      <c r="H18" s="16"/>
      <c r="I18" s="16">
        <v>3</v>
      </c>
      <c r="J18" s="19">
        <v>0.1</v>
      </c>
    </row>
    <row r="19" spans="2:10" x14ac:dyDescent="0.4">
      <c r="B19" s="25">
        <f>VLOOKUP(D6,I10:J11,2,0)-B21-(IF(B15&gt;55%,B15-55%,0))</f>
        <v>0.25</v>
      </c>
      <c r="C19" s="20">
        <f>1-B15-B19-B21</f>
        <v>3.7499999999999922E-2</v>
      </c>
      <c r="D19" s="21"/>
      <c r="F19" s="15"/>
      <c r="G19" s="16"/>
      <c r="H19" s="16"/>
      <c r="I19" s="16">
        <v>4</v>
      </c>
      <c r="J19" s="21">
        <v>0</v>
      </c>
    </row>
    <row r="20" spans="2:10" x14ac:dyDescent="0.4">
      <c r="B20" s="15" t="s">
        <v>29</v>
      </c>
      <c r="C20" s="20"/>
      <c r="D20" s="21"/>
      <c r="F20" s="15" t="s">
        <v>40</v>
      </c>
      <c r="G20" s="16"/>
      <c r="H20" s="16"/>
      <c r="I20" s="16" t="s">
        <v>41</v>
      </c>
      <c r="J20" s="17"/>
    </row>
    <row r="21" spans="2:10" x14ac:dyDescent="0.4">
      <c r="B21" s="25">
        <f>VLOOKUP(D9,F21:G22,2,0)</f>
        <v>0.2</v>
      </c>
      <c r="C21" s="20"/>
      <c r="D21" s="21"/>
      <c r="F21" s="15">
        <v>1</v>
      </c>
      <c r="G21" s="18">
        <v>0.2</v>
      </c>
      <c r="H21" s="16"/>
      <c r="I21" s="16">
        <v>1</v>
      </c>
      <c r="J21" s="19">
        <v>0.02</v>
      </c>
    </row>
    <row r="22" spans="2:10" x14ac:dyDescent="0.4">
      <c r="B22" s="15" t="s">
        <v>54</v>
      </c>
      <c r="C22" s="20"/>
      <c r="D22" s="21"/>
      <c r="F22" s="15">
        <v>2</v>
      </c>
      <c r="G22" s="18">
        <v>0</v>
      </c>
      <c r="H22" s="16"/>
      <c r="I22" s="16">
        <v>2</v>
      </c>
      <c r="J22" s="19">
        <v>0</v>
      </c>
    </row>
    <row r="23" spans="2:10" x14ac:dyDescent="0.4">
      <c r="B23" s="15">
        <f>VLOOKUP(D12,I21:J23,2,0)</f>
        <v>0.02</v>
      </c>
      <c r="C23" s="16"/>
      <c r="D23" s="17"/>
      <c r="F23" s="15"/>
      <c r="G23" s="16"/>
      <c r="H23" s="16"/>
      <c r="I23" s="16">
        <v>3</v>
      </c>
      <c r="J23" s="19">
        <v>-0.02</v>
      </c>
    </row>
    <row r="24" spans="2:10" ht="15" thickBot="1" x14ac:dyDescent="0.45">
      <c r="B24" s="22"/>
      <c r="C24" s="23"/>
      <c r="D24" s="24"/>
      <c r="F24" s="15" t="s">
        <v>70</v>
      </c>
      <c r="G24" s="16"/>
      <c r="H24" s="16"/>
      <c r="I24" s="16"/>
      <c r="J24" s="19"/>
    </row>
    <row r="25" spans="2:10" x14ac:dyDescent="0.4">
      <c r="F25" s="15" t="s">
        <v>51</v>
      </c>
      <c r="G25" s="20">
        <v>0.105</v>
      </c>
      <c r="H25" s="16"/>
      <c r="I25" s="16"/>
      <c r="J25" s="19"/>
    </row>
    <row r="26" spans="2:10" x14ac:dyDescent="0.4">
      <c r="B26" s="60"/>
      <c r="C26" s="60"/>
      <c r="D26" s="60"/>
      <c r="F26" s="15" t="s">
        <v>18</v>
      </c>
      <c r="G26" s="20">
        <v>0.11799999999999999</v>
      </c>
      <c r="H26" s="16"/>
      <c r="I26" s="16"/>
      <c r="J26" s="19"/>
    </row>
    <row r="27" spans="2:10" x14ac:dyDescent="0.4">
      <c r="F27" s="15" t="s">
        <v>19</v>
      </c>
      <c r="G27" s="18">
        <v>0.08</v>
      </c>
      <c r="H27" s="16"/>
      <c r="I27" s="16"/>
      <c r="J27" s="19"/>
    </row>
    <row r="28" spans="2:10" x14ac:dyDescent="0.4">
      <c r="F28" s="15" t="s">
        <v>20</v>
      </c>
      <c r="G28" s="20">
        <v>9.1999999999999998E-2</v>
      </c>
      <c r="H28" s="16"/>
      <c r="I28" s="16"/>
      <c r="J28" s="19"/>
    </row>
    <row r="29" spans="2:10" x14ac:dyDescent="0.4">
      <c r="F29" s="15" t="s">
        <v>52</v>
      </c>
      <c r="G29" s="20">
        <v>6.5000000000000002E-2</v>
      </c>
      <c r="H29" s="16"/>
      <c r="I29" s="16"/>
      <c r="J29" s="19"/>
    </row>
    <row r="30" spans="2:10" x14ac:dyDescent="0.4">
      <c r="F30" s="15" t="s">
        <v>21</v>
      </c>
      <c r="G30" s="20">
        <v>0.109</v>
      </c>
      <c r="H30" s="16"/>
      <c r="I30" s="16"/>
      <c r="J30" s="19"/>
    </row>
    <row r="31" spans="2:10" ht="15" thickBot="1" x14ac:dyDescent="0.45">
      <c r="F31" s="22" t="s">
        <v>67</v>
      </c>
      <c r="G31" s="27">
        <v>1.6E-2</v>
      </c>
      <c r="H31" s="23"/>
      <c r="I31" s="23"/>
      <c r="J31" s="24"/>
    </row>
  </sheetData>
  <mergeCells count="4">
    <mergeCell ref="B2:C2"/>
    <mergeCell ref="B1:D1"/>
    <mergeCell ref="B26:D26"/>
    <mergeCell ref="L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Questionaire</vt:lpstr>
      <vt:lpstr>Recommended Portfolio</vt:lpstr>
      <vt:lpstr>Portfolio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Michael B.</dc:creator>
  <cp:lastModifiedBy>Michael McDonald</cp:lastModifiedBy>
  <dcterms:created xsi:type="dcterms:W3CDTF">2019-09-22T14:07:17Z</dcterms:created>
  <dcterms:modified xsi:type="dcterms:W3CDTF">2019-09-25T16:37:17Z</dcterms:modified>
</cp:coreProperties>
</file>