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1880"/>
  </bookViews>
  <sheets>
    <sheet name="ANOVA" sheetId="6" r:id="rId1"/>
    <sheet name="회귀분석" sheetId="2" r:id="rId2"/>
    <sheet name="짝비교_" sheetId="3" r:id="rId3"/>
    <sheet name="두집단 비교" sheetId="5" r:id="rId4"/>
  </sheets>
  <calcPr calcId="144525"/>
</workbook>
</file>

<file path=xl/calcChain.xml><?xml version="1.0" encoding="utf-8"?>
<calcChain xmlns="http://schemas.openxmlformats.org/spreadsheetml/2006/main">
  <c r="B49" i="6" l="1"/>
  <c r="G49" i="6" s="1"/>
  <c r="B48" i="6"/>
  <c r="G48" i="6" s="1"/>
  <c r="B47" i="6"/>
  <c r="G47" i="6" s="1"/>
  <c r="B46" i="6"/>
  <c r="G46" i="6" s="1"/>
  <c r="B45" i="6"/>
  <c r="G45" i="6" s="1"/>
  <c r="B44" i="6"/>
  <c r="G44" i="6" s="1"/>
  <c r="B43" i="6"/>
  <c r="G43" i="6" s="1"/>
  <c r="B42" i="6"/>
  <c r="G42" i="6" s="1"/>
  <c r="B38" i="6"/>
  <c r="G38" i="6" s="1"/>
  <c r="B30" i="6"/>
  <c r="G30" i="6" s="1"/>
  <c r="E28" i="6"/>
  <c r="J28" i="6" s="1"/>
  <c r="E27" i="6"/>
  <c r="J27" i="6" s="1"/>
  <c r="B27" i="6"/>
  <c r="G27" i="6" s="1"/>
  <c r="G26" i="6"/>
  <c r="E26" i="6"/>
  <c r="J26" i="6" s="1"/>
  <c r="B26" i="6"/>
  <c r="E25" i="6"/>
  <c r="J25" i="6" s="1"/>
  <c r="D25" i="6"/>
  <c r="I25" i="6" s="1"/>
  <c r="B25" i="6"/>
  <c r="G25" i="6" s="1"/>
  <c r="E24" i="6"/>
  <c r="J24" i="6" s="1"/>
  <c r="D24" i="6"/>
  <c r="I24" i="6" s="1"/>
  <c r="B24" i="6"/>
  <c r="G24" i="6" s="1"/>
  <c r="E23" i="6"/>
  <c r="J23" i="6" s="1"/>
  <c r="D23" i="6"/>
  <c r="I23" i="6" s="1"/>
  <c r="B23" i="6"/>
  <c r="G23" i="6" s="1"/>
  <c r="E22" i="6"/>
  <c r="J22" i="6" s="1"/>
  <c r="D22" i="6"/>
  <c r="I22" i="6" s="1"/>
  <c r="B22" i="6"/>
  <c r="G22" i="6" s="1"/>
  <c r="E21" i="6"/>
  <c r="J21" i="6" s="1"/>
  <c r="D21" i="6"/>
  <c r="I21" i="6" s="1"/>
  <c r="B21" i="6"/>
  <c r="G21" i="6" s="1"/>
  <c r="E20" i="6"/>
  <c r="J20" i="6" s="1"/>
  <c r="D20" i="6"/>
  <c r="I20" i="6" s="1"/>
  <c r="B20" i="6"/>
  <c r="G20" i="6" s="1"/>
  <c r="E19" i="6"/>
  <c r="J19" i="6" s="1"/>
  <c r="C19" i="6"/>
  <c r="H19" i="6" s="1"/>
  <c r="B19" i="6"/>
  <c r="G19" i="6" s="1"/>
  <c r="E17" i="6"/>
  <c r="E16" i="6"/>
  <c r="C26" i="6" s="1"/>
  <c r="H26" i="6" s="1"/>
  <c r="D16" i="6"/>
  <c r="E50" i="6" s="1"/>
  <c r="J50" i="6" s="1"/>
  <c r="C16" i="6"/>
  <c r="D47" i="6" s="1"/>
  <c r="I47" i="6" s="1"/>
  <c r="B16" i="6"/>
  <c r="C48" i="6" s="1"/>
  <c r="H48" i="6" s="1"/>
  <c r="A16" i="6"/>
  <c r="B41" i="6" s="1"/>
  <c r="G41" i="6" s="1"/>
  <c r="E34" i="6" l="1"/>
  <c r="J34" i="6" s="1"/>
  <c r="E35" i="6"/>
  <c r="J35" i="6" s="1"/>
  <c r="E36" i="6"/>
  <c r="J36" i="6" s="1"/>
  <c r="E38" i="6"/>
  <c r="J38" i="6" s="1"/>
  <c r="E41" i="6"/>
  <c r="J41" i="6" s="1"/>
  <c r="D42" i="6"/>
  <c r="I42" i="6" s="1"/>
  <c r="D43" i="6"/>
  <c r="I43" i="6" s="1"/>
  <c r="D19" i="6"/>
  <c r="I19" i="6" s="1"/>
  <c r="L19" i="6" s="1"/>
  <c r="C20" i="6"/>
  <c r="H20" i="6" s="1"/>
  <c r="C21" i="6"/>
  <c r="H21" i="6" s="1"/>
  <c r="C22" i="6"/>
  <c r="H22" i="6" s="1"/>
  <c r="C23" i="6"/>
  <c r="H23" i="6" s="1"/>
  <c r="C24" i="6"/>
  <c r="H24" i="6" s="1"/>
  <c r="C25" i="6"/>
  <c r="H25" i="6" s="1"/>
  <c r="C30" i="6"/>
  <c r="H30" i="6" s="1"/>
  <c r="L30" i="6" s="1"/>
  <c r="C52" i="6" s="1"/>
  <c r="B31" i="6"/>
  <c r="G31" i="6" s="1"/>
  <c r="B32" i="6"/>
  <c r="G32" i="6" s="1"/>
  <c r="B33" i="6"/>
  <c r="G33" i="6" s="1"/>
  <c r="B34" i="6"/>
  <c r="G34" i="6" s="1"/>
  <c r="B35" i="6"/>
  <c r="G35" i="6" s="1"/>
  <c r="B36" i="6"/>
  <c r="G36" i="6" s="1"/>
  <c r="B37" i="6"/>
  <c r="G37" i="6" s="1"/>
  <c r="E42" i="6"/>
  <c r="J42" i="6" s="1"/>
  <c r="E43" i="6"/>
  <c r="J43" i="6" s="1"/>
  <c r="E44" i="6"/>
  <c r="J44" i="6" s="1"/>
  <c r="E45" i="6"/>
  <c r="J45" i="6" s="1"/>
  <c r="E46" i="6"/>
  <c r="J46" i="6" s="1"/>
  <c r="E47" i="6"/>
  <c r="J47" i="6" s="1"/>
  <c r="E49" i="6"/>
  <c r="J49" i="6" s="1"/>
  <c r="D30" i="6"/>
  <c r="I30" i="6" s="1"/>
  <c r="C31" i="6"/>
  <c r="H31" i="6" s="1"/>
  <c r="C32" i="6"/>
  <c r="H32" i="6" s="1"/>
  <c r="C33" i="6"/>
  <c r="H33" i="6" s="1"/>
  <c r="C34" i="6"/>
  <c r="H34" i="6" s="1"/>
  <c r="C35" i="6"/>
  <c r="H35" i="6" s="1"/>
  <c r="C36" i="6"/>
  <c r="H36" i="6" s="1"/>
  <c r="C37" i="6"/>
  <c r="H37" i="6" s="1"/>
  <c r="C41" i="6"/>
  <c r="H41" i="6" s="1"/>
  <c r="L41" i="6" s="1"/>
  <c r="C53" i="6" s="1"/>
  <c r="E53" i="6" s="1"/>
  <c r="E30" i="6"/>
  <c r="J30" i="6" s="1"/>
  <c r="D31" i="6"/>
  <c r="I31" i="6" s="1"/>
  <c r="D32" i="6"/>
  <c r="I32" i="6" s="1"/>
  <c r="D33" i="6"/>
  <c r="I33" i="6" s="1"/>
  <c r="D34" i="6"/>
  <c r="I34" i="6" s="1"/>
  <c r="D35" i="6"/>
  <c r="I35" i="6" s="1"/>
  <c r="D36" i="6"/>
  <c r="I36" i="6" s="1"/>
  <c r="E37" i="6"/>
  <c r="J37" i="6" s="1"/>
  <c r="E39" i="6"/>
  <c r="J39" i="6" s="1"/>
  <c r="D41" i="6"/>
  <c r="I41" i="6" s="1"/>
  <c r="C42" i="6"/>
  <c r="H42" i="6" s="1"/>
  <c r="C43" i="6"/>
  <c r="H43" i="6" s="1"/>
  <c r="C44" i="6"/>
  <c r="H44" i="6" s="1"/>
  <c r="C45" i="6"/>
  <c r="H45" i="6" s="1"/>
  <c r="C46" i="6"/>
  <c r="H46" i="6" s="1"/>
  <c r="C47" i="6"/>
  <c r="H47" i="6" s="1"/>
  <c r="E31" i="6"/>
  <c r="J31" i="6" s="1"/>
  <c r="E32" i="6"/>
  <c r="J32" i="6" s="1"/>
  <c r="E33" i="6"/>
  <c r="J33" i="6" s="1"/>
  <c r="D44" i="6"/>
  <c r="I44" i="6" s="1"/>
  <c r="D45" i="6"/>
  <c r="I45" i="6" s="1"/>
  <c r="D46" i="6"/>
  <c r="I46" i="6" s="1"/>
  <c r="E48" i="6"/>
  <c r="J48" i="6" s="1"/>
  <c r="G46" i="5"/>
  <c r="I35" i="5"/>
  <c r="G35" i="5"/>
  <c r="I34" i="5"/>
  <c r="G34" i="5"/>
  <c r="G37" i="5" s="1"/>
  <c r="I33" i="5"/>
  <c r="G33" i="5"/>
  <c r="G22" i="5"/>
  <c r="I12" i="5"/>
  <c r="G12" i="5"/>
  <c r="L12" i="5" s="1"/>
  <c r="G14" i="5" s="1"/>
  <c r="I11" i="5"/>
  <c r="G11" i="5"/>
  <c r="I10" i="5"/>
  <c r="G10" i="5"/>
  <c r="G22" i="3"/>
  <c r="H21" i="3"/>
  <c r="H20" i="3"/>
  <c r="G12" i="3"/>
  <c r="G11" i="3"/>
  <c r="G10" i="3"/>
  <c r="G9" i="3"/>
  <c r="C18" i="3"/>
  <c r="G8" i="3"/>
  <c r="C8" i="3"/>
  <c r="C9" i="3"/>
  <c r="C10" i="3"/>
  <c r="C11" i="3"/>
  <c r="C12" i="3"/>
  <c r="C13" i="3"/>
  <c r="C14" i="3"/>
  <c r="C15" i="3"/>
  <c r="C16" i="3"/>
  <c r="C7" i="3"/>
  <c r="D50" i="2"/>
  <c r="D52" i="2" s="1"/>
  <c r="D49" i="2"/>
  <c r="D4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38" i="2"/>
  <c r="D29" i="2"/>
  <c r="C54" i="6" l="1"/>
  <c r="E52" i="6"/>
  <c r="F52" i="6" s="1"/>
  <c r="G52" i="6" s="1"/>
  <c r="G38" i="5"/>
  <c r="G15" i="5"/>
  <c r="G16" i="5"/>
  <c r="G39" i="5"/>
  <c r="G21" i="5"/>
  <c r="G23" i="5" s="1"/>
  <c r="G45" i="5"/>
  <c r="G47" i="5" s="1"/>
  <c r="D51" i="2"/>
  <c r="I6" i="2"/>
  <c r="I5" i="2"/>
  <c r="I4" i="2"/>
  <c r="D7" i="2" l="1"/>
  <c r="C15" i="2"/>
  <c r="C10" i="2"/>
  <c r="C5" i="2"/>
  <c r="C14" i="2"/>
  <c r="C9" i="2"/>
  <c r="C3" i="2"/>
  <c r="C13" i="2"/>
  <c r="C7" i="2"/>
  <c r="C17" i="2"/>
  <c r="C11" i="2"/>
  <c r="C6" i="2"/>
  <c r="D14" i="2"/>
  <c r="D6" i="2"/>
  <c r="D17" i="2"/>
  <c r="D13" i="2"/>
  <c r="D9" i="2"/>
  <c r="E3" i="2"/>
  <c r="E14" i="2"/>
  <c r="E10" i="2"/>
  <c r="E6" i="2"/>
  <c r="D16" i="2"/>
  <c r="D12" i="2"/>
  <c r="D8" i="2"/>
  <c r="D4" i="2"/>
  <c r="E17" i="2"/>
  <c r="E13" i="2"/>
  <c r="E9" i="2"/>
  <c r="E5" i="2"/>
  <c r="C16" i="2"/>
  <c r="C12" i="2"/>
  <c r="C8" i="2"/>
  <c r="C4" i="2"/>
  <c r="D15" i="2"/>
  <c r="D11" i="2"/>
  <c r="E16" i="2"/>
  <c r="E12" i="2"/>
  <c r="E8" i="2"/>
  <c r="E4" i="2"/>
  <c r="D10" i="2"/>
  <c r="E15" i="2"/>
  <c r="E11" i="2"/>
  <c r="E7" i="2"/>
  <c r="D3" i="2"/>
  <c r="D5" i="2"/>
  <c r="I10" i="2" l="1"/>
  <c r="I9" i="2"/>
  <c r="I8" i="2"/>
  <c r="I11" i="2" l="1"/>
  <c r="I12" i="2" s="1"/>
  <c r="D44" i="2" s="1"/>
  <c r="D45" i="2" s="1"/>
  <c r="D46" i="2" s="1"/>
  <c r="I17" i="2"/>
  <c r="I16" i="2" s="1"/>
  <c r="C26" i="2"/>
  <c r="J16" i="2" l="1"/>
  <c r="D23" i="2" s="1"/>
  <c r="J17" i="2"/>
  <c r="I13" i="2"/>
  <c r="M16" i="2" l="1"/>
  <c r="N16" i="2"/>
  <c r="K16" i="2"/>
  <c r="L16" i="2" s="1"/>
  <c r="E37" i="2"/>
  <c r="E39" i="2" s="1"/>
  <c r="N17" i="2"/>
  <c r="M17" i="2"/>
  <c r="K17" i="2"/>
  <c r="D24" i="2"/>
  <c r="L17" i="2" l="1"/>
  <c r="D33" i="2"/>
</calcChain>
</file>

<file path=xl/sharedStrings.xml><?xml version="1.0" encoding="utf-8"?>
<sst xmlns="http://schemas.openxmlformats.org/spreadsheetml/2006/main" count="257" uniqueCount="180">
  <si>
    <t>다음 자료를 이용하여 물음에 답하라.</t>
  </si>
  <si>
    <t>a</t>
  </si>
  <si>
    <t>b</t>
  </si>
  <si>
    <t>c</t>
  </si>
  <si>
    <t>d</t>
  </si>
  <si>
    <t>분산분석표를 작성하고 직물 네 종류의 처리 효과가 모두 똑 같다고 귀무가설을 세우고 alpha=0.05로 검정하라</t>
  </si>
  <si>
    <t>다음은 어떤 해양 박테리아에 X-선을 일정한 시간동안 노출시킨 후 생존한 박테리아 수 자료이다.</t>
  </si>
  <si>
    <t>노출시간</t>
  </si>
  <si>
    <t>생존 수(100마리)</t>
  </si>
  <si>
    <t>(Xi-Xbar)^2</t>
  </si>
  <si>
    <t>(Xi-Xbar)(Yi-Ybar)</t>
  </si>
  <si>
    <t>(Yi-Ybar)^2</t>
  </si>
  <si>
    <t>yihat</t>
  </si>
  <si>
    <t>생존 수</t>
  </si>
  <si>
    <t>관측수</t>
  </si>
  <si>
    <t>X의 평균</t>
  </si>
  <si>
    <t>Y의 평균</t>
  </si>
  <si>
    <t>Sxx</t>
  </si>
  <si>
    <t>Sxy</t>
  </si>
  <si>
    <t>Syy</t>
  </si>
  <si>
    <t>SSE</t>
  </si>
  <si>
    <t>MSE(=S^2)</t>
  </si>
  <si>
    <t>추정량</t>
  </si>
  <si>
    <t>표준오차</t>
  </si>
  <si>
    <t>t통계량</t>
  </si>
  <si>
    <t>p-value</t>
  </si>
  <si>
    <t>95%신뢰하한</t>
  </si>
  <si>
    <t>95%신뢰상한</t>
  </si>
  <si>
    <t>beta0</t>
  </si>
  <si>
    <t>beta1</t>
  </si>
  <si>
    <t>1) 선형 회귀 직선식을 구하라.</t>
  </si>
  <si>
    <t>2) 기울기의 95% 신뢰구간을 구하라.</t>
  </si>
  <si>
    <t>하한</t>
  </si>
  <si>
    <t>상한</t>
  </si>
  <si>
    <t>3) 추정된 선형 회귀 직선으로 y를 몇 % 나 설명하는가?</t>
  </si>
  <si>
    <t>4) x가 200일 때 y값을 예측하여라</t>
  </si>
  <si>
    <t>y</t>
  </si>
  <si>
    <t>5) 기울기가 0이 아니라는 가설을 검정하시오(유의수준 0.05)</t>
  </si>
  <si>
    <t>결과</t>
  </si>
  <si>
    <t>6) 기울기가 2보다 크다는 가설을 검정하시오(유의수준 0.05)</t>
  </si>
  <si>
    <t>검정통계량</t>
  </si>
  <si>
    <t>기각역</t>
  </si>
  <si>
    <t>예측값</t>
  </si>
  <si>
    <t>평균</t>
  </si>
  <si>
    <t>신뢰수준</t>
  </si>
  <si>
    <t>신뢰하한</t>
  </si>
  <si>
    <t>신뢰상한</t>
  </si>
  <si>
    <t>통조림 공장에서 통조림을 제조하기 전에 많은 양의 끓는 물로 채소를 세척하고 있다. 그런데 새로 개발된 방법인 증기를 이용한 세척방법(SBP)을 사용하면</t>
    <phoneticPr fontId="5" type="noConversion"/>
  </si>
  <si>
    <t>채소에 들어있는 비타민과 미네랄이 기존의 방법보다 적게 손실된다고 한다. 10곳의 농장에서 얻은 10다발의 콩을 가지고 SBP방법과 기존의 방법을 비교하고자 한다.</t>
    <phoneticPr fontId="5" type="noConversion"/>
  </si>
  <si>
    <t>각 다발의 콩 중에서 반은 기존의 방법으로 나머지 반은 SBP방법으로 처리한 후 통조림 된 콩에서 450g당 비타민의 양을 측정하였다.</t>
    <phoneticPr fontId="5" type="noConversion"/>
  </si>
  <si>
    <t>기존의 방법</t>
    <phoneticPr fontId="5" type="noConversion"/>
  </si>
  <si>
    <t>SBP</t>
    <phoneticPr fontId="5" type="noConversion"/>
  </si>
  <si>
    <t xml:space="preserve">1) 두가지 방법을 사용하였을 때 450g당 비타민 양의 평균차에 대한 98% 신뢰구간을 구하라. </t>
    <phoneticPr fontId="5" type="noConversion"/>
  </si>
  <si>
    <t>2) 기존의 방법보다 SBP방법을 사용하였을 때 비타민이 적게 손실된다고 할 수 있는지 검정하시오.(유의수준 0.05)</t>
    <phoneticPr fontId="5" type="noConversion"/>
  </si>
  <si>
    <t>x</t>
    <phoneticPr fontId="2" type="noConversion"/>
  </si>
  <si>
    <t>y</t>
    <phoneticPr fontId="2" type="noConversion"/>
  </si>
  <si>
    <t>SST</t>
    <phoneticPr fontId="2" type="noConversion"/>
  </si>
  <si>
    <t>RMSE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</si>
  <si>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</si>
  <si>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</si>
  <si>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</si>
  <si>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</si>
  <si>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</si>
  <si>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</si>
  <si>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</si>
  <si>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</si>
  <si>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</si>
  <si>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</si>
  <si>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</si>
  <si>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</si>
  <si>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</si>
  <si>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</si>
  <si>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</si>
  <si>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</si>
  <si>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</si>
  <si>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</si>
  <si>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</si>
  <si>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</si>
  <si>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</si>
  <si>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</si>
  <si>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</si>
  <si>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y  = 259.5 - 19.5x</t>
    <phoneticPr fontId="2" type="noConversion"/>
  </si>
  <si>
    <t xml:space="preserve">기울기(beta1)는 0이라고 할 수 없다. </t>
    <phoneticPr fontId="2" type="noConversion"/>
  </si>
  <si>
    <t xml:space="preserve">&lt;- 문제가 적절하지 않았네요.. 원래 이 셀안의 수식은 맞습니다. </t>
    <phoneticPr fontId="2" type="noConversion"/>
  </si>
  <si>
    <t xml:space="preserve">&lt;- 문제가 적절하지 않았습니다. </t>
    <phoneticPr fontId="2" type="noConversion"/>
  </si>
  <si>
    <t>x를 9로 바꾸어서 풀었습니다.</t>
    <phoneticPr fontId="2" type="noConversion"/>
  </si>
  <si>
    <t>7) x가 9일 경우 y의 평균값에 대한 95% 신뢰구간을 구하라.</t>
    <phoneticPr fontId="2" type="noConversion"/>
  </si>
  <si>
    <t>8) x가 9일 경우 y값에 대한 95% 신뢰구간을 구하라.</t>
    <phoneticPr fontId="2" type="noConversion"/>
  </si>
  <si>
    <t>d</t>
    <phoneticPr fontId="2" type="noConversion"/>
  </si>
  <si>
    <t>평균</t>
    <phoneticPr fontId="2" type="noConversion"/>
  </si>
  <si>
    <t>t0.01(9)</t>
    <phoneticPr fontId="2" type="noConversion"/>
  </si>
  <si>
    <t>관측수</t>
    <phoneticPr fontId="2" type="noConversion"/>
  </si>
  <si>
    <t>S(D)</t>
    <phoneticPr fontId="2" type="noConversion"/>
  </si>
  <si>
    <t>신뢰하한</t>
    <phoneticPr fontId="2" type="noConversion"/>
  </si>
  <si>
    <t>신뢰상한</t>
    <phoneticPr fontId="2" type="noConversion"/>
  </si>
  <si>
    <t>H0</t>
    <phoneticPr fontId="2" type="noConversion"/>
  </si>
  <si>
    <t>d=0</t>
    <phoneticPr fontId="2" type="noConversion"/>
  </si>
  <si>
    <t>H1</t>
    <phoneticPr fontId="2" type="noConversion"/>
  </si>
  <si>
    <t>d&lt;0</t>
    <phoneticPr fontId="2" type="noConversion"/>
  </si>
  <si>
    <t>검정통계량</t>
    <phoneticPr fontId="2" type="noConversion"/>
  </si>
  <si>
    <t>t =</t>
    <phoneticPr fontId="2" type="noConversion"/>
  </si>
  <si>
    <t>기각역 R :</t>
    <phoneticPr fontId="2" type="noConversion"/>
  </si>
  <si>
    <t>t&lt;=-t0.05(9)=</t>
    <phoneticPr fontId="2" type="noConversion"/>
  </si>
  <si>
    <t>p_value</t>
    <phoneticPr fontId="2" type="noConversion"/>
  </si>
  <si>
    <t>결론</t>
    <phoneticPr fontId="2" type="noConversion"/>
  </si>
  <si>
    <t>h0기각할 수 없다.</t>
    <phoneticPr fontId="2" type="noConversion"/>
  </si>
  <si>
    <t>따라서 기존의 방법과 SBP방법의 차이가 있다고 할 수 없다.</t>
    <phoneticPr fontId="2" type="noConversion"/>
  </si>
  <si>
    <t>t-검정: 쌍체 비교</t>
  </si>
  <si>
    <t>기존의 방법</t>
  </si>
  <si>
    <t>SBP</t>
  </si>
  <si>
    <t>분산</t>
  </si>
  <si>
    <t>피어슨 상관 계수</t>
  </si>
  <si>
    <t>가설 평균차</t>
  </si>
  <si>
    <t>P(T&lt;=t) 단측 검정</t>
  </si>
  <si>
    <t>t 기각치 단측 검정</t>
  </si>
  <si>
    <t>P(T&lt;=t) 양측 검정</t>
  </si>
  <si>
    <t>t 기각치 양측 검정</t>
  </si>
  <si>
    <t>방법1</t>
    <phoneticPr fontId="5" type="noConversion"/>
  </si>
  <si>
    <t>방법2</t>
    <phoneticPr fontId="5" type="noConversion"/>
  </si>
  <si>
    <t>공장 노동자들이 숙련작업을 수행하기 위해 교육받는 2개의 프로그램을 비교하기 위해 20명의 노동자들이 실험에 임했다.
그들 중 10명을 임의로 뽑아서 방법 1에 의해 교육을 받게 하고 나머지 10명은 방법 2에 의해 교육을 받게 하였다. 
교육을 끝내고 난 후 모든 노동자들을 대상으로 숙련작업 수행에 필요한 시간을 측정하여 다음과 같은 자료를 얻었다.  (단위 : 분)  정규분포 가정</t>
    <phoneticPr fontId="5" type="noConversion"/>
  </si>
  <si>
    <t>1. 등분산을 가정하고 문제를 해결하시오.</t>
    <phoneticPr fontId="5" type="noConversion"/>
  </si>
  <si>
    <t>1) 두 방법 사이에 작업 시간의 모평균 차에 대한 95% 신뢰구간을 구하라.</t>
    <phoneticPr fontId="5" type="noConversion"/>
  </si>
  <si>
    <t xml:space="preserve">방법 1 </t>
    <phoneticPr fontId="5" type="noConversion"/>
  </si>
  <si>
    <t>방법 2</t>
    <phoneticPr fontId="5" type="noConversion"/>
  </si>
  <si>
    <t>평균</t>
    <phoneticPr fontId="5" type="noConversion"/>
  </si>
  <si>
    <t>t-검정: 등분산 가정 두 집단</t>
  </si>
  <si>
    <t>빈도</t>
    <phoneticPr fontId="5" type="noConversion"/>
  </si>
  <si>
    <t>분산</t>
    <phoneticPr fontId="5" type="noConversion"/>
  </si>
  <si>
    <t>합동분산</t>
    <phoneticPr fontId="5" type="noConversion"/>
  </si>
  <si>
    <t>변수 1</t>
  </si>
  <si>
    <t>변수 2</t>
  </si>
  <si>
    <t>신뢰수준</t>
    <phoneticPr fontId="5" type="noConversion"/>
  </si>
  <si>
    <t>신뢰 하한</t>
    <phoneticPr fontId="5" type="noConversion"/>
  </si>
  <si>
    <t>신뢰 상한</t>
    <phoneticPr fontId="5" type="noConversion"/>
  </si>
  <si>
    <t>공동(Pooled) 분산</t>
  </si>
  <si>
    <t>2) 이들 자료로부터 방법 1의 교육을 받은 후의 평균 작업 시간이 방법 2보다 적다고 할 수 있는가?(유의수준 0.05)</t>
    <phoneticPr fontId="5" type="noConversion"/>
  </si>
  <si>
    <t>h0</t>
    <phoneticPr fontId="5" type="noConversion"/>
  </si>
  <si>
    <t>m1-m2=2</t>
    <phoneticPr fontId="5" type="noConversion"/>
  </si>
  <si>
    <t>h1</t>
    <phoneticPr fontId="5" type="noConversion"/>
  </si>
  <si>
    <t>m1-m2&lt;0</t>
    <phoneticPr fontId="5" type="noConversion"/>
  </si>
  <si>
    <t>검정통계량</t>
    <phoneticPr fontId="5" type="noConversion"/>
  </si>
  <si>
    <t>기각역</t>
    <phoneticPr fontId="5" type="noConversion"/>
  </si>
  <si>
    <t>p-value</t>
    <phoneticPr fontId="5" type="noConversion"/>
  </si>
  <si>
    <t>결과</t>
    <phoneticPr fontId="5" type="noConversion"/>
  </si>
  <si>
    <t>기각 못함</t>
    <phoneticPr fontId="5" type="noConversion"/>
  </si>
  <si>
    <t>2. 이분산을 가정하고 문제를 해결하시오.</t>
    <phoneticPr fontId="5" type="noConversion"/>
  </si>
  <si>
    <t>1) 두 방법 사이에 작업 시간의 모평균 차에 대한 95% 신뢰구간을 구하라.</t>
    <phoneticPr fontId="5" type="noConversion"/>
  </si>
  <si>
    <t>방법1</t>
    <phoneticPr fontId="5" type="noConversion"/>
  </si>
  <si>
    <t>방법2</t>
    <phoneticPr fontId="5" type="noConversion"/>
  </si>
  <si>
    <t>평균</t>
    <phoneticPr fontId="5" type="noConversion"/>
  </si>
  <si>
    <t>t-검정: 이분산 가정 두 집단</t>
  </si>
  <si>
    <t>차이</t>
    <phoneticPr fontId="2" type="noConversion"/>
  </si>
  <si>
    <t>제곱</t>
    <phoneticPr fontId="2" type="noConversion"/>
  </si>
  <si>
    <t>SSE</t>
    <phoneticPr fontId="2" type="noConversion"/>
  </si>
  <si>
    <t>self계산해서 데이터분석에 있는 결과와 대조할 것.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</si>
  <si>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</si>
  <si>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</si>
  <si>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</si>
  <si>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</si>
  <si>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all</t>
    <phoneticPr fontId="2" type="noConversion"/>
  </si>
  <si>
    <t>SST</t>
    <phoneticPr fontId="2" type="noConversion"/>
  </si>
  <si>
    <t>차이</t>
    <phoneticPr fontId="2" type="noConversion"/>
  </si>
  <si>
    <t>제곱</t>
    <phoneticPr fontId="2" type="noConversion"/>
  </si>
  <si>
    <t>SSt</t>
    <phoneticPr fontId="2" type="noConversion"/>
  </si>
  <si>
    <t>분산분석표</t>
    <phoneticPr fontId="2" type="noConversion"/>
  </si>
  <si>
    <t>ss</t>
    <phoneticPr fontId="8" type="noConversion"/>
  </si>
  <si>
    <t>df</t>
    <phoneticPr fontId="8" type="noConversion"/>
  </si>
  <si>
    <t>ms</t>
    <phoneticPr fontId="8" type="noConversion"/>
  </si>
  <si>
    <t>f</t>
    <phoneticPr fontId="8" type="noConversion"/>
  </si>
  <si>
    <t>p-value</t>
    <phoneticPr fontId="8" type="noConversion"/>
  </si>
  <si>
    <t>treatment</t>
    <phoneticPr fontId="8" type="noConversion"/>
  </si>
  <si>
    <t>error</t>
    <phoneticPr fontId="8" type="noConversion"/>
  </si>
  <si>
    <t>Total</t>
    <phoneticPr fontId="8" type="noConversion"/>
  </si>
  <si>
    <t>분산 분석: 일원 배치법</t>
  </si>
  <si>
    <t>요약표</t>
  </si>
  <si>
    <t>인자의 수준</t>
  </si>
  <si>
    <t>합</t>
  </si>
  <si>
    <t>변동의 요인</t>
  </si>
  <si>
    <t>F 기각치</t>
  </si>
  <si>
    <t>처리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</si>
</sst>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0_ "/>
    <numFmt numFmtId="177" formatCode="0.00000000000000_ "/>
    <numFmt numFmtId="178" formatCode="_-* #,##0.00_-;\-* #,##0.0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1">
      <alignment vertical="center"/>
    </xf>
    <xf numFmtId="2" fontId="1" fillId="0" borderId="0" xfId="1" applyNumberFormat="1">
      <alignment vertical="center"/>
    </xf>
    <xf numFmtId="0" fontId="4" fillId="2" borderId="0" xfId="2" applyFont="1" applyFill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1" fillId="2" borderId="0" xfId="1" applyFill="1">
      <alignment vertical="center"/>
    </xf>
    <xf numFmtId="0" fontId="0" fillId="2" borderId="0" xfId="0" applyFill="1">
      <alignment vertical="center"/>
    </xf>
    <xf numFmtId="1" fontId="1" fillId="0" borderId="0" xfId="1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3" applyNumberFormat="1" applyFont="1">
      <alignment vertical="center"/>
    </xf>
    <xf numFmtId="178" fontId="0" fillId="0" borderId="0" xfId="3" applyNumberFormat="1" applyFont="1">
      <alignment vertical="center"/>
    </xf>
    <xf numFmtId="0" fontId="7" fillId="0" borderId="0" xfId="0" applyFont="1" applyBorder="1">
      <alignment vertical="center"/>
    </xf>
  </cellXfs>
  <cellStyles count="4">
    <cellStyle name="쉼표 [0]" xfId="3" builtinId="6"/>
    <cellStyle name="표준" xfId="0" builtinId="0"/>
    <cellStyle name="표준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workbookViewId="0">
      <selection activeCell="F56" sqref="F56"/>
    </sheetView>
  </sheetViews>
  <sheetFormatPr defaultRowHeight="16.5" x14ac:dyDescent="0.3"/>
  <cols>
    <col min="2" max="2" width="9.625" customWidth="1"/>
    <col min="3" max="3" width="9" customWidth="1"/>
    <col min="7" max="7" width="9.125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F2" t="s">
        <v>154</v>
      </c>
    </row>
    <row r="3" spans="1:6" x14ac:dyDescent="0.3">
      <c r="A3" s="1" t="s">
        <v>1</v>
      </c>
      <c r="B3" s="1" t="s">
        <v>2</v>
      </c>
      <c r="C3" s="1" t="s">
        <v>3</v>
      </c>
      <c r="D3" s="1" t="s">
        <v>4</v>
      </c>
      <c r="E3" s="1"/>
      <c r="F3" s="1"/>
    </row>
    <row r="4" spans="1:6" x14ac:dyDescent="0.3">
      <c r="A4" s="2">
        <v>47</v>
      </c>
      <c r="B4" s="2">
        <v>61.17</v>
      </c>
      <c r="C4" s="2">
        <v>76.760000000000005</v>
      </c>
      <c r="D4" s="2">
        <v>42.71</v>
      </c>
      <c r="E4" s="1"/>
      <c r="F4" s="1" t="s">
        <v>5</v>
      </c>
    </row>
    <row r="5" spans="1:6" x14ac:dyDescent="0.3">
      <c r="A5" s="2">
        <v>37.22</v>
      </c>
      <c r="B5" s="2">
        <v>39.869999999999997</v>
      </c>
      <c r="C5" s="2">
        <v>62.75</v>
      </c>
      <c r="D5" s="2">
        <v>33.75</v>
      </c>
      <c r="E5" s="1"/>
      <c r="F5" s="1"/>
    </row>
    <row r="6" spans="1:6" x14ac:dyDescent="0.3">
      <c r="A6" s="2">
        <v>52.44</v>
      </c>
      <c r="B6" s="2">
        <v>62.65</v>
      </c>
      <c r="C6" s="2">
        <v>68.489999999999995</v>
      </c>
      <c r="D6" s="2">
        <v>32.92</v>
      </c>
      <c r="E6" s="1"/>
      <c r="F6" s="1"/>
    </row>
    <row r="7" spans="1:6" x14ac:dyDescent="0.3">
      <c r="A7" s="2">
        <v>62.76</v>
      </c>
      <c r="B7" s="2">
        <v>63.29</v>
      </c>
      <c r="C7" s="2">
        <v>63.23</v>
      </c>
      <c r="D7" s="2">
        <v>42.27</v>
      </c>
      <c r="E7" s="1"/>
      <c r="F7" s="1"/>
    </row>
    <row r="8" spans="1:6" x14ac:dyDescent="0.3">
      <c r="A8" s="2">
        <v>61.98</v>
      </c>
      <c r="B8" s="2">
        <v>66.260000000000005</v>
      </c>
      <c r="C8" s="2">
        <v>80.569999999999993</v>
      </c>
      <c r="D8" s="2">
        <v>50.5</v>
      </c>
      <c r="E8" s="1"/>
      <c r="F8" s="1"/>
    </row>
    <row r="9" spans="1:6" x14ac:dyDescent="0.3">
      <c r="A9" s="2">
        <v>67.33</v>
      </c>
      <c r="B9" s="2">
        <v>72.989999999999995</v>
      </c>
      <c r="C9" s="2">
        <v>70.02</v>
      </c>
      <c r="D9" s="2">
        <v>32.93</v>
      </c>
      <c r="E9" s="1"/>
      <c r="F9" s="1"/>
    </row>
    <row r="10" spans="1:6" x14ac:dyDescent="0.3">
      <c r="A10" s="2">
        <v>28.16</v>
      </c>
      <c r="B10" s="2">
        <v>43.75</v>
      </c>
      <c r="C10" s="2">
        <v>91.33</v>
      </c>
      <c r="D10" s="2">
        <v>44.83</v>
      </c>
      <c r="E10" s="1"/>
      <c r="F10" s="1"/>
    </row>
    <row r="11" spans="1:6" x14ac:dyDescent="0.3">
      <c r="A11" s="2">
        <v>47.66</v>
      </c>
      <c r="B11" s="2">
        <v>57.81</v>
      </c>
      <c r="C11" s="2"/>
      <c r="D11" s="2">
        <v>42.99</v>
      </c>
      <c r="E11" s="1"/>
      <c r="F11" s="1"/>
    </row>
    <row r="12" spans="1:6" x14ac:dyDescent="0.3">
      <c r="A12" s="2">
        <v>60.95</v>
      </c>
      <c r="B12" s="2"/>
      <c r="C12" s="2"/>
      <c r="D12" s="2">
        <v>33.53</v>
      </c>
      <c r="E12" s="1"/>
      <c r="F12" s="1"/>
    </row>
    <row r="13" spans="1:6" x14ac:dyDescent="0.3">
      <c r="A13" s="2"/>
      <c r="B13" s="2"/>
      <c r="C13" s="2"/>
      <c r="D13" s="2">
        <v>48.07</v>
      </c>
      <c r="E13" s="1"/>
      <c r="F13" s="1"/>
    </row>
    <row r="15" spans="1:6" x14ac:dyDescent="0.3">
      <c r="A15" t="s">
        <v>155</v>
      </c>
      <c r="B15" t="s">
        <v>156</v>
      </c>
      <c r="C15" t="s">
        <v>157</v>
      </c>
      <c r="D15" t="s">
        <v>158</v>
      </c>
      <c r="E15" t="s">
        <v>159</v>
      </c>
    </row>
    <row r="16" spans="1:6" x14ac:dyDescent="0.3">
      <c r="A16" s="2">
        <f>AVERAGE(A4:A12)</f>
        <v>51.722222222222214</v>
      </c>
      <c r="B16" s="2">
        <f>AVERAGE(B4:B11)</f>
        <v>58.473750000000003</v>
      </c>
      <c r="C16" s="2">
        <f>AVERAGE(C4:C10)</f>
        <v>73.30714285714285</v>
      </c>
      <c r="D16" s="2">
        <f>AVERAGE(D4:D13)</f>
        <v>40.450000000000003</v>
      </c>
      <c r="E16" s="2">
        <f>AVERAGE(A4:D13)</f>
        <v>54.439411764705881</v>
      </c>
      <c r="F16" s="1"/>
    </row>
    <row r="17" spans="1:12" x14ac:dyDescent="0.3">
      <c r="A17" s="17">
        <v>9</v>
      </c>
      <c r="B17" s="17">
        <v>8</v>
      </c>
      <c r="C17" s="17">
        <v>7</v>
      </c>
      <c r="D17" s="17">
        <v>10</v>
      </c>
      <c r="E17">
        <f>34</f>
        <v>34</v>
      </c>
    </row>
    <row r="18" spans="1:12" x14ac:dyDescent="0.3">
      <c r="B18" t="s">
        <v>151</v>
      </c>
      <c r="G18" t="s">
        <v>152</v>
      </c>
      <c r="L18" t="s">
        <v>160</v>
      </c>
    </row>
    <row r="19" spans="1:12" x14ac:dyDescent="0.3">
      <c r="A19" t="s">
        <v>160</v>
      </c>
      <c r="B19" s="18">
        <f>A4-$E$16</f>
        <v>-7.4394117647058806</v>
      </c>
      <c r="C19" s="18">
        <f>B4-$E$16</f>
        <v>6.7305882352941211</v>
      </c>
      <c r="D19" s="18">
        <f>C4-$E$16</f>
        <v>22.320588235294125</v>
      </c>
      <c r="E19" s="18">
        <f>D4-$E$16</f>
        <v>-11.72941176470588</v>
      </c>
      <c r="G19" s="18">
        <f>B19^2</f>
        <v>55.344847404844266</v>
      </c>
      <c r="H19" s="18">
        <f t="shared" ref="H19:J28" si="0">C19^2</f>
        <v>45.300817993079633</v>
      </c>
      <c r="I19" s="18">
        <f t="shared" si="0"/>
        <v>498.20865916955046</v>
      </c>
      <c r="J19" s="18">
        <f t="shared" si="0"/>
        <v>137.57910034602071</v>
      </c>
      <c r="K19" s="18"/>
      <c r="L19" s="18">
        <f>SUM(G19:J28)</f>
        <v>7924.4893882352935</v>
      </c>
    </row>
    <row r="20" spans="1:12" x14ac:dyDescent="0.3">
      <c r="B20" s="18">
        <f t="shared" ref="B20:E28" si="1">A5-$E$16</f>
        <v>-17.219411764705882</v>
      </c>
      <c r="C20" s="18">
        <f t="shared" si="1"/>
        <v>-14.569411764705883</v>
      </c>
      <c r="D20" s="18">
        <f t="shared" si="1"/>
        <v>8.3105882352941194</v>
      </c>
      <c r="E20" s="18">
        <f t="shared" si="1"/>
        <v>-20.689411764705881</v>
      </c>
      <c r="G20" s="18">
        <f t="shared" ref="G20:G27" si="2">B20^2</f>
        <v>296.50814152249131</v>
      </c>
      <c r="H20" s="18">
        <f t="shared" si="0"/>
        <v>212.2677591695502</v>
      </c>
      <c r="I20" s="18">
        <f t="shared" si="0"/>
        <v>69.06587681660902</v>
      </c>
      <c r="J20" s="18">
        <f t="shared" si="0"/>
        <v>428.05175916955011</v>
      </c>
      <c r="K20" s="18"/>
    </row>
    <row r="21" spans="1:12" x14ac:dyDescent="0.3">
      <c r="B21" s="18">
        <f t="shared" si="1"/>
        <v>-1.9994117647058829</v>
      </c>
      <c r="C21" s="18">
        <f t="shared" si="1"/>
        <v>8.210588235294118</v>
      </c>
      <c r="D21" s="18">
        <f t="shared" si="1"/>
        <v>14.050588235294114</v>
      </c>
      <c r="E21" s="18">
        <f t="shared" si="1"/>
        <v>-21.519411764705879</v>
      </c>
      <c r="G21" s="18">
        <f t="shared" si="2"/>
        <v>3.9976474048442929</v>
      </c>
      <c r="H21" s="18">
        <f t="shared" si="0"/>
        <v>67.413759169550175</v>
      </c>
      <c r="I21" s="18">
        <f t="shared" si="0"/>
        <v>197.41902975778538</v>
      </c>
      <c r="J21" s="18">
        <f t="shared" si="0"/>
        <v>463.0850826989618</v>
      </c>
      <c r="K21" s="18"/>
    </row>
    <row r="22" spans="1:12" x14ac:dyDescent="0.3">
      <c r="B22" s="18">
        <f t="shared" si="1"/>
        <v>8.3205882352941174</v>
      </c>
      <c r="C22" s="18">
        <f t="shared" si="1"/>
        <v>8.8505882352941185</v>
      </c>
      <c r="D22" s="18">
        <f t="shared" si="1"/>
        <v>8.7905882352941163</v>
      </c>
      <c r="E22" s="18">
        <f t="shared" si="1"/>
        <v>-12.169411764705877</v>
      </c>
      <c r="G22" s="18">
        <f t="shared" si="2"/>
        <v>69.232188581314873</v>
      </c>
      <c r="H22" s="18">
        <f t="shared" si="0"/>
        <v>78.332912110726653</v>
      </c>
      <c r="I22" s="18">
        <f t="shared" si="0"/>
        <v>77.27444152249133</v>
      </c>
      <c r="J22" s="18">
        <f t="shared" si="0"/>
        <v>148.09458269896183</v>
      </c>
      <c r="K22" s="18"/>
    </row>
    <row r="23" spans="1:12" x14ac:dyDescent="0.3">
      <c r="B23" s="18">
        <f t="shared" si="1"/>
        <v>7.5405882352941163</v>
      </c>
      <c r="C23" s="18">
        <f t="shared" si="1"/>
        <v>11.820588235294125</v>
      </c>
      <c r="D23" s="18">
        <f t="shared" si="1"/>
        <v>26.130588235294113</v>
      </c>
      <c r="E23" s="18">
        <f t="shared" si="1"/>
        <v>-3.9394117647058806</v>
      </c>
      <c r="G23" s="18">
        <f t="shared" si="2"/>
        <v>56.860470934256035</v>
      </c>
      <c r="H23" s="18">
        <f t="shared" si="0"/>
        <v>139.72630622837386</v>
      </c>
      <c r="I23" s="18">
        <f t="shared" si="0"/>
        <v>682.80764152249105</v>
      </c>
      <c r="J23" s="18">
        <f t="shared" si="0"/>
        <v>15.5189650519031</v>
      </c>
      <c r="K23" s="18"/>
    </row>
    <row r="24" spans="1:12" x14ac:dyDescent="0.3">
      <c r="B24" s="18">
        <f t="shared" si="1"/>
        <v>12.890588235294118</v>
      </c>
      <c r="C24" s="18">
        <f t="shared" si="1"/>
        <v>18.550588235294114</v>
      </c>
      <c r="D24" s="18">
        <f t="shared" si="1"/>
        <v>15.580588235294115</v>
      </c>
      <c r="E24" s="18">
        <f t="shared" si="1"/>
        <v>-21.509411764705881</v>
      </c>
      <c r="G24" s="18">
        <f t="shared" si="2"/>
        <v>166.16726505190312</v>
      </c>
      <c r="H24" s="18">
        <f t="shared" si="0"/>
        <v>344.12432387543242</v>
      </c>
      <c r="I24" s="18">
        <f t="shared" si="0"/>
        <v>242.75472975778538</v>
      </c>
      <c r="J24" s="18">
        <f t="shared" si="0"/>
        <v>462.65479446366777</v>
      </c>
      <c r="K24" s="18"/>
    </row>
    <row r="25" spans="1:12" x14ac:dyDescent="0.3">
      <c r="B25" s="18">
        <f t="shared" si="1"/>
        <v>-26.27941176470588</v>
      </c>
      <c r="C25" s="18">
        <f t="shared" si="1"/>
        <v>-10.689411764705881</v>
      </c>
      <c r="D25" s="18">
        <f t="shared" si="1"/>
        <v>36.890588235294118</v>
      </c>
      <c r="E25" s="18">
        <f t="shared" si="1"/>
        <v>-9.6094117647058823</v>
      </c>
      <c r="G25" s="18">
        <f t="shared" si="2"/>
        <v>690.6074826989618</v>
      </c>
      <c r="H25" s="18">
        <f t="shared" si="0"/>
        <v>114.26352387543248</v>
      </c>
      <c r="I25" s="18">
        <f t="shared" si="0"/>
        <v>1360.9155003460207</v>
      </c>
      <c r="J25" s="18">
        <f t="shared" si="0"/>
        <v>92.34079446366782</v>
      </c>
      <c r="K25" s="18"/>
    </row>
    <row r="26" spans="1:12" x14ac:dyDescent="0.3">
      <c r="B26" s="18">
        <f t="shared" si="1"/>
        <v>-6.779411764705884</v>
      </c>
      <c r="C26" s="18">
        <f t="shared" si="1"/>
        <v>3.3705882352941217</v>
      </c>
      <c r="D26" s="18"/>
      <c r="E26" s="18">
        <f t="shared" si="1"/>
        <v>-11.449411764705879</v>
      </c>
      <c r="G26" s="18">
        <f t="shared" si="2"/>
        <v>45.960423875432546</v>
      </c>
      <c r="H26" s="18">
        <f t="shared" si="0"/>
        <v>11.360865051903142</v>
      </c>
      <c r="I26" s="18"/>
      <c r="J26" s="18">
        <f t="shared" si="0"/>
        <v>131.08902975778537</v>
      </c>
      <c r="K26" s="18"/>
    </row>
    <row r="27" spans="1:12" x14ac:dyDescent="0.3">
      <c r="B27" s="18">
        <f t="shared" si="1"/>
        <v>6.5105882352941222</v>
      </c>
      <c r="C27" s="18"/>
      <c r="D27" s="18"/>
      <c r="E27" s="18">
        <f t="shared" si="1"/>
        <v>-20.909411764705879</v>
      </c>
      <c r="G27" s="18">
        <f t="shared" si="2"/>
        <v>42.387759169550236</v>
      </c>
      <c r="H27" s="18"/>
      <c r="I27" s="18"/>
      <c r="J27" s="18">
        <f t="shared" si="0"/>
        <v>437.20350034602063</v>
      </c>
      <c r="K27" s="18"/>
    </row>
    <row r="28" spans="1:12" x14ac:dyDescent="0.3">
      <c r="B28" s="19"/>
      <c r="E28" s="18">
        <f t="shared" si="1"/>
        <v>-6.3694117647058803</v>
      </c>
      <c r="G28" s="18"/>
      <c r="H28" s="18"/>
      <c r="I28" s="18"/>
      <c r="J28" s="18">
        <f t="shared" si="0"/>
        <v>40.56940622837368</v>
      </c>
      <c r="K28" s="18"/>
    </row>
    <row r="29" spans="1:12" x14ac:dyDescent="0.3">
      <c r="B29" t="s">
        <v>161</v>
      </c>
      <c r="G29" t="s">
        <v>162</v>
      </c>
      <c r="L29" t="s">
        <v>163</v>
      </c>
    </row>
    <row r="30" spans="1:12" x14ac:dyDescent="0.3">
      <c r="A30" t="s">
        <v>163</v>
      </c>
      <c r="B30" s="20">
        <f>$A$16-$E$16</f>
        <v>-2.7171895424836663</v>
      </c>
      <c r="C30" s="18">
        <f>$B$16-$E$16</f>
        <v>4.0343382352941219</v>
      </c>
      <c r="D30" s="18">
        <f>$C$16-$E$16</f>
        <v>18.867731092436969</v>
      </c>
      <c r="E30" s="18">
        <f>$D$16-$E$16</f>
        <v>-13.989411764705878</v>
      </c>
      <c r="F30" s="18"/>
      <c r="G30" s="18">
        <f>B30^2</f>
        <v>7.3831190097825958</v>
      </c>
      <c r="H30" s="18">
        <f t="shared" ref="H30:J39" si="3">C30^2</f>
        <v>16.275884996756091</v>
      </c>
      <c r="I30" s="18">
        <f t="shared" si="3"/>
        <v>355.99127657651275</v>
      </c>
      <c r="J30" s="18">
        <f t="shared" si="3"/>
        <v>195.70364152249121</v>
      </c>
      <c r="K30" s="18"/>
      <c r="L30" s="18">
        <f>SUM(G30:J39)</f>
        <v>4645.6305023225932</v>
      </c>
    </row>
    <row r="31" spans="1:12" x14ac:dyDescent="0.3">
      <c r="B31" s="20">
        <f>$A$16-$E$16</f>
        <v>-2.7171895424836663</v>
      </c>
      <c r="C31" s="18">
        <f t="shared" ref="C31:C37" si="4">$B$16-$E$16</f>
        <v>4.0343382352941219</v>
      </c>
      <c r="D31" s="18">
        <f t="shared" ref="D31:D36" si="5">$C$16-$E$16</f>
        <v>18.867731092436969</v>
      </c>
      <c r="E31" s="18">
        <f t="shared" ref="E31:E39" si="6">$D$16-$E$16</f>
        <v>-13.989411764705878</v>
      </c>
      <c r="F31" s="18"/>
      <c r="G31" s="18">
        <f t="shared" ref="G31:G38" si="7">B31^2</f>
        <v>7.3831190097825958</v>
      </c>
      <c r="H31" s="18">
        <f t="shared" si="3"/>
        <v>16.275884996756091</v>
      </c>
      <c r="I31" s="18">
        <f t="shared" si="3"/>
        <v>355.99127657651275</v>
      </c>
      <c r="J31" s="18">
        <f t="shared" si="3"/>
        <v>195.70364152249121</v>
      </c>
      <c r="K31" s="18"/>
      <c r="L31" s="18"/>
    </row>
    <row r="32" spans="1:12" x14ac:dyDescent="0.3">
      <c r="B32" s="20">
        <f t="shared" ref="B32:B38" si="8">$A$16-$E$16</f>
        <v>-2.7171895424836663</v>
      </c>
      <c r="C32" s="18">
        <f t="shared" si="4"/>
        <v>4.0343382352941219</v>
      </c>
      <c r="D32" s="18">
        <f t="shared" si="5"/>
        <v>18.867731092436969</v>
      </c>
      <c r="E32" s="18">
        <f t="shared" si="6"/>
        <v>-13.989411764705878</v>
      </c>
      <c r="F32" s="18"/>
      <c r="G32" s="18">
        <f t="shared" si="7"/>
        <v>7.3831190097825958</v>
      </c>
      <c r="H32" s="18">
        <f t="shared" si="3"/>
        <v>16.275884996756091</v>
      </c>
      <c r="I32" s="18">
        <f t="shared" si="3"/>
        <v>355.99127657651275</v>
      </c>
      <c r="J32" s="18">
        <f t="shared" si="3"/>
        <v>195.70364152249121</v>
      </c>
      <c r="K32" s="18"/>
      <c r="L32" s="18"/>
    </row>
    <row r="33" spans="1:12" x14ac:dyDescent="0.3">
      <c r="B33" s="20">
        <f t="shared" si="8"/>
        <v>-2.7171895424836663</v>
      </c>
      <c r="C33" s="18">
        <f t="shared" si="4"/>
        <v>4.0343382352941219</v>
      </c>
      <c r="D33" s="18">
        <f t="shared" si="5"/>
        <v>18.867731092436969</v>
      </c>
      <c r="E33" s="18">
        <f t="shared" si="6"/>
        <v>-13.989411764705878</v>
      </c>
      <c r="F33" s="18"/>
      <c r="G33" s="18">
        <f t="shared" si="7"/>
        <v>7.3831190097825958</v>
      </c>
      <c r="H33" s="18">
        <f t="shared" si="3"/>
        <v>16.275884996756091</v>
      </c>
      <c r="I33" s="18">
        <f t="shared" si="3"/>
        <v>355.99127657651275</v>
      </c>
      <c r="J33" s="18">
        <f t="shared" si="3"/>
        <v>195.70364152249121</v>
      </c>
      <c r="K33" s="18"/>
      <c r="L33" s="18"/>
    </row>
    <row r="34" spans="1:12" x14ac:dyDescent="0.3">
      <c r="B34" s="20">
        <f t="shared" si="8"/>
        <v>-2.7171895424836663</v>
      </c>
      <c r="C34" s="18">
        <f t="shared" si="4"/>
        <v>4.0343382352941219</v>
      </c>
      <c r="D34" s="18">
        <f t="shared" si="5"/>
        <v>18.867731092436969</v>
      </c>
      <c r="E34" s="18">
        <f t="shared" si="6"/>
        <v>-13.989411764705878</v>
      </c>
      <c r="F34" s="18"/>
      <c r="G34" s="18">
        <f t="shared" si="7"/>
        <v>7.3831190097825958</v>
      </c>
      <c r="H34" s="18">
        <f t="shared" si="3"/>
        <v>16.275884996756091</v>
      </c>
      <c r="I34" s="18">
        <f t="shared" si="3"/>
        <v>355.99127657651275</v>
      </c>
      <c r="J34" s="18">
        <f t="shared" si="3"/>
        <v>195.70364152249121</v>
      </c>
      <c r="K34" s="18"/>
      <c r="L34" s="18"/>
    </row>
    <row r="35" spans="1:12" x14ac:dyDescent="0.3">
      <c r="B35" s="20">
        <f t="shared" si="8"/>
        <v>-2.7171895424836663</v>
      </c>
      <c r="C35" s="18">
        <f t="shared" si="4"/>
        <v>4.0343382352941219</v>
      </c>
      <c r="D35" s="18">
        <f t="shared" si="5"/>
        <v>18.867731092436969</v>
      </c>
      <c r="E35" s="18">
        <f t="shared" si="6"/>
        <v>-13.989411764705878</v>
      </c>
      <c r="F35" s="18"/>
      <c r="G35" s="18">
        <f t="shared" si="7"/>
        <v>7.3831190097825958</v>
      </c>
      <c r="H35" s="18">
        <f t="shared" si="3"/>
        <v>16.275884996756091</v>
      </c>
      <c r="I35" s="18">
        <f t="shared" si="3"/>
        <v>355.99127657651275</v>
      </c>
      <c r="J35" s="18">
        <f t="shared" si="3"/>
        <v>195.70364152249121</v>
      </c>
      <c r="K35" s="18"/>
      <c r="L35" s="18"/>
    </row>
    <row r="36" spans="1:12" x14ac:dyDescent="0.3">
      <c r="B36" s="20">
        <f t="shared" si="8"/>
        <v>-2.7171895424836663</v>
      </c>
      <c r="C36" s="18">
        <f t="shared" si="4"/>
        <v>4.0343382352941219</v>
      </c>
      <c r="D36" s="18">
        <f t="shared" si="5"/>
        <v>18.867731092436969</v>
      </c>
      <c r="E36" s="18">
        <f t="shared" si="6"/>
        <v>-13.989411764705878</v>
      </c>
      <c r="F36" s="18"/>
      <c r="G36" s="18">
        <f t="shared" si="7"/>
        <v>7.3831190097825958</v>
      </c>
      <c r="H36" s="18">
        <f t="shared" si="3"/>
        <v>16.275884996756091</v>
      </c>
      <c r="I36" s="18">
        <f t="shared" si="3"/>
        <v>355.99127657651275</v>
      </c>
      <c r="J36" s="18">
        <f t="shared" si="3"/>
        <v>195.70364152249121</v>
      </c>
      <c r="K36" s="18"/>
      <c r="L36" s="18"/>
    </row>
    <row r="37" spans="1:12" x14ac:dyDescent="0.3">
      <c r="B37" s="20">
        <f t="shared" si="8"/>
        <v>-2.7171895424836663</v>
      </c>
      <c r="C37" s="18">
        <f t="shared" si="4"/>
        <v>4.0343382352941219</v>
      </c>
      <c r="D37" s="18"/>
      <c r="E37" s="18">
        <f t="shared" si="6"/>
        <v>-13.989411764705878</v>
      </c>
      <c r="F37" s="18"/>
      <c r="G37" s="18">
        <f t="shared" si="7"/>
        <v>7.3831190097825958</v>
      </c>
      <c r="H37" s="18">
        <f t="shared" si="3"/>
        <v>16.275884996756091</v>
      </c>
      <c r="I37" s="18"/>
      <c r="J37" s="18">
        <f t="shared" si="3"/>
        <v>195.70364152249121</v>
      </c>
      <c r="K37" s="18"/>
      <c r="L37" s="18"/>
    </row>
    <row r="38" spans="1:12" x14ac:dyDescent="0.3">
      <c r="B38" s="20">
        <f t="shared" si="8"/>
        <v>-2.7171895424836663</v>
      </c>
      <c r="C38" s="18"/>
      <c r="D38" s="18"/>
      <c r="E38" s="18">
        <f t="shared" si="6"/>
        <v>-13.989411764705878</v>
      </c>
      <c r="F38" s="18"/>
      <c r="G38" s="18">
        <f t="shared" si="7"/>
        <v>7.3831190097825958</v>
      </c>
      <c r="H38" s="18"/>
      <c r="I38" s="18"/>
      <c r="J38" s="18">
        <f t="shared" si="3"/>
        <v>195.70364152249121</v>
      </c>
      <c r="K38" s="18"/>
      <c r="L38" s="18"/>
    </row>
    <row r="39" spans="1:12" x14ac:dyDescent="0.3">
      <c r="B39" s="21"/>
      <c r="E39" s="18">
        <f t="shared" si="6"/>
        <v>-13.989411764705878</v>
      </c>
      <c r="G39" s="18"/>
      <c r="H39" s="18"/>
      <c r="I39" s="18"/>
      <c r="J39" s="18">
        <f t="shared" si="3"/>
        <v>195.70364152249121</v>
      </c>
    </row>
    <row r="40" spans="1:12" x14ac:dyDescent="0.3">
      <c r="B40" t="s">
        <v>151</v>
      </c>
      <c r="G40" t="s">
        <v>152</v>
      </c>
      <c r="L40" t="s">
        <v>153</v>
      </c>
    </row>
    <row r="41" spans="1:12" x14ac:dyDescent="0.3">
      <c r="A41" t="s">
        <v>153</v>
      </c>
      <c r="B41" s="18">
        <f>A4-$A$16</f>
        <v>-4.7222222222222143</v>
      </c>
      <c r="C41" s="18">
        <f>B4-$B$16</f>
        <v>2.6962499999999991</v>
      </c>
      <c r="D41" s="18">
        <f>C4-$C$16</f>
        <v>3.4528571428571553</v>
      </c>
      <c r="E41" s="18">
        <f>D4-$D$16</f>
        <v>2.259999999999998</v>
      </c>
      <c r="F41" s="18"/>
      <c r="G41" s="18">
        <f>B41^2</f>
        <v>22.299382716049308</v>
      </c>
      <c r="H41" s="18">
        <f t="shared" ref="H41:J50" si="9">C41^2</f>
        <v>7.2697640624999957</v>
      </c>
      <c r="I41" s="18">
        <f t="shared" si="9"/>
        <v>11.922222448979678</v>
      </c>
      <c r="J41" s="18">
        <f t="shared" si="9"/>
        <v>5.1075999999999908</v>
      </c>
      <c r="K41" s="18"/>
      <c r="L41" s="18">
        <f>SUM(G41:J50)</f>
        <v>3278.8588859126976</v>
      </c>
    </row>
    <row r="42" spans="1:12" x14ac:dyDescent="0.3">
      <c r="B42" s="18">
        <f t="shared" ref="B42:B49" si="10">A5-$A$16</f>
        <v>-14.502222222222215</v>
      </c>
      <c r="C42" s="18">
        <f t="shared" ref="C42:C48" si="11">B5-$B$16</f>
        <v>-18.603750000000005</v>
      </c>
      <c r="D42" s="18">
        <f t="shared" ref="D42:D47" si="12">C5-$C$16</f>
        <v>-10.55714285714285</v>
      </c>
      <c r="E42" s="18">
        <f t="shared" ref="E42:E50" si="13">D5-$D$16</f>
        <v>-6.7000000000000028</v>
      </c>
      <c r="F42" s="18"/>
      <c r="G42" s="18">
        <f t="shared" ref="G42:G49" si="14">B42^2</f>
        <v>210.31444938271585</v>
      </c>
      <c r="H42" s="18">
        <f t="shared" si="9"/>
        <v>346.09951406250019</v>
      </c>
      <c r="I42" s="18">
        <f t="shared" si="9"/>
        <v>111.45326530612229</v>
      </c>
      <c r="J42" s="18">
        <f t="shared" si="9"/>
        <v>44.890000000000036</v>
      </c>
      <c r="K42" s="18"/>
      <c r="L42" s="18"/>
    </row>
    <row r="43" spans="1:12" x14ac:dyDescent="0.3">
      <c r="B43" s="18">
        <f t="shared" si="10"/>
        <v>0.7177777777777834</v>
      </c>
      <c r="C43" s="18">
        <f t="shared" si="11"/>
        <v>4.176249999999996</v>
      </c>
      <c r="D43" s="18">
        <f t="shared" si="12"/>
        <v>-4.817142857142855</v>
      </c>
      <c r="E43" s="18">
        <f t="shared" si="13"/>
        <v>-7.5300000000000011</v>
      </c>
      <c r="F43" s="18"/>
      <c r="G43" s="18">
        <f t="shared" si="14"/>
        <v>0.51520493827161296</v>
      </c>
      <c r="H43" s="18">
        <f t="shared" si="9"/>
        <v>17.441064062499965</v>
      </c>
      <c r="I43" s="18">
        <f t="shared" si="9"/>
        <v>23.204865306122429</v>
      </c>
      <c r="J43" s="18">
        <f t="shared" si="9"/>
        <v>56.700900000000019</v>
      </c>
      <c r="K43" s="18"/>
      <c r="L43" s="18"/>
    </row>
    <row r="44" spans="1:12" x14ac:dyDescent="0.3">
      <c r="B44" s="18">
        <f t="shared" si="10"/>
        <v>11.037777777777784</v>
      </c>
      <c r="C44" s="18">
        <f t="shared" si="11"/>
        <v>4.8162499999999966</v>
      </c>
      <c r="D44" s="18">
        <f t="shared" si="12"/>
        <v>-10.077142857142853</v>
      </c>
      <c r="E44" s="18">
        <f t="shared" si="13"/>
        <v>1.8200000000000003</v>
      </c>
      <c r="F44" s="18"/>
      <c r="G44" s="18">
        <f t="shared" si="14"/>
        <v>121.83253827160507</v>
      </c>
      <c r="H44" s="18">
        <f t="shared" si="9"/>
        <v>23.196264062499967</v>
      </c>
      <c r="I44" s="18">
        <f t="shared" si="9"/>
        <v>101.54880816326522</v>
      </c>
      <c r="J44" s="18">
        <f t="shared" si="9"/>
        <v>3.3124000000000011</v>
      </c>
      <c r="K44" s="18"/>
      <c r="L44" s="18"/>
    </row>
    <row r="45" spans="1:12" x14ac:dyDescent="0.3">
      <c r="B45" s="18">
        <f t="shared" si="10"/>
        <v>10.257777777777783</v>
      </c>
      <c r="C45" s="18">
        <f t="shared" si="11"/>
        <v>7.7862500000000026</v>
      </c>
      <c r="D45" s="18">
        <f t="shared" si="12"/>
        <v>7.2628571428571433</v>
      </c>
      <c r="E45" s="18">
        <f t="shared" si="13"/>
        <v>10.049999999999997</v>
      </c>
      <c r="F45" s="18"/>
      <c r="G45" s="18">
        <f t="shared" si="14"/>
        <v>105.22200493827171</v>
      </c>
      <c r="H45" s="18">
        <f t="shared" si="9"/>
        <v>60.625689062500037</v>
      </c>
      <c r="I45" s="18">
        <f t="shared" si="9"/>
        <v>52.749093877551026</v>
      </c>
      <c r="J45" s="18">
        <f t="shared" si="9"/>
        <v>101.00249999999994</v>
      </c>
      <c r="K45" s="18"/>
      <c r="L45" s="18"/>
    </row>
    <row r="46" spans="1:12" x14ac:dyDescent="0.3">
      <c r="B46" s="18">
        <f t="shared" si="10"/>
        <v>15.607777777777784</v>
      </c>
      <c r="C46" s="18">
        <f t="shared" si="11"/>
        <v>14.516249999999992</v>
      </c>
      <c r="D46" s="18">
        <f t="shared" si="12"/>
        <v>-3.2871428571428538</v>
      </c>
      <c r="E46" s="18">
        <f t="shared" si="13"/>
        <v>-7.5200000000000031</v>
      </c>
      <c r="F46" s="18"/>
      <c r="G46" s="18">
        <f t="shared" si="14"/>
        <v>243.60272716049403</v>
      </c>
      <c r="H46" s="18">
        <f t="shared" si="9"/>
        <v>210.72151406249978</v>
      </c>
      <c r="I46" s="18">
        <f t="shared" si="9"/>
        <v>10.805308163265284</v>
      </c>
      <c r="J46" s="18">
        <f t="shared" si="9"/>
        <v>56.550400000000046</v>
      </c>
      <c r="K46" s="18"/>
      <c r="L46" s="18"/>
    </row>
    <row r="47" spans="1:12" x14ac:dyDescent="0.3">
      <c r="B47" s="18">
        <f t="shared" si="10"/>
        <v>-23.562222222222214</v>
      </c>
      <c r="C47" s="18">
        <f t="shared" si="11"/>
        <v>-14.723750000000003</v>
      </c>
      <c r="D47" s="18">
        <f t="shared" si="12"/>
        <v>18.022857142857148</v>
      </c>
      <c r="E47" s="18">
        <f t="shared" si="13"/>
        <v>4.3799999999999955</v>
      </c>
      <c r="F47" s="18"/>
      <c r="G47" s="18">
        <f t="shared" si="14"/>
        <v>555.17831604938237</v>
      </c>
      <c r="H47" s="18">
        <f t="shared" si="9"/>
        <v>216.78881406250008</v>
      </c>
      <c r="I47" s="18">
        <f t="shared" si="9"/>
        <v>324.82337959183695</v>
      </c>
      <c r="J47" s="18">
        <f t="shared" si="9"/>
        <v>19.184399999999961</v>
      </c>
      <c r="K47" s="18"/>
      <c r="L47" s="18"/>
    </row>
    <row r="48" spans="1:12" x14ac:dyDescent="0.3">
      <c r="B48" s="18">
        <f t="shared" si="10"/>
        <v>-4.0622222222222177</v>
      </c>
      <c r="C48" s="18">
        <f t="shared" si="11"/>
        <v>-0.66375000000000028</v>
      </c>
      <c r="D48" s="18"/>
      <c r="E48" s="18">
        <f t="shared" si="13"/>
        <v>2.5399999999999991</v>
      </c>
      <c r="F48" s="18"/>
      <c r="G48" s="18">
        <f t="shared" si="14"/>
        <v>16.501649382716014</v>
      </c>
      <c r="H48" s="18">
        <f t="shared" si="9"/>
        <v>0.44056406250000035</v>
      </c>
      <c r="I48" s="18"/>
      <c r="J48" s="18">
        <f t="shared" si="9"/>
        <v>6.4515999999999956</v>
      </c>
      <c r="K48" s="18"/>
      <c r="L48" s="18"/>
    </row>
    <row r="49" spans="2:18" x14ac:dyDescent="0.3">
      <c r="B49" s="18">
        <f t="shared" si="10"/>
        <v>9.2277777777777885</v>
      </c>
      <c r="C49" s="18"/>
      <c r="D49" s="18"/>
      <c r="E49" s="18">
        <f t="shared" si="13"/>
        <v>-6.9200000000000017</v>
      </c>
      <c r="F49" s="18"/>
      <c r="G49" s="18">
        <f t="shared" si="14"/>
        <v>85.151882716049585</v>
      </c>
      <c r="H49" s="18"/>
      <c r="I49" s="18"/>
      <c r="J49" s="18">
        <f t="shared" si="9"/>
        <v>47.886400000000023</v>
      </c>
      <c r="K49" s="18"/>
      <c r="L49" s="18"/>
    </row>
    <row r="50" spans="2:18" x14ac:dyDescent="0.3">
      <c r="B50" s="18"/>
      <c r="E50" s="18">
        <f t="shared" si="13"/>
        <v>7.6199999999999974</v>
      </c>
      <c r="G50" s="18"/>
      <c r="H50" s="18"/>
      <c r="I50" s="18"/>
      <c r="J50" s="18">
        <f t="shared" si="9"/>
        <v>58.064399999999964</v>
      </c>
    </row>
    <row r="51" spans="2:18" x14ac:dyDescent="0.3">
      <c r="B51" s="22" t="s">
        <v>164</v>
      </c>
      <c r="C51" t="s">
        <v>165</v>
      </c>
      <c r="D51" t="s">
        <v>166</v>
      </c>
      <c r="E51" t="s">
        <v>167</v>
      </c>
      <c r="F51" t="s">
        <v>168</v>
      </c>
      <c r="G51" t="s">
        <v>169</v>
      </c>
      <c r="L51" t="s">
        <v>173</v>
      </c>
    </row>
    <row r="52" spans="2:18" x14ac:dyDescent="0.3">
      <c r="B52" t="s">
        <v>170</v>
      </c>
      <c r="C52" s="18">
        <f>L30</f>
        <v>4645.6305023225932</v>
      </c>
      <c r="D52">
        <v>3</v>
      </c>
      <c r="E52" s="18">
        <f>C52/D52</f>
        <v>1548.5435007741978</v>
      </c>
      <c r="F52">
        <f>E52/E53</f>
        <v>14.168436837224373</v>
      </c>
      <c r="G52">
        <f>FDIST(F52,D52,D53)</f>
        <v>6.2477199939151474E-6</v>
      </c>
    </row>
    <row r="53" spans="2:18" ht="17.25" thickBot="1" x14ac:dyDescent="0.35">
      <c r="B53" t="s">
        <v>171</v>
      </c>
      <c r="C53" s="18">
        <f>L41</f>
        <v>3278.8588859126976</v>
      </c>
      <c r="D53">
        <v>30</v>
      </c>
      <c r="E53">
        <f>C53/D53</f>
        <v>109.29529619708993</v>
      </c>
      <c r="L53" t="s">
        <v>174</v>
      </c>
    </row>
    <row r="54" spans="2:18" x14ac:dyDescent="0.3">
      <c r="B54" t="s">
        <v>172</v>
      </c>
      <c r="C54" s="18">
        <f>SUM(C52:C53)</f>
        <v>7924.4893882352908</v>
      </c>
      <c r="D54">
        <v>33</v>
      </c>
      <c r="L54" s="13" t="s">
        <v>175</v>
      </c>
      <c r="M54" s="13" t="s">
        <v>14</v>
      </c>
      <c r="N54" s="13" t="s">
        <v>176</v>
      </c>
      <c r="O54" s="13" t="s">
        <v>43</v>
      </c>
      <c r="P54" s="13" t="s">
        <v>110</v>
      </c>
    </row>
    <row r="55" spans="2:18" x14ac:dyDescent="0.3">
      <c r="L55" s="11" t="s">
        <v>1</v>
      </c>
      <c r="M55" s="11">
        <v>9</v>
      </c>
      <c r="N55" s="11">
        <v>465.49999999999994</v>
      </c>
      <c r="O55" s="11">
        <v>51.722222222222214</v>
      </c>
      <c r="P55" s="11">
        <v>170.07726944444539</v>
      </c>
    </row>
    <row r="56" spans="2:18" x14ac:dyDescent="0.3">
      <c r="L56" s="11" t="s">
        <v>2</v>
      </c>
      <c r="M56" s="11">
        <v>8</v>
      </c>
      <c r="N56" s="11">
        <v>467.79</v>
      </c>
      <c r="O56" s="11">
        <v>58.473750000000003</v>
      </c>
      <c r="P56" s="11">
        <v>126.08331249999954</v>
      </c>
    </row>
    <row r="57" spans="2:18" x14ac:dyDescent="0.3">
      <c r="L57" s="11" t="s">
        <v>3</v>
      </c>
      <c r="M57" s="11">
        <v>7</v>
      </c>
      <c r="N57" s="11">
        <v>513.15</v>
      </c>
      <c r="O57" s="11">
        <v>73.30714285714285</v>
      </c>
      <c r="P57" s="11">
        <v>106.08449047618949</v>
      </c>
    </row>
    <row r="58" spans="2:18" ht="17.25" thickBot="1" x14ac:dyDescent="0.35">
      <c r="L58" s="12" t="s">
        <v>4</v>
      </c>
      <c r="M58" s="12">
        <v>10</v>
      </c>
      <c r="N58" s="12">
        <v>404.50000000000006</v>
      </c>
      <c r="O58" s="12">
        <v>40.450000000000003</v>
      </c>
      <c r="P58" s="12">
        <v>44.350066666666358</v>
      </c>
    </row>
    <row r="61" spans="2:18" ht="17.25" thickBot="1" x14ac:dyDescent="0.35">
      <c r="L61" t="s">
        <v>64</v>
      </c>
    </row>
    <row r="62" spans="2:18" x14ac:dyDescent="0.3">
      <c r="L62" s="13" t="s">
        <v>177</v>
      </c>
      <c r="M62" s="13" t="s">
        <v>70</v>
      </c>
      <c r="N62" s="13" t="s">
        <v>69</v>
      </c>
      <c r="O62" s="13" t="s">
        <v>71</v>
      </c>
      <c r="P62" s="13" t="s">
        <v>72</v>
      </c>
      <c r="Q62" s="13" t="s">
        <v>76</v>
      </c>
      <c r="R62" s="13" t="s">
        <v>178</v>
      </c>
    </row>
    <row r="63" spans="2:18" x14ac:dyDescent="0.3">
      <c r="L63" s="11" t="s">
        <v>179</v>
      </c>
      <c r="M63" s="11">
        <v>4645.6305023225959</v>
      </c>
      <c r="N63" s="11">
        <v>3</v>
      </c>
      <c r="O63" s="11">
        <v>1548.5435007741987</v>
      </c>
      <c r="P63" s="11">
        <v>14.168436837224379</v>
      </c>
      <c r="Q63" s="11">
        <v>6.2477199939151153E-6</v>
      </c>
      <c r="R63" s="11">
        <v>2.9222771906450378</v>
      </c>
    </row>
    <row r="64" spans="2:18" x14ac:dyDescent="0.3">
      <c r="L64" s="11" t="s">
        <v>66</v>
      </c>
      <c r="M64" s="11">
        <v>3278.858885912698</v>
      </c>
      <c r="N64" s="11">
        <v>30</v>
      </c>
      <c r="O64" s="11">
        <v>109.29529619708994</v>
      </c>
      <c r="P64" s="11"/>
      <c r="Q64" s="11"/>
      <c r="R64" s="11"/>
    </row>
    <row r="65" spans="12:18" x14ac:dyDescent="0.3">
      <c r="L65" s="11"/>
      <c r="M65" s="11"/>
      <c r="N65" s="11"/>
      <c r="O65" s="11"/>
      <c r="P65" s="11"/>
      <c r="Q65" s="11"/>
      <c r="R65" s="11"/>
    </row>
    <row r="66" spans="12:18" ht="17.25" thickBot="1" x14ac:dyDescent="0.35">
      <c r="L66" s="12" t="s">
        <v>67</v>
      </c>
      <c r="M66" s="12">
        <v>7924.4893882352935</v>
      </c>
      <c r="N66" s="12">
        <v>33</v>
      </c>
      <c r="O66" s="12"/>
      <c r="P66" s="12"/>
      <c r="Q66" s="12"/>
      <c r="R66" s="1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D50" sqref="D50"/>
    </sheetView>
  </sheetViews>
  <sheetFormatPr defaultRowHeight="16.5" x14ac:dyDescent="0.3"/>
  <cols>
    <col min="2" max="2" width="13.25" customWidth="1"/>
    <col min="5" max="5" width="13.125" bestFit="1" customWidth="1"/>
    <col min="12" max="12" width="10" bestFit="1" customWidth="1"/>
    <col min="13" max="13" width="10.5" customWidth="1"/>
    <col min="15" max="15" width="14" customWidth="1"/>
  </cols>
  <sheetData>
    <row r="1" spans="1:20" x14ac:dyDescent="0.3">
      <c r="A1" s="8" t="s">
        <v>6</v>
      </c>
      <c r="B1" s="8"/>
      <c r="C1" s="8"/>
      <c r="D1" s="8"/>
      <c r="E1" s="8"/>
      <c r="F1" s="8"/>
      <c r="G1" s="8"/>
      <c r="H1" s="8"/>
      <c r="I1" s="8"/>
    </row>
    <row r="2" spans="1:20" x14ac:dyDescent="0.3">
      <c r="A2" s="3" t="s">
        <v>7</v>
      </c>
      <c r="B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/>
      <c r="H2" s="4" t="s">
        <v>7</v>
      </c>
      <c r="I2" s="4" t="s">
        <v>54</v>
      </c>
      <c r="J2" s="4"/>
      <c r="K2" s="4"/>
      <c r="L2" s="4"/>
      <c r="M2" s="4"/>
    </row>
    <row r="3" spans="1:20" x14ac:dyDescent="0.3">
      <c r="A3" s="4">
        <v>1</v>
      </c>
      <c r="B3" s="4">
        <v>355</v>
      </c>
      <c r="C3">
        <f>(A3-$I$5)^2</f>
        <v>49</v>
      </c>
      <c r="D3">
        <f>(A3-$I$5)*(B3-$I$6)</f>
        <v>-1757.9333333333334</v>
      </c>
      <c r="E3">
        <f>(B3-$I$6)^2</f>
        <v>63067.951111111106</v>
      </c>
      <c r="F3">
        <f>259.5-19.5*A3</f>
        <v>240</v>
      </c>
      <c r="H3" s="4" t="s">
        <v>13</v>
      </c>
      <c r="I3" t="s">
        <v>55</v>
      </c>
      <c r="O3" t="s">
        <v>58</v>
      </c>
    </row>
    <row r="4" spans="1:20" ht="17.25" thickBot="1" x14ac:dyDescent="0.35">
      <c r="A4" s="4">
        <v>2</v>
      </c>
      <c r="B4" s="4">
        <v>211</v>
      </c>
      <c r="C4">
        <f t="shared" ref="C4:C17" si="0">(A4-$I$5)^2</f>
        <v>36</v>
      </c>
      <c r="D4">
        <f t="shared" ref="D4:D17" si="1">(A4-$I$5)*(B4-$I$6)</f>
        <v>-642.80000000000007</v>
      </c>
      <c r="E4">
        <f t="shared" ref="E4:E17" si="2">(B4-$I$6)^2</f>
        <v>11477.551111111112</v>
      </c>
      <c r="F4">
        <f t="shared" ref="F4:F17" si="3">259.5-19.5*A4</f>
        <v>220.5</v>
      </c>
      <c r="H4" s="4" t="s">
        <v>14</v>
      </c>
      <c r="I4">
        <f>COUNT(A3:A17)</f>
        <v>15</v>
      </c>
    </row>
    <row r="5" spans="1:20" x14ac:dyDescent="0.3">
      <c r="A5" s="4">
        <v>3</v>
      </c>
      <c r="B5" s="4">
        <v>197</v>
      </c>
      <c r="C5">
        <f t="shared" si="0"/>
        <v>25</v>
      </c>
      <c r="D5">
        <f t="shared" si="1"/>
        <v>-465.66666666666669</v>
      </c>
      <c r="E5">
        <f t="shared" si="2"/>
        <v>8673.8177777777782</v>
      </c>
      <c r="F5">
        <f t="shared" si="3"/>
        <v>201</v>
      </c>
      <c r="H5" s="4" t="s">
        <v>15</v>
      </c>
      <c r="I5">
        <f>AVERAGE(A3:A17)</f>
        <v>8</v>
      </c>
      <c r="O5" s="14" t="s">
        <v>59</v>
      </c>
      <c r="P5" s="14"/>
    </row>
    <row r="6" spans="1:20" x14ac:dyDescent="0.3">
      <c r="A6" s="4">
        <v>4</v>
      </c>
      <c r="B6" s="4">
        <v>166</v>
      </c>
      <c r="C6">
        <f t="shared" si="0"/>
        <v>16</v>
      </c>
      <c r="D6">
        <f t="shared" si="1"/>
        <v>-248.53333333333336</v>
      </c>
      <c r="E6">
        <f t="shared" si="2"/>
        <v>3860.5511111111118</v>
      </c>
      <c r="F6">
        <f t="shared" si="3"/>
        <v>181.5</v>
      </c>
      <c r="H6" s="4" t="s">
        <v>16</v>
      </c>
      <c r="I6">
        <f>AVERAGE(B3:B17)</f>
        <v>103.86666666666666</v>
      </c>
      <c r="O6" s="11" t="s">
        <v>60</v>
      </c>
      <c r="P6" s="11">
        <v>0.90742226822207717</v>
      </c>
    </row>
    <row r="7" spans="1:20" x14ac:dyDescent="0.3">
      <c r="A7" s="4">
        <v>5</v>
      </c>
      <c r="B7" s="4">
        <v>142</v>
      </c>
      <c r="C7">
        <f t="shared" si="0"/>
        <v>9</v>
      </c>
      <c r="D7">
        <f t="shared" si="1"/>
        <v>-114.40000000000002</v>
      </c>
      <c r="E7">
        <f t="shared" si="2"/>
        <v>1454.1511111111115</v>
      </c>
      <c r="F7">
        <f t="shared" si="3"/>
        <v>162</v>
      </c>
      <c r="H7" s="4"/>
      <c r="O7" s="11" t="s">
        <v>61</v>
      </c>
      <c r="P7" s="11">
        <v>0.82341517286529931</v>
      </c>
    </row>
    <row r="8" spans="1:20" x14ac:dyDescent="0.3">
      <c r="A8" s="4">
        <v>6</v>
      </c>
      <c r="B8" s="4">
        <v>106</v>
      </c>
      <c r="C8">
        <f t="shared" si="0"/>
        <v>4</v>
      </c>
      <c r="D8">
        <f t="shared" si="1"/>
        <v>-4.2666666666666799</v>
      </c>
      <c r="E8">
        <f t="shared" si="2"/>
        <v>4.5511111111111395</v>
      </c>
      <c r="F8">
        <f t="shared" si="3"/>
        <v>142.5</v>
      </c>
      <c r="H8" s="4" t="s">
        <v>17</v>
      </c>
      <c r="I8">
        <f>SUM(C3:C17)</f>
        <v>280</v>
      </c>
      <c r="O8" s="11" t="s">
        <v>62</v>
      </c>
      <c r="P8" s="11">
        <v>0.80983172462416841</v>
      </c>
    </row>
    <row r="9" spans="1:20" x14ac:dyDescent="0.3">
      <c r="A9" s="4">
        <v>7</v>
      </c>
      <c r="B9" s="4">
        <v>104</v>
      </c>
      <c r="C9">
        <f t="shared" si="0"/>
        <v>1</v>
      </c>
      <c r="D9">
        <f t="shared" si="1"/>
        <v>-0.13333333333333997</v>
      </c>
      <c r="E9">
        <f t="shared" si="2"/>
        <v>1.7777777777779547E-2</v>
      </c>
      <c r="F9">
        <f t="shared" si="3"/>
        <v>123</v>
      </c>
      <c r="H9" s="4" t="s">
        <v>18</v>
      </c>
      <c r="I9">
        <f>SUM(D3:D17)</f>
        <v>-5450</v>
      </c>
      <c r="O9" s="11" t="s">
        <v>63</v>
      </c>
      <c r="P9" s="11">
        <v>41.832427788164757</v>
      </c>
    </row>
    <row r="10" spans="1:20" ht="17.25" thickBot="1" x14ac:dyDescent="0.35">
      <c r="A10" s="4">
        <v>8</v>
      </c>
      <c r="B10" s="4">
        <v>60</v>
      </c>
      <c r="C10">
        <f t="shared" si="0"/>
        <v>0</v>
      </c>
      <c r="D10">
        <f t="shared" si="1"/>
        <v>0</v>
      </c>
      <c r="E10">
        <f t="shared" si="2"/>
        <v>1924.2844444444438</v>
      </c>
      <c r="F10">
        <f t="shared" si="3"/>
        <v>103.5</v>
      </c>
      <c r="G10" t="s">
        <v>56</v>
      </c>
      <c r="H10" s="4" t="s">
        <v>19</v>
      </c>
      <c r="I10">
        <f>SUM(E3:E17)</f>
        <v>128829.73333333334</v>
      </c>
      <c r="O10" s="12" t="s">
        <v>14</v>
      </c>
      <c r="P10" s="12">
        <v>15</v>
      </c>
    </row>
    <row r="11" spans="1:20" x14ac:dyDescent="0.3">
      <c r="A11" s="4">
        <v>9</v>
      </c>
      <c r="B11" s="4">
        <v>56</v>
      </c>
      <c r="C11">
        <f t="shared" si="0"/>
        <v>1</v>
      </c>
      <c r="D11">
        <f t="shared" si="1"/>
        <v>-47.86666666666666</v>
      </c>
      <c r="E11">
        <f t="shared" si="2"/>
        <v>2291.217777777777</v>
      </c>
      <c r="F11">
        <f t="shared" si="3"/>
        <v>84</v>
      </c>
      <c r="H11" s="4" t="s">
        <v>20</v>
      </c>
      <c r="I11">
        <f>I10-I9^2/I8</f>
        <v>22749.376190476192</v>
      </c>
    </row>
    <row r="12" spans="1:20" ht="17.25" thickBot="1" x14ac:dyDescent="0.35">
      <c r="A12" s="4">
        <v>10</v>
      </c>
      <c r="B12" s="4">
        <v>38</v>
      </c>
      <c r="C12">
        <f t="shared" si="0"/>
        <v>4</v>
      </c>
      <c r="D12">
        <f t="shared" si="1"/>
        <v>-131.73333333333332</v>
      </c>
      <c r="E12">
        <f t="shared" si="2"/>
        <v>4338.4177777777768</v>
      </c>
      <c r="F12">
        <f t="shared" si="3"/>
        <v>64.5</v>
      </c>
      <c r="H12" s="4" t="s">
        <v>21</v>
      </c>
      <c r="I12">
        <f>I11/13</f>
        <v>1749.9520146520149</v>
      </c>
      <c r="O12" t="s">
        <v>64</v>
      </c>
    </row>
    <row r="13" spans="1:20" x14ac:dyDescent="0.3">
      <c r="A13" s="4">
        <v>11</v>
      </c>
      <c r="B13" s="4">
        <v>36</v>
      </c>
      <c r="C13">
        <f t="shared" si="0"/>
        <v>9</v>
      </c>
      <c r="D13">
        <f t="shared" si="1"/>
        <v>-203.59999999999997</v>
      </c>
      <c r="E13">
        <f t="shared" si="2"/>
        <v>4605.8844444444439</v>
      </c>
      <c r="F13">
        <f t="shared" si="3"/>
        <v>45</v>
      </c>
      <c r="H13" s="4" t="s">
        <v>57</v>
      </c>
      <c r="I13">
        <f>SQRT(I12)</f>
        <v>41.832427788164708</v>
      </c>
      <c r="O13" s="13"/>
      <c r="P13" s="13" t="s">
        <v>69</v>
      </c>
      <c r="Q13" s="13" t="s">
        <v>70</v>
      </c>
      <c r="R13" s="13" t="s">
        <v>71</v>
      </c>
      <c r="S13" s="13" t="s">
        <v>72</v>
      </c>
      <c r="T13" s="13" t="s">
        <v>73</v>
      </c>
    </row>
    <row r="14" spans="1:20" x14ac:dyDescent="0.3">
      <c r="A14" s="4">
        <v>12</v>
      </c>
      <c r="B14" s="4">
        <v>32</v>
      </c>
      <c r="C14">
        <f t="shared" si="0"/>
        <v>16</v>
      </c>
      <c r="D14">
        <f t="shared" si="1"/>
        <v>-287.46666666666664</v>
      </c>
      <c r="E14">
        <f t="shared" si="2"/>
        <v>5164.8177777777764</v>
      </c>
      <c r="F14">
        <f t="shared" si="3"/>
        <v>25.5</v>
      </c>
      <c r="O14" s="11" t="s">
        <v>65</v>
      </c>
      <c r="P14" s="11">
        <v>1</v>
      </c>
      <c r="Q14" s="11">
        <v>106080.35714285709</v>
      </c>
      <c r="R14" s="11">
        <v>106080.35714285709</v>
      </c>
      <c r="S14" s="11">
        <v>60.619009124059517</v>
      </c>
      <c r="T14" s="11">
        <v>3.0059668194638883E-6</v>
      </c>
    </row>
    <row r="15" spans="1:20" x14ac:dyDescent="0.3">
      <c r="A15" s="4">
        <v>13</v>
      </c>
      <c r="B15" s="4">
        <v>21</v>
      </c>
      <c r="C15">
        <f t="shared" si="0"/>
        <v>25</v>
      </c>
      <c r="D15">
        <f t="shared" si="1"/>
        <v>-414.33333333333331</v>
      </c>
      <c r="E15">
        <f t="shared" si="2"/>
        <v>6866.884444444443</v>
      </c>
      <c r="F15">
        <f t="shared" si="3"/>
        <v>6</v>
      </c>
      <c r="H15" s="5"/>
      <c r="I15" s="5" t="s">
        <v>22</v>
      </c>
      <c r="J15" s="5" t="s">
        <v>23</v>
      </c>
      <c r="K15" s="5" t="s">
        <v>24</v>
      </c>
      <c r="L15" s="5" t="s">
        <v>25</v>
      </c>
      <c r="M15" s="5" t="s">
        <v>26</v>
      </c>
      <c r="N15" s="5" t="s">
        <v>27</v>
      </c>
      <c r="O15" s="11" t="s">
        <v>66</v>
      </c>
      <c r="P15" s="11">
        <v>13</v>
      </c>
      <c r="Q15" s="11">
        <v>22749.37619047625</v>
      </c>
      <c r="R15" s="11">
        <v>1749.9520146520192</v>
      </c>
      <c r="S15" s="11"/>
      <c r="T15" s="11"/>
    </row>
    <row r="16" spans="1:20" ht="17.25" thickBot="1" x14ac:dyDescent="0.35">
      <c r="A16" s="4">
        <v>14</v>
      </c>
      <c r="B16" s="4">
        <v>19</v>
      </c>
      <c r="C16">
        <f t="shared" si="0"/>
        <v>36</v>
      </c>
      <c r="D16">
        <f t="shared" si="1"/>
        <v>-509.19999999999993</v>
      </c>
      <c r="E16">
        <f t="shared" si="2"/>
        <v>7202.3511111111102</v>
      </c>
      <c r="F16">
        <f t="shared" si="3"/>
        <v>-13.5</v>
      </c>
      <c r="H16" s="5" t="s">
        <v>28</v>
      </c>
      <c r="I16" s="5">
        <f>I6-I17*I5</f>
        <v>259.5809523809524</v>
      </c>
      <c r="J16">
        <f>SQRT(I12*(1/15+I5^2/I8))</f>
        <v>22.729991191461739</v>
      </c>
      <c r="K16" s="5">
        <f>I16/J16</f>
        <v>11.420195907443247</v>
      </c>
      <c r="L16" s="5">
        <f>TDIST($K$16,13,2)</f>
        <v>3.7762696938232026E-8</v>
      </c>
      <c r="M16" s="5">
        <f>I16-J16*TINV(0.05,13)</f>
        <v>210.47579184924308</v>
      </c>
      <c r="N16" s="5">
        <f>I16+J16*TINV(0.05,13)</f>
        <v>308.68611291266171</v>
      </c>
      <c r="O16" s="12" t="s">
        <v>67</v>
      </c>
      <c r="P16" s="12">
        <v>14</v>
      </c>
      <c r="Q16" s="12">
        <v>128829.73333333334</v>
      </c>
      <c r="R16" s="12"/>
      <c r="S16" s="12"/>
      <c r="T16" s="12"/>
    </row>
    <row r="17" spans="1:23" ht="17.25" thickBot="1" x14ac:dyDescent="0.35">
      <c r="A17" s="4">
        <v>15</v>
      </c>
      <c r="B17" s="4">
        <v>15</v>
      </c>
      <c r="C17">
        <f t="shared" si="0"/>
        <v>49</v>
      </c>
      <c r="D17">
        <f t="shared" si="1"/>
        <v>-622.06666666666661</v>
      </c>
      <c r="E17">
        <f t="shared" si="2"/>
        <v>7897.2844444444436</v>
      </c>
      <c r="F17">
        <f t="shared" si="3"/>
        <v>-33</v>
      </c>
      <c r="H17" s="5" t="s">
        <v>29</v>
      </c>
      <c r="I17" s="5">
        <f>I9/I8</f>
        <v>-19.464285714285715</v>
      </c>
      <c r="J17" s="5">
        <f>SQRT(I12/I8)</f>
        <v>2.4999657245164775</v>
      </c>
      <c r="K17" s="5">
        <f>I17/J17</f>
        <v>-7.785821030826467</v>
      </c>
      <c r="L17" s="5">
        <f>TDIST(-$K$17,13,2)</f>
        <v>3.0059668194638396E-6</v>
      </c>
      <c r="M17" s="5">
        <f>$I$17-$J$17*TINV(0.05,13)</f>
        <v>-24.865133307762409</v>
      </c>
      <c r="N17" s="5">
        <f>I17+J17*TINV(0.05,13)</f>
        <v>-14.063438120809021</v>
      </c>
    </row>
    <row r="18" spans="1:23" x14ac:dyDescent="0.3">
      <c r="O18" s="13"/>
      <c r="P18" s="13" t="s">
        <v>74</v>
      </c>
      <c r="Q18" s="13" t="s">
        <v>63</v>
      </c>
      <c r="R18" s="13" t="s">
        <v>75</v>
      </c>
      <c r="S18" s="13" t="s">
        <v>76</v>
      </c>
      <c r="T18" s="13" t="s">
        <v>77</v>
      </c>
      <c r="U18" s="13" t="s">
        <v>78</v>
      </c>
      <c r="V18" s="13" t="s">
        <v>79</v>
      </c>
      <c r="W18" s="13" t="s">
        <v>80</v>
      </c>
    </row>
    <row r="19" spans="1:23" x14ac:dyDescent="0.3">
      <c r="C19" s="1" t="s">
        <v>30</v>
      </c>
      <c r="O19" s="11" t="s">
        <v>68</v>
      </c>
      <c r="P19" s="11">
        <v>259.5809523809524</v>
      </c>
      <c r="Q19" s="11">
        <v>22.729991191461767</v>
      </c>
      <c r="R19" s="11">
        <v>11.420195907443233</v>
      </c>
      <c r="S19" s="11">
        <v>3.7762696938232569E-8</v>
      </c>
      <c r="T19" s="11">
        <v>210.47579184924302</v>
      </c>
      <c r="U19" s="11">
        <v>308.68611291266177</v>
      </c>
      <c r="V19" s="11">
        <v>210.47579184924302</v>
      </c>
      <c r="W19" s="11">
        <v>308.68611291266177</v>
      </c>
    </row>
    <row r="20" spans="1:23" ht="17.25" thickBot="1" x14ac:dyDescent="0.35">
      <c r="C20" s="1" t="s">
        <v>81</v>
      </c>
      <c r="O20" s="12" t="s">
        <v>7</v>
      </c>
      <c r="P20" s="12">
        <v>-19.464285714285715</v>
      </c>
      <c r="Q20" s="12">
        <v>2.4999657245164806</v>
      </c>
      <c r="R20" s="12">
        <v>-7.7858210308264573</v>
      </c>
      <c r="S20" s="12">
        <v>3.0059668194638824E-6</v>
      </c>
      <c r="T20" s="12">
        <v>-24.865133307762417</v>
      </c>
      <c r="U20" s="12">
        <v>-14.063438120809014</v>
      </c>
      <c r="V20" s="12">
        <v>-24.865133307762417</v>
      </c>
      <c r="W20" s="12">
        <v>-14.063438120809014</v>
      </c>
    </row>
    <row r="21" spans="1:23" x14ac:dyDescent="0.3">
      <c r="C21" s="1"/>
    </row>
    <row r="22" spans="1:23" x14ac:dyDescent="0.3">
      <c r="C22" s="1" t="s">
        <v>31</v>
      </c>
    </row>
    <row r="23" spans="1:23" x14ac:dyDescent="0.3">
      <c r="C23" s="1" t="s">
        <v>32</v>
      </c>
      <c r="D23" s="5">
        <f>I16-J16*TINV(0.05,13)</f>
        <v>210.47579184924308</v>
      </c>
    </row>
    <row r="24" spans="1:23" x14ac:dyDescent="0.3">
      <c r="C24" s="1" t="s">
        <v>33</v>
      </c>
      <c r="D24" s="5">
        <f>$I$17-$J$17*TINV(0.05,13)</f>
        <v>-24.865133307762409</v>
      </c>
    </row>
    <row r="25" spans="1:23" x14ac:dyDescent="0.3">
      <c r="C25" s="1" t="s">
        <v>34</v>
      </c>
    </row>
    <row r="26" spans="1:23" x14ac:dyDescent="0.3">
      <c r="C26" s="1">
        <f>1-I11/I10</f>
        <v>0.82341517286529986</v>
      </c>
    </row>
    <row r="27" spans="1:23" x14ac:dyDescent="0.3">
      <c r="C27" s="1"/>
    </row>
    <row r="28" spans="1:23" x14ac:dyDescent="0.3">
      <c r="C28" s="1" t="s">
        <v>35</v>
      </c>
    </row>
    <row r="29" spans="1:23" x14ac:dyDescent="0.3">
      <c r="C29" s="1" t="s">
        <v>36</v>
      </c>
      <c r="D29">
        <f>259.5 - 19.5*200</f>
        <v>-3640.5</v>
      </c>
    </row>
    <row r="32" spans="1:23" x14ac:dyDescent="0.3">
      <c r="C32" s="1" t="s">
        <v>37</v>
      </c>
    </row>
    <row r="33" spans="3:9" x14ac:dyDescent="0.3">
      <c r="C33" s="1" t="s">
        <v>25</v>
      </c>
      <c r="D33" s="5">
        <f>TDIST(-$K$17,13,2)</f>
        <v>3.0059668194638396E-6</v>
      </c>
      <c r="E33" s="1"/>
      <c r="F33" s="1"/>
      <c r="G33" s="1"/>
      <c r="H33" s="1"/>
    </row>
    <row r="34" spans="3:9" x14ac:dyDescent="0.3">
      <c r="C34" s="1" t="s">
        <v>38</v>
      </c>
      <c r="D34" s="1" t="s">
        <v>82</v>
      </c>
      <c r="E34" s="1"/>
      <c r="F34" s="1"/>
      <c r="G34" s="1"/>
      <c r="H34" s="1"/>
    </row>
    <row r="36" spans="3:9" x14ac:dyDescent="0.3">
      <c r="C36" s="1" t="s">
        <v>39</v>
      </c>
      <c r="D36" s="1"/>
      <c r="E36" s="1"/>
      <c r="F36" s="1"/>
      <c r="G36" s="1"/>
      <c r="H36" s="1"/>
    </row>
    <row r="37" spans="3:9" x14ac:dyDescent="0.3">
      <c r="C37" s="1" t="s">
        <v>40</v>
      </c>
      <c r="D37" s="1"/>
      <c r="E37" s="1">
        <f>I17-2/J17</f>
        <v>-20.264296682590821</v>
      </c>
      <c r="F37" s="1"/>
      <c r="G37" s="1"/>
      <c r="H37" s="1"/>
    </row>
    <row r="38" spans="3:9" x14ac:dyDescent="0.3">
      <c r="C38" s="1" t="s">
        <v>41</v>
      </c>
      <c r="D38" s="1"/>
      <c r="E38" s="1">
        <f>TINV(0.1,13)</f>
        <v>1.7709333959868729</v>
      </c>
      <c r="F38" s="1"/>
      <c r="G38" s="1"/>
      <c r="H38" s="1"/>
    </row>
    <row r="39" spans="3:9" x14ac:dyDescent="0.3">
      <c r="C39" s="1" t="s">
        <v>25</v>
      </c>
      <c r="D39" s="1"/>
      <c r="E39" s="1" t="e">
        <f>TDIST(E37,13,1)</f>
        <v>#NUM!</v>
      </c>
      <c r="F39" s="1" t="s">
        <v>83</v>
      </c>
      <c r="G39" s="1"/>
      <c r="H39" s="1"/>
    </row>
    <row r="40" spans="3:9" x14ac:dyDescent="0.3">
      <c r="C40" s="1" t="s">
        <v>38</v>
      </c>
      <c r="D40" s="1"/>
      <c r="E40" s="1"/>
      <c r="F40" s="1"/>
      <c r="G40" s="1"/>
      <c r="H40" s="1"/>
    </row>
    <row r="42" spans="3:9" x14ac:dyDescent="0.3">
      <c r="C42" s="15" t="s">
        <v>86</v>
      </c>
      <c r="D42" s="15"/>
      <c r="E42" s="15"/>
      <c r="F42" s="15"/>
      <c r="G42" s="15"/>
      <c r="H42" s="15"/>
      <c r="I42" t="s">
        <v>84</v>
      </c>
    </row>
    <row r="43" spans="3:9" x14ac:dyDescent="0.3">
      <c r="C43" s="15" t="s">
        <v>42</v>
      </c>
      <c r="D43" s="15">
        <f>259.5-19.5*9</f>
        <v>84</v>
      </c>
      <c r="E43" s="15"/>
      <c r="F43" s="15"/>
      <c r="G43" s="15"/>
      <c r="H43" s="16"/>
      <c r="I43" t="s">
        <v>85</v>
      </c>
    </row>
    <row r="44" spans="3:9" x14ac:dyDescent="0.3">
      <c r="C44" s="15" t="s">
        <v>44</v>
      </c>
      <c r="D44" s="15">
        <f>TINV(0.05,13)*SQRT(I12*(1/15+(9-I5)^2/I8))</f>
        <v>23.951201284763826</v>
      </c>
      <c r="E44" s="15"/>
      <c r="F44" s="15"/>
      <c r="G44" s="15"/>
      <c r="H44" s="16"/>
    </row>
    <row r="45" spans="3:9" x14ac:dyDescent="0.3">
      <c r="C45" s="15" t="s">
        <v>45</v>
      </c>
      <c r="D45" s="15">
        <f>D43-D44</f>
        <v>60.048798715236174</v>
      </c>
      <c r="E45" s="15"/>
      <c r="F45" s="15"/>
      <c r="G45" s="15"/>
      <c r="H45" s="16"/>
    </row>
    <row r="46" spans="3:9" x14ac:dyDescent="0.3">
      <c r="C46" s="15" t="s">
        <v>46</v>
      </c>
      <c r="D46" s="15">
        <f>D43+D45</f>
        <v>144.04879871523616</v>
      </c>
      <c r="E46" s="15"/>
      <c r="F46" s="15"/>
      <c r="G46" s="15"/>
      <c r="H46" s="16"/>
    </row>
    <row r="47" spans="3:9" x14ac:dyDescent="0.3">
      <c r="C47" s="16"/>
      <c r="D47" s="16"/>
      <c r="E47" s="16"/>
      <c r="F47" s="16"/>
      <c r="G47" s="16"/>
      <c r="H47" s="16"/>
    </row>
    <row r="48" spans="3:9" x14ac:dyDescent="0.3">
      <c r="C48" s="15" t="s">
        <v>87</v>
      </c>
      <c r="D48" s="15"/>
      <c r="E48" s="16"/>
      <c r="F48" s="16"/>
      <c r="G48" s="16"/>
      <c r="H48" s="16"/>
    </row>
    <row r="49" spans="3:8" x14ac:dyDescent="0.3">
      <c r="C49" s="15" t="s">
        <v>42</v>
      </c>
      <c r="D49" s="16">
        <f>259.5-19.5*9</f>
        <v>84</v>
      </c>
      <c r="E49" s="16"/>
      <c r="F49" s="16"/>
      <c r="G49" s="16"/>
      <c r="H49" s="16"/>
    </row>
    <row r="50" spans="3:8" x14ac:dyDescent="0.3">
      <c r="C50" s="15" t="s">
        <v>44</v>
      </c>
      <c r="D50" s="16">
        <f>TINV(0.05,13)*SQRT(I12*(1+1/15+((9-I5)^2/I8)))</f>
        <v>93.493440234130389</v>
      </c>
      <c r="E50" s="16"/>
      <c r="F50" s="16"/>
      <c r="G50" s="16"/>
      <c r="H50" s="16"/>
    </row>
    <row r="51" spans="3:8" x14ac:dyDescent="0.3">
      <c r="C51" s="15" t="s">
        <v>45</v>
      </c>
      <c r="D51" s="16">
        <f>D49-D50</f>
        <v>-9.4934402341303894</v>
      </c>
      <c r="E51" s="16"/>
      <c r="F51" s="16"/>
      <c r="G51" s="16"/>
      <c r="H51" s="16"/>
    </row>
    <row r="52" spans="3:8" x14ac:dyDescent="0.3">
      <c r="C52" s="15" t="s">
        <v>46</v>
      </c>
      <c r="D52" s="16">
        <f>D49+D50</f>
        <v>177.49344023413039</v>
      </c>
      <c r="E52" s="16"/>
      <c r="F52" s="16"/>
      <c r="G52" s="16"/>
      <c r="H52" s="16"/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P10" sqref="P10"/>
    </sheetView>
  </sheetViews>
  <sheetFormatPr defaultRowHeight="16.5" x14ac:dyDescent="0.3"/>
  <sheetData>
    <row r="1" spans="1:16" x14ac:dyDescent="0.3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6" x14ac:dyDescent="0.3">
      <c r="A2" s="6" t="s">
        <v>48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x14ac:dyDescent="0.3">
      <c r="A3" s="6" t="s">
        <v>49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x14ac:dyDescent="0.3">
      <c r="A6" s="7" t="s">
        <v>50</v>
      </c>
      <c r="B6" s="7" t="s">
        <v>51</v>
      </c>
      <c r="C6" s="6" t="s">
        <v>88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3">
      <c r="A7" s="6">
        <v>33</v>
      </c>
      <c r="B7" s="6">
        <v>35</v>
      </c>
      <c r="C7" s="6">
        <f>A7-B7</f>
        <v>-2</v>
      </c>
      <c r="D7" s="6"/>
      <c r="E7" s="6" t="s">
        <v>52</v>
      </c>
      <c r="F7" s="6"/>
      <c r="G7" s="6"/>
      <c r="H7" s="6"/>
      <c r="I7" s="6"/>
      <c r="J7" s="6"/>
      <c r="K7" s="6"/>
      <c r="L7" s="6"/>
      <c r="M7" s="6"/>
      <c r="N7" t="s">
        <v>107</v>
      </c>
    </row>
    <row r="8" spans="1:16" ht="17.25" thickBot="1" x14ac:dyDescent="0.35">
      <c r="A8" s="6">
        <v>40</v>
      </c>
      <c r="B8" s="6">
        <v>48</v>
      </c>
      <c r="C8" s="6">
        <f t="shared" ref="C8:C16" si="0">A8-B8</f>
        <v>-8</v>
      </c>
      <c r="D8" s="6"/>
      <c r="E8" s="6"/>
      <c r="F8" s="6" t="s">
        <v>89</v>
      </c>
      <c r="G8" s="6">
        <f>AVERAGE(C7:C16)</f>
        <v>-3</v>
      </c>
      <c r="H8" s="6"/>
      <c r="I8" s="6"/>
      <c r="J8" s="6"/>
      <c r="K8" s="6"/>
      <c r="L8" s="6"/>
      <c r="M8" s="6"/>
    </row>
    <row r="9" spans="1:16" x14ac:dyDescent="0.3">
      <c r="A9" s="6">
        <v>55</v>
      </c>
      <c r="B9" s="6">
        <v>65</v>
      </c>
      <c r="C9" s="6">
        <f t="shared" si="0"/>
        <v>-10</v>
      </c>
      <c r="D9" s="6"/>
      <c r="E9" s="6"/>
      <c r="F9" s="6" t="s">
        <v>90</v>
      </c>
      <c r="G9" s="6">
        <f>TINV(0.02,9)</f>
        <v>2.8214379250258084</v>
      </c>
      <c r="H9" s="6"/>
      <c r="I9" s="6"/>
      <c r="J9" s="6"/>
      <c r="K9" s="6"/>
      <c r="L9" s="6"/>
      <c r="M9" s="6"/>
      <c r="N9" s="13"/>
      <c r="O9" s="13" t="s">
        <v>108</v>
      </c>
      <c r="P9" s="13" t="s">
        <v>109</v>
      </c>
    </row>
    <row r="10" spans="1:16" x14ac:dyDescent="0.3">
      <c r="A10" s="6">
        <v>41</v>
      </c>
      <c r="B10" s="6">
        <v>33</v>
      </c>
      <c r="C10" s="6">
        <f t="shared" si="0"/>
        <v>8</v>
      </c>
      <c r="D10" s="6"/>
      <c r="E10" s="6"/>
      <c r="F10" s="6" t="s">
        <v>92</v>
      </c>
      <c r="G10" s="6">
        <f>STDEV(C7:C16)</f>
        <v>5.8689389538863361</v>
      </c>
      <c r="H10" s="6"/>
      <c r="I10" s="6"/>
      <c r="J10" s="6"/>
      <c r="K10" s="6"/>
      <c r="L10" s="6"/>
      <c r="M10" s="6"/>
      <c r="N10" s="11" t="s">
        <v>43</v>
      </c>
      <c r="O10" s="11">
        <v>47.5</v>
      </c>
      <c r="P10" s="11">
        <v>50.5</v>
      </c>
    </row>
    <row r="11" spans="1:16" x14ac:dyDescent="0.3">
      <c r="A11" s="6">
        <v>62</v>
      </c>
      <c r="B11" s="6">
        <v>61</v>
      </c>
      <c r="C11" s="6">
        <f t="shared" si="0"/>
        <v>1</v>
      </c>
      <c r="D11" s="6"/>
      <c r="E11" s="6"/>
      <c r="F11" s="6" t="s">
        <v>93</v>
      </c>
      <c r="G11" s="6">
        <f>G8-G9*G10/SQRT(10)</f>
        <v>-8.2363671769652598</v>
      </c>
      <c r="H11" s="6"/>
      <c r="I11" s="6"/>
      <c r="J11" s="6"/>
      <c r="K11" s="6"/>
      <c r="L11" s="6"/>
      <c r="M11" s="6"/>
      <c r="N11" s="11" t="s">
        <v>110</v>
      </c>
      <c r="O11" s="11">
        <v>114.94444444444444</v>
      </c>
      <c r="P11" s="11">
        <v>148.5</v>
      </c>
    </row>
    <row r="12" spans="1:16" x14ac:dyDescent="0.3">
      <c r="A12" s="6">
        <v>54</v>
      </c>
      <c r="B12" s="6">
        <v>54</v>
      </c>
      <c r="C12" s="6">
        <f t="shared" si="0"/>
        <v>0</v>
      </c>
      <c r="D12" s="6"/>
      <c r="E12" s="6"/>
      <c r="F12" s="6" t="s">
        <v>94</v>
      </c>
      <c r="G12" s="6">
        <f>G8+G9*G10/SQRT(10)</f>
        <v>2.2363671769652589</v>
      </c>
      <c r="H12" s="6"/>
      <c r="I12" s="6"/>
      <c r="J12" s="6"/>
      <c r="K12" s="6"/>
      <c r="L12" s="6"/>
      <c r="M12" s="6"/>
      <c r="N12" s="11" t="s">
        <v>14</v>
      </c>
      <c r="O12" s="11">
        <v>10</v>
      </c>
      <c r="P12" s="11">
        <v>10</v>
      </c>
    </row>
    <row r="13" spans="1:16" x14ac:dyDescent="0.3">
      <c r="A13" s="6">
        <v>40</v>
      </c>
      <c r="B13" s="6">
        <v>49</v>
      </c>
      <c r="C13" s="6">
        <f t="shared" si="0"/>
        <v>-9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11" t="s">
        <v>111</v>
      </c>
      <c r="O13" s="11">
        <v>0.87639172262430365</v>
      </c>
      <c r="P13" s="11"/>
    </row>
    <row r="14" spans="1:16" x14ac:dyDescent="0.3">
      <c r="A14" s="6">
        <v>35</v>
      </c>
      <c r="B14" s="6">
        <v>37</v>
      </c>
      <c r="C14" s="6">
        <f t="shared" si="0"/>
        <v>-2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11" t="s">
        <v>112</v>
      </c>
      <c r="O14" s="11">
        <v>0</v>
      </c>
      <c r="P14" s="11"/>
    </row>
    <row r="15" spans="1:16" x14ac:dyDescent="0.3">
      <c r="A15" s="6">
        <v>59</v>
      </c>
      <c r="B15" s="6">
        <v>58</v>
      </c>
      <c r="C15" s="6">
        <f t="shared" si="0"/>
        <v>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11" t="s">
        <v>69</v>
      </c>
      <c r="O15" s="11">
        <v>9</v>
      </c>
      <c r="P15" s="11"/>
    </row>
    <row r="16" spans="1:16" x14ac:dyDescent="0.3">
      <c r="A16" s="6">
        <v>56</v>
      </c>
      <c r="B16" s="6">
        <v>65</v>
      </c>
      <c r="C16" s="6">
        <f t="shared" si="0"/>
        <v>-9</v>
      </c>
      <c r="D16" s="6"/>
      <c r="E16" s="6" t="s">
        <v>53</v>
      </c>
      <c r="F16" s="6"/>
      <c r="G16" s="6"/>
      <c r="H16" s="6"/>
      <c r="I16" s="6"/>
      <c r="J16" s="6"/>
      <c r="K16" s="6"/>
      <c r="L16" s="6"/>
      <c r="M16" s="6"/>
      <c r="N16" s="11" t="s">
        <v>75</v>
      </c>
      <c r="O16" s="11">
        <v>-1.6164477182409742</v>
      </c>
      <c r="P16" s="11"/>
    </row>
    <row r="17" spans="1:16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1" t="s">
        <v>113</v>
      </c>
      <c r="O17" s="11">
        <v>7.0226485439147182E-2</v>
      </c>
      <c r="P17" s="11"/>
    </row>
    <row r="18" spans="1:16" x14ac:dyDescent="0.3">
      <c r="A18" s="6"/>
      <c r="B18" s="6" t="s">
        <v>91</v>
      </c>
      <c r="C18" s="6">
        <f>COUNT(C7:C16)</f>
        <v>10</v>
      </c>
      <c r="D18" s="6"/>
      <c r="E18" s="6"/>
      <c r="F18" s="6" t="s">
        <v>95</v>
      </c>
      <c r="G18" s="6" t="s">
        <v>96</v>
      </c>
      <c r="H18" s="6"/>
      <c r="I18" s="6"/>
      <c r="J18" s="6"/>
      <c r="K18" s="6"/>
      <c r="L18" s="6"/>
      <c r="M18" s="6"/>
      <c r="N18" s="11" t="s">
        <v>114</v>
      </c>
      <c r="O18" s="11">
        <v>1.8331129326562374</v>
      </c>
      <c r="P18" s="11"/>
    </row>
    <row r="19" spans="1:16" x14ac:dyDescent="0.3">
      <c r="A19" s="6"/>
      <c r="B19" s="6"/>
      <c r="C19" s="6"/>
      <c r="D19" s="6"/>
      <c r="E19" s="6"/>
      <c r="F19" s="6" t="s">
        <v>97</v>
      </c>
      <c r="G19" s="6" t="s">
        <v>98</v>
      </c>
      <c r="H19" s="6"/>
      <c r="I19" s="6"/>
      <c r="J19" s="6"/>
      <c r="K19" s="6"/>
      <c r="L19" s="6"/>
      <c r="M19" s="6"/>
      <c r="N19" s="11" t="s">
        <v>115</v>
      </c>
      <c r="O19" s="11">
        <v>0.14045297087829436</v>
      </c>
      <c r="P19" s="11"/>
    </row>
    <row r="20" spans="1:16" ht="17.25" thickBot="1" x14ac:dyDescent="0.35">
      <c r="A20" s="6"/>
      <c r="B20" s="6"/>
      <c r="C20" s="6"/>
      <c r="D20" s="6"/>
      <c r="E20" s="6"/>
      <c r="F20" s="6" t="s">
        <v>99</v>
      </c>
      <c r="G20" s="6" t="s">
        <v>100</v>
      </c>
      <c r="H20" s="6">
        <f>G8/(G10/SQRT(10))</f>
        <v>-1.6164477182409742</v>
      </c>
      <c r="I20" s="6"/>
      <c r="J20" s="6"/>
      <c r="K20" s="6"/>
      <c r="L20" s="6"/>
      <c r="M20" s="6"/>
      <c r="N20" s="12" t="s">
        <v>116</v>
      </c>
      <c r="O20" s="12">
        <v>2.2621571627982053</v>
      </c>
      <c r="P20" s="12"/>
    </row>
    <row r="21" spans="1:16" x14ac:dyDescent="0.3">
      <c r="F21" s="6" t="s">
        <v>101</v>
      </c>
      <c r="G21" s="6" t="s">
        <v>102</v>
      </c>
      <c r="H21">
        <f>-TINV(0.1,9)</f>
        <v>-1.8331129326562374</v>
      </c>
    </row>
    <row r="22" spans="1:16" x14ac:dyDescent="0.3">
      <c r="F22" s="6" t="s">
        <v>103</v>
      </c>
      <c r="G22">
        <f>TDIST(-H20,9,1)</f>
        <v>7.0226485439147182E-2</v>
      </c>
    </row>
    <row r="23" spans="1:16" x14ac:dyDescent="0.3">
      <c r="F23" s="6" t="s">
        <v>104</v>
      </c>
      <c r="G23" s="6" t="s">
        <v>105</v>
      </c>
    </row>
    <row r="24" spans="1:16" x14ac:dyDescent="0.3">
      <c r="G24" s="6" t="s">
        <v>106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E28" sqref="E28"/>
    </sheetView>
  </sheetViews>
  <sheetFormatPr defaultRowHeight="12" x14ac:dyDescent="0.3"/>
  <cols>
    <col min="1" max="1" width="9" style="6"/>
    <col min="2" max="2" width="11.75" style="6" bestFit="1" customWidth="1"/>
    <col min="3" max="15" width="9" style="6"/>
    <col min="16" max="16" width="19.25" style="6" customWidth="1"/>
    <col min="17" max="257" width="9" style="6"/>
    <col min="258" max="258" width="11.75" style="6" bestFit="1" customWidth="1"/>
    <col min="259" max="271" width="9" style="6"/>
    <col min="272" max="272" width="19.25" style="6" customWidth="1"/>
    <col min="273" max="513" width="9" style="6"/>
    <col min="514" max="514" width="11.75" style="6" bestFit="1" customWidth="1"/>
    <col min="515" max="527" width="9" style="6"/>
    <col min="528" max="528" width="19.25" style="6" customWidth="1"/>
    <col min="529" max="769" width="9" style="6"/>
    <col min="770" max="770" width="11.75" style="6" bestFit="1" customWidth="1"/>
    <col min="771" max="783" width="9" style="6"/>
    <col min="784" max="784" width="19.25" style="6" customWidth="1"/>
    <col min="785" max="1025" width="9" style="6"/>
    <col min="1026" max="1026" width="11.75" style="6" bestFit="1" customWidth="1"/>
    <col min="1027" max="1039" width="9" style="6"/>
    <col min="1040" max="1040" width="19.25" style="6" customWidth="1"/>
    <col min="1041" max="1281" width="9" style="6"/>
    <col min="1282" max="1282" width="11.75" style="6" bestFit="1" customWidth="1"/>
    <col min="1283" max="1295" width="9" style="6"/>
    <col min="1296" max="1296" width="19.25" style="6" customWidth="1"/>
    <col min="1297" max="1537" width="9" style="6"/>
    <col min="1538" max="1538" width="11.75" style="6" bestFit="1" customWidth="1"/>
    <col min="1539" max="1551" width="9" style="6"/>
    <col min="1552" max="1552" width="19.25" style="6" customWidth="1"/>
    <col min="1553" max="1793" width="9" style="6"/>
    <col min="1794" max="1794" width="11.75" style="6" bestFit="1" customWidth="1"/>
    <col min="1795" max="1807" width="9" style="6"/>
    <col min="1808" max="1808" width="19.25" style="6" customWidth="1"/>
    <col min="1809" max="2049" width="9" style="6"/>
    <col min="2050" max="2050" width="11.75" style="6" bestFit="1" customWidth="1"/>
    <col min="2051" max="2063" width="9" style="6"/>
    <col min="2064" max="2064" width="19.25" style="6" customWidth="1"/>
    <col min="2065" max="2305" width="9" style="6"/>
    <col min="2306" max="2306" width="11.75" style="6" bestFit="1" customWidth="1"/>
    <col min="2307" max="2319" width="9" style="6"/>
    <col min="2320" max="2320" width="19.25" style="6" customWidth="1"/>
    <col min="2321" max="2561" width="9" style="6"/>
    <col min="2562" max="2562" width="11.75" style="6" bestFit="1" customWidth="1"/>
    <col min="2563" max="2575" width="9" style="6"/>
    <col min="2576" max="2576" width="19.25" style="6" customWidth="1"/>
    <col min="2577" max="2817" width="9" style="6"/>
    <col min="2818" max="2818" width="11.75" style="6" bestFit="1" customWidth="1"/>
    <col min="2819" max="2831" width="9" style="6"/>
    <col min="2832" max="2832" width="19.25" style="6" customWidth="1"/>
    <col min="2833" max="3073" width="9" style="6"/>
    <col min="3074" max="3074" width="11.75" style="6" bestFit="1" customWidth="1"/>
    <col min="3075" max="3087" width="9" style="6"/>
    <col min="3088" max="3088" width="19.25" style="6" customWidth="1"/>
    <col min="3089" max="3329" width="9" style="6"/>
    <col min="3330" max="3330" width="11.75" style="6" bestFit="1" customWidth="1"/>
    <col min="3331" max="3343" width="9" style="6"/>
    <col min="3344" max="3344" width="19.25" style="6" customWidth="1"/>
    <col min="3345" max="3585" width="9" style="6"/>
    <col min="3586" max="3586" width="11.75" style="6" bestFit="1" customWidth="1"/>
    <col min="3587" max="3599" width="9" style="6"/>
    <col min="3600" max="3600" width="19.25" style="6" customWidth="1"/>
    <col min="3601" max="3841" width="9" style="6"/>
    <col min="3842" max="3842" width="11.75" style="6" bestFit="1" customWidth="1"/>
    <col min="3843" max="3855" width="9" style="6"/>
    <col min="3856" max="3856" width="19.25" style="6" customWidth="1"/>
    <col min="3857" max="4097" width="9" style="6"/>
    <col min="4098" max="4098" width="11.75" style="6" bestFit="1" customWidth="1"/>
    <col min="4099" max="4111" width="9" style="6"/>
    <col min="4112" max="4112" width="19.25" style="6" customWidth="1"/>
    <col min="4113" max="4353" width="9" style="6"/>
    <col min="4354" max="4354" width="11.75" style="6" bestFit="1" customWidth="1"/>
    <col min="4355" max="4367" width="9" style="6"/>
    <col min="4368" max="4368" width="19.25" style="6" customWidth="1"/>
    <col min="4369" max="4609" width="9" style="6"/>
    <col min="4610" max="4610" width="11.75" style="6" bestFit="1" customWidth="1"/>
    <col min="4611" max="4623" width="9" style="6"/>
    <col min="4624" max="4624" width="19.25" style="6" customWidth="1"/>
    <col min="4625" max="4865" width="9" style="6"/>
    <col min="4866" max="4866" width="11.75" style="6" bestFit="1" customWidth="1"/>
    <col min="4867" max="4879" width="9" style="6"/>
    <col min="4880" max="4880" width="19.25" style="6" customWidth="1"/>
    <col min="4881" max="5121" width="9" style="6"/>
    <col min="5122" max="5122" width="11.75" style="6" bestFit="1" customWidth="1"/>
    <col min="5123" max="5135" width="9" style="6"/>
    <col min="5136" max="5136" width="19.25" style="6" customWidth="1"/>
    <col min="5137" max="5377" width="9" style="6"/>
    <col min="5378" max="5378" width="11.75" style="6" bestFit="1" customWidth="1"/>
    <col min="5379" max="5391" width="9" style="6"/>
    <col min="5392" max="5392" width="19.25" style="6" customWidth="1"/>
    <col min="5393" max="5633" width="9" style="6"/>
    <col min="5634" max="5634" width="11.75" style="6" bestFit="1" customWidth="1"/>
    <col min="5635" max="5647" width="9" style="6"/>
    <col min="5648" max="5648" width="19.25" style="6" customWidth="1"/>
    <col min="5649" max="5889" width="9" style="6"/>
    <col min="5890" max="5890" width="11.75" style="6" bestFit="1" customWidth="1"/>
    <col min="5891" max="5903" width="9" style="6"/>
    <col min="5904" max="5904" width="19.25" style="6" customWidth="1"/>
    <col min="5905" max="6145" width="9" style="6"/>
    <col min="6146" max="6146" width="11.75" style="6" bestFit="1" customWidth="1"/>
    <col min="6147" max="6159" width="9" style="6"/>
    <col min="6160" max="6160" width="19.25" style="6" customWidth="1"/>
    <col min="6161" max="6401" width="9" style="6"/>
    <col min="6402" max="6402" width="11.75" style="6" bestFit="1" customWidth="1"/>
    <col min="6403" max="6415" width="9" style="6"/>
    <col min="6416" max="6416" width="19.25" style="6" customWidth="1"/>
    <col min="6417" max="6657" width="9" style="6"/>
    <col min="6658" max="6658" width="11.75" style="6" bestFit="1" customWidth="1"/>
    <col min="6659" max="6671" width="9" style="6"/>
    <col min="6672" max="6672" width="19.25" style="6" customWidth="1"/>
    <col min="6673" max="6913" width="9" style="6"/>
    <col min="6914" max="6914" width="11.75" style="6" bestFit="1" customWidth="1"/>
    <col min="6915" max="6927" width="9" style="6"/>
    <col min="6928" max="6928" width="19.25" style="6" customWidth="1"/>
    <col min="6929" max="7169" width="9" style="6"/>
    <col min="7170" max="7170" width="11.75" style="6" bestFit="1" customWidth="1"/>
    <col min="7171" max="7183" width="9" style="6"/>
    <col min="7184" max="7184" width="19.25" style="6" customWidth="1"/>
    <col min="7185" max="7425" width="9" style="6"/>
    <col min="7426" max="7426" width="11.75" style="6" bestFit="1" customWidth="1"/>
    <col min="7427" max="7439" width="9" style="6"/>
    <col min="7440" max="7440" width="19.25" style="6" customWidth="1"/>
    <col min="7441" max="7681" width="9" style="6"/>
    <col min="7682" max="7682" width="11.75" style="6" bestFit="1" customWidth="1"/>
    <col min="7683" max="7695" width="9" style="6"/>
    <col min="7696" max="7696" width="19.25" style="6" customWidth="1"/>
    <col min="7697" max="7937" width="9" style="6"/>
    <col min="7938" max="7938" width="11.75" style="6" bestFit="1" customWidth="1"/>
    <col min="7939" max="7951" width="9" style="6"/>
    <col min="7952" max="7952" width="19.25" style="6" customWidth="1"/>
    <col min="7953" max="8193" width="9" style="6"/>
    <col min="8194" max="8194" width="11.75" style="6" bestFit="1" customWidth="1"/>
    <col min="8195" max="8207" width="9" style="6"/>
    <col min="8208" max="8208" width="19.25" style="6" customWidth="1"/>
    <col min="8209" max="8449" width="9" style="6"/>
    <col min="8450" max="8450" width="11.75" style="6" bestFit="1" customWidth="1"/>
    <col min="8451" max="8463" width="9" style="6"/>
    <col min="8464" max="8464" width="19.25" style="6" customWidth="1"/>
    <col min="8465" max="8705" width="9" style="6"/>
    <col min="8706" max="8706" width="11.75" style="6" bestFit="1" customWidth="1"/>
    <col min="8707" max="8719" width="9" style="6"/>
    <col min="8720" max="8720" width="19.25" style="6" customWidth="1"/>
    <col min="8721" max="8961" width="9" style="6"/>
    <col min="8962" max="8962" width="11.75" style="6" bestFit="1" customWidth="1"/>
    <col min="8963" max="8975" width="9" style="6"/>
    <col min="8976" max="8976" width="19.25" style="6" customWidth="1"/>
    <col min="8977" max="9217" width="9" style="6"/>
    <col min="9218" max="9218" width="11.75" style="6" bestFit="1" customWidth="1"/>
    <col min="9219" max="9231" width="9" style="6"/>
    <col min="9232" max="9232" width="19.25" style="6" customWidth="1"/>
    <col min="9233" max="9473" width="9" style="6"/>
    <col min="9474" max="9474" width="11.75" style="6" bestFit="1" customWidth="1"/>
    <col min="9475" max="9487" width="9" style="6"/>
    <col min="9488" max="9488" width="19.25" style="6" customWidth="1"/>
    <col min="9489" max="9729" width="9" style="6"/>
    <col min="9730" max="9730" width="11.75" style="6" bestFit="1" customWidth="1"/>
    <col min="9731" max="9743" width="9" style="6"/>
    <col min="9744" max="9744" width="19.25" style="6" customWidth="1"/>
    <col min="9745" max="9985" width="9" style="6"/>
    <col min="9986" max="9986" width="11.75" style="6" bestFit="1" customWidth="1"/>
    <col min="9987" max="9999" width="9" style="6"/>
    <col min="10000" max="10000" width="19.25" style="6" customWidth="1"/>
    <col min="10001" max="10241" width="9" style="6"/>
    <col min="10242" max="10242" width="11.75" style="6" bestFit="1" customWidth="1"/>
    <col min="10243" max="10255" width="9" style="6"/>
    <col min="10256" max="10256" width="19.25" style="6" customWidth="1"/>
    <col min="10257" max="10497" width="9" style="6"/>
    <col min="10498" max="10498" width="11.75" style="6" bestFit="1" customWidth="1"/>
    <col min="10499" max="10511" width="9" style="6"/>
    <col min="10512" max="10512" width="19.25" style="6" customWidth="1"/>
    <col min="10513" max="10753" width="9" style="6"/>
    <col min="10754" max="10754" width="11.75" style="6" bestFit="1" customWidth="1"/>
    <col min="10755" max="10767" width="9" style="6"/>
    <col min="10768" max="10768" width="19.25" style="6" customWidth="1"/>
    <col min="10769" max="11009" width="9" style="6"/>
    <col min="11010" max="11010" width="11.75" style="6" bestFit="1" customWidth="1"/>
    <col min="11011" max="11023" width="9" style="6"/>
    <col min="11024" max="11024" width="19.25" style="6" customWidth="1"/>
    <col min="11025" max="11265" width="9" style="6"/>
    <col min="11266" max="11266" width="11.75" style="6" bestFit="1" customWidth="1"/>
    <col min="11267" max="11279" width="9" style="6"/>
    <col min="11280" max="11280" width="19.25" style="6" customWidth="1"/>
    <col min="11281" max="11521" width="9" style="6"/>
    <col min="11522" max="11522" width="11.75" style="6" bestFit="1" customWidth="1"/>
    <col min="11523" max="11535" width="9" style="6"/>
    <col min="11536" max="11536" width="19.25" style="6" customWidth="1"/>
    <col min="11537" max="11777" width="9" style="6"/>
    <col min="11778" max="11778" width="11.75" style="6" bestFit="1" customWidth="1"/>
    <col min="11779" max="11791" width="9" style="6"/>
    <col min="11792" max="11792" width="19.25" style="6" customWidth="1"/>
    <col min="11793" max="12033" width="9" style="6"/>
    <col min="12034" max="12034" width="11.75" style="6" bestFit="1" customWidth="1"/>
    <col min="12035" max="12047" width="9" style="6"/>
    <col min="12048" max="12048" width="19.25" style="6" customWidth="1"/>
    <col min="12049" max="12289" width="9" style="6"/>
    <col min="12290" max="12290" width="11.75" style="6" bestFit="1" customWidth="1"/>
    <col min="12291" max="12303" width="9" style="6"/>
    <col min="12304" max="12304" width="19.25" style="6" customWidth="1"/>
    <col min="12305" max="12545" width="9" style="6"/>
    <col min="12546" max="12546" width="11.75" style="6" bestFit="1" customWidth="1"/>
    <col min="12547" max="12559" width="9" style="6"/>
    <col min="12560" max="12560" width="19.25" style="6" customWidth="1"/>
    <col min="12561" max="12801" width="9" style="6"/>
    <col min="12802" max="12802" width="11.75" style="6" bestFit="1" customWidth="1"/>
    <col min="12803" max="12815" width="9" style="6"/>
    <col min="12816" max="12816" width="19.25" style="6" customWidth="1"/>
    <col min="12817" max="13057" width="9" style="6"/>
    <col min="13058" max="13058" width="11.75" style="6" bestFit="1" customWidth="1"/>
    <col min="13059" max="13071" width="9" style="6"/>
    <col min="13072" max="13072" width="19.25" style="6" customWidth="1"/>
    <col min="13073" max="13313" width="9" style="6"/>
    <col min="13314" max="13314" width="11.75" style="6" bestFit="1" customWidth="1"/>
    <col min="13315" max="13327" width="9" style="6"/>
    <col min="13328" max="13328" width="19.25" style="6" customWidth="1"/>
    <col min="13329" max="13569" width="9" style="6"/>
    <col min="13570" max="13570" width="11.75" style="6" bestFit="1" customWidth="1"/>
    <col min="13571" max="13583" width="9" style="6"/>
    <col min="13584" max="13584" width="19.25" style="6" customWidth="1"/>
    <col min="13585" max="13825" width="9" style="6"/>
    <col min="13826" max="13826" width="11.75" style="6" bestFit="1" customWidth="1"/>
    <col min="13827" max="13839" width="9" style="6"/>
    <col min="13840" max="13840" width="19.25" style="6" customWidth="1"/>
    <col min="13841" max="14081" width="9" style="6"/>
    <col min="14082" max="14082" width="11.75" style="6" bestFit="1" customWidth="1"/>
    <col min="14083" max="14095" width="9" style="6"/>
    <col min="14096" max="14096" width="19.25" style="6" customWidth="1"/>
    <col min="14097" max="14337" width="9" style="6"/>
    <col min="14338" max="14338" width="11.75" style="6" bestFit="1" customWidth="1"/>
    <col min="14339" max="14351" width="9" style="6"/>
    <col min="14352" max="14352" width="19.25" style="6" customWidth="1"/>
    <col min="14353" max="14593" width="9" style="6"/>
    <col min="14594" max="14594" width="11.75" style="6" bestFit="1" customWidth="1"/>
    <col min="14595" max="14607" width="9" style="6"/>
    <col min="14608" max="14608" width="19.25" style="6" customWidth="1"/>
    <col min="14609" max="14849" width="9" style="6"/>
    <col min="14850" max="14850" width="11.75" style="6" bestFit="1" customWidth="1"/>
    <col min="14851" max="14863" width="9" style="6"/>
    <col min="14864" max="14864" width="19.25" style="6" customWidth="1"/>
    <col min="14865" max="15105" width="9" style="6"/>
    <col min="15106" max="15106" width="11.75" style="6" bestFit="1" customWidth="1"/>
    <col min="15107" max="15119" width="9" style="6"/>
    <col min="15120" max="15120" width="19.25" style="6" customWidth="1"/>
    <col min="15121" max="15361" width="9" style="6"/>
    <col min="15362" max="15362" width="11.75" style="6" bestFit="1" customWidth="1"/>
    <col min="15363" max="15375" width="9" style="6"/>
    <col min="15376" max="15376" width="19.25" style="6" customWidth="1"/>
    <col min="15377" max="15617" width="9" style="6"/>
    <col min="15618" max="15618" width="11.75" style="6" bestFit="1" customWidth="1"/>
    <col min="15619" max="15631" width="9" style="6"/>
    <col min="15632" max="15632" width="19.25" style="6" customWidth="1"/>
    <col min="15633" max="15873" width="9" style="6"/>
    <col min="15874" max="15874" width="11.75" style="6" bestFit="1" customWidth="1"/>
    <col min="15875" max="15887" width="9" style="6"/>
    <col min="15888" max="15888" width="19.25" style="6" customWidth="1"/>
    <col min="15889" max="16129" width="9" style="6"/>
    <col min="16130" max="16130" width="11.75" style="6" bestFit="1" customWidth="1"/>
    <col min="16131" max="16143" width="9" style="6"/>
    <col min="16144" max="16144" width="19.25" style="6" customWidth="1"/>
    <col min="16145" max="16384" width="9" style="6"/>
  </cols>
  <sheetData>
    <row r="1" spans="1:18" x14ac:dyDescent="0.3">
      <c r="A1" s="7" t="s">
        <v>117</v>
      </c>
      <c r="B1" s="7" t="s">
        <v>118</v>
      </c>
      <c r="E1" s="9" t="s">
        <v>119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8" x14ac:dyDescent="0.3">
      <c r="A2" s="6">
        <v>15</v>
      </c>
      <c r="B2" s="6">
        <v>23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8" x14ac:dyDescent="0.3">
      <c r="A3" s="6">
        <v>20</v>
      </c>
      <c r="B3" s="6">
        <v>31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8" x14ac:dyDescent="0.3">
      <c r="A4" s="6">
        <v>11</v>
      </c>
      <c r="B4" s="6">
        <v>13</v>
      </c>
    </row>
    <row r="5" spans="1:18" x14ac:dyDescent="0.3">
      <c r="A5" s="6">
        <v>23</v>
      </c>
      <c r="B5" s="6">
        <v>19</v>
      </c>
    </row>
    <row r="6" spans="1:18" x14ac:dyDescent="0.3">
      <c r="A6" s="6">
        <v>16</v>
      </c>
      <c r="B6" s="6">
        <v>23</v>
      </c>
      <c r="E6" s="6" t="s">
        <v>120</v>
      </c>
    </row>
    <row r="7" spans="1:18" x14ac:dyDescent="0.3">
      <c r="A7" s="6">
        <v>21</v>
      </c>
      <c r="B7" s="6">
        <v>17</v>
      </c>
    </row>
    <row r="8" spans="1:18" x14ac:dyDescent="0.3">
      <c r="A8" s="6">
        <v>18</v>
      </c>
      <c r="B8" s="6">
        <v>28</v>
      </c>
      <c r="F8" s="6" t="s">
        <v>121</v>
      </c>
    </row>
    <row r="9" spans="1:18" x14ac:dyDescent="0.3">
      <c r="A9" s="6">
        <v>16</v>
      </c>
      <c r="B9" s="6">
        <v>16</v>
      </c>
      <c r="F9" s="6" t="s">
        <v>122</v>
      </c>
      <c r="H9" s="6" t="s">
        <v>123</v>
      </c>
    </row>
    <row r="10" spans="1:18" ht="16.5" x14ac:dyDescent="0.3">
      <c r="A10" s="6">
        <v>27</v>
      </c>
      <c r="B10" s="6">
        <v>25</v>
      </c>
      <c r="F10" s="6" t="s">
        <v>124</v>
      </c>
      <c r="G10" s="6">
        <f>AVERAGE(A2:A11)</f>
        <v>19.100000000000001</v>
      </c>
      <c r="H10" s="6" t="s">
        <v>124</v>
      </c>
      <c r="I10" s="6">
        <f>AVERAGE(B2:B11)</f>
        <v>22.3</v>
      </c>
      <c r="P10" t="s">
        <v>125</v>
      </c>
      <c r="Q10"/>
      <c r="R10"/>
    </row>
    <row r="11" spans="1:18" ht="17.25" thickBot="1" x14ac:dyDescent="0.35">
      <c r="A11" s="6">
        <v>24</v>
      </c>
      <c r="B11" s="6">
        <v>28</v>
      </c>
      <c r="F11" s="6" t="s">
        <v>126</v>
      </c>
      <c r="G11" s="6">
        <f>COUNT(A2:A11)</f>
        <v>10</v>
      </c>
      <c r="H11" s="6" t="s">
        <v>126</v>
      </c>
      <c r="I11" s="6">
        <f>COUNT(B2:B11)</f>
        <v>10</v>
      </c>
      <c r="P11"/>
      <c r="Q11"/>
      <c r="R11"/>
    </row>
    <row r="12" spans="1:18" ht="16.5" x14ac:dyDescent="0.3">
      <c r="F12" s="6" t="s">
        <v>127</v>
      </c>
      <c r="G12" s="6">
        <f>VAR(A2:A11)</f>
        <v>23.211111111111123</v>
      </c>
      <c r="H12" s="6" t="s">
        <v>127</v>
      </c>
      <c r="I12" s="6">
        <f>VAR(B2:B11)</f>
        <v>34.900000000000041</v>
      </c>
      <c r="K12" s="6" t="s">
        <v>128</v>
      </c>
      <c r="L12" s="6">
        <f>(G12*9+I12*9)/18</f>
        <v>29.055555555555582</v>
      </c>
      <c r="P12" s="13"/>
      <c r="Q12" s="13" t="s">
        <v>129</v>
      </c>
      <c r="R12" s="13" t="s">
        <v>130</v>
      </c>
    </row>
    <row r="13" spans="1:18" ht="16.5" x14ac:dyDescent="0.3">
      <c r="P13" s="11" t="s">
        <v>43</v>
      </c>
      <c r="Q13" s="11">
        <v>19.100000000000001</v>
      </c>
      <c r="R13" s="11">
        <v>22.3</v>
      </c>
    </row>
    <row r="14" spans="1:18" ht="16.5" x14ac:dyDescent="0.3">
      <c r="F14" s="6" t="s">
        <v>131</v>
      </c>
      <c r="G14" s="6">
        <f>TINV(0.05,18)*SQRT(L12)*SQRT(1/G11+1/I11)</f>
        <v>5.0645344178098028</v>
      </c>
      <c r="P14" s="11" t="s">
        <v>110</v>
      </c>
      <c r="Q14" s="11">
        <v>23.211111111111123</v>
      </c>
      <c r="R14" s="11">
        <v>34.900000000000041</v>
      </c>
    </row>
    <row r="15" spans="1:18" ht="16.5" x14ac:dyDescent="0.3">
      <c r="F15" s="6" t="s">
        <v>132</v>
      </c>
      <c r="G15" s="6">
        <f>G10-I10-G14</f>
        <v>-8.2645344178098021</v>
      </c>
      <c r="P15" s="11" t="s">
        <v>14</v>
      </c>
      <c r="Q15" s="11">
        <v>10</v>
      </c>
      <c r="R15" s="11">
        <v>10</v>
      </c>
    </row>
    <row r="16" spans="1:18" ht="16.5" x14ac:dyDescent="0.3">
      <c r="F16" s="6" t="s">
        <v>133</v>
      </c>
      <c r="G16" s="6">
        <f>G10-I10+G14</f>
        <v>1.8645344178098036</v>
      </c>
      <c r="P16" s="11" t="s">
        <v>134</v>
      </c>
      <c r="Q16" s="11">
        <v>29.055555555555582</v>
      </c>
      <c r="R16" s="11"/>
    </row>
    <row r="17" spans="5:18" ht="16.5" x14ac:dyDescent="0.3">
      <c r="P17" s="11" t="s">
        <v>112</v>
      </c>
      <c r="Q17" s="11">
        <v>0</v>
      </c>
      <c r="R17" s="11"/>
    </row>
    <row r="18" spans="5:18" ht="16.5" x14ac:dyDescent="0.3">
      <c r="F18" s="6" t="s">
        <v>135</v>
      </c>
      <c r="P18" s="11" t="s">
        <v>69</v>
      </c>
      <c r="Q18" s="11">
        <v>18</v>
      </c>
      <c r="R18" s="11"/>
    </row>
    <row r="19" spans="5:18" ht="16.5" x14ac:dyDescent="0.3">
      <c r="P19" s="11" t="s">
        <v>75</v>
      </c>
      <c r="Q19" s="11">
        <v>-1.3274567757165545</v>
      </c>
      <c r="R19" s="11"/>
    </row>
    <row r="20" spans="5:18" ht="16.5" x14ac:dyDescent="0.3">
      <c r="F20" s="6" t="s">
        <v>136</v>
      </c>
      <c r="G20" s="6" t="s">
        <v>137</v>
      </c>
      <c r="H20" s="6" t="s">
        <v>138</v>
      </c>
      <c r="I20" s="6" t="s">
        <v>139</v>
      </c>
      <c r="P20" s="11" t="s">
        <v>113</v>
      </c>
      <c r="Q20" s="11">
        <v>0.10047448074926792</v>
      </c>
      <c r="R20" s="11"/>
    </row>
    <row r="21" spans="5:18" ht="16.5" x14ac:dyDescent="0.3">
      <c r="F21" s="6" t="s">
        <v>140</v>
      </c>
      <c r="G21" s="6">
        <f>(G10-I10)/SQRT(L12/10+L12/10)</f>
        <v>-1.3274567757165545</v>
      </c>
      <c r="P21" s="11" t="s">
        <v>114</v>
      </c>
      <c r="Q21" s="11">
        <v>1.7340636066175394</v>
      </c>
      <c r="R21" s="11"/>
    </row>
    <row r="22" spans="5:18" ht="16.5" x14ac:dyDescent="0.3">
      <c r="F22" s="6" t="s">
        <v>141</v>
      </c>
      <c r="G22" s="6">
        <f>-TINV(0.1,18)</f>
        <v>-1.7340636066175394</v>
      </c>
      <c r="P22" s="11" t="s">
        <v>115</v>
      </c>
      <c r="Q22" s="11">
        <v>0.20094896149853583</v>
      </c>
      <c r="R22" s="11"/>
    </row>
    <row r="23" spans="5:18" ht="17.25" thickBot="1" x14ac:dyDescent="0.35">
      <c r="F23" s="6" t="s">
        <v>142</v>
      </c>
      <c r="G23" s="6">
        <f>TDIST(-G21,18,1)</f>
        <v>0.10047448074926792</v>
      </c>
      <c r="P23" s="12" t="s">
        <v>116</v>
      </c>
      <c r="Q23" s="12">
        <v>2.1009220402410378</v>
      </c>
      <c r="R23" s="12"/>
    </row>
    <row r="24" spans="5:18" x14ac:dyDescent="0.3">
      <c r="F24" s="6" t="s">
        <v>143</v>
      </c>
      <c r="G24" s="6" t="s">
        <v>144</v>
      </c>
    </row>
    <row r="28" spans="5:18" x14ac:dyDescent="0.3">
      <c r="E28" s="6" t="s">
        <v>145</v>
      </c>
    </row>
    <row r="30" spans="5:18" x14ac:dyDescent="0.3">
      <c r="F30" s="6" t="s">
        <v>146</v>
      </c>
    </row>
    <row r="32" spans="5:18" x14ac:dyDescent="0.3">
      <c r="F32" s="6" t="s">
        <v>147</v>
      </c>
      <c r="H32" s="6" t="s">
        <v>148</v>
      </c>
    </row>
    <row r="33" spans="6:18" x14ac:dyDescent="0.3">
      <c r="F33" s="6" t="s">
        <v>149</v>
      </c>
      <c r="G33" s="6">
        <f>AVERAGE(A2:A11)</f>
        <v>19.100000000000001</v>
      </c>
      <c r="H33" s="6" t="s">
        <v>149</v>
      </c>
      <c r="I33" s="6">
        <f>AVERAGE(B2:B11)</f>
        <v>22.3</v>
      </c>
    </row>
    <row r="34" spans="6:18" x14ac:dyDescent="0.3">
      <c r="F34" s="6" t="s">
        <v>126</v>
      </c>
      <c r="G34" s="6">
        <f>COUNT(A2:A11)</f>
        <v>10</v>
      </c>
      <c r="H34" s="6" t="s">
        <v>126</v>
      </c>
      <c r="I34" s="6">
        <f>COUNT(B2:B11)</f>
        <v>10</v>
      </c>
    </row>
    <row r="35" spans="6:18" x14ac:dyDescent="0.3">
      <c r="F35" s="6" t="s">
        <v>127</v>
      </c>
      <c r="G35" s="6">
        <f>VAR(A2:A11)</f>
        <v>23.211111111111123</v>
      </c>
      <c r="H35" s="6" t="s">
        <v>127</v>
      </c>
      <c r="I35" s="6">
        <f>VAR(B2:B11)</f>
        <v>34.900000000000041</v>
      </c>
    </row>
    <row r="37" spans="6:18" x14ac:dyDescent="0.3">
      <c r="F37" s="6" t="s">
        <v>131</v>
      </c>
      <c r="G37" s="6">
        <f>TINV(0.05,9)*SQRT(G35/G34+I35/I34)</f>
        <v>5.453211775612604</v>
      </c>
    </row>
    <row r="38" spans="6:18" x14ac:dyDescent="0.3">
      <c r="F38" s="6" t="s">
        <v>132</v>
      </c>
      <c r="G38" s="6">
        <f>G33-I33-G37</f>
        <v>-8.6532117756126041</v>
      </c>
    </row>
    <row r="39" spans="6:18" x14ac:dyDescent="0.3">
      <c r="F39" s="6" t="s">
        <v>133</v>
      </c>
      <c r="G39" s="6">
        <f>G33-I33+G37</f>
        <v>2.2532117756126047</v>
      </c>
    </row>
    <row r="41" spans="6:18" ht="16.5" x14ac:dyDescent="0.3">
      <c r="F41" s="6" t="s">
        <v>135</v>
      </c>
      <c r="P41" t="s">
        <v>150</v>
      </c>
      <c r="Q41"/>
      <c r="R41"/>
    </row>
    <row r="42" spans="6:18" ht="17.25" thickBot="1" x14ac:dyDescent="0.35">
      <c r="P42"/>
      <c r="Q42"/>
      <c r="R42"/>
    </row>
    <row r="43" spans="6:18" ht="16.5" x14ac:dyDescent="0.3">
      <c r="P43" s="13"/>
      <c r="Q43" s="13" t="s">
        <v>129</v>
      </c>
      <c r="R43" s="13" t="s">
        <v>130</v>
      </c>
    </row>
    <row r="44" spans="6:18" ht="16.5" x14ac:dyDescent="0.3">
      <c r="F44" s="6" t="s">
        <v>136</v>
      </c>
      <c r="G44" s="6" t="s">
        <v>137</v>
      </c>
      <c r="H44" s="6" t="s">
        <v>138</v>
      </c>
      <c r="I44" s="6" t="s">
        <v>139</v>
      </c>
      <c r="P44" s="11" t="s">
        <v>43</v>
      </c>
      <c r="Q44" s="11">
        <v>19.100000000000001</v>
      </c>
      <c r="R44" s="11">
        <v>22.3</v>
      </c>
    </row>
    <row r="45" spans="6:18" ht="16.5" x14ac:dyDescent="0.3">
      <c r="F45" s="6" t="s">
        <v>140</v>
      </c>
      <c r="G45" s="6">
        <f>(G33-I33)/SQRT(G35/G34+I35/I34)</f>
        <v>-1.3274567757165545</v>
      </c>
      <c r="P45" s="11" t="s">
        <v>110</v>
      </c>
      <c r="Q45" s="11">
        <v>23.211111111111123</v>
      </c>
      <c r="R45" s="11">
        <v>34.900000000000041</v>
      </c>
    </row>
    <row r="46" spans="6:18" ht="16.5" x14ac:dyDescent="0.3">
      <c r="F46" s="6" t="s">
        <v>141</v>
      </c>
      <c r="G46" s="6">
        <f>-TINV(0.1,9)</f>
        <v>-1.8331129326562374</v>
      </c>
      <c r="P46" s="11" t="s">
        <v>14</v>
      </c>
      <c r="Q46" s="11">
        <v>10</v>
      </c>
      <c r="R46" s="11">
        <v>10</v>
      </c>
    </row>
    <row r="47" spans="6:18" ht="16.5" x14ac:dyDescent="0.3">
      <c r="F47" s="6" t="s">
        <v>142</v>
      </c>
      <c r="G47" s="6">
        <f>TDIST(-G45,9,1)</f>
        <v>0.10852139208233398</v>
      </c>
      <c r="P47" s="11" t="s">
        <v>112</v>
      </c>
      <c r="Q47" s="11">
        <v>0</v>
      </c>
      <c r="R47" s="11"/>
    </row>
    <row r="48" spans="6:18" ht="16.5" x14ac:dyDescent="0.3">
      <c r="F48" s="6" t="s">
        <v>143</v>
      </c>
      <c r="G48" s="6" t="s">
        <v>144</v>
      </c>
      <c r="P48" s="11" t="s">
        <v>69</v>
      </c>
      <c r="Q48" s="11">
        <v>17</v>
      </c>
      <c r="R48" s="11"/>
    </row>
    <row r="49" spans="16:18" ht="16.5" x14ac:dyDescent="0.3">
      <c r="P49" s="11" t="s">
        <v>75</v>
      </c>
      <c r="Q49" s="11">
        <v>-1.3274567757165545</v>
      </c>
      <c r="R49" s="11"/>
    </row>
    <row r="50" spans="16:18" ht="16.5" x14ac:dyDescent="0.3">
      <c r="P50" s="11" t="s">
        <v>113</v>
      </c>
      <c r="Q50" s="11">
        <v>0.10095477337926292</v>
      </c>
      <c r="R50" s="11"/>
    </row>
    <row r="51" spans="16:18" ht="16.5" x14ac:dyDescent="0.3">
      <c r="P51" s="11" t="s">
        <v>114</v>
      </c>
      <c r="Q51" s="11">
        <v>1.7396067260750732</v>
      </c>
      <c r="R51" s="11"/>
    </row>
    <row r="52" spans="16:18" ht="16.5" x14ac:dyDescent="0.3">
      <c r="P52" s="11" t="s">
        <v>115</v>
      </c>
      <c r="Q52" s="11">
        <v>0.20190954675852585</v>
      </c>
      <c r="R52" s="11"/>
    </row>
    <row r="53" spans="16:18" ht="17.25" thickBot="1" x14ac:dyDescent="0.35">
      <c r="P53" s="12" t="s">
        <v>116</v>
      </c>
      <c r="Q53" s="12">
        <v>2.109815577833317</v>
      </c>
      <c r="R53" s="12"/>
    </row>
  </sheetData>
  <mergeCells count="1">
    <mergeCell ref="E1:P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ANOVA</vt:lpstr>
      <vt:lpstr>회귀분석</vt:lpstr>
      <vt:lpstr>짝비교_</vt:lpstr>
      <vt:lpstr>두집단 비교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2013-12-05T01:30:44Z</dcterms:created>
  <dcterms:modified xsi:type="dcterms:W3CDTF">2013-12-10T13:47:19Z</dcterms:modified>
</cp:coreProperties>
</file>