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hidePivotFieldList="1"/>
  <mc:AlternateContent xmlns:mc="http://schemas.openxmlformats.org/markup-compatibility/2006">
    <mc:Choice Requires="x15">
      <x15ac:absPath xmlns:x15ac="http://schemas.microsoft.com/office/spreadsheetml/2010/11/ac" url="C:\Eszter\Udemy\GitHub\"/>
    </mc:Choice>
  </mc:AlternateContent>
  <xr:revisionPtr revIDLastSave="0" documentId="13_ncr:1_{C40A048C-0B8F-477F-B7F3-05BFE63B6B4E}" xr6:coauthVersionLast="43" xr6:coauthVersionMax="43" xr10:uidLastSave="{00000000-0000-0000-0000-000000000000}"/>
  <bookViews>
    <workbookView xWindow="-108" yWindow="-108" windowWidth="23256" windowHeight="12576" xr2:uid="{E4916019-2EB8-4722-B77F-B047BB189179}"/>
  </bookViews>
  <sheets>
    <sheet name="Dashboard1" sheetId="1" r:id="rId1"/>
    <sheet name="Dashboard2" sheetId="4" r:id="rId2"/>
    <sheet name="Data1" sheetId="2" r:id="rId3"/>
    <sheet name="Calculatiions1" sheetId="3" r:id="rId4"/>
    <sheet name="Data2" sheetId="5" r:id="rId5"/>
    <sheet name="Calculations2" sheetId="6" r:id="rId6"/>
  </sheets>
  <definedNames>
    <definedName name="curr_month">Dashboard1!$G$5</definedName>
    <definedName name="curr_year">Dashboard1!$G$4</definedName>
    <definedName name="month">Dashboard1!$G$5</definedName>
    <definedName name="Slicer_Division">#N/A</definedName>
    <definedName name="Slicer_Region">#N/A</definedName>
    <definedName name="year">Dashboard1!$G$4</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7" i="3" l="1"/>
  <c r="N7" i="6" l="1"/>
  <c r="O5" i="6" l="1"/>
  <c r="D8" i="4" l="1"/>
  <c r="D9" i="4"/>
  <c r="H4" i="6"/>
  <c r="I7" i="6"/>
  <c r="I8" i="6"/>
  <c r="I9" i="6"/>
  <c r="I10" i="6"/>
  <c r="I6" i="6"/>
  <c r="N6" i="6" l="1"/>
  <c r="N5" i="6"/>
  <c r="K6" i="6"/>
  <c r="K8" i="6"/>
  <c r="J8" i="6"/>
  <c r="J7" i="6"/>
  <c r="J10" i="6"/>
  <c r="J9" i="6"/>
  <c r="K7" i="6"/>
  <c r="K10" i="6"/>
  <c r="K9" i="6"/>
  <c r="J6" i="6"/>
  <c r="AL11" i="3"/>
  <c r="AQ10" i="3" s="1"/>
  <c r="AL10" i="3"/>
  <c r="AT16" i="3"/>
  <c r="AT17" i="3"/>
  <c r="AT18" i="3"/>
  <c r="AT19" i="3"/>
  <c r="AT21" i="3"/>
  <c r="AT22" i="3"/>
  <c r="AT23" i="3"/>
  <c r="AT24" i="3"/>
  <c r="AT25" i="3"/>
  <c r="AT26" i="3"/>
  <c r="AT15" i="3"/>
  <c r="AQ21" i="3"/>
  <c r="AQ22" i="3"/>
  <c r="AQ23" i="3"/>
  <c r="AQ24" i="3"/>
  <c r="AQ25" i="3"/>
  <c r="AQ26" i="3"/>
  <c r="AM13" i="3"/>
  <c r="AO13" i="3" s="1"/>
  <c r="AQ13" i="3"/>
  <c r="AS13" i="3" s="1"/>
  <c r="AP16" i="3"/>
  <c r="AP17" i="3"/>
  <c r="AP18" i="3"/>
  <c r="AP19" i="3"/>
  <c r="AP20" i="3"/>
  <c r="AP21" i="3"/>
  <c r="AP22" i="3"/>
  <c r="AP23" i="3"/>
  <c r="AP24" i="3"/>
  <c r="AP25" i="3"/>
  <c r="AP26" i="3"/>
  <c r="AP15" i="3"/>
  <c r="AN13" i="3" l="1"/>
  <c r="AR13" i="3"/>
  <c r="AF13" i="3"/>
  <c r="AE15" i="3" l="1"/>
  <c r="AF12" i="3"/>
  <c r="R10" i="3"/>
  <c r="S10" i="3"/>
  <c r="Q10" i="3"/>
  <c r="O10" i="3"/>
  <c r="P10" i="3"/>
  <c r="T10" i="3"/>
  <c r="U10" i="3"/>
  <c r="V10" i="3"/>
  <c r="O11" i="3"/>
  <c r="P11" i="3"/>
  <c r="Q11" i="3"/>
  <c r="R11" i="3"/>
  <c r="S11" i="3"/>
  <c r="T11" i="3"/>
  <c r="U11" i="3"/>
  <c r="V11" i="3"/>
  <c r="O12" i="3"/>
  <c r="P12" i="3"/>
  <c r="Q12" i="3"/>
  <c r="R12" i="3"/>
  <c r="S12" i="3"/>
  <c r="T12" i="3"/>
  <c r="U12" i="3"/>
  <c r="V12" i="3"/>
  <c r="O13" i="3"/>
  <c r="P13" i="3"/>
  <c r="Q13" i="3"/>
  <c r="R13" i="3"/>
  <c r="S13" i="3"/>
  <c r="T13" i="3"/>
  <c r="U13" i="3"/>
  <c r="V13" i="3"/>
  <c r="N13" i="3"/>
  <c r="N12" i="3"/>
  <c r="N10" i="3"/>
  <c r="N11" i="3"/>
  <c r="U9" i="3" l="1"/>
  <c r="T9" i="3"/>
  <c r="P9" i="3"/>
  <c r="O9" i="3"/>
  <c r="Q9" i="3"/>
  <c r="S9" i="3"/>
  <c r="V9" i="3"/>
  <c r="R9" i="3"/>
  <c r="N9" i="3"/>
  <c r="M37" i="3"/>
  <c r="M17" i="3"/>
  <c r="M18" i="3"/>
  <c r="M19" i="3"/>
  <c r="M20" i="3"/>
  <c r="M21" i="3"/>
  <c r="M22" i="3"/>
  <c r="M23" i="3"/>
  <c r="M24" i="3"/>
  <c r="M25" i="3"/>
  <c r="M26" i="3"/>
  <c r="M27" i="3"/>
  <c r="M28" i="3"/>
  <c r="M29" i="3"/>
  <c r="M30" i="3"/>
  <c r="M31" i="3"/>
  <c r="Q31" i="3" s="1"/>
  <c r="M32" i="3"/>
  <c r="Q32" i="3" s="1"/>
  <c r="M33" i="3"/>
  <c r="Q33" i="3" s="1"/>
  <c r="M34" i="3"/>
  <c r="Q34" i="3" s="1"/>
  <c r="M35" i="3"/>
  <c r="Q35" i="3" s="1"/>
  <c r="M16" i="3"/>
  <c r="U35" i="3" l="1"/>
  <c r="V35" i="3"/>
  <c r="N35" i="3"/>
  <c r="O35" i="3"/>
  <c r="W35" i="3"/>
  <c r="P35" i="3"/>
  <c r="Y35" i="3"/>
  <c r="R35" i="3"/>
  <c r="X35" i="3"/>
  <c r="Z35" i="3"/>
  <c r="AE35" i="3" s="1"/>
  <c r="AA35" i="3"/>
  <c r="T35" i="3"/>
  <c r="S35" i="3"/>
  <c r="AB35" i="3"/>
  <c r="AD35" i="3"/>
  <c r="T34" i="3"/>
  <c r="AD34" i="3"/>
  <c r="U34" i="3"/>
  <c r="N34" i="3"/>
  <c r="V34" i="3"/>
  <c r="Z34" i="3"/>
  <c r="AE34" i="3" s="1"/>
  <c r="AB34" i="3"/>
  <c r="X34" i="3"/>
  <c r="O34" i="3"/>
  <c r="W34" i="3"/>
  <c r="S34" i="3"/>
  <c r="P34" i="3"/>
  <c r="Y34" i="3"/>
  <c r="R34" i="3"/>
  <c r="AA34" i="3"/>
  <c r="S33" i="3"/>
  <c r="AB33" i="3"/>
  <c r="T33" i="3"/>
  <c r="AD33" i="3"/>
  <c r="X33" i="3"/>
  <c r="U33" i="3"/>
  <c r="Y33" i="3"/>
  <c r="N33" i="3"/>
  <c r="V33" i="3"/>
  <c r="O33" i="3"/>
  <c r="W33" i="3"/>
  <c r="P33" i="3"/>
  <c r="AA33" i="3"/>
  <c r="Z33" i="3"/>
  <c r="AE33" i="3" s="1"/>
  <c r="R33" i="3"/>
  <c r="R32" i="3"/>
  <c r="AA32" i="3"/>
  <c r="X32" i="3"/>
  <c r="S32" i="3"/>
  <c r="AB32" i="3"/>
  <c r="T32" i="3"/>
  <c r="AD32" i="3"/>
  <c r="O32" i="3"/>
  <c r="Z32" i="3"/>
  <c r="AE32" i="3" s="1"/>
  <c r="U32" i="3"/>
  <c r="W32" i="3"/>
  <c r="N32" i="3"/>
  <c r="V32" i="3"/>
  <c r="P32" i="3"/>
  <c r="Y32" i="3"/>
  <c r="X31" i="3"/>
  <c r="Z31" i="3"/>
  <c r="AE31" i="3" s="1"/>
  <c r="AA31" i="3"/>
  <c r="R31" i="3"/>
  <c r="S31" i="3"/>
  <c r="AB31" i="3"/>
  <c r="T31" i="3"/>
  <c r="AD31" i="3"/>
  <c r="U31" i="3"/>
  <c r="N31" i="3"/>
  <c r="Y31" i="3"/>
  <c r="V31" i="3"/>
  <c r="O31" i="3"/>
  <c r="W31" i="3"/>
  <c r="P31" i="3"/>
  <c r="AD30" i="3"/>
  <c r="AD29" i="3"/>
  <c r="AD27" i="3"/>
  <c r="AD28" i="3"/>
  <c r="L25" i="3"/>
  <c r="L24" i="3"/>
  <c r="AD26" i="3"/>
  <c r="L26" i="3"/>
  <c r="E18" i="1"/>
  <c r="AD22" i="3"/>
  <c r="E17" i="1"/>
  <c r="AD21" i="3"/>
  <c r="E16" i="1"/>
  <c r="AD20" i="3"/>
  <c r="E12" i="1"/>
  <c r="AD16" i="3"/>
  <c r="E15" i="1"/>
  <c r="AD19" i="3"/>
  <c r="E14" i="1"/>
  <c r="AD18" i="3"/>
  <c r="E21" i="1"/>
  <c r="AD25" i="3"/>
  <c r="E13" i="1"/>
  <c r="AD17" i="3"/>
  <c r="E20" i="1"/>
  <c r="AD24" i="3"/>
  <c r="E19" i="1"/>
  <c r="AD23" i="3"/>
  <c r="L16" i="3"/>
  <c r="L35" i="3"/>
  <c r="L27" i="3"/>
  <c r="L19" i="3"/>
  <c r="L21" i="3"/>
  <c r="L20" i="3"/>
  <c r="L34" i="3"/>
  <c r="L18" i="3"/>
  <c r="L32" i="3"/>
  <c r="L33" i="3"/>
  <c r="L31" i="3"/>
  <c r="L29" i="3"/>
  <c r="L28" i="3"/>
  <c r="L17" i="3"/>
  <c r="L30" i="3"/>
  <c r="L22" i="3"/>
  <c r="L23" i="3"/>
  <c r="B6" i="2"/>
  <c r="C6" i="2"/>
  <c r="D6" i="2"/>
  <c r="E6" i="2"/>
  <c r="F6" i="2"/>
  <c r="G6" i="2"/>
  <c r="H6" i="2"/>
  <c r="I6" i="2"/>
  <c r="J6" i="2"/>
  <c r="A2" i="2"/>
  <c r="AM5" i="2" s="1"/>
  <c r="AM4" i="2" s="1"/>
  <c r="D21" i="1" l="1"/>
  <c r="D20" i="1"/>
  <c r="D19" i="1"/>
  <c r="D18" i="1"/>
  <c r="D13" i="1"/>
  <c r="D16" i="1"/>
  <c r="D14" i="1"/>
  <c r="D17" i="1"/>
  <c r="D12" i="1"/>
  <c r="D15" i="1"/>
  <c r="C5" i="2"/>
  <c r="C4" i="2" s="1"/>
  <c r="S5" i="2"/>
  <c r="S4" i="2" s="1"/>
  <c r="R5" i="2"/>
  <c r="R4" i="2" s="1"/>
  <c r="Q5" i="2"/>
  <c r="Q4" i="2" s="1"/>
  <c r="AT5" i="2"/>
  <c r="AT4" i="2" s="1"/>
  <c r="AP5" i="2"/>
  <c r="AP4" i="2" s="1"/>
  <c r="AN5" i="2"/>
  <c r="AN4" i="2" s="1"/>
  <c r="AK5" i="2"/>
  <c r="AK4" i="2" s="1"/>
  <c r="B5" i="2"/>
  <c r="B4" i="2" s="1"/>
  <c r="AR5" i="2"/>
  <c r="AR4" i="2" s="1"/>
  <c r="M5" i="2"/>
  <c r="M4" i="2" s="1"/>
  <c r="AJ5" i="2"/>
  <c r="AJ4" i="2" s="1"/>
  <c r="K5" i="2"/>
  <c r="K4" i="2" s="1"/>
  <c r="B2" i="2"/>
  <c r="W5" i="2" s="1"/>
  <c r="W4" i="2" s="1"/>
  <c r="J5" i="2"/>
  <c r="J4" i="2" s="1"/>
  <c r="U5" i="2"/>
  <c r="U4" i="2" s="1"/>
  <c r="I5" i="2"/>
  <c r="I4" i="2" s="1"/>
  <c r="AL5" i="2"/>
  <c r="AL4" i="2" s="1"/>
  <c r="O5" i="2"/>
  <c r="O4" i="2" s="1"/>
  <c r="AS5" i="2"/>
  <c r="AS4" i="2" s="1"/>
  <c r="P5" i="2"/>
  <c r="P4" i="2" s="1"/>
  <c r="H5" i="2"/>
  <c r="H4" i="2" s="1"/>
  <c r="AQ5" i="2"/>
  <c r="AQ4" i="2" s="1"/>
  <c r="AI5" i="2"/>
  <c r="AI4" i="2" s="1"/>
  <c r="V5" i="2"/>
  <c r="V4" i="2" s="1"/>
  <c r="N5" i="2"/>
  <c r="N4" i="2" s="1"/>
  <c r="AO5" i="2"/>
  <c r="AO4" i="2" s="1"/>
  <c r="D5" i="2"/>
  <c r="D4" i="2" s="1"/>
  <c r="P25" i="3" s="1"/>
  <c r="T5" i="2"/>
  <c r="T4" i="2" s="1"/>
  <c r="L5" i="2"/>
  <c r="L4" i="2" s="1"/>
  <c r="N21" i="3" l="1"/>
  <c r="N26" i="3"/>
  <c r="N20" i="3"/>
  <c r="N25" i="3"/>
  <c r="O26" i="3"/>
  <c r="O22" i="3"/>
  <c r="AA5" i="2"/>
  <c r="AA4" i="2" s="1"/>
  <c r="X5" i="2"/>
  <c r="X4" i="2" s="1"/>
  <c r="Z5" i="2"/>
  <c r="Z4" i="2" s="1"/>
  <c r="AF5" i="2"/>
  <c r="AF4" i="2" s="1"/>
  <c r="AH5" i="2"/>
  <c r="AH4" i="2" s="1"/>
  <c r="E5" i="2"/>
  <c r="E4" i="2" s="1"/>
  <c r="AE5" i="2"/>
  <c r="AE4" i="2" s="1"/>
  <c r="Y5" i="2"/>
  <c r="Y4" i="2" s="1"/>
  <c r="G5" i="2"/>
  <c r="G4" i="2" s="1"/>
  <c r="AG5" i="2"/>
  <c r="AG4" i="2" s="1"/>
  <c r="N29" i="3"/>
  <c r="N30" i="3"/>
  <c r="O17" i="3"/>
  <c r="O19" i="3"/>
  <c r="N24" i="3"/>
  <c r="O30" i="3"/>
  <c r="O29" i="3"/>
  <c r="O23" i="3"/>
  <c r="O16" i="3"/>
  <c r="N22" i="3"/>
  <c r="O24" i="3"/>
  <c r="O37" i="3"/>
  <c r="N19" i="3"/>
  <c r="N37" i="3"/>
  <c r="O27" i="3"/>
  <c r="F5" i="2"/>
  <c r="F4" i="2" s="1"/>
  <c r="N16" i="3"/>
  <c r="O21" i="3"/>
  <c r="O18" i="3"/>
  <c r="N18" i="3"/>
  <c r="N27" i="3"/>
  <c r="O25" i="3"/>
  <c r="O20" i="3"/>
  <c r="O28" i="3"/>
  <c r="N23" i="3"/>
  <c r="P19" i="3"/>
  <c r="AC5" i="2"/>
  <c r="AC4" i="2" s="1"/>
  <c r="AD5" i="2"/>
  <c r="AD4" i="2" s="1"/>
  <c r="AB5" i="2"/>
  <c r="AB4" i="2" s="1"/>
  <c r="N28" i="3"/>
  <c r="N17" i="3"/>
  <c r="P26" i="3"/>
  <c r="P18" i="3"/>
  <c r="P27" i="3"/>
  <c r="W21" i="1" s="1"/>
  <c r="P17" i="3"/>
  <c r="Q20" i="3"/>
  <c r="Q29" i="3"/>
  <c r="Q28" i="3"/>
  <c r="P30" i="3"/>
  <c r="P37" i="3"/>
  <c r="P23" i="3"/>
  <c r="P20" i="3"/>
  <c r="P21" i="3"/>
  <c r="P29" i="3"/>
  <c r="P24" i="3"/>
  <c r="P16" i="3"/>
  <c r="P28" i="3"/>
  <c r="P22" i="3"/>
  <c r="G15" i="1" l="1"/>
  <c r="AN24" i="3"/>
  <c r="AR24" i="3" s="1"/>
  <c r="AO16" i="3"/>
  <c r="AS16" i="3" s="1"/>
  <c r="AO23" i="3"/>
  <c r="AS23" i="3" s="1"/>
  <c r="AM21" i="3"/>
  <c r="AM19" i="3"/>
  <c r="AQ19" i="3" s="1"/>
  <c r="AN20" i="3"/>
  <c r="AR20" i="3" s="1"/>
  <c r="S21" i="3"/>
  <c r="Y21" i="3" s="1"/>
  <c r="Q21" i="3"/>
  <c r="W21" i="3" s="1"/>
  <c r="AN23" i="3"/>
  <c r="AR23" i="3" s="1"/>
  <c r="AO25" i="3"/>
  <c r="AS25" i="3" s="1"/>
  <c r="AO20" i="3"/>
  <c r="AS20" i="3" s="1"/>
  <c r="AN16" i="3"/>
  <c r="AR16" i="3" s="1"/>
  <c r="AO19" i="3"/>
  <c r="AS19" i="3" s="1"/>
  <c r="AM22" i="3"/>
  <c r="Q22" i="3"/>
  <c r="W22" i="3" s="1"/>
  <c r="Q19" i="3"/>
  <c r="W19" i="3" s="1"/>
  <c r="AM24" i="3"/>
  <c r="AN26" i="3"/>
  <c r="AR26" i="3" s="1"/>
  <c r="AO17" i="3"/>
  <c r="AS17" i="3" s="1"/>
  <c r="AM15" i="3"/>
  <c r="AQ15" i="3" s="1"/>
  <c r="AO15" i="3"/>
  <c r="AS15" i="3" s="1"/>
  <c r="U25" i="3"/>
  <c r="AA25" i="3" s="1"/>
  <c r="AM23" i="3"/>
  <c r="AN22" i="3"/>
  <c r="AR22" i="3" s="1"/>
  <c r="AN25" i="3"/>
  <c r="AR25" i="3" s="1"/>
  <c r="AO24" i="3"/>
  <c r="AS24" i="3" s="1"/>
  <c r="AM25" i="3"/>
  <c r="AO21" i="3"/>
  <c r="AS21" i="3" s="1"/>
  <c r="Q27" i="3"/>
  <c r="W27" i="3" s="1"/>
  <c r="R27" i="3"/>
  <c r="X27" i="3" s="1"/>
  <c r="U27" i="3"/>
  <c r="AA27" i="3" s="1"/>
  <c r="AO26" i="3"/>
  <c r="AS26" i="3" s="1"/>
  <c r="AN18" i="3"/>
  <c r="AR18" i="3" s="1"/>
  <c r="AN21" i="3"/>
  <c r="AR21" i="3" s="1"/>
  <c r="AM26" i="3"/>
  <c r="AN19" i="3"/>
  <c r="AR19" i="3" s="1"/>
  <c r="AO22" i="3"/>
  <c r="AS22" i="3" s="1"/>
  <c r="AM17" i="3"/>
  <c r="AQ17" i="3" s="1"/>
  <c r="AN17" i="3"/>
  <c r="AR17" i="3" s="1"/>
  <c r="AM18" i="3"/>
  <c r="AQ18" i="3" s="1"/>
  <c r="AN15" i="3"/>
  <c r="AR15" i="3" s="1"/>
  <c r="U23" i="3"/>
  <c r="AA23" i="3" s="1"/>
  <c r="G21" i="1"/>
  <c r="AO18" i="3"/>
  <c r="AS18" i="3" s="1"/>
  <c r="AM16" i="3"/>
  <c r="AQ16" i="3" s="1"/>
  <c r="AM20" i="3"/>
  <c r="AQ20" i="3" s="1"/>
  <c r="AT20" i="3" s="1"/>
  <c r="O16" i="1"/>
  <c r="O17" i="1"/>
  <c r="G19" i="1"/>
  <c r="G18" i="1"/>
  <c r="O13" i="1"/>
  <c r="G20" i="1"/>
  <c r="O14" i="1"/>
  <c r="O19" i="1"/>
  <c r="O21" i="1"/>
  <c r="G13" i="1"/>
  <c r="G14" i="1"/>
  <c r="W15" i="1"/>
  <c r="W28" i="3"/>
  <c r="O18" i="1"/>
  <c r="V29" i="3"/>
  <c r="AB29" i="3" s="1"/>
  <c r="U20" i="3"/>
  <c r="AA20" i="3" s="1"/>
  <c r="T21" i="3"/>
  <c r="Z21" i="3" s="1"/>
  <c r="W20" i="3"/>
  <c r="U16" i="3"/>
  <c r="AA16" i="3" s="1"/>
  <c r="V20" i="3"/>
  <c r="AB20" i="3" s="1"/>
  <c r="V22" i="3"/>
  <c r="AB22" i="3" s="1"/>
  <c r="U30" i="3"/>
  <c r="AA30" i="3" s="1"/>
  <c r="T25" i="3"/>
  <c r="Z25" i="3" s="1"/>
  <c r="W29" i="3"/>
  <c r="V37" i="3"/>
  <c r="M49" i="3" s="1"/>
  <c r="N49" i="3" s="1"/>
  <c r="R30" i="3"/>
  <c r="S18" i="3"/>
  <c r="Y18" i="3" s="1"/>
  <c r="T19" i="3"/>
  <c r="Z19" i="3" s="1"/>
  <c r="T27" i="3"/>
  <c r="Z27" i="3" s="1"/>
  <c r="T37" i="3"/>
  <c r="Z37" i="3" s="1"/>
  <c r="U37" i="3"/>
  <c r="AA37" i="3" s="1"/>
  <c r="V19" i="3"/>
  <c r="AB19" i="3" s="1"/>
  <c r="O12" i="1"/>
  <c r="R24" i="3"/>
  <c r="U22" i="3"/>
  <c r="AA22" i="3" s="1"/>
  <c r="U21" i="3"/>
  <c r="AA21" i="3" s="1"/>
  <c r="V18" i="3"/>
  <c r="AB18" i="3" s="1"/>
  <c r="U19" i="3"/>
  <c r="AA19" i="3" s="1"/>
  <c r="Q24" i="3"/>
  <c r="W24" i="3" s="1"/>
  <c r="R22" i="3"/>
  <c r="U29" i="3"/>
  <c r="AA29" i="3" s="1"/>
  <c r="R25" i="3"/>
  <c r="T17" i="3"/>
  <c r="Z17" i="3" s="1"/>
  <c r="R26" i="3"/>
  <c r="V26" i="3"/>
  <c r="AB26" i="3" s="1"/>
  <c r="R16" i="3"/>
  <c r="T16" i="3"/>
  <c r="Z16" i="3" s="1"/>
  <c r="Q30" i="3"/>
  <c r="W30" i="3" s="1"/>
  <c r="R17" i="3"/>
  <c r="S25" i="3"/>
  <c r="Y25" i="3" s="1"/>
  <c r="T30" i="3"/>
  <c r="Z30" i="3" s="1"/>
  <c r="Q16" i="3"/>
  <c r="W16" i="3" s="1"/>
  <c r="T26" i="3"/>
  <c r="Z26" i="3" s="1"/>
  <c r="R19" i="3"/>
  <c r="S22" i="3"/>
  <c r="Y22" i="3" s="1"/>
  <c r="S23" i="3"/>
  <c r="Y23" i="3" s="1"/>
  <c r="U17" i="3"/>
  <c r="AA17" i="3" s="1"/>
  <c r="Q25" i="3"/>
  <c r="W25" i="3" s="1"/>
  <c r="T24" i="3"/>
  <c r="Z24" i="3" s="1"/>
  <c r="R21" i="3"/>
  <c r="U28" i="3"/>
  <c r="AA28" i="3" s="1"/>
  <c r="V16" i="3"/>
  <c r="AB16" i="3" s="1"/>
  <c r="R23" i="3"/>
  <c r="T18" i="3"/>
  <c r="Z18" i="3" s="1"/>
  <c r="V28" i="3"/>
  <c r="AB28" i="3" s="1"/>
  <c r="S20" i="3"/>
  <c r="Y20" i="3" s="1"/>
  <c r="U24" i="3"/>
  <c r="AA24" i="3" s="1"/>
  <c r="S16" i="3"/>
  <c r="Y16" i="3" s="1"/>
  <c r="S19" i="3"/>
  <c r="Y19" i="3" s="1"/>
  <c r="R20" i="3"/>
  <c r="Q23" i="3"/>
  <c r="W23" i="3" s="1"/>
  <c r="S37" i="3"/>
  <c r="Y37" i="3" s="1"/>
  <c r="S29" i="3"/>
  <c r="Y29" i="3" s="1"/>
  <c r="S28" i="3"/>
  <c r="Y28" i="3" s="1"/>
  <c r="T20" i="3"/>
  <c r="Z20" i="3" s="1"/>
  <c r="T28" i="3"/>
  <c r="Z28" i="3" s="1"/>
  <c r="V25" i="3"/>
  <c r="AB25" i="3" s="1"/>
  <c r="V21" i="3"/>
  <c r="AB21" i="3" s="1"/>
  <c r="V30" i="3"/>
  <c r="AB30" i="3" s="1"/>
  <c r="R18" i="3"/>
  <c r="U18" i="3"/>
  <c r="AA18" i="3" s="1"/>
  <c r="V17" i="3"/>
  <c r="AB17" i="3" s="1"/>
  <c r="T23" i="3"/>
  <c r="Z23" i="3" s="1"/>
  <c r="S17" i="3"/>
  <c r="Y17" i="3" s="1"/>
  <c r="S24" i="3"/>
  <c r="Y24" i="3" s="1"/>
  <c r="T29" i="3"/>
  <c r="Z29" i="3" s="1"/>
  <c r="R29" i="3"/>
  <c r="S30" i="3"/>
  <c r="Y30" i="3" s="1"/>
  <c r="R37" i="3"/>
  <c r="X37" i="3" s="1"/>
  <c r="V27" i="3"/>
  <c r="AB27" i="3" s="1"/>
  <c r="O20" i="1"/>
  <c r="Q18" i="3"/>
  <c r="W18" i="3" s="1"/>
  <c r="Q37" i="3"/>
  <c r="W37" i="3" s="1"/>
  <c r="S26" i="3"/>
  <c r="Y26" i="3" s="1"/>
  <c r="V24" i="3"/>
  <c r="AB24" i="3" s="1"/>
  <c r="AB20" i="1" s="1"/>
  <c r="T22" i="3"/>
  <c r="Z22" i="3" s="1"/>
  <c r="Q26" i="3"/>
  <c r="W26" i="3" s="1"/>
  <c r="R28" i="3"/>
  <c r="U26" i="3"/>
  <c r="AA26" i="3" s="1"/>
  <c r="Q17" i="3"/>
  <c r="W17" i="3" s="1"/>
  <c r="V23" i="3"/>
  <c r="AB23" i="3" s="1"/>
  <c r="S27" i="3"/>
  <c r="Y27" i="3" s="1"/>
  <c r="G12" i="1"/>
  <c r="G16" i="1"/>
  <c r="O15" i="1"/>
  <c r="G17" i="1"/>
  <c r="W17" i="1"/>
  <c r="W16" i="1"/>
  <c r="W18" i="1"/>
  <c r="W20" i="1"/>
  <c r="W14" i="1"/>
  <c r="W12" i="1"/>
  <c r="W19" i="1"/>
  <c r="W13" i="1"/>
  <c r="AB19" i="1" l="1"/>
  <c r="AE22" i="3"/>
  <c r="AE19" i="3"/>
  <c r="X23" i="3"/>
  <c r="Y19" i="1" s="1"/>
  <c r="Z19" i="1" s="1"/>
  <c r="AC19" i="1" s="1"/>
  <c r="X20" i="3"/>
  <c r="Q16" i="1" s="1"/>
  <c r="R16" i="1" s="1"/>
  <c r="X19" i="3"/>
  <c r="X16" i="3"/>
  <c r="Y12" i="1" s="1"/>
  <c r="Z12" i="1" s="1"/>
  <c r="AC12" i="1" s="1"/>
  <c r="X21" i="3"/>
  <c r="Q17" i="1" s="1"/>
  <c r="R17" i="1" s="1"/>
  <c r="X26" i="3"/>
  <c r="X28" i="3"/>
  <c r="X25" i="3"/>
  <c r="Y21" i="1" s="1"/>
  <c r="Z21" i="1" s="1"/>
  <c r="AC21" i="1" s="1"/>
  <c r="X24" i="3"/>
  <c r="Y20" i="1" s="1"/>
  <c r="Z20" i="1" s="1"/>
  <c r="AC20" i="1" s="1"/>
  <c r="X30" i="3"/>
  <c r="X29" i="3"/>
  <c r="X17" i="3"/>
  <c r="Y13" i="1" s="1"/>
  <c r="Z13" i="1" s="1"/>
  <c r="AC13" i="1" s="1"/>
  <c r="X18" i="3"/>
  <c r="Y14" i="1" s="1"/>
  <c r="Z14" i="1" s="1"/>
  <c r="AC14" i="1" s="1"/>
  <c r="X22" i="3"/>
  <c r="AE26" i="3"/>
  <c r="AE28" i="3"/>
  <c r="AE18" i="3"/>
  <c r="T17" i="1"/>
  <c r="U17" i="1" s="1"/>
  <c r="T21" i="1"/>
  <c r="U21" i="1" s="1"/>
  <c r="T14" i="1"/>
  <c r="U14" i="1" s="1"/>
  <c r="AB17" i="1"/>
  <c r="AE23" i="3"/>
  <c r="AE20" i="3"/>
  <c r="T20" i="1"/>
  <c r="U20" i="1" s="1"/>
  <c r="AE30" i="3"/>
  <c r="AE17" i="3"/>
  <c r="T18" i="1"/>
  <c r="U18" i="1" s="1"/>
  <c r="T15" i="1"/>
  <c r="U15" i="1" s="1"/>
  <c r="AE16" i="3"/>
  <c r="AE25" i="3"/>
  <c r="AE29" i="3"/>
  <c r="Y15" i="1"/>
  <c r="Z15" i="1" s="1"/>
  <c r="AC15" i="1" s="1"/>
  <c r="T19" i="1"/>
  <c r="U19" i="1" s="1"/>
  <c r="AE27" i="3"/>
  <c r="AB16" i="1"/>
  <c r="T12" i="1"/>
  <c r="U12" i="1" s="1"/>
  <c r="AB13" i="1"/>
  <c r="Y16" i="1"/>
  <c r="Z16" i="1" s="1"/>
  <c r="AC16" i="1" s="1"/>
  <c r="AE24" i="3"/>
  <c r="T13" i="1"/>
  <c r="U13" i="1" s="1"/>
  <c r="AE21" i="3"/>
  <c r="AB15" i="1"/>
  <c r="T16" i="1"/>
  <c r="U16" i="1" s="1"/>
  <c r="L17" i="1"/>
  <c r="M17" i="1" s="1"/>
  <c r="L14" i="1"/>
  <c r="M14" i="1" s="1"/>
  <c r="L12" i="1"/>
  <c r="M12" i="1" s="1"/>
  <c r="L21" i="1"/>
  <c r="M21" i="1" s="1"/>
  <c r="L15" i="1"/>
  <c r="M15" i="1" s="1"/>
  <c r="L19" i="1"/>
  <c r="M19" i="1" s="1"/>
  <c r="L16" i="1"/>
  <c r="M16" i="1" s="1"/>
  <c r="L20" i="1"/>
  <c r="M20" i="1" s="1"/>
  <c r="L13" i="1"/>
  <c r="M13" i="1" s="1"/>
  <c r="I18" i="1"/>
  <c r="J18" i="1" s="1"/>
  <c r="I15" i="1"/>
  <c r="J15" i="1" s="1"/>
  <c r="I19" i="1"/>
  <c r="J19" i="1" s="1"/>
  <c r="I20" i="1"/>
  <c r="J20" i="1" s="1"/>
  <c r="I13" i="1"/>
  <c r="J13" i="1" s="1"/>
  <c r="I14" i="1"/>
  <c r="J14" i="1" s="1"/>
  <c r="I12" i="1"/>
  <c r="J12" i="1" s="1"/>
  <c r="I21" i="1"/>
  <c r="J21" i="1" s="1"/>
  <c r="I16" i="1"/>
  <c r="J16" i="1" s="1"/>
  <c r="AB37" i="3"/>
  <c r="AB21" i="1"/>
  <c r="M47" i="3"/>
  <c r="N47" i="3" s="1"/>
  <c r="M48" i="3"/>
  <c r="N48" i="3" s="1"/>
  <c r="AB12" i="1"/>
  <c r="T42" i="3"/>
  <c r="T43" i="3"/>
  <c r="I17" i="1"/>
  <c r="J17" i="1" s="1"/>
  <c r="O43" i="3"/>
  <c r="Q43" i="3"/>
  <c r="Y18" i="1"/>
  <c r="Z18" i="1" s="1"/>
  <c r="AC18" i="1" s="1"/>
  <c r="S43" i="3"/>
  <c r="AB18" i="1"/>
  <c r="R42" i="3"/>
  <c r="L18" i="1"/>
  <c r="M18" i="1" s="1"/>
  <c r="S42" i="3"/>
  <c r="O42" i="3"/>
  <c r="AB14" i="1"/>
  <c r="Y17" i="1"/>
  <c r="Z17" i="1" s="1"/>
  <c r="AC17" i="1" s="1"/>
  <c r="Q15" i="1" l="1"/>
  <c r="R15" i="1" s="1"/>
  <c r="Q18" i="1"/>
  <c r="R18" i="1" s="1"/>
  <c r="Q20" i="1"/>
  <c r="R20" i="1" s="1"/>
  <c r="Q19" i="1"/>
  <c r="R19" i="1" s="1"/>
  <c r="Q14" i="1"/>
  <c r="R14" i="1" s="1"/>
  <c r="Q13" i="1"/>
  <c r="R13" i="1" s="1"/>
  <c r="Q12" i="1"/>
  <c r="R12" i="1" s="1"/>
  <c r="P42" i="3"/>
  <c r="P43" i="3"/>
  <c r="AF16" i="3"/>
  <c r="Q21" i="1"/>
  <c r="R21" i="1" s="1"/>
  <c r="Q42" i="3"/>
  <c r="R43" i="3"/>
  <c r="AF17" i="3"/>
  <c r="AF19" i="3"/>
  <c r="AF18" i="3"/>
  <c r="AF21" i="3"/>
  <c r="AF20" i="3"/>
  <c r="AG18" i="3" l="1"/>
  <c r="AJ18" i="3" s="1"/>
  <c r="AG21" i="3"/>
  <c r="AJ21" i="3" s="1"/>
  <c r="AH19" i="3"/>
  <c r="AH17" i="3"/>
  <c r="AG20" i="3"/>
  <c r="AJ20" i="3" s="1"/>
  <c r="AH16" i="3"/>
  <c r="AJ17" i="3"/>
  <c r="AG19" i="3"/>
  <c r="AG16" i="3"/>
  <c r="AJ16" i="3" s="1"/>
  <c r="AH18" i="3"/>
  <c r="AH20" i="3"/>
  <c r="AH21" i="3"/>
  <c r="AI19" i="3" l="1"/>
  <c r="AI20" i="3"/>
  <c r="AI16" i="3"/>
  <c r="AI21" i="3"/>
  <c r="AI18" i="3"/>
  <c r="AJ19" i="3"/>
  <c r="AI17" i="3"/>
</calcChain>
</file>

<file path=xl/sharedStrings.xml><?xml version="1.0" encoding="utf-8"?>
<sst xmlns="http://schemas.openxmlformats.org/spreadsheetml/2006/main" count="466" uniqueCount="134">
  <si>
    <t>Connected to Database via add-in</t>
  </si>
  <si>
    <t>Actual</t>
  </si>
  <si>
    <t>Actual PY</t>
  </si>
  <si>
    <t>Budget</t>
  </si>
  <si>
    <t>Aug</t>
  </si>
  <si>
    <t>Jan</t>
  </si>
  <si>
    <t>Feb</t>
  </si>
  <si>
    <t>Mar</t>
  </si>
  <si>
    <t>Apr</t>
  </si>
  <si>
    <t>May</t>
  </si>
  <si>
    <t>Jun</t>
  </si>
  <si>
    <t>Jul</t>
  </si>
  <si>
    <t>Sep</t>
  </si>
  <si>
    <t>Oct</t>
  </si>
  <si>
    <t>Nov</t>
  </si>
  <si>
    <t>Dec</t>
  </si>
  <si>
    <t>Revenue</t>
  </si>
  <si>
    <t>Profit</t>
  </si>
  <si>
    <t>Cash</t>
  </si>
  <si>
    <t>Productivity Apps</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</si>
  <si>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</si>
  <si>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</si>
  <si>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</si>
  <si>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</si>
  <si>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</si>
  <si>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</si>
  <si>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</si>
  <si>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</si>
  <si>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</si>
  <si>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</si>
  <si>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</si>
  <si>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</si>
  <si>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</si>
  <si>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</si>
  <si>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</si>
  <si>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</si>
  <si>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</si>
  <si>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</si>
  <si>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</si>
  <si>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</si>
  <si>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</si>
  <si>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</si>
  <si>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</si>
  <si>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</si>
  <si>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</si>
  <si>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</si>
  <si>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</si>
  <si>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</si>
  <si>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</si>
  <si>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</si>
  <si>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</si>
  <si>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</si>
  <si>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</si>
  <si>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</si>
  <si>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</si>
  <si>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</si>
  <si>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</si>
  <si>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</si>
  <si>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</si>
  <si>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</si>
  <si>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</si>
  <si>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</si>
  <si>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Year</t>
  </si>
  <si>
    <t xml:space="preserve">Month </t>
  </si>
  <si>
    <t>Division</t>
  </si>
  <si>
    <t>Selected Information (Form Controls)</t>
  </si>
  <si>
    <t>For Dropdown Selections</t>
  </si>
  <si>
    <t>Selected Division</t>
  </si>
  <si>
    <t>App to Division Allocation</t>
  </si>
  <si>
    <t>Calculations for scrolling table</t>
  </si>
  <si>
    <t>Variance actual to PY</t>
  </si>
  <si>
    <t>Variance Actual to Budget</t>
  </si>
  <si>
    <t>Revenue%</t>
  </si>
  <si>
    <t>Profit%</t>
  </si>
  <si>
    <t>Cash%</t>
  </si>
  <si>
    <t>Unique Key</t>
  </si>
  <si>
    <t>Table Scrow Decision</t>
  </si>
  <si>
    <t>Calculations for data bars in scrolling table</t>
  </si>
  <si>
    <t>PYRevenue</t>
  </si>
  <si>
    <t>PYProfit</t>
  </si>
  <si>
    <t>PYCash</t>
  </si>
  <si>
    <t>Brevenue</t>
  </si>
  <si>
    <t>Bprofit</t>
  </si>
  <si>
    <t>Bcash</t>
  </si>
  <si>
    <t>Min % Change</t>
  </si>
  <si>
    <t>Max % Change</t>
  </si>
  <si>
    <t>Calculations header</t>
  </si>
  <si>
    <t>Revenue A-B</t>
  </si>
  <si>
    <t>Profit A-B</t>
  </si>
  <si>
    <t>Cash A-B</t>
  </si>
  <si>
    <t>Top 6 / Bottom 6 by KPI calculations</t>
  </si>
  <si>
    <t>Apps</t>
  </si>
  <si>
    <t>App</t>
  </si>
  <si>
    <t>Row function was used to make sure to have unique values to sort.</t>
  </si>
  <si>
    <r>
      <t>%</t>
    </r>
    <r>
      <rPr>
        <b/>
        <sz val="10"/>
        <color theme="1"/>
        <rFont val="Calibri"/>
        <family val="2"/>
        <charset val="238"/>
      </rPr>
      <t>Δ</t>
    </r>
    <r>
      <rPr>
        <b/>
        <sz val="10"/>
        <color theme="1"/>
        <rFont val="Arial"/>
        <family val="2"/>
      </rPr>
      <t xml:space="preserve"> Budget</t>
    </r>
  </si>
  <si>
    <t>KPI Selection</t>
  </si>
  <si>
    <t xml:space="preserve">Basis </t>
  </si>
  <si>
    <t>Unsorted</t>
  </si>
  <si>
    <t>Basis</t>
  </si>
  <si>
    <t>Sorted</t>
  </si>
  <si>
    <t>Top/Bottom Selection</t>
  </si>
  <si>
    <r>
      <t>%</t>
    </r>
    <r>
      <rPr>
        <b/>
        <sz val="10"/>
        <color theme="1"/>
        <rFont val="Calibri"/>
        <family val="2"/>
        <charset val="238"/>
      </rPr>
      <t>Δ</t>
    </r>
    <r>
      <rPr>
        <b/>
        <sz val="10"/>
        <color theme="1"/>
        <rFont val="Arial"/>
        <family val="2"/>
      </rPr>
      <t>PY</t>
    </r>
  </si>
  <si>
    <t>Label position</t>
  </si>
  <si>
    <t>Label shown</t>
  </si>
  <si>
    <t>Profit line chart</t>
  </si>
  <si>
    <t>Month</t>
  </si>
  <si>
    <t>PY</t>
  </si>
  <si>
    <t>Profit Scroll Provision</t>
  </si>
  <si>
    <t>Budget Check Box</t>
  </si>
  <si>
    <t>Previous Year Check box</t>
  </si>
  <si>
    <t xml:space="preserve">Actual </t>
  </si>
  <si>
    <t>Label Position</t>
  </si>
  <si>
    <t>Data Preparation for Profit line chart</t>
  </si>
  <si>
    <t>Region</t>
  </si>
  <si>
    <t>Current</t>
  </si>
  <si>
    <t>Utility</t>
  </si>
  <si>
    <t>North America</t>
  </si>
  <si>
    <t>South America</t>
  </si>
  <si>
    <t>Asia</t>
  </si>
  <si>
    <t>Europe</t>
  </si>
  <si>
    <t>Australia</t>
  </si>
  <si>
    <t>Productivity</t>
  </si>
  <si>
    <t>Game</t>
  </si>
  <si>
    <t>Data Table by Region for Chart</t>
  </si>
  <si>
    <t>For Header Text</t>
  </si>
  <si>
    <t>For Chart- Div. Revenue by Region</t>
  </si>
  <si>
    <t>Max</t>
  </si>
  <si>
    <t>Average</t>
  </si>
  <si>
    <t>Revenue by Region</t>
  </si>
  <si>
    <t>Selected Information</t>
  </si>
  <si>
    <t xml:space="preserve"> Revenue</t>
  </si>
  <si>
    <t>% Δ PY</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</si>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</sst>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_(* #,##0.0_);_(* \(#,##0.0\);_(* &quot;-&quot;??_);_(@_)"/>
  </numFmts>
  <fonts count="19" x14ac:knownFonts="1">
    <font>
      <sz val="11"/>
      <color theme="1"/>
      <name val="Arial"/>
      <family val="2"/>
      <scheme val="minor"/>
    </font>
    <font>
      <b/>
      <sz val="11"/>
      <color theme="0"/>
      <name val="Arial"/>
      <family val="2"/>
      <scheme val="minor"/>
    </font>
    <font>
      <sz val="11"/>
      <color theme="0"/>
      <name val="Arial"/>
      <family val="2"/>
      <scheme val="minor"/>
    </font>
    <font>
      <b/>
      <sz val="11"/>
      <color rgb="FF201E50"/>
      <name val="Arial"/>
      <family val="2"/>
      <scheme val="minor"/>
    </font>
    <font>
      <sz val="11"/>
      <color theme="6" tint="0.79998168889431442"/>
      <name val="Arial"/>
      <family val="2"/>
      <scheme val="minor"/>
    </font>
    <font>
      <sz val="11"/>
      <color theme="7" tint="0.79998168889431442"/>
      <name val="Arial"/>
      <family val="2"/>
      <scheme val="minor"/>
    </font>
    <font>
      <b/>
      <sz val="11"/>
      <color theme="7" tint="0.79998168889431442"/>
      <name val="Arial"/>
      <family val="2"/>
      <scheme val="minor"/>
    </font>
    <font>
      <sz val="11"/>
      <color theme="1"/>
      <name val="Arial"/>
      <family val="2"/>
      <scheme val="minor"/>
    </font>
    <font>
      <b/>
      <sz val="11"/>
      <color theme="1"/>
      <name val="Arial"/>
      <family val="2"/>
      <charset val="238"/>
      <scheme val="minor"/>
    </font>
    <font>
      <sz val="10"/>
      <color theme="1"/>
      <name val="Arial"/>
      <family val="2"/>
      <scheme val="minor"/>
    </font>
    <font>
      <b/>
      <sz val="10"/>
      <color theme="1"/>
      <name val="Arial"/>
      <family val="2"/>
      <scheme val="minor"/>
    </font>
    <font>
      <b/>
      <sz val="10"/>
      <color theme="0"/>
      <name val="Arial"/>
      <family val="2"/>
      <scheme val="minor"/>
    </font>
    <font>
      <b/>
      <sz val="10"/>
      <color rgb="FF201E50"/>
      <name val="Arial"/>
      <family val="2"/>
      <scheme val="minor"/>
    </font>
    <font>
      <b/>
      <sz val="10"/>
      <color theme="7" tint="0.79998168889431442"/>
      <name val="Arial"/>
      <family val="2"/>
      <scheme val="minor"/>
    </font>
    <font>
      <b/>
      <sz val="10"/>
      <color theme="1"/>
      <name val="Calibri"/>
      <family val="2"/>
      <charset val="238"/>
    </font>
    <font>
      <b/>
      <sz val="10"/>
      <color theme="1"/>
      <name val="Arial"/>
      <family val="2"/>
    </font>
    <font>
      <b/>
      <sz val="10"/>
      <color theme="2"/>
      <name val="Arial"/>
      <family val="2"/>
      <charset val="238"/>
      <scheme val="minor"/>
    </font>
    <font>
      <sz val="8"/>
      <color rgb="FF000000"/>
      <name val="Segoe UI"/>
      <family val="2"/>
      <charset val="238"/>
    </font>
    <font>
      <sz val="11"/>
      <name val="Arial"/>
      <family val="2"/>
      <scheme val="minor"/>
    </font>
  </fonts>
  <fills count="12">
    <fill>
      <patternFill patternType="none"/>
    </fill>
    <fill>
      <patternFill patternType="gray125"/>
    </fill>
    <fill>
      <patternFill patternType="solid">
        <fgColor rgb="FFD9F6D5"/>
        <bgColor indexed="64"/>
      </patternFill>
    </fill>
    <fill>
      <patternFill patternType="solid">
        <fgColor rgb="FF869D96"/>
        <bgColor indexed="64"/>
      </patternFill>
    </fill>
    <fill>
      <patternFill patternType="solid">
        <fgColor rgb="FF525B76"/>
        <bgColor indexed="64"/>
      </patternFill>
    </fill>
    <fill>
      <patternFill patternType="solid">
        <fgColor rgb="FF201E50"/>
        <bgColor indexed="64"/>
      </patternFill>
    </fill>
    <fill>
      <patternFill patternType="solid">
        <fgColor theme="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0" tint="-0.14999847407452621"/>
        <bgColor theme="0" tint="-0.14999847407452621"/>
      </patternFill>
    </fill>
  </fills>
  <borders count="13">
    <border>
      <left/>
      <right/>
      <top/>
      <bottom/>
      <diagonal/>
    </border>
    <border>
      <left/>
      <right style="thin">
        <color indexed="64"/>
      </right>
      <top/>
      <bottom/>
      <diagonal/>
    </border>
    <border>
      <left/>
      <right style="medium">
        <color auto="1"/>
      </right>
      <top/>
      <bottom/>
      <diagonal/>
    </border>
    <border>
      <left style="medium">
        <color auto="1"/>
      </left>
      <right/>
      <top/>
      <bottom/>
      <diagonal/>
    </border>
    <border>
      <left/>
      <right/>
      <top/>
      <bottom style="thin">
        <color indexed="64"/>
      </bottom>
      <diagonal/>
    </border>
    <border>
      <left/>
      <right style="medium">
        <color auto="1"/>
      </right>
      <top/>
      <bottom style="thin">
        <color indexed="64"/>
      </bottom>
      <diagonal/>
    </border>
    <border>
      <left style="medium">
        <color auto="1"/>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3"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111">
    <xf numFmtId="0" fontId="0" fillId="0" borderId="0" xfId="0"/>
    <xf numFmtId="0" fontId="1" fillId="3" borderId="0" xfId="0" applyFont="1" applyFill="1"/>
    <xf numFmtId="0" fontId="0" fillId="0" borderId="0" xfId="0"/>
    <xf numFmtId="0" fontId="2" fillId="6" borderId="0" xfId="0" applyFont="1" applyFill="1"/>
    <xf numFmtId="0" fontId="0" fillId="0" borderId="2" xfId="0" applyBorder="1"/>
    <xf numFmtId="0" fontId="0" fillId="0" borderId="0" xfId="0" applyBorder="1" applyAlignment="1">
      <alignment horizontal="left"/>
    </xf>
    <xf numFmtId="0" fontId="0" fillId="0" borderId="2" xfId="0" applyBorder="1" applyAlignment="1">
      <alignment horizontal="left"/>
    </xf>
    <xf numFmtId="0" fontId="0" fillId="7" borderId="0" xfId="0" applyFill="1" applyBorder="1" applyAlignment="1">
      <alignment horizontal="left"/>
    </xf>
    <xf numFmtId="0" fontId="0" fillId="7" borderId="3" xfId="0" applyFill="1" applyBorder="1" applyAlignment="1">
      <alignment horizontal="left"/>
    </xf>
    <xf numFmtId="0" fontId="0" fillId="7" borderId="2" xfId="0" applyFill="1" applyBorder="1" applyAlignment="1">
      <alignment horizontal="left"/>
    </xf>
    <xf numFmtId="0" fontId="0" fillId="0" borderId="4" xfId="0" applyBorder="1"/>
    <xf numFmtId="0" fontId="0" fillId="0" borderId="4" xfId="0" applyBorder="1" applyAlignment="1">
      <alignment horizontal="left"/>
    </xf>
    <xf numFmtId="0" fontId="0" fillId="0" borderId="5" xfId="0" applyBorder="1" applyAlignment="1">
      <alignment horizontal="left"/>
    </xf>
    <xf numFmtId="0" fontId="0" fillId="7" borderId="4" xfId="0" applyFill="1" applyBorder="1" applyAlignment="1">
      <alignment horizontal="left"/>
    </xf>
    <xf numFmtId="0" fontId="0" fillId="7" borderId="6" xfId="0" applyFill="1" applyBorder="1" applyAlignment="1">
      <alignment horizontal="left"/>
    </xf>
    <xf numFmtId="0" fontId="0" fillId="7" borderId="5" xfId="0" applyFill="1" applyBorder="1" applyAlignment="1">
      <alignment horizontal="left"/>
    </xf>
    <xf numFmtId="0" fontId="0" fillId="0" borderId="3" xfId="0" applyBorder="1"/>
    <xf numFmtId="0" fontId="0" fillId="0" borderId="0" xfId="0" applyAlignment="1">
      <alignment vertical="center"/>
    </xf>
    <xf numFmtId="0" fontId="0" fillId="0" borderId="0" xfId="0" applyBorder="1"/>
    <xf numFmtId="0" fontId="2" fillId="3" borderId="0" xfId="0" applyFont="1" applyFill="1"/>
    <xf numFmtId="0" fontId="2" fillId="3" borderId="1" xfId="0" applyFont="1" applyFill="1" applyBorder="1"/>
    <xf numFmtId="0" fontId="3" fillId="2" borderId="0" xfId="0" applyFont="1" applyFill="1"/>
    <xf numFmtId="0" fontId="3" fillId="2" borderId="1" xfId="0" applyFont="1" applyFill="1" applyBorder="1"/>
    <xf numFmtId="0" fontId="0" fillId="8" borderId="0" xfId="0" applyFill="1"/>
    <xf numFmtId="0" fontId="4" fillId="4" borderId="0" xfId="0" applyFont="1" applyFill="1"/>
    <xf numFmtId="0" fontId="5" fillId="4" borderId="0" xfId="0" applyFont="1" applyFill="1"/>
    <xf numFmtId="0" fontId="0" fillId="0" borderId="7" xfId="0" applyBorder="1" applyAlignment="1">
      <alignment vertical="center"/>
    </xf>
    <xf numFmtId="0" fontId="0" fillId="0" borderId="8" xfId="0" applyBorder="1"/>
    <xf numFmtId="0" fontId="0" fillId="0" borderId="9" xfId="0" applyBorder="1" applyAlignment="1">
      <alignment vertical="center"/>
    </xf>
    <xf numFmtId="0" fontId="0" fillId="0" borderId="10" xfId="0" applyBorder="1" applyAlignment="1">
      <alignment vertical="center"/>
    </xf>
    <xf numFmtId="0" fontId="0" fillId="0" borderId="1" xfId="0" applyBorder="1" applyAlignment="1">
      <alignment vertical="center"/>
    </xf>
    <xf numFmtId="0" fontId="0" fillId="0" borderId="1" xfId="0" applyBorder="1"/>
    <xf numFmtId="0" fontId="0" fillId="0" borderId="10" xfId="0" applyBorder="1"/>
    <xf numFmtId="0" fontId="0" fillId="0" borderId="11" xfId="0" applyBorder="1"/>
    <xf numFmtId="0" fontId="0" fillId="0" borderId="12" xfId="0" applyBorder="1"/>
    <xf numFmtId="0" fontId="6" fillId="6" borderId="0" xfId="0" applyFont="1" applyFill="1"/>
    <xf numFmtId="0" fontId="5" fillId="6" borderId="0" xfId="0" applyFont="1" applyFill="1"/>
    <xf numFmtId="0" fontId="5" fillId="6" borderId="1" xfId="0" applyFont="1" applyFill="1" applyBorder="1"/>
    <xf numFmtId="0" fontId="6" fillId="3" borderId="0" xfId="0" applyFont="1" applyFill="1"/>
    <xf numFmtId="0" fontId="5" fillId="3" borderId="0" xfId="0" applyFont="1" applyFill="1"/>
    <xf numFmtId="0" fontId="5" fillId="3" borderId="1" xfId="0" applyFont="1" applyFill="1" applyBorder="1"/>
    <xf numFmtId="0" fontId="6" fillId="5" borderId="0" xfId="0" applyFont="1" applyFill="1"/>
    <xf numFmtId="0" fontId="5" fillId="5" borderId="0" xfId="0" applyFont="1" applyFill="1"/>
    <xf numFmtId="0" fontId="5" fillId="5" borderId="1" xfId="0" applyFont="1" applyFill="1" applyBorder="1"/>
    <xf numFmtId="9" fontId="0" fillId="8" borderId="0" xfId="3" applyFont="1" applyFill="1"/>
    <xf numFmtId="0" fontId="0" fillId="8" borderId="0" xfId="0" applyFill="1" applyAlignment="1">
      <alignment horizontal="right"/>
    </xf>
    <xf numFmtId="49" fontId="0" fillId="8" borderId="0" xfId="0" applyNumberFormat="1" applyFill="1"/>
    <xf numFmtId="164" fontId="0" fillId="8" borderId="0" xfId="1" applyNumberFormat="1" applyFont="1" applyFill="1"/>
    <xf numFmtId="9" fontId="0" fillId="8" borderId="0" xfId="0" applyNumberFormat="1" applyFill="1"/>
    <xf numFmtId="2" fontId="0" fillId="8" borderId="0" xfId="0" applyNumberFormat="1" applyFill="1"/>
    <xf numFmtId="0" fontId="3" fillId="2" borderId="0" xfId="0" applyFont="1" applyFill="1" applyAlignment="1">
      <alignment horizontal="center"/>
    </xf>
    <xf numFmtId="0" fontId="6" fillId="6" borderId="0" xfId="0" applyFont="1" applyFill="1" applyAlignment="1">
      <alignment horizontal="centerContinuous"/>
    </xf>
    <xf numFmtId="0" fontId="0" fillId="6" borderId="0" xfId="0" applyFill="1"/>
    <xf numFmtId="0" fontId="0" fillId="6" borderId="0" xfId="0" applyFill="1" applyAlignment="1">
      <alignment horizontal="right"/>
    </xf>
    <xf numFmtId="49" fontId="0" fillId="6" borderId="0" xfId="0" applyNumberFormat="1" applyFill="1"/>
    <xf numFmtId="2" fontId="0" fillId="6" borderId="0" xfId="0" applyNumberFormat="1" applyFill="1"/>
    <xf numFmtId="0" fontId="0" fillId="9" borderId="0" xfId="0" applyFill="1"/>
    <xf numFmtId="165" fontId="0" fillId="8" borderId="0" xfId="2" applyNumberFormat="1" applyFont="1" applyFill="1"/>
    <xf numFmtId="0" fontId="8" fillId="8" borderId="0" xfId="0" applyFont="1" applyFill="1" applyAlignment="1">
      <alignment horizontal="left"/>
    </xf>
    <xf numFmtId="9" fontId="0" fillId="8" borderId="10" xfId="0" applyNumberFormat="1" applyFill="1" applyBorder="1"/>
    <xf numFmtId="0" fontId="0" fillId="9" borderId="0" xfId="0" applyFill="1" applyAlignment="1">
      <alignment horizontal="center"/>
    </xf>
    <xf numFmtId="0" fontId="9" fillId="6" borderId="0" xfId="0" applyFont="1" applyFill="1"/>
    <xf numFmtId="0" fontId="9" fillId="9" borderId="0" xfId="0" applyFont="1" applyFill="1"/>
    <xf numFmtId="0" fontId="10" fillId="9" borderId="0" xfId="0" applyFont="1" applyFill="1" applyAlignment="1">
      <alignment horizontal="centerContinuous"/>
    </xf>
    <xf numFmtId="0" fontId="9" fillId="9" borderId="0" xfId="0" applyFont="1" applyFill="1" applyAlignment="1">
      <alignment horizontal="centerContinuous"/>
    </xf>
    <xf numFmtId="0" fontId="11" fillId="9" borderId="0" xfId="0" applyFont="1" applyFill="1" applyAlignment="1">
      <alignment horizontal="centerContinuous"/>
    </xf>
    <xf numFmtId="0" fontId="12" fillId="9" borderId="0" xfId="0" applyFont="1" applyFill="1" applyAlignment="1">
      <alignment horizontal="centerContinuous"/>
    </xf>
    <xf numFmtId="2" fontId="12" fillId="9" borderId="0" xfId="0" applyNumberFormat="1" applyFont="1" applyFill="1" applyAlignment="1">
      <alignment horizontal="centerContinuous"/>
    </xf>
    <xf numFmtId="0" fontId="9" fillId="8" borderId="0" xfId="0" applyFont="1" applyFill="1"/>
    <xf numFmtId="0" fontId="10" fillId="8" borderId="0" xfId="0" applyFont="1" applyFill="1"/>
    <xf numFmtId="0" fontId="10" fillId="6" borderId="0" xfId="0" applyFont="1" applyFill="1"/>
    <xf numFmtId="0" fontId="9" fillId="6" borderId="0" xfId="0" applyFont="1" applyFill="1" applyAlignment="1">
      <alignment horizontal="right"/>
    </xf>
    <xf numFmtId="49" fontId="9" fillId="6" borderId="0" xfId="0" applyNumberFormat="1" applyFont="1" applyFill="1"/>
    <xf numFmtId="2" fontId="9" fillId="6" borderId="0" xfId="0" applyNumberFormat="1" applyFont="1" applyFill="1"/>
    <xf numFmtId="0" fontId="16" fillId="6" borderId="0" xfId="0" applyFont="1" applyFill="1"/>
    <xf numFmtId="164" fontId="9" fillId="8" borderId="0" xfId="1" applyNumberFormat="1" applyFont="1" applyFill="1"/>
    <xf numFmtId="9" fontId="9" fillId="8" borderId="0" xfId="3" applyFont="1" applyFill="1"/>
    <xf numFmtId="9" fontId="9" fillId="8" borderId="0" xfId="0" applyNumberFormat="1" applyFont="1" applyFill="1"/>
    <xf numFmtId="2" fontId="9" fillId="8" borderId="0" xfId="0" applyNumberFormat="1" applyFont="1" applyFill="1"/>
    <xf numFmtId="164" fontId="9" fillId="9" borderId="0" xfId="1" applyNumberFormat="1" applyFont="1" applyFill="1"/>
    <xf numFmtId="9" fontId="9" fillId="9" borderId="0" xfId="3" applyFont="1" applyFill="1"/>
    <xf numFmtId="9" fontId="9" fillId="9" borderId="0" xfId="0" applyNumberFormat="1" applyFont="1" applyFill="1"/>
    <xf numFmtId="2" fontId="9" fillId="9" borderId="0" xfId="0" applyNumberFormat="1" applyFont="1" applyFill="1"/>
    <xf numFmtId="0" fontId="10" fillId="2" borderId="0" xfId="0" applyFont="1" applyFill="1" applyAlignment="1">
      <alignment horizontal="centerContinuous"/>
    </xf>
    <xf numFmtId="0" fontId="10" fillId="10" borderId="0" xfId="0" applyFont="1" applyFill="1" applyAlignment="1">
      <alignment horizontal="centerContinuous"/>
    </xf>
    <xf numFmtId="0" fontId="13" fillId="6" borderId="0" xfId="0" applyFont="1" applyFill="1" applyAlignment="1">
      <alignment horizontal="center"/>
    </xf>
    <xf numFmtId="0" fontId="0" fillId="8" borderId="10" xfId="0" applyFill="1" applyBorder="1" applyAlignment="1">
      <alignment horizontal="right"/>
    </xf>
    <xf numFmtId="164" fontId="0" fillId="8" borderId="0" xfId="0" applyNumberFormat="1" applyFill="1"/>
    <xf numFmtId="166" fontId="0" fillId="8" borderId="0" xfId="3" applyNumberFormat="1" applyFont="1" applyFill="1"/>
    <xf numFmtId="167" fontId="0" fillId="0" borderId="0" xfId="1" applyNumberFormat="1" applyFont="1"/>
    <xf numFmtId="167" fontId="0" fillId="0" borderId="0" xfId="0" applyNumberFormat="1"/>
    <xf numFmtId="0" fontId="1" fillId="6" borderId="0" xfId="0" applyFont="1" applyFill="1"/>
    <xf numFmtId="0" fontId="0" fillId="11" borderId="0" xfId="0" applyFont="1" applyFill="1"/>
    <xf numFmtId="0" fontId="0" fillId="0" borderId="0" xfId="0" applyFont="1"/>
    <xf numFmtId="0" fontId="0" fillId="0" borderId="0" xfId="0" pivotButton="1"/>
    <xf numFmtId="164" fontId="0" fillId="0" borderId="0" xfId="1" applyNumberFormat="1" applyFont="1"/>
    <xf numFmtId="164" fontId="0" fillId="0" borderId="0" xfId="0" applyNumberFormat="1"/>
    <xf numFmtId="165" fontId="0" fillId="0" borderId="0" xfId="2" applyNumberFormat="1" applyFont="1"/>
    <xf numFmtId="0" fontId="0" fillId="0" borderId="0" xfId="0" applyAlignment="1">
      <alignment horizontal="right" vertical="center"/>
    </xf>
    <xf numFmtId="0" fontId="18" fillId="0" borderId="0" xfId="0" applyFont="1" applyAlignment="1">
      <alignment horizontal="right" vertical="center"/>
    </xf>
    <xf numFmtId="0" fontId="0" fillId="0" borderId="0" xfId="0" applyFont="1" applyAlignment="1">
      <alignment horizontal="left" vertical="center"/>
    </xf>
    <xf numFmtId="164" fontId="0" fillId="0" borderId="0" xfId="0" applyNumberFormat="1" applyFont="1" applyAlignment="1">
      <alignment horizontal="right" vertical="center"/>
    </xf>
    <xf numFmtId="166" fontId="0" fillId="0" borderId="0" xfId="0" applyNumberFormat="1" applyFont="1" applyAlignment="1">
      <alignment horizontal="right" vertical="center"/>
    </xf>
    <xf numFmtId="0" fontId="2" fillId="0" borderId="0" xfId="0" applyFont="1" applyAlignment="1">
      <alignment horizontal="right" vertical="center"/>
    </xf>
    <xf numFmtId="0" fontId="0" fillId="0" borderId="0" xfId="0" applyFont="1" applyAlignment="1">
      <alignment horizontal="right" vertical="center"/>
    </xf>
    <xf numFmtId="10" fontId="0" fillId="0" borderId="0" xfId="0" applyNumberFormat="1" applyFont="1" applyAlignment="1">
      <alignment horizontal="center" vertical="center"/>
    </xf>
    <xf numFmtId="0" fontId="0" fillId="0" borderId="0" xfId="0" pivotButton="1" applyAlignment="1">
      <alignment horizontal="right" vertical="center"/>
    </xf>
    <xf numFmtId="164" fontId="2" fillId="0" borderId="0" xfId="0" applyNumberFormat="1" applyFont="1" applyAlignment="1">
      <alignment horizontal="right" vertical="center"/>
    </xf>
    <xf numFmtId="166" fontId="2" fillId="0" borderId="0" xfId="0" applyNumberFormat="1" applyFont="1" applyAlignment="1">
      <alignment horizontal="right" vertical="center"/>
    </xf>
    <xf numFmtId="10" fontId="2" fillId="0" borderId="0" xfId="0" applyNumberFormat="1" applyFont="1" applyAlignment="1">
      <alignment horizontal="center" vertical="center"/>
    </xf>
    <xf numFmtId="10" fontId="2" fillId="0" borderId="0" xfId="0" applyNumberFormat="1" applyFont="1" applyAlignment="1">
      <alignment horizontal="right" vertical="center"/>
    </xf>
  </cellXfs>
  <cellStyles count="4">
    <cellStyle name="Comma" xfId="1" builtinId="3"/>
    <cellStyle name="Currency" xfId="2" builtinId="4"/>
    <cellStyle name="Normal" xfId="0" builtinId="0"/>
    <cellStyle name="Percent" xfId="3" builtinId="5"/>
  </cellStyles>
  <dxfs count="66">
    <dxf>
      <font>
        <color theme="1"/>
      </font>
    </dxf>
    <dxf>
      <font>
        <color theme="1"/>
      </font>
    </dxf>
    <dxf>
      <font>
        <color theme="1"/>
      </font>
    </dxf>
    <dxf>
      <font>
        <color theme="0"/>
      </font>
    </dxf>
    <dxf>
      <font>
        <sz val="11"/>
      </font>
    </dxf>
    <dxf>
      <font>
        <sz val="11"/>
      </font>
    </dxf>
    <dxf>
      <font>
        <sz val="11"/>
      </font>
    </dxf>
    <dxf>
      <font>
        <sz val="11"/>
      </font>
    </dxf>
    <dxf>
      <font>
        <sz val="11"/>
      </font>
    </dxf>
    <dxf>
      <font>
        <sz val="11"/>
      </font>
    </dxf>
    <dxf>
      <numFmt numFmtId="166" formatCode="0.0%"/>
    </dxf>
    <dxf>
      <alignment horizontal="center"/>
    </dxf>
    <dxf>
      <alignment horizontal="left"/>
    </dxf>
    <dxf>
      <alignment horizontal="right" vertical="center"/>
    </dxf>
    <dxf>
      <alignment horizontal="right" vertical="center"/>
    </dxf>
    <dxf>
      <alignment horizontal="right" vertical="center"/>
    </dxf>
    <dxf>
      <alignment horizontal="right" vertical="center"/>
    </dxf>
    <dxf>
      <alignment horizontal="right" vertical="center"/>
    </dxf>
    <dxf>
      <font>
        <color auto="1"/>
      </font>
    </dxf>
    <dxf>
      <font>
        <sz val="8"/>
      </font>
    </dxf>
    <dxf>
      <font>
        <sz val="11"/>
      </font>
    </dxf>
    <dxf>
      <font>
        <sz val="11"/>
      </font>
    </dxf>
    <dxf>
      <font>
        <sz val="11"/>
      </font>
    </dxf>
    <dxf>
      <font>
        <sz val="11"/>
      </font>
    </dxf>
    <dxf>
      <font>
        <sz val="11"/>
      </font>
    </dxf>
    <dxf>
      <font>
        <sz val="11"/>
      </font>
    </dxf>
    <dxf>
      <alignment horizontal="left"/>
    </dxf>
    <dxf>
      <alignment horizontal="right" vertical="center"/>
    </dxf>
    <dxf>
      <alignment horizontal="right" vertical="center"/>
    </dxf>
    <dxf>
      <alignment horizontal="right" vertical="center"/>
    </dxf>
    <dxf>
      <alignment horizontal="right" vertical="center"/>
    </dxf>
    <dxf>
      <alignment horizontal="right" vertical="center"/>
    </dxf>
    <dxf>
      <font>
        <color auto="1"/>
      </font>
    </dxf>
    <dxf>
      <font>
        <color rgb="FFFFFFFF"/>
      </font>
    </dxf>
    <dxf>
      <font>
        <b/>
        <strike val="0"/>
        <outline val="0"/>
        <shadow val="0"/>
        <u val="none"/>
        <vertAlign val="baseline"/>
        <sz val="11"/>
        <color theme="0"/>
        <name val="Arial"/>
        <family val="2"/>
        <scheme val="minor"/>
      </font>
      <fill>
        <patternFill patternType="solid">
          <fgColor indexed="64"/>
          <bgColor theme="1"/>
        </patternFill>
      </fill>
    </dxf>
    <dxf>
      <font>
        <color rgb="FFFFFFFF"/>
      </font>
    </dxf>
    <dxf>
      <font>
        <b/>
        <i val="0"/>
      </font>
      <fill>
        <patternFill>
          <bgColor theme="0" tint="-9.9948118533890809E-2"/>
        </patternFill>
      </fill>
    </dxf>
    <dxf>
      <fill>
        <patternFill>
          <bgColor theme="1"/>
        </patternFill>
      </fill>
      <border diagonalUp="0" diagonalDown="0">
        <left/>
        <right/>
        <top/>
        <bottom/>
        <vertical/>
        <horizontal/>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fill>
        <patternFill patternType="solid">
          <fgColor theme="6" tint="0.79998168889431442"/>
          <bgColor theme="6" tint="0.79998168889431442"/>
        </patternFill>
      </fill>
    </dxf>
    <dxf>
      <font>
        <color theme="7" tint="0.79998168889431442"/>
      </font>
    </dxf>
    <dxf>
      <font>
        <b/>
        <color theme="1"/>
      </font>
    </dxf>
    <dxf>
      <font>
        <b/>
        <color theme="1"/>
      </font>
      <fill>
        <patternFill patternType="solid">
          <fgColor theme="6" tint="0.59999389629810485"/>
          <bgColor theme="6" tint="0.59999389629810485"/>
        </patternFill>
      </fill>
    </dxf>
    <dxf>
      <font>
        <b/>
        <color theme="1"/>
      </font>
      <border>
        <left style="medium">
          <color theme="6" tint="0.59999389629810485"/>
        </left>
        <right style="medium">
          <color theme="6" tint="0.59999389629810485"/>
        </right>
        <top style="medium">
          <color theme="6" tint="0.59999389629810485"/>
        </top>
        <bottom style="medium">
          <color theme="6" tint="0.59999389629810485"/>
        </bottom>
      </border>
    </dxf>
    <dxf>
      <border>
        <left style="thin">
          <color theme="6" tint="0.39997558519241921"/>
        </left>
        <right style="thin">
          <color theme="6" tint="0.39997558519241921"/>
        </right>
      </border>
    </dxf>
    <dxf>
      <fill>
        <patternFill>
          <bgColor theme="7" tint="0.79998168889431442"/>
        </patternFill>
      </fill>
    </dxf>
    <dxf>
      <fill>
        <patternFill>
          <bgColor theme="7" tint="0.79998168889431442"/>
        </patternFill>
      </fill>
      <border>
        <top style="thin">
          <color theme="6" tint="0.39997558519241921"/>
        </top>
        <bottom style="thin">
          <color theme="6" tint="0.39997558519241921"/>
        </bottom>
        <horizontal style="thin">
          <color theme="6" tint="0.39997558519241921"/>
        </horizontal>
      </border>
    </dxf>
    <dxf>
      <font>
        <b/>
        <i val="0"/>
        <color theme="7" tint="0.79998168889431442"/>
      </font>
      <fill>
        <patternFill>
          <bgColor theme="0" tint="-0.499984740745262"/>
        </patternFill>
      </fill>
      <border>
        <top style="thin">
          <color theme="6" tint="-0.249977111117893"/>
        </top>
        <bottom style="medium">
          <color theme="6" tint="-0.249977111117893"/>
        </bottom>
      </border>
    </dxf>
    <dxf>
      <font>
        <b/>
        <color theme="0"/>
      </font>
      <fill>
        <patternFill patternType="solid">
          <fgColor theme="6"/>
          <bgColor theme="0" tint="-0.499984740745262"/>
        </patternFill>
      </fill>
      <border>
        <top style="medium">
          <color theme="6" tint="-0.249977111117893"/>
        </top>
      </border>
    </dxf>
    <dxf>
      <font>
        <color theme="1"/>
      </font>
      <fill>
        <patternFill>
          <bgColor theme="7" tint="0.79998168889431442"/>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font>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3" defaultTableStyle="TableStyleMedium2" defaultPivotStyle="PivotStyleLight16">
    <tableStyle name="kpi pivot" table="0" count="14" xr9:uid="{2E9404B7-AA78-4A94-8390-DE246021B584}">
      <tableStyleElement type="wholeTable" dxfId="65"/>
      <tableStyleElement type="headerRow" dxfId="64"/>
      <tableStyleElement type="totalRow" dxfId="63"/>
      <tableStyleElement type="firstColumn" dxfId="62"/>
      <tableStyleElement type="firstRowStripe" dxfId="61"/>
      <tableStyleElement type="firstColumnStripe" dxfId="60"/>
      <tableStyleElement type="firstSubtotalColumn" dxfId="59"/>
      <tableStyleElement type="firstSubtotalRow" dxfId="58"/>
      <tableStyleElement type="secondSubtotalRow" dxfId="57"/>
      <tableStyleElement type="firstRowSubheading" dxfId="56"/>
      <tableStyleElement type="secondRowSubheading" dxfId="55"/>
      <tableStyleElement type="thirdRowSubheading" dxfId="54"/>
      <tableStyleElement type="pageFieldLabels" dxfId="53"/>
      <tableStyleElement type="pageFieldValues" dxfId="52"/>
    </tableStyle>
    <tableStyle name="PivotStyleMedium11 2" table="0" count="14" xr9:uid="{11310C34-CF22-4113-8B80-F448B373BD05}">
      <tableStyleElement type="wholeTable" dxfId="51"/>
      <tableStyleElement type="headerRow" dxfId="50"/>
      <tableStyleElement type="totalRow" dxfId="49"/>
      <tableStyleElement type="firstRowStripe" dxfId="48"/>
      <tableStyleElement type="secondRowStripe" dxfId="47"/>
      <tableStyleElement type="firstColumnStripe" dxfId="46"/>
      <tableStyleElement type="firstSubtotalColumn" dxfId="45"/>
      <tableStyleElement type="firstSubtotalRow" dxfId="44"/>
      <tableStyleElement type="secondSubtotalRow" dxfId="43"/>
      <tableStyleElement type="firstColumnSubheading" dxfId="42"/>
      <tableStyleElement type="firstRowSubheading" dxfId="41"/>
      <tableStyleElement type="secondRowSubheading" dxfId="40"/>
      <tableStyleElement type="pageFieldLabels" dxfId="39"/>
      <tableStyleElement type="pageFieldValues" dxfId="38"/>
    </tableStyle>
    <tableStyle name="Slicer Style 1" pivot="0" table="0" count="4" xr9:uid="{AFE42A1B-51A6-4B7A-9F3D-411BEEE0EF02}">
      <tableStyleElement type="wholeTable" dxfId="37"/>
      <tableStyleElement type="headerRow" dxfId="36"/>
    </tableStyle>
  </tableStyles>
  <colors>
    <mruColors>
      <color rgb="FFFFFFFF"/>
      <color rgb="FFE05E5E"/>
      <color rgb="FFC87C76"/>
      <color rgb="FFD9F6D5"/>
      <color rgb="FF869D96"/>
      <color rgb="FF201E50"/>
      <color rgb="FF525B76"/>
      <color rgb="FFA2C3A4"/>
      <color rgb="FFE4DCDE"/>
      <color rgb="FFD3B1C2"/>
    </mruColors>
  </colors>
  <extLst>
    <ext xmlns:x14="http://schemas.microsoft.com/office/spreadsheetml/2009/9/main" uri="{46F421CA-312F-682f-3DD2-61675219B42D}">
      <x14:dxfs count="2">
        <dxf>
          <font>
            <b/>
            <i val="0"/>
            <sz val="10"/>
            <color theme="7" tint="0.79995117038483843"/>
          </font>
          <fill>
            <patternFill>
              <bgColor theme="0" tint="-0.499984740745262"/>
            </patternFill>
          </fill>
        </dxf>
        <dxf>
          <font>
            <sz val="10"/>
          </font>
          <fill>
            <patternFill>
              <bgColor theme="7" tint="0.7999816888943144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3.png"/></Relationships>
</file>

<file path=xl/charts/_rels/chart4.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77777777777776E-2"/>
          <c:y val="6.1993119942847383E-2"/>
          <c:w val="0.93888888888888888"/>
          <c:h val="0.72946466011275213"/>
        </c:manualLayout>
      </c:layout>
      <c:barChart>
        <c:barDir val="col"/>
        <c:grouping val="clustered"/>
        <c:varyColors val="0"/>
        <c:ser>
          <c:idx val="0"/>
          <c:order val="0"/>
          <c:tx>
            <c:strRef>
              <c:f>Calculatiions1!$AG$15</c:f>
              <c:strCache>
                <c:ptCount val="1"/>
                <c:pt idx="0">
                  <c:v>Actual</c:v>
                </c:pt>
              </c:strCache>
            </c:strRef>
          </c:tx>
          <c:spPr>
            <a:solidFill>
              <a:schemeClr val="accent1"/>
            </a:solidFill>
            <a:ln>
              <a:noFill/>
            </a:ln>
            <a:effectLst/>
          </c:spPr>
          <c:invertIfNegative val="0"/>
          <c:cat>
            <c:strRef>
              <c:f>Calculatiions1!$AF$16:$AF$21</c:f>
              <c:strCache>
                <c:ptCount val="6"/>
                <c:pt idx="0">
                  <c:v>Five Labs</c:v>
                </c:pt>
                <c:pt idx="1">
                  <c:v>Pes</c:v>
                </c:pt>
                <c:pt idx="2">
                  <c:v>Twistrr</c:v>
                </c:pt>
                <c:pt idx="3">
                  <c:v>Kryptis</c:v>
                </c:pt>
                <c:pt idx="4">
                  <c:v>Jellyfish</c:v>
                </c:pt>
                <c:pt idx="5">
                  <c:v>Hackrr</c:v>
                </c:pt>
              </c:strCache>
            </c:strRef>
          </c:cat>
          <c:val>
            <c:numRef>
              <c:f>Calculatiions1!$AG$16:$AG$21</c:f>
              <c:numCache>
                <c:formatCode>_(* #,##0_);_(* \(#,##0\);_(* "-"??_);_(@_)</c:formatCode>
                <c:ptCount val="6"/>
                <c:pt idx="0">
                  <c:v>7461</c:v>
                </c:pt>
                <c:pt idx="1">
                  <c:v>15668.1</c:v>
                </c:pt>
                <c:pt idx="2">
                  <c:v>10490.4</c:v>
                </c:pt>
                <c:pt idx="3">
                  <c:v>8432</c:v>
                </c:pt>
                <c:pt idx="4">
                  <c:v>5353</c:v>
                </c:pt>
                <c:pt idx="5">
                  <c:v>12654.6</c:v>
                </c:pt>
              </c:numCache>
            </c:numRef>
          </c:val>
          <c:extLst>
            <c:ext xmlns:c16="http://schemas.microsoft.com/office/drawing/2014/chart" uri="{C3380CC4-5D6E-409C-BE32-E72D297353CC}">
              <c16:uniqueId val="{00000000-C4A6-48F3-A663-1BA35A32EBB8}"/>
            </c:ext>
          </c:extLst>
        </c:ser>
        <c:dLbls>
          <c:showLegendKey val="0"/>
          <c:showVal val="0"/>
          <c:showCatName val="0"/>
          <c:showSerName val="0"/>
          <c:showPercent val="0"/>
          <c:showBubbleSize val="0"/>
        </c:dLbls>
        <c:gapWidth val="100"/>
        <c:overlap val="100"/>
        <c:axId val="1263962383"/>
        <c:axId val="1258246223"/>
      </c:barChart>
      <c:lineChart>
        <c:grouping val="standard"/>
        <c:varyColors val="0"/>
        <c:ser>
          <c:idx val="1"/>
          <c:order val="1"/>
          <c:tx>
            <c:strRef>
              <c:f>Calculatiions1!$AH$15</c:f>
              <c:strCache>
                <c:ptCount val="1"/>
                <c:pt idx="0">
                  <c:v>Budget</c:v>
                </c:pt>
              </c:strCache>
            </c:strRef>
          </c:tx>
          <c:spPr>
            <a:ln w="28575" cap="rnd">
              <a:noFill/>
              <a:round/>
            </a:ln>
            <a:effectLst/>
          </c:spPr>
          <c:marker>
            <c:symbol val="none"/>
          </c:marker>
          <c:errBars>
            <c:errDir val="y"/>
            <c:errBarType val="minus"/>
            <c:errValType val="percentage"/>
            <c:noEndCap val="0"/>
            <c:val val="100"/>
            <c:spPr>
              <a:noFill/>
              <a:ln w="88900" cap="flat" cmpd="sng" algn="ctr">
                <a:solidFill>
                  <a:schemeClr val="bg2">
                    <a:lumMod val="75000"/>
                  </a:schemeClr>
                </a:solidFill>
                <a:round/>
              </a:ln>
              <a:effectLst/>
            </c:spPr>
          </c:errBars>
          <c:cat>
            <c:strRef>
              <c:f>Calculatiions1!$AF$16:$AF$21</c:f>
              <c:strCache>
                <c:ptCount val="6"/>
                <c:pt idx="0">
                  <c:v>Five Labs</c:v>
                </c:pt>
                <c:pt idx="1">
                  <c:v>Pes</c:v>
                </c:pt>
                <c:pt idx="2">
                  <c:v>Twistrr</c:v>
                </c:pt>
                <c:pt idx="3">
                  <c:v>Kryptis</c:v>
                </c:pt>
                <c:pt idx="4">
                  <c:v>Jellyfish</c:v>
                </c:pt>
                <c:pt idx="5">
                  <c:v>Hackrr</c:v>
                </c:pt>
              </c:strCache>
            </c:strRef>
          </c:cat>
          <c:val>
            <c:numRef>
              <c:f>Calculatiions1!$AH$16:$AH$21</c:f>
              <c:numCache>
                <c:formatCode>_(* #,##0_);_(* \(#,##0\);_(* "-"??_);_(@_)</c:formatCode>
                <c:ptCount val="6"/>
                <c:pt idx="0">
                  <c:v>7602</c:v>
                </c:pt>
                <c:pt idx="1">
                  <c:v>15964.2</c:v>
                </c:pt>
                <c:pt idx="2">
                  <c:v>10458</c:v>
                </c:pt>
                <c:pt idx="3">
                  <c:v>8312</c:v>
                </c:pt>
                <c:pt idx="4">
                  <c:v>5191</c:v>
                </c:pt>
                <c:pt idx="5">
                  <c:v>12188.4</c:v>
                </c:pt>
              </c:numCache>
            </c:numRef>
          </c:val>
          <c:smooth val="0"/>
          <c:extLst>
            <c:ext xmlns:c16="http://schemas.microsoft.com/office/drawing/2014/chart" uri="{C3380CC4-5D6E-409C-BE32-E72D297353CC}">
              <c16:uniqueId val="{00000001-C4A6-48F3-A663-1BA35A32EBB8}"/>
            </c:ext>
          </c:extLst>
        </c:ser>
        <c:ser>
          <c:idx val="2"/>
          <c:order val="2"/>
          <c:tx>
            <c:strRef>
              <c:f>Calculatiions1!$AI$16:$AI$21</c:f>
              <c:strCache>
                <c:ptCount val="6"/>
                <c:pt idx="0">
                  <c:v> 7,602 </c:v>
                </c:pt>
                <c:pt idx="1">
                  <c:v> 15,964 </c:v>
                </c:pt>
                <c:pt idx="2">
                  <c:v> 10,490 </c:v>
                </c:pt>
                <c:pt idx="3">
                  <c:v> 8,432 </c:v>
                </c:pt>
                <c:pt idx="4">
                  <c:v> 5,353 </c:v>
                </c:pt>
                <c:pt idx="5">
                  <c:v> 12,655 </c:v>
                </c:pt>
              </c:strCache>
            </c:strRef>
          </c:tx>
          <c:spPr>
            <a:ln w="25400" cap="rnd">
              <a:noFill/>
              <a:round/>
            </a:ln>
            <a:effectLst/>
          </c:spPr>
          <c:marker>
            <c:symbol val="none"/>
          </c:marker>
          <c:dLbls>
            <c:dLbl>
              <c:idx val="0"/>
              <c:tx>
                <c:rich>
                  <a:bodyPr/>
                  <a:lstStyle/>
                  <a:p>
                    <a:fld id="{09053366-7D40-4910-8C6E-2DE86F69A95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4A6-48F3-A663-1BA35A32EBB8}"/>
                </c:ext>
              </c:extLst>
            </c:dLbl>
            <c:dLbl>
              <c:idx val="1"/>
              <c:tx>
                <c:rich>
                  <a:bodyPr/>
                  <a:lstStyle/>
                  <a:p>
                    <a:fld id="{86ECA38D-E44F-4C5A-89EE-45A988A2923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4A6-48F3-A663-1BA35A32EBB8}"/>
                </c:ext>
              </c:extLst>
            </c:dLbl>
            <c:dLbl>
              <c:idx val="2"/>
              <c:tx>
                <c:rich>
                  <a:bodyPr/>
                  <a:lstStyle/>
                  <a:p>
                    <a:fld id="{32DE5709-26FF-418E-968F-1F8365F516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4A6-48F3-A663-1BA35A32EBB8}"/>
                </c:ext>
              </c:extLst>
            </c:dLbl>
            <c:dLbl>
              <c:idx val="3"/>
              <c:tx>
                <c:rich>
                  <a:bodyPr/>
                  <a:lstStyle/>
                  <a:p>
                    <a:fld id="{82F38E1A-9976-4F0D-A187-58AC66BCF2A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4A6-48F3-A663-1BA35A32EBB8}"/>
                </c:ext>
              </c:extLst>
            </c:dLbl>
            <c:dLbl>
              <c:idx val="4"/>
              <c:tx>
                <c:rich>
                  <a:bodyPr/>
                  <a:lstStyle/>
                  <a:p>
                    <a:fld id="{051F9A48-EEDE-4423-A1A4-FC92B530826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4A6-48F3-A663-1BA35A32EBB8}"/>
                </c:ext>
              </c:extLst>
            </c:dLbl>
            <c:dLbl>
              <c:idx val="5"/>
              <c:tx>
                <c:rich>
                  <a:bodyPr/>
                  <a:lstStyle/>
                  <a:p>
                    <a:fld id="{E8468CE4-B991-4B25-A4DA-6808A4C15BF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4A6-48F3-A663-1BA35A32EB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Calculatiions1!$AI$16:$AI$21</c:f>
              <c:numCache>
                <c:formatCode>_(* #,##0_);_(* \(#,##0\);_(* "-"??_);_(@_)</c:formatCode>
                <c:ptCount val="6"/>
                <c:pt idx="0">
                  <c:v>7602</c:v>
                </c:pt>
                <c:pt idx="1">
                  <c:v>15964.2</c:v>
                </c:pt>
                <c:pt idx="2">
                  <c:v>10490.4</c:v>
                </c:pt>
                <c:pt idx="3">
                  <c:v>8432</c:v>
                </c:pt>
                <c:pt idx="4">
                  <c:v>5353</c:v>
                </c:pt>
                <c:pt idx="5">
                  <c:v>12654.6</c:v>
                </c:pt>
              </c:numCache>
            </c:numRef>
          </c:val>
          <c:smooth val="0"/>
          <c:extLst>
            <c:ext xmlns:c15="http://schemas.microsoft.com/office/drawing/2012/chart" uri="{02D57815-91ED-43cb-92C2-25804820EDAC}">
              <c15:datalabelsRange>
                <c15:f>Calculatiions1!$AJ$16:$AJ$21</c15:f>
                <c15:dlblRangeCache>
                  <c:ptCount val="6"/>
                  <c:pt idx="0">
                    <c:v>-2% I 7461</c:v>
                  </c:pt>
                  <c:pt idx="1">
                    <c:v>-2% I 15668</c:v>
                  </c:pt>
                  <c:pt idx="2">
                    <c:v>0% I 10490</c:v>
                  </c:pt>
                  <c:pt idx="3">
                    <c:v>1% I 8432</c:v>
                  </c:pt>
                  <c:pt idx="4">
                    <c:v>3% I 5353</c:v>
                  </c:pt>
                  <c:pt idx="5">
                    <c:v>4% I 12655</c:v>
                  </c:pt>
                </c15:dlblRangeCache>
              </c15:datalabelsRange>
            </c:ext>
            <c:ext xmlns:c16="http://schemas.microsoft.com/office/drawing/2014/chart" uri="{C3380CC4-5D6E-409C-BE32-E72D297353CC}">
              <c16:uniqueId val="{00000002-C4A6-48F3-A663-1BA35A32EBB8}"/>
            </c:ext>
          </c:extLst>
        </c:ser>
        <c:dLbls>
          <c:showLegendKey val="0"/>
          <c:showVal val="0"/>
          <c:showCatName val="0"/>
          <c:showSerName val="0"/>
          <c:showPercent val="0"/>
          <c:showBubbleSize val="0"/>
        </c:dLbls>
        <c:marker val="1"/>
        <c:smooth val="0"/>
        <c:axId val="1263962383"/>
        <c:axId val="1258246223"/>
      </c:lineChart>
      <c:catAx>
        <c:axId val="12639623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8246223"/>
        <c:crosses val="autoZero"/>
        <c:auto val="1"/>
        <c:lblAlgn val="ctr"/>
        <c:lblOffset val="100"/>
        <c:noMultiLvlLbl val="0"/>
      </c:catAx>
      <c:valAx>
        <c:axId val="1258246223"/>
        <c:scaling>
          <c:orientation val="minMax"/>
        </c:scaling>
        <c:delete val="1"/>
        <c:axPos val="l"/>
        <c:numFmt formatCode="_(* #,##0_);_(* \(#,##0\);_(* &quot;-&quot;??_);_(@_)" sourceLinked="1"/>
        <c:majorTickMark val="none"/>
        <c:minorTickMark val="none"/>
        <c:tickLblPos val="nextTo"/>
        <c:crossAx val="12639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86979158280062"/>
          <c:y val="5.7191699721745315E-2"/>
          <c:w val="0.76331605021764914"/>
          <c:h val="0.8347389142146705"/>
        </c:manualLayout>
      </c:layout>
      <c:lineChart>
        <c:grouping val="standard"/>
        <c:varyColors val="0"/>
        <c:ser>
          <c:idx val="1"/>
          <c:order val="0"/>
          <c:tx>
            <c:strRef>
              <c:f>Calculatiions1!$AR$14</c:f>
              <c:strCache>
                <c:ptCount val="1"/>
                <c:pt idx="0">
                  <c:v>PY</c:v>
                </c:pt>
              </c:strCache>
            </c:strRef>
          </c:tx>
          <c:spPr>
            <a:ln w="28575" cap="rnd">
              <a:solidFill>
                <a:schemeClr val="accent2"/>
              </a:solidFill>
              <a:round/>
            </a:ln>
            <a:effectLst/>
          </c:spPr>
          <c:marker>
            <c:symbol val="none"/>
          </c:marker>
          <c:dLbls>
            <c:dLbl>
              <c:idx val="11"/>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3AE-4966-B197-C10BD30AC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Calculatiions1!$AP$15:$AP$26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Calculatiions1!$AR$15:$AR$26</c:f>
              <c:numCache>
                <c:formatCode>_(* #,##0.0_);_(* \(#,##0.0\);_(* "-"??_);_(@_)</c:formatCode>
                <c:ptCount val="12"/>
                <c:pt idx="0">
                  <c:v>340.2</c:v>
                </c:pt>
                <c:pt idx="1">
                  <c:v>613.20000000000005</c:v>
                </c:pt>
                <c:pt idx="2">
                  <c:v>837.90000000000009</c:v>
                </c:pt>
                <c:pt idx="3">
                  <c:v>1062.6000000000001</c:v>
                </c:pt>
                <c:pt idx="4">
                  <c:v>1245.3</c:v>
                </c:pt>
                <c:pt idx="5">
                  <c:v>1371.3</c:v>
                </c:pt>
                <c:pt idx="6">
                  <c:v>1503.6000000000001</c:v>
                </c:pt>
                <c:pt idx="7">
                  <c:v>1528.8</c:v>
                </c:pt>
                <c:pt idx="8">
                  <c:v>1694.7</c:v>
                </c:pt>
                <c:pt idx="9">
                  <c:v>1820.7</c:v>
                </c:pt>
                <c:pt idx="10">
                  <c:v>1969.8000000000002</c:v>
                </c:pt>
                <c:pt idx="11">
                  <c:v>2158.8000000000002</c:v>
                </c:pt>
              </c:numCache>
            </c:numRef>
          </c:val>
          <c:smooth val="0"/>
          <c:extLst>
            <c:ext xmlns:c16="http://schemas.microsoft.com/office/drawing/2014/chart" uri="{C3380CC4-5D6E-409C-BE32-E72D297353CC}">
              <c16:uniqueId val="{00000001-83AE-4966-B197-C10BD30AC518}"/>
            </c:ext>
          </c:extLst>
        </c:ser>
        <c:ser>
          <c:idx val="2"/>
          <c:order val="1"/>
          <c:tx>
            <c:strRef>
              <c:f>Calculatiions1!$AS$14</c:f>
              <c:strCache>
                <c:ptCount val="1"/>
                <c:pt idx="0">
                  <c:v>Budget</c:v>
                </c:pt>
              </c:strCache>
            </c:strRef>
          </c:tx>
          <c:spPr>
            <a:ln w="28575" cap="rnd">
              <a:solidFill>
                <a:schemeClr val="bg2">
                  <a:lumMod val="75000"/>
                </a:schemeClr>
              </a:solidFill>
              <a:round/>
            </a:ln>
            <a:effectLst/>
          </c:spPr>
          <c:marker>
            <c:symbol val="none"/>
          </c:marker>
          <c:dLbls>
            <c:dLbl>
              <c:idx val="11"/>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3AE-4966-B197-C10BD30AC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Calculatiions1!$AP$15:$AP$26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Calculatiions1!$AS$15:$AS$26</c:f>
              <c:numCache>
                <c:formatCode>_(* #,##0.0_);_(* \(#,##0.0\);_(* "-"??_);_(@_)</c:formatCode>
                <c:ptCount val="12"/>
                <c:pt idx="0">
                  <c:v>279.3</c:v>
                </c:pt>
                <c:pt idx="1">
                  <c:v>541.80000000000007</c:v>
                </c:pt>
                <c:pt idx="2">
                  <c:v>863.1</c:v>
                </c:pt>
                <c:pt idx="3">
                  <c:v>858.90000000000009</c:v>
                </c:pt>
                <c:pt idx="4">
                  <c:v>1134</c:v>
                </c:pt>
                <c:pt idx="5">
                  <c:v>1381.8</c:v>
                </c:pt>
                <c:pt idx="6">
                  <c:v>1568.7</c:v>
                </c:pt>
                <c:pt idx="7">
                  <c:v>1461.6000000000001</c:v>
                </c:pt>
                <c:pt idx="8">
                  <c:v>1766.1000000000001</c:v>
                </c:pt>
                <c:pt idx="9">
                  <c:v>1795.5</c:v>
                </c:pt>
                <c:pt idx="10">
                  <c:v>2087.4</c:v>
                </c:pt>
                <c:pt idx="11">
                  <c:v>1955.1000000000001</c:v>
                </c:pt>
              </c:numCache>
            </c:numRef>
          </c:val>
          <c:smooth val="0"/>
          <c:extLst>
            <c:ext xmlns:c16="http://schemas.microsoft.com/office/drawing/2014/chart" uri="{C3380CC4-5D6E-409C-BE32-E72D297353CC}">
              <c16:uniqueId val="{00000003-83AE-4966-B197-C10BD30AC518}"/>
            </c:ext>
          </c:extLst>
        </c:ser>
        <c:ser>
          <c:idx val="0"/>
          <c:order val="2"/>
          <c:tx>
            <c:strRef>
              <c:f>Calculatiions1!$AQ$14</c:f>
              <c:strCache>
                <c:ptCount val="1"/>
                <c:pt idx="0">
                  <c:v>Actual</c:v>
                </c:pt>
              </c:strCache>
            </c:strRef>
          </c:tx>
          <c:spPr>
            <a:ln w="28575" cap="rnd">
              <a:solidFill>
                <a:schemeClr val="accent1"/>
              </a:solidFill>
              <a:round/>
            </a:ln>
            <a:effectLst/>
          </c:spPr>
          <c:marker>
            <c:symbol val="none"/>
          </c:marker>
          <c:cat>
            <c:strRef>
              <c:f>Calculatiions1!$AP$15:$AP$26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Calculatiions1!$AQ$15:$AQ$26</c:f>
              <c:numCache>
                <c:formatCode>General</c:formatCode>
                <c:ptCount val="12"/>
                <c:pt idx="0">
                  <c:v>357</c:v>
                </c:pt>
                <c:pt idx="1">
                  <c:v>663.6</c:v>
                </c:pt>
                <c:pt idx="2">
                  <c:v>1003.8000000000001</c:v>
                </c:pt>
                <c:pt idx="3">
                  <c:v>1314.6000000000001</c:v>
                </c:pt>
                <c:pt idx="4">
                  <c:v>1654.8000000000002</c:v>
                </c:pt>
                <c:pt idx="5">
                  <c:v>1932</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4-83AE-4966-B197-C10BD30AC518}"/>
            </c:ext>
          </c:extLst>
        </c:ser>
        <c:ser>
          <c:idx val="3"/>
          <c:order val="3"/>
          <c:tx>
            <c:strRef>
              <c:f>Calculatiions1!$AT$14</c:f>
              <c:strCache>
                <c:ptCount val="1"/>
                <c:pt idx="0">
                  <c:v>Actual </c:v>
                </c:pt>
              </c:strCache>
            </c:strRef>
          </c:tx>
          <c:spPr>
            <a:ln w="28575" cap="rnd">
              <a:solidFill>
                <a:schemeClr val="accent4"/>
              </a:solidFill>
              <a:round/>
            </a:ln>
            <a:effectLst/>
          </c:spPr>
          <c:marker>
            <c:symbol val="none"/>
          </c:marker>
          <c:dLbls>
            <c:dLbl>
              <c:idx val="0"/>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83AE-4966-B197-C10BD30AC518}"/>
                </c:ext>
              </c:extLst>
            </c:dLbl>
            <c:dLbl>
              <c:idx val="1"/>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3AE-4966-B197-C10BD30AC518}"/>
                </c:ext>
              </c:extLst>
            </c:dLbl>
            <c:dLbl>
              <c:idx val="2"/>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3AE-4966-B197-C10BD30AC518}"/>
                </c:ext>
              </c:extLst>
            </c:dLbl>
            <c:dLbl>
              <c:idx val="3"/>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3AE-4966-B197-C10BD30AC518}"/>
                </c:ext>
              </c:extLst>
            </c:dLbl>
            <c:dLbl>
              <c:idx val="4"/>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83AE-4966-B197-C10BD30AC518}"/>
                </c:ext>
              </c:extLst>
            </c:dLbl>
            <c:dLbl>
              <c:idx val="5"/>
              <c:tx>
                <c:rich>
                  <a:bodyPr/>
                  <a:lstStyle/>
                  <a:p>
                    <a:fld id="{C4AA4F35-F062-4B8A-AB4B-7A9A66F65AE9}" type="SERIESNAME">
                      <a:rPr lang="en-US"/>
                      <a:pPr/>
                      <a:t>[SERIES NAME]</a:t>
                    </a:fld>
                    <a:endParaRPr lang="en-US"/>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3AE-4966-B197-C10BD30AC518}"/>
                </c:ext>
              </c:extLst>
            </c:dLbl>
            <c:dLbl>
              <c:idx val="6"/>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83AE-4966-B197-C10BD30AC518}"/>
                </c:ext>
              </c:extLst>
            </c:dLbl>
            <c:dLbl>
              <c:idx val="7"/>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83AE-4966-B197-C10BD30AC518}"/>
                </c:ext>
              </c:extLst>
            </c:dLbl>
            <c:dLbl>
              <c:idx val="8"/>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83AE-4966-B197-C10BD30AC518}"/>
                </c:ext>
              </c:extLst>
            </c:dLbl>
            <c:dLbl>
              <c:idx val="9"/>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83AE-4966-B197-C10BD30AC518}"/>
                </c:ext>
              </c:extLst>
            </c:dLbl>
            <c:dLbl>
              <c:idx val="10"/>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83AE-4966-B197-C10BD30AC518}"/>
                </c:ext>
              </c:extLst>
            </c:dLbl>
            <c:dLbl>
              <c:idx val="11"/>
              <c:tx>
                <c:rich>
                  <a:bodyPr/>
                  <a:lstStyle/>
                  <a:p>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83AE-4966-B197-C10BD30AC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val>
            <c:numRef>
              <c:f>Calculatiions1!$AT$15:$AT$26</c:f>
              <c:numCache>
                <c:formatCode>General</c:formatCode>
                <c:ptCount val="12"/>
                <c:pt idx="0">
                  <c:v>#N/A</c:v>
                </c:pt>
                <c:pt idx="1">
                  <c:v>#N/A</c:v>
                </c:pt>
                <c:pt idx="2">
                  <c:v>#N/A</c:v>
                </c:pt>
                <c:pt idx="3">
                  <c:v>#N/A</c:v>
                </c:pt>
                <c:pt idx="4">
                  <c:v>#N/A</c:v>
                </c:pt>
                <c:pt idx="5">
                  <c:v>1932</c:v>
                </c:pt>
                <c:pt idx="6">
                  <c:v>#N/A</c:v>
                </c:pt>
                <c:pt idx="7">
                  <c:v>#N/A</c:v>
                </c:pt>
                <c:pt idx="8">
                  <c:v>#N/A</c:v>
                </c:pt>
                <c:pt idx="9">
                  <c:v>#N/A</c:v>
                </c:pt>
                <c:pt idx="10">
                  <c:v>#N/A</c:v>
                </c:pt>
                <c:pt idx="11">
                  <c:v>#N/A</c:v>
                </c:pt>
              </c:numCache>
            </c:numRef>
          </c:val>
          <c:smooth val="0"/>
          <c:extLst>
            <c:ext xmlns:c15="http://schemas.microsoft.com/office/drawing/2012/chart" uri="{02D57815-91ED-43cb-92C2-25804820EDAC}">
              <c15:datalabelsRange>
                <c15:f>Calculatiions1!$AQ$14</c15:f>
                <c15:dlblRangeCache>
                  <c:ptCount val="1"/>
                  <c:pt idx="0">
                    <c:v>Actual</c:v>
                  </c:pt>
                </c15:dlblRangeCache>
              </c15:datalabelsRange>
            </c:ext>
            <c:ext xmlns:c16="http://schemas.microsoft.com/office/drawing/2014/chart" uri="{C3380CC4-5D6E-409C-BE32-E72D297353CC}">
              <c16:uniqueId val="{00000011-83AE-4966-B197-C10BD30AC518}"/>
            </c:ext>
          </c:extLst>
        </c:ser>
        <c:dLbls>
          <c:showLegendKey val="0"/>
          <c:showVal val="0"/>
          <c:showCatName val="0"/>
          <c:showSerName val="0"/>
          <c:showPercent val="0"/>
          <c:showBubbleSize val="0"/>
        </c:dLbls>
        <c:smooth val="0"/>
        <c:axId val="708991760"/>
        <c:axId val="579320016"/>
      </c:lineChart>
      <c:catAx>
        <c:axId val="70899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320016"/>
        <c:crosses val="autoZero"/>
        <c:auto val="1"/>
        <c:lblAlgn val="ctr"/>
        <c:lblOffset val="100"/>
        <c:noMultiLvlLbl val="0"/>
      </c:catAx>
      <c:valAx>
        <c:axId val="579320016"/>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89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393325834270717E-2"/>
          <c:y val="2.4265544393157749E-2"/>
          <c:w val="0.97777777777777775"/>
          <c:h val="0.87263133153131978"/>
        </c:manualLayout>
      </c:layout>
      <c:barChart>
        <c:barDir val="col"/>
        <c:grouping val="clustered"/>
        <c:varyColors val="0"/>
        <c:ser>
          <c:idx val="0"/>
          <c:order val="1"/>
          <c:tx>
            <c:strRef>
              <c:f>Calculations2!$I$5</c:f>
              <c:strCache>
                <c:ptCount val="1"/>
                <c:pt idx="0">
                  <c:v>Revenue</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Calculations2!$H$6:$H$10</c:f>
              <c:strCache>
                <c:ptCount val="5"/>
                <c:pt idx="0">
                  <c:v>North America</c:v>
                </c:pt>
                <c:pt idx="1">
                  <c:v>South America</c:v>
                </c:pt>
                <c:pt idx="2">
                  <c:v>Asia</c:v>
                </c:pt>
                <c:pt idx="3">
                  <c:v>Europe</c:v>
                </c:pt>
                <c:pt idx="4">
                  <c:v>Australia</c:v>
                </c:pt>
              </c:strCache>
            </c:strRef>
          </c:cat>
          <c:val>
            <c:numRef>
              <c:f>Calculations2!$I$6:$I$10</c:f>
              <c:numCache>
                <c:formatCode>_(* #,##0_);_(* \(#,##0\);_(* "-"??_);_(@_)</c:formatCode>
                <c:ptCount val="5"/>
                <c:pt idx="0">
                  <c:v>34155</c:v>
                </c:pt>
                <c:pt idx="1">
                  <c:v>24396</c:v>
                </c:pt>
                <c:pt idx="2">
                  <c:v>29276</c:v>
                </c:pt>
                <c:pt idx="3">
                  <c:v>45540</c:v>
                </c:pt>
                <c:pt idx="4">
                  <c:v>29277</c:v>
                </c:pt>
              </c:numCache>
            </c:numRef>
          </c:val>
          <c:extLst>
            <c:ext xmlns:c16="http://schemas.microsoft.com/office/drawing/2014/chart" uri="{C3380CC4-5D6E-409C-BE32-E72D297353CC}">
              <c16:uniqueId val="{00000000-43C7-46C0-9897-CDD6424C6BFA}"/>
            </c:ext>
          </c:extLst>
        </c:ser>
        <c:ser>
          <c:idx val="1"/>
          <c:order val="2"/>
          <c:tx>
            <c:strRef>
              <c:f>Calculations2!$J$5</c:f>
              <c:strCache>
                <c:ptCount val="1"/>
                <c:pt idx="0">
                  <c:v>Max</c:v>
                </c:pt>
              </c:strCache>
            </c:strRef>
          </c:tx>
          <c:spPr>
            <a:blipFill>
              <a:blip xmlns:r="http://schemas.openxmlformats.org/officeDocument/2006/relationships" r:embed="rId4"/>
              <a:stretch>
                <a:fillRect/>
              </a:stretch>
            </a:blipFill>
            <a:ln>
              <a:noFill/>
            </a:ln>
            <a:effectLst/>
          </c:spPr>
          <c:invertIfNegative val="0"/>
          <c:cat>
            <c:strRef>
              <c:f>Calculations2!$H$6:$H$10</c:f>
              <c:strCache>
                <c:ptCount val="5"/>
                <c:pt idx="0">
                  <c:v>North America</c:v>
                </c:pt>
                <c:pt idx="1">
                  <c:v>South America</c:v>
                </c:pt>
                <c:pt idx="2">
                  <c:v>Asia</c:v>
                </c:pt>
                <c:pt idx="3">
                  <c:v>Europe</c:v>
                </c:pt>
                <c:pt idx="4">
                  <c:v>Australia</c:v>
                </c:pt>
              </c:strCache>
            </c:strRef>
          </c:cat>
          <c:val>
            <c:numRef>
              <c:f>Calculations2!$J$6:$J$10</c:f>
              <c:numCache>
                <c:formatCode>General</c:formatCode>
                <c:ptCount val="5"/>
                <c:pt idx="0">
                  <c:v>#N/A</c:v>
                </c:pt>
                <c:pt idx="1">
                  <c:v>#N/A</c:v>
                </c:pt>
                <c:pt idx="2">
                  <c:v>#N/A</c:v>
                </c:pt>
                <c:pt idx="3">
                  <c:v>45540</c:v>
                </c:pt>
                <c:pt idx="4">
                  <c:v>#N/A</c:v>
                </c:pt>
              </c:numCache>
            </c:numRef>
          </c:val>
          <c:extLst>
            <c:ext xmlns:c16="http://schemas.microsoft.com/office/drawing/2014/chart" uri="{C3380CC4-5D6E-409C-BE32-E72D297353CC}">
              <c16:uniqueId val="{00000001-43C7-46C0-9897-CDD6424C6BFA}"/>
            </c:ext>
          </c:extLst>
        </c:ser>
        <c:dLbls>
          <c:showLegendKey val="0"/>
          <c:showVal val="0"/>
          <c:showCatName val="0"/>
          <c:showSerName val="0"/>
          <c:showPercent val="0"/>
          <c:showBubbleSize val="0"/>
        </c:dLbls>
        <c:gapWidth val="0"/>
        <c:overlap val="100"/>
        <c:axId val="1355483008"/>
        <c:axId val="1360038560"/>
      </c:barChart>
      <c:lineChart>
        <c:grouping val="standard"/>
        <c:varyColors val="0"/>
        <c:ser>
          <c:idx val="2"/>
          <c:order val="0"/>
          <c:tx>
            <c:strRef>
              <c:f>Calculations2!$K$5</c:f>
              <c:strCache>
                <c:ptCount val="1"/>
                <c:pt idx="0">
                  <c:v>Average</c:v>
                </c:pt>
              </c:strCache>
            </c:strRef>
          </c:tx>
          <c:spPr>
            <a:ln w="19050" cap="rnd">
              <a:solidFill>
                <a:schemeClr val="bg1"/>
              </a:solidFill>
              <a:prstDash val="sysDash"/>
              <a:round/>
            </a:ln>
            <a:effectLst/>
          </c:spPr>
          <c:marker>
            <c:symbol val="none"/>
          </c:marker>
          <c:cat>
            <c:strRef>
              <c:f>Calculations2!$H$6:$H$10</c:f>
              <c:strCache>
                <c:ptCount val="5"/>
                <c:pt idx="0">
                  <c:v>North America</c:v>
                </c:pt>
                <c:pt idx="1">
                  <c:v>South America</c:v>
                </c:pt>
                <c:pt idx="2">
                  <c:v>Asia</c:v>
                </c:pt>
                <c:pt idx="3">
                  <c:v>Europe</c:v>
                </c:pt>
                <c:pt idx="4">
                  <c:v>Australia</c:v>
                </c:pt>
              </c:strCache>
            </c:strRef>
          </c:cat>
          <c:val>
            <c:numRef>
              <c:f>Calculations2!$K$6:$K$10</c:f>
              <c:numCache>
                <c:formatCode>_(* #,##0_);_(* \(#,##0\);_(* "-"??_);_(@_)</c:formatCode>
                <c:ptCount val="5"/>
                <c:pt idx="0">
                  <c:v>32528.799999999999</c:v>
                </c:pt>
                <c:pt idx="1">
                  <c:v>32528.799999999999</c:v>
                </c:pt>
                <c:pt idx="2">
                  <c:v>32528.799999999999</c:v>
                </c:pt>
                <c:pt idx="3">
                  <c:v>32528.799999999999</c:v>
                </c:pt>
                <c:pt idx="4">
                  <c:v>32528.799999999999</c:v>
                </c:pt>
              </c:numCache>
            </c:numRef>
          </c:val>
          <c:smooth val="0"/>
          <c:extLst>
            <c:ext xmlns:c16="http://schemas.microsoft.com/office/drawing/2014/chart" uri="{C3380CC4-5D6E-409C-BE32-E72D297353CC}">
              <c16:uniqueId val="{00000002-43C7-46C0-9897-CDD6424C6BFA}"/>
            </c:ext>
          </c:extLst>
        </c:ser>
        <c:dLbls>
          <c:showLegendKey val="0"/>
          <c:showVal val="0"/>
          <c:showCatName val="0"/>
          <c:showSerName val="0"/>
          <c:showPercent val="0"/>
          <c:showBubbleSize val="0"/>
        </c:dLbls>
        <c:marker val="1"/>
        <c:smooth val="0"/>
        <c:axId val="1355483008"/>
        <c:axId val="1360038560"/>
      </c:lineChart>
      <c:catAx>
        <c:axId val="13554830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60038560"/>
        <c:crosses val="autoZero"/>
        <c:auto val="1"/>
        <c:lblAlgn val="ctr"/>
        <c:lblOffset val="100"/>
        <c:noMultiLvlLbl val="0"/>
      </c:catAx>
      <c:valAx>
        <c:axId val="1360038560"/>
        <c:scaling>
          <c:orientation val="minMax"/>
        </c:scaling>
        <c:delete val="1"/>
        <c:axPos val="l"/>
        <c:numFmt formatCode="_(* #,##0_);_(* \(#,##0\);_(* &quot;-&quot;??_);_(@_)" sourceLinked="1"/>
        <c:majorTickMark val="none"/>
        <c:minorTickMark val="none"/>
        <c:tickLblPos val="nextTo"/>
        <c:crossAx val="13554830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Dashboard.xlsx]Calculations2!Pivot_chart</c:name>
    <c:fmtId val="3"/>
  </c:pivotSource>
  <c:chart>
    <c:autoTitleDeleted val="1"/>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lumMod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lumMod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22225">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57717382101431E-2"/>
          <c:y val="8.4609518149853916E-2"/>
          <c:w val="0.93645291738879266"/>
          <c:h val="0.79770663101074635"/>
        </c:manualLayout>
      </c:layout>
      <c:barChart>
        <c:barDir val="col"/>
        <c:grouping val="clustered"/>
        <c:varyColors val="0"/>
        <c:ser>
          <c:idx val="0"/>
          <c:order val="0"/>
          <c:tx>
            <c:strRef>
              <c:f>Calculations2!$O$20</c:f>
              <c:strCache>
                <c:ptCount val="1"/>
                <c:pt idx="0">
                  <c:v>Total</c:v>
                </c:pt>
              </c:strCache>
            </c:strRef>
          </c:tx>
          <c:spPr>
            <a:blipFill>
              <a:blip xmlns:r="http://schemas.openxmlformats.org/officeDocument/2006/relationships" r:embed="rId3"/>
              <a:stretch>
                <a:fillRect/>
              </a:stretch>
            </a:blipFill>
            <a:ln w="22225">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Calculations2!$N$21:$N$24</c:f>
              <c:strCache>
                <c:ptCount val="3"/>
                <c:pt idx="0">
                  <c:v>Game</c:v>
                </c:pt>
                <c:pt idx="1">
                  <c:v>Productivity</c:v>
                </c:pt>
                <c:pt idx="2">
                  <c:v>Utility</c:v>
                </c:pt>
              </c:strCache>
            </c:strRef>
          </c:cat>
          <c:val>
            <c:numRef>
              <c:f>Calculations2!$O$21:$O$24</c:f>
              <c:numCache>
                <c:formatCode>_(* #,##0_);_(* \(#,##0\);_(* "-"??_);_(@_)</c:formatCode>
                <c:ptCount val="3"/>
                <c:pt idx="0">
                  <c:v>46336</c:v>
                </c:pt>
                <c:pt idx="1">
                  <c:v>45540</c:v>
                </c:pt>
                <c:pt idx="2">
                  <c:v>43695</c:v>
                </c:pt>
              </c:numCache>
            </c:numRef>
          </c:val>
          <c:extLst>
            <c:ext xmlns:c16="http://schemas.microsoft.com/office/drawing/2014/chart" uri="{C3380CC4-5D6E-409C-BE32-E72D297353CC}">
              <c16:uniqueId val="{00000000-7515-4A45-A7D9-1B958642264C}"/>
            </c:ext>
          </c:extLst>
        </c:ser>
        <c:dLbls>
          <c:showLegendKey val="0"/>
          <c:showVal val="0"/>
          <c:showCatName val="0"/>
          <c:showSerName val="0"/>
          <c:showPercent val="0"/>
          <c:showBubbleSize val="0"/>
        </c:dLbls>
        <c:gapWidth val="0"/>
        <c:overlap val="83"/>
        <c:axId val="1995158528"/>
        <c:axId val="1994779408"/>
      </c:barChart>
      <c:catAx>
        <c:axId val="1995158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994779408"/>
        <c:crosses val="autoZero"/>
        <c:auto val="1"/>
        <c:lblAlgn val="ctr"/>
        <c:lblOffset val="100"/>
        <c:noMultiLvlLbl val="0"/>
      </c:catAx>
      <c:valAx>
        <c:axId val="1994779408"/>
        <c:scaling>
          <c:orientation val="minMax"/>
          <c:min val="0"/>
        </c:scaling>
        <c:delete val="1"/>
        <c:axPos val="l"/>
        <c:numFmt formatCode="_(* #,##0_);_(* \(#,##0\);_(* &quot;-&quot;??_);_(@_)" sourceLinked="1"/>
        <c:majorTickMark val="out"/>
        <c:minorTickMark val="none"/>
        <c:tickLblPos val="nextTo"/>
        <c:crossAx val="199515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lgn="ct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26" fmlaLink="Calculatiions1!$D$5" fmlaRange="Calculatiions1!$C$16:$C$18" noThreeD="1" sel="2" val="0"/>
</file>

<file path=xl/ctrlProps/ctrlProp2.xml><?xml version="1.0" encoding="utf-8"?>
<formControlPr xmlns="http://schemas.microsoft.com/office/spreadsheetml/2009/9/main" objectType="Scroll" dx="26" fmlaLink="Calculatiions1!$D$6" max="11" min="1" page="5" val="5"/>
</file>

<file path=xl/ctrlProps/ctrlProp3.xml><?xml version="1.0" encoding="utf-8"?>
<formControlPr xmlns="http://schemas.microsoft.com/office/spreadsheetml/2009/9/main" objectType="List" dx="26" fmlaLink="Calculatiions1!$D$7" fmlaRange="Calculatiions1!$D$16:$D$18" noThreeD="1" sel="3" val="0"/>
</file>

<file path=xl/ctrlProps/ctrlProp4.xml><?xml version="1.0" encoding="utf-8"?>
<formControlPr xmlns="http://schemas.microsoft.com/office/spreadsheetml/2009/9/main" objectType="Radio" firstButton="1" fmlaLink="Calculatiions1!$D$8" lockText="1" noThreeD="1"/>
</file>

<file path=xl/ctrlProps/ctrlProp5.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CheckBox" checked="Checked" fmlaLink="Calculatiions1!$D$11" lockText="1" noThreeD="1"/>
</file>

<file path=xl/ctrlProps/ctrlProp7.xml><?xml version="1.0" encoding="utf-8"?>
<formControlPr xmlns="http://schemas.microsoft.com/office/spreadsheetml/2009/9/main" objectType="CheckBox" checked="Checked" fmlaLink="Calculatiions1!$D$10" lockText="1" noThreeD="1"/>
</file>

<file path=xl/ctrlProps/ctrlProp8.xml><?xml version="1.0" encoding="utf-8"?>
<formControlPr xmlns="http://schemas.microsoft.com/office/spreadsheetml/2009/9/main" objectType="Scroll" dx="26" fmlaLink="Calculatiions1!$D$9" horiz="1" max="15" min="1" page="5" val="7"/>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chart" Target="../charts/chart4.xml"/><Relationship Id="rId1" Type="http://schemas.openxmlformats.org/officeDocument/2006/relationships/chart" Target="../charts/chart3.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731520</xdr:colOff>
          <xdr:row>5</xdr:row>
          <xdr:rowOff>22860</xdr:rowOff>
        </xdr:from>
        <xdr:to>
          <xdr:col>8</xdr:col>
          <xdr:colOff>297180</xdr:colOff>
          <xdr:row>6</xdr:row>
          <xdr:rowOff>45720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15240</xdr:colOff>
          <xdr:row>9</xdr:row>
          <xdr:rowOff>167640</xdr:rowOff>
        </xdr:from>
        <xdr:to>
          <xdr:col>30</xdr:col>
          <xdr:colOff>114300</xdr:colOff>
          <xdr:row>21</xdr:row>
          <xdr:rowOff>0</xdr:rowOff>
        </xdr:to>
        <xdr:sp macro="" textlink="">
          <xdr:nvSpPr>
            <xdr:cNvPr id="1026" name="Scroll Bar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8</xdr:col>
      <xdr:colOff>426720</xdr:colOff>
      <xdr:row>1</xdr:row>
      <xdr:rowOff>15240</xdr:rowOff>
    </xdr:from>
    <xdr:to>
      <xdr:col>14</xdr:col>
      <xdr:colOff>586740</xdr:colOff>
      <xdr:row>5</xdr:row>
      <xdr:rowOff>190500</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2532611" y="105295"/>
          <a:ext cx="1988820" cy="867987"/>
          <a:chOff x="2804160" y="190500"/>
          <a:chExt cx="1988820" cy="876300"/>
        </a:xfrm>
        <a:solidFill>
          <a:schemeClr val="accent2"/>
        </a:solidFill>
      </xdr:grpSpPr>
      <xdr:sp macro="" textlink="">
        <xdr:nvSpPr>
          <xdr:cNvPr id="4" name="Rectangle 3">
            <a:extLst>
              <a:ext uri="{FF2B5EF4-FFF2-40B4-BE49-F238E27FC236}">
                <a16:creationId xmlns:a16="http://schemas.microsoft.com/office/drawing/2014/main" id="{00000000-0008-0000-0000-000004000000}"/>
              </a:ext>
            </a:extLst>
          </xdr:cNvPr>
          <xdr:cNvSpPr/>
        </xdr:nvSpPr>
        <xdr:spPr>
          <a:xfrm>
            <a:off x="2804160" y="190500"/>
            <a:ext cx="1988820" cy="8763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ulatiions1!N37">
        <xdr:nvSpPr>
          <xdr:cNvPr id="2" name="TextBox 1">
            <a:extLst>
              <a:ext uri="{FF2B5EF4-FFF2-40B4-BE49-F238E27FC236}">
                <a16:creationId xmlns:a16="http://schemas.microsoft.com/office/drawing/2014/main" id="{00000000-0008-0000-0000-000002000000}"/>
              </a:ext>
            </a:extLst>
          </xdr:cNvPr>
          <xdr:cNvSpPr txBox="1"/>
        </xdr:nvSpPr>
        <xdr:spPr>
          <a:xfrm>
            <a:off x="3345180" y="350520"/>
            <a:ext cx="1432560" cy="5943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33970E-6A99-46EB-B36E-B3A2810134B2}" type="TxLink">
              <a:rPr lang="en-US" sz="1600" b="0" i="0" u="none" strike="noStrike">
                <a:ln>
                  <a:noFill/>
                </a:ln>
                <a:solidFill>
                  <a:schemeClr val="accent4">
                    <a:lumMod val="20000"/>
                    <a:lumOff val="80000"/>
                  </a:schemeClr>
                </a:solidFill>
                <a:latin typeface="Arial"/>
                <a:cs typeface="Arial"/>
              </a:rPr>
              <a:pPr algn="ctr"/>
              <a:t> $210,616 </a:t>
            </a:fld>
            <a:endParaRPr lang="en-US" sz="1600">
              <a:ln>
                <a:noFill/>
              </a:ln>
              <a:solidFill>
                <a:schemeClr val="accent4">
                  <a:lumMod val="20000"/>
                  <a:lumOff val="80000"/>
                </a:schemeClr>
              </a:solidFill>
            </a:endParaRPr>
          </a:p>
        </xdr:txBody>
      </xdr:sp>
      <xdr:sp macro="" textlink="Calculatiions1!N47">
        <xdr:nvSpPr>
          <xdr:cNvPr id="5" name="TextBox 4">
            <a:extLst>
              <a:ext uri="{FF2B5EF4-FFF2-40B4-BE49-F238E27FC236}">
                <a16:creationId xmlns:a16="http://schemas.microsoft.com/office/drawing/2014/main" id="{00000000-0008-0000-0000-000005000000}"/>
              </a:ext>
            </a:extLst>
          </xdr:cNvPr>
          <xdr:cNvSpPr txBox="1"/>
        </xdr:nvSpPr>
        <xdr:spPr>
          <a:xfrm>
            <a:off x="3771900" y="876300"/>
            <a:ext cx="914400" cy="114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E4FBED-187C-46AE-AD7F-B673F0E555E9}" type="TxLink">
              <a:rPr lang="en-US" sz="900" b="0" i="0" u="none" strike="noStrike">
                <a:solidFill>
                  <a:schemeClr val="accent4">
                    <a:lumMod val="20000"/>
                    <a:lumOff val="80000"/>
                  </a:schemeClr>
                </a:solidFill>
                <a:latin typeface="Arial"/>
                <a:cs typeface="Arial"/>
              </a:rPr>
              <a:pPr algn="ctr"/>
              <a:t>Over Budget</a:t>
            </a:fld>
            <a:endParaRPr lang="en-US" sz="900">
              <a:solidFill>
                <a:schemeClr val="accent4">
                  <a:lumMod val="20000"/>
                  <a:lumOff val="80000"/>
                </a:schemeClr>
              </a:solidFill>
            </a:endParaRPr>
          </a:p>
        </xdr:txBody>
      </xdr:sp>
      <xdr:sp macro="" textlink="Calculatiions1!M47">
        <xdr:nvSpPr>
          <xdr:cNvPr id="6" name="TextBox 5">
            <a:extLst>
              <a:ext uri="{FF2B5EF4-FFF2-40B4-BE49-F238E27FC236}">
                <a16:creationId xmlns:a16="http://schemas.microsoft.com/office/drawing/2014/main" id="{00000000-0008-0000-0000-000006000000}"/>
              </a:ext>
            </a:extLst>
          </xdr:cNvPr>
          <xdr:cNvSpPr txBox="1"/>
        </xdr:nvSpPr>
        <xdr:spPr>
          <a:xfrm>
            <a:off x="3093720" y="853440"/>
            <a:ext cx="685800" cy="1600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E5F6A8-A5E1-444A-BA4B-F528163DCE5A}" type="TxLink">
              <a:rPr lang="en-US" sz="900" b="0" i="0" u="none" strike="noStrike">
                <a:solidFill>
                  <a:schemeClr val="accent4">
                    <a:lumMod val="20000"/>
                    <a:lumOff val="80000"/>
                  </a:schemeClr>
                </a:solidFill>
                <a:latin typeface="Arial"/>
                <a:cs typeface="Arial"/>
              </a:rPr>
              <a:pPr algn="ctr"/>
              <a:t> $12,090 </a:t>
            </a:fld>
            <a:endParaRPr lang="en-US" sz="900">
              <a:solidFill>
                <a:schemeClr val="accent4">
                  <a:lumMod val="20000"/>
                  <a:lumOff val="80000"/>
                </a:schemeClr>
              </a:solidFill>
            </a:endParaRPr>
          </a:p>
        </xdr:txBody>
      </xdr:sp>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872740" y="259080"/>
            <a:ext cx="929640" cy="2895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hu-HU" sz="1400" b="1">
                <a:solidFill>
                  <a:schemeClr val="accent4">
                    <a:lumMod val="20000"/>
                    <a:lumOff val="80000"/>
                  </a:schemeClr>
                </a:solidFill>
              </a:rPr>
              <a:t>Revenue</a:t>
            </a:r>
          </a:p>
        </xdr:txBody>
      </xdr:sp>
    </xdr:grpSp>
    <xdr:clientData/>
  </xdr:twoCellAnchor>
  <xdr:twoCellAnchor>
    <xdr:from>
      <xdr:col>16</xdr:col>
      <xdr:colOff>125730</xdr:colOff>
      <xdr:row>1</xdr:row>
      <xdr:rowOff>15240</xdr:rowOff>
    </xdr:from>
    <xdr:to>
      <xdr:col>22</xdr:col>
      <xdr:colOff>217170</xdr:colOff>
      <xdr:row>5</xdr:row>
      <xdr:rowOff>190500</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4683875" y="105295"/>
          <a:ext cx="1982586" cy="867987"/>
          <a:chOff x="2804160" y="190500"/>
          <a:chExt cx="1988820" cy="876300"/>
        </a:xfrm>
      </xdr:grpSpPr>
      <xdr:sp macro="" textlink="">
        <xdr:nvSpPr>
          <xdr:cNvPr id="12" name="Rectangle 11">
            <a:extLst>
              <a:ext uri="{FF2B5EF4-FFF2-40B4-BE49-F238E27FC236}">
                <a16:creationId xmlns:a16="http://schemas.microsoft.com/office/drawing/2014/main" id="{00000000-0008-0000-0000-00000C000000}"/>
              </a:ext>
            </a:extLst>
          </xdr:cNvPr>
          <xdr:cNvSpPr/>
        </xdr:nvSpPr>
        <xdr:spPr>
          <a:xfrm>
            <a:off x="2804160" y="190500"/>
            <a:ext cx="1988820" cy="8763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900" b="0" i="0" u="none" strike="noStrike">
              <a:solidFill>
                <a:schemeClr val="accent4">
                  <a:lumMod val="20000"/>
                  <a:lumOff val="80000"/>
                </a:schemeClr>
              </a:solidFill>
              <a:latin typeface="Arial"/>
              <a:ea typeface="+mn-ea"/>
              <a:cs typeface="Arial"/>
            </a:endParaRPr>
          </a:p>
        </xdr:txBody>
      </xdr:sp>
      <xdr:sp macro="" textlink="Calculatiions1!O37">
        <xdr:nvSpPr>
          <xdr:cNvPr id="13" name="TextBox 12">
            <a:extLst>
              <a:ext uri="{FF2B5EF4-FFF2-40B4-BE49-F238E27FC236}">
                <a16:creationId xmlns:a16="http://schemas.microsoft.com/office/drawing/2014/main" id="{00000000-0008-0000-0000-00000D000000}"/>
              </a:ext>
            </a:extLst>
          </xdr:cNvPr>
          <xdr:cNvSpPr txBox="1"/>
        </xdr:nvSpPr>
        <xdr:spPr>
          <a:xfrm>
            <a:off x="3345180" y="350520"/>
            <a:ext cx="1432560" cy="5943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7ADD95-9ED5-4213-AA0C-2CF64D1E69A2}" type="TxLink">
              <a:rPr lang="en-US" sz="1600" b="0" i="0" u="none" strike="noStrike">
                <a:solidFill>
                  <a:schemeClr val="accent4">
                    <a:lumMod val="20000"/>
                    <a:lumOff val="80000"/>
                  </a:schemeClr>
                </a:solidFill>
                <a:latin typeface="Arial"/>
                <a:ea typeface="+mn-ea"/>
                <a:cs typeface="Arial"/>
              </a:rPr>
              <a:pPr marL="0" indent="0" algn="ctr"/>
              <a:t> $12,324 </a:t>
            </a:fld>
            <a:endParaRPr lang="en-US" sz="1600" b="0" i="0" u="none" strike="noStrike">
              <a:solidFill>
                <a:schemeClr val="accent4">
                  <a:lumMod val="20000"/>
                  <a:lumOff val="80000"/>
                </a:schemeClr>
              </a:solidFill>
              <a:latin typeface="Arial"/>
              <a:ea typeface="+mn-ea"/>
              <a:cs typeface="Arial"/>
            </a:endParaRPr>
          </a:p>
        </xdr:txBody>
      </xdr:sp>
      <xdr:sp macro="" textlink="Calculatiions1!N48">
        <xdr:nvSpPr>
          <xdr:cNvPr id="14" name="TextBox 13">
            <a:extLst>
              <a:ext uri="{FF2B5EF4-FFF2-40B4-BE49-F238E27FC236}">
                <a16:creationId xmlns:a16="http://schemas.microsoft.com/office/drawing/2014/main" id="{00000000-0008-0000-0000-00000E000000}"/>
              </a:ext>
            </a:extLst>
          </xdr:cNvPr>
          <xdr:cNvSpPr txBox="1"/>
        </xdr:nvSpPr>
        <xdr:spPr>
          <a:xfrm>
            <a:off x="3771900" y="876300"/>
            <a:ext cx="914400" cy="1143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F36CF7-4D48-4F54-BABF-86E0C1E4ADA3}" type="TxLink">
              <a:rPr lang="en-US" sz="900" b="0" i="0" u="none" strike="noStrike">
                <a:solidFill>
                  <a:schemeClr val="accent4">
                    <a:lumMod val="20000"/>
                    <a:lumOff val="80000"/>
                  </a:schemeClr>
                </a:solidFill>
                <a:latin typeface="Arial"/>
                <a:ea typeface="+mn-ea"/>
                <a:cs typeface="Arial"/>
              </a:rPr>
              <a:pPr marL="0" indent="0" algn="ctr"/>
              <a:t>Over Budget</a:t>
            </a:fld>
            <a:endParaRPr lang="en-US" sz="900" b="0" i="0" u="none" strike="noStrike">
              <a:solidFill>
                <a:schemeClr val="accent4">
                  <a:lumMod val="20000"/>
                  <a:lumOff val="80000"/>
                </a:schemeClr>
              </a:solidFill>
              <a:latin typeface="Arial"/>
              <a:ea typeface="+mn-ea"/>
              <a:cs typeface="Arial"/>
            </a:endParaRPr>
          </a:p>
        </xdr:txBody>
      </xdr:sp>
      <xdr:sp macro="" textlink="Calculatiions1!M48">
        <xdr:nvSpPr>
          <xdr:cNvPr id="15" name="TextBox 14">
            <a:extLst>
              <a:ext uri="{FF2B5EF4-FFF2-40B4-BE49-F238E27FC236}">
                <a16:creationId xmlns:a16="http://schemas.microsoft.com/office/drawing/2014/main" id="{00000000-0008-0000-0000-00000F000000}"/>
              </a:ext>
            </a:extLst>
          </xdr:cNvPr>
          <xdr:cNvSpPr txBox="1"/>
        </xdr:nvSpPr>
        <xdr:spPr>
          <a:xfrm>
            <a:off x="3093720" y="853440"/>
            <a:ext cx="685800" cy="16002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06D7C0-44F6-4941-9637-3C7AA9A506CB}" type="TxLink">
              <a:rPr lang="en-US" sz="900" b="0" i="0" u="none" strike="noStrike">
                <a:solidFill>
                  <a:schemeClr val="accent4">
                    <a:lumMod val="20000"/>
                    <a:lumOff val="80000"/>
                  </a:schemeClr>
                </a:solidFill>
                <a:latin typeface="Arial"/>
                <a:ea typeface="+mn-ea"/>
                <a:cs typeface="Arial"/>
              </a:rPr>
              <a:pPr marL="0" indent="0" algn="ctr"/>
              <a:t> $981 </a:t>
            </a:fld>
            <a:endParaRPr lang="en-US" sz="900" b="0" i="0" u="none" strike="noStrike">
              <a:solidFill>
                <a:schemeClr val="accent4">
                  <a:lumMod val="20000"/>
                  <a:lumOff val="80000"/>
                </a:schemeClr>
              </a:solidFill>
              <a:latin typeface="Arial"/>
              <a:ea typeface="+mn-ea"/>
              <a:cs typeface="Arial"/>
            </a:endParaRPr>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872740" y="259080"/>
            <a:ext cx="92964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hu-HU" sz="1400" b="1" i="0" u="none" strike="noStrike">
                <a:solidFill>
                  <a:schemeClr val="accent4">
                    <a:lumMod val="20000"/>
                    <a:lumOff val="80000"/>
                  </a:schemeClr>
                </a:solidFill>
                <a:latin typeface="Arial"/>
                <a:ea typeface="+mn-ea"/>
                <a:cs typeface="Arial"/>
              </a:rPr>
              <a:t>Profit</a:t>
            </a:r>
          </a:p>
        </xdr:txBody>
      </xdr:sp>
    </xdr:grpSp>
    <xdr:clientData/>
  </xdr:twoCellAnchor>
  <xdr:twoCellAnchor>
    <xdr:from>
      <xdr:col>22</xdr:col>
      <xdr:colOff>381000</xdr:colOff>
      <xdr:row>1</xdr:row>
      <xdr:rowOff>15240</xdr:rowOff>
    </xdr:from>
    <xdr:to>
      <xdr:col>28</xdr:col>
      <xdr:colOff>304800</xdr:colOff>
      <xdr:row>5</xdr:row>
      <xdr:rowOff>190500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830291" y="105295"/>
          <a:ext cx="1988127" cy="867987"/>
          <a:chOff x="2804160" y="190500"/>
          <a:chExt cx="1988820" cy="876300"/>
        </a:xfrm>
        <a:solidFill>
          <a:schemeClr val="accent2"/>
        </a:solidFill>
      </xdr:grpSpPr>
      <xdr:sp macro="" textlink="">
        <xdr:nvSpPr>
          <xdr:cNvPr id="18" name="Rectangle 17">
            <a:extLst>
              <a:ext uri="{FF2B5EF4-FFF2-40B4-BE49-F238E27FC236}">
                <a16:creationId xmlns:a16="http://schemas.microsoft.com/office/drawing/2014/main" id="{00000000-0008-0000-0000-000012000000}"/>
              </a:ext>
            </a:extLst>
          </xdr:cNvPr>
          <xdr:cNvSpPr/>
        </xdr:nvSpPr>
        <xdr:spPr>
          <a:xfrm>
            <a:off x="2804160" y="190500"/>
            <a:ext cx="1988820" cy="8763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ulatiions1!P37">
        <xdr:nvSpPr>
          <xdr:cNvPr id="19" name="TextBox 18">
            <a:extLst>
              <a:ext uri="{FF2B5EF4-FFF2-40B4-BE49-F238E27FC236}">
                <a16:creationId xmlns:a16="http://schemas.microsoft.com/office/drawing/2014/main" id="{00000000-0008-0000-0000-000013000000}"/>
              </a:ext>
            </a:extLst>
          </xdr:cNvPr>
          <xdr:cNvSpPr txBox="1"/>
        </xdr:nvSpPr>
        <xdr:spPr>
          <a:xfrm>
            <a:off x="3345180" y="350520"/>
            <a:ext cx="1432560" cy="5943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82A5A5-2B3C-4F0A-8D9A-D6F81A6F6FFD}" type="TxLink">
              <a:rPr lang="en-US" sz="1600" b="0" i="0" u="none" strike="noStrike">
                <a:ln>
                  <a:noFill/>
                </a:ln>
                <a:solidFill>
                  <a:schemeClr val="accent4">
                    <a:lumMod val="20000"/>
                    <a:lumOff val="80000"/>
                  </a:schemeClr>
                </a:solidFill>
                <a:latin typeface="Arial"/>
                <a:cs typeface="Arial"/>
              </a:rPr>
              <a:pPr algn="ctr"/>
              <a:t> $95,902 </a:t>
            </a:fld>
            <a:endParaRPr lang="en-US" sz="1600">
              <a:ln>
                <a:noFill/>
              </a:ln>
              <a:solidFill>
                <a:schemeClr val="accent4">
                  <a:lumMod val="20000"/>
                  <a:lumOff val="80000"/>
                </a:schemeClr>
              </a:solidFill>
            </a:endParaRPr>
          </a:p>
        </xdr:txBody>
      </xdr:sp>
      <xdr:sp macro="" textlink="Calculatiions1!N49">
        <xdr:nvSpPr>
          <xdr:cNvPr id="20" name="TextBox 19">
            <a:extLst>
              <a:ext uri="{FF2B5EF4-FFF2-40B4-BE49-F238E27FC236}">
                <a16:creationId xmlns:a16="http://schemas.microsoft.com/office/drawing/2014/main" id="{00000000-0008-0000-0000-000014000000}"/>
              </a:ext>
            </a:extLst>
          </xdr:cNvPr>
          <xdr:cNvSpPr txBox="1"/>
        </xdr:nvSpPr>
        <xdr:spPr>
          <a:xfrm>
            <a:off x="3771900" y="876300"/>
            <a:ext cx="914400" cy="114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2CFB12-BD56-4A18-BC74-8A8F877F644B}" type="TxLink">
              <a:rPr lang="en-US" sz="900" b="0" i="0" u="none" strike="noStrike">
                <a:solidFill>
                  <a:schemeClr val="accent4">
                    <a:lumMod val="20000"/>
                    <a:lumOff val="80000"/>
                  </a:schemeClr>
                </a:solidFill>
                <a:latin typeface="Arial"/>
                <a:cs typeface="Arial"/>
              </a:rPr>
              <a:pPr algn="ctr"/>
              <a:t>Under Budget</a:t>
            </a:fld>
            <a:endParaRPr lang="en-US" sz="900">
              <a:solidFill>
                <a:schemeClr val="accent4">
                  <a:lumMod val="20000"/>
                  <a:lumOff val="80000"/>
                </a:schemeClr>
              </a:solidFill>
            </a:endParaRPr>
          </a:p>
        </xdr:txBody>
      </xdr:sp>
      <xdr:sp macro="" textlink="Calculatiions1!M49">
        <xdr:nvSpPr>
          <xdr:cNvPr id="21" name="TextBox 20">
            <a:extLst>
              <a:ext uri="{FF2B5EF4-FFF2-40B4-BE49-F238E27FC236}">
                <a16:creationId xmlns:a16="http://schemas.microsoft.com/office/drawing/2014/main" id="{00000000-0008-0000-0000-000015000000}"/>
              </a:ext>
            </a:extLst>
          </xdr:cNvPr>
          <xdr:cNvSpPr txBox="1"/>
        </xdr:nvSpPr>
        <xdr:spPr>
          <a:xfrm>
            <a:off x="3093720" y="853440"/>
            <a:ext cx="685800" cy="1600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CA5C8C-572C-4766-8BCF-9C881684B635}" type="TxLink">
              <a:rPr lang="en-US" sz="900" b="0" i="0" u="none" strike="noStrike">
                <a:solidFill>
                  <a:schemeClr val="accent4">
                    <a:lumMod val="20000"/>
                    <a:lumOff val="80000"/>
                  </a:schemeClr>
                </a:solidFill>
                <a:latin typeface="Arial"/>
                <a:cs typeface="Arial"/>
              </a:rPr>
              <a:pPr algn="ctr"/>
              <a:t> $(4,121)</a:t>
            </a:fld>
            <a:endParaRPr lang="en-US" sz="900">
              <a:solidFill>
                <a:schemeClr val="accent4">
                  <a:lumMod val="20000"/>
                  <a:lumOff val="80000"/>
                </a:schemeClr>
              </a:solidFill>
            </a:endParaRPr>
          </a:p>
        </xdr:txBody>
      </xdr:sp>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872740" y="259080"/>
            <a:ext cx="929640" cy="2895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hu-HU" sz="1400" b="1">
                <a:solidFill>
                  <a:schemeClr val="accent4">
                    <a:lumMod val="20000"/>
                    <a:lumOff val="80000"/>
                  </a:schemeClr>
                </a:solidFill>
              </a:rPr>
              <a:t>Cash</a:t>
            </a:r>
          </a:p>
        </xdr:txBody>
      </xdr:sp>
    </xdr:grpSp>
    <xdr:clientData/>
  </xdr:twoCellAnchor>
  <xdr:twoCellAnchor>
    <xdr:from>
      <xdr:col>4</xdr:col>
      <xdr:colOff>30480</xdr:colOff>
      <xdr:row>1</xdr:row>
      <xdr:rowOff>38100</xdr:rowOff>
    </xdr:from>
    <xdr:to>
      <xdr:col>8</xdr:col>
      <xdr:colOff>335280</xdr:colOff>
      <xdr:row>2</xdr:row>
      <xdr:rowOff>152400</xdr:rowOff>
    </xdr:to>
    <xdr:sp macro="" textlink="Calculatiions1!M37">
      <xdr:nvSpPr>
        <xdr:cNvPr id="9" name="TextBox 8">
          <a:extLst>
            <a:ext uri="{FF2B5EF4-FFF2-40B4-BE49-F238E27FC236}">
              <a16:creationId xmlns:a16="http://schemas.microsoft.com/office/drawing/2014/main" id="{00000000-0008-0000-0000-000009000000}"/>
            </a:ext>
          </a:extLst>
        </xdr:cNvPr>
        <xdr:cNvSpPr txBox="1"/>
      </xdr:nvSpPr>
      <xdr:spPr>
        <a:xfrm>
          <a:off x="541020" y="129540"/>
          <a:ext cx="1905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F52693-D940-4EC7-B456-E2C3C7083945}" type="TxLink">
            <a:rPr lang="en-US" sz="1400" b="1" i="0" u="none" strike="noStrike">
              <a:solidFill>
                <a:srgbClr val="201E50"/>
              </a:solidFill>
              <a:latin typeface="Arial"/>
              <a:cs typeface="Arial"/>
            </a:rPr>
            <a:pPr/>
            <a:t>Game Apps</a:t>
          </a:fld>
          <a:endParaRPr lang="en-US" sz="1400" b="1"/>
        </a:p>
      </xdr:txBody>
    </xdr:sp>
    <xdr:clientData/>
  </xdr:twoCellAnchor>
  <xdr:twoCellAnchor>
    <xdr:from>
      <xdr:col>6</xdr:col>
      <xdr:colOff>15240</xdr:colOff>
      <xdr:row>22</xdr:row>
      <xdr:rowOff>114300</xdr:rowOff>
    </xdr:from>
    <xdr:to>
      <xdr:col>17</xdr:col>
      <xdr:colOff>182880</xdr:colOff>
      <xdr:row>33</xdr:row>
      <xdr:rowOff>76200</xdr:rowOff>
    </xdr:to>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121920</xdr:colOff>
          <xdr:row>23</xdr:row>
          <xdr:rowOff>7620</xdr:rowOff>
        </xdr:from>
        <xdr:to>
          <xdr:col>5</xdr:col>
          <xdr:colOff>0</xdr:colOff>
          <xdr:row>26</xdr:row>
          <xdr:rowOff>15240</xdr:rowOff>
        </xdr:to>
        <xdr:sp macro="" textlink="">
          <xdr:nvSpPr>
            <xdr:cNvPr id="1029" name="List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xdr:colOff>
          <xdr:row>25</xdr:row>
          <xdr:rowOff>106680</xdr:rowOff>
        </xdr:from>
        <xdr:to>
          <xdr:col>4</xdr:col>
          <xdr:colOff>502920</xdr:colOff>
          <xdr:row>27</xdr:row>
          <xdr:rowOff>160020</xdr:rowOff>
        </xdr:to>
        <xdr:sp macro="" textlink="">
          <xdr:nvSpPr>
            <xdr:cNvPr id="1030" name="Option 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Top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xdr:colOff>
          <xdr:row>27</xdr:row>
          <xdr:rowOff>0</xdr:rowOff>
        </xdr:from>
        <xdr:to>
          <xdr:col>4</xdr:col>
          <xdr:colOff>502920</xdr:colOff>
          <xdr:row>29</xdr:row>
          <xdr:rowOff>53340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Bottom 6</a:t>
              </a:r>
            </a:p>
          </xdr:txBody>
        </xdr:sp>
        <xdr:clientData/>
      </xdr:twoCellAnchor>
    </mc:Choice>
    <mc:Fallback/>
  </mc:AlternateContent>
  <xdr:twoCellAnchor>
    <xdr:from>
      <xdr:col>1</xdr:col>
      <xdr:colOff>99060</xdr:colOff>
      <xdr:row>28</xdr:row>
      <xdr:rowOff>106680</xdr:rowOff>
    </xdr:from>
    <xdr:to>
      <xdr:col>6</xdr:col>
      <xdr:colOff>0</xdr:colOff>
      <xdr:row>32</xdr:row>
      <xdr:rowOff>106680</xdr:rowOff>
    </xdr:to>
    <xdr:sp macro="" textlink="Calculatiions1!AF12">
      <xdr:nvSpPr>
        <xdr:cNvPr id="10" name="TextBox 9">
          <a:extLst>
            <a:ext uri="{FF2B5EF4-FFF2-40B4-BE49-F238E27FC236}">
              <a16:creationId xmlns:a16="http://schemas.microsoft.com/office/drawing/2014/main" id="{00000000-0008-0000-0000-00000A000000}"/>
            </a:ext>
          </a:extLst>
        </xdr:cNvPr>
        <xdr:cNvSpPr txBox="1"/>
      </xdr:nvSpPr>
      <xdr:spPr>
        <a:xfrm>
          <a:off x="198120" y="4503420"/>
          <a:ext cx="123444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CF9F23-A143-4D50-8229-64A94374047F}" type="TxLink">
            <a:rPr lang="en-US" sz="1000" b="0" i="0" u="none" strike="noStrike">
              <a:solidFill>
                <a:srgbClr val="201E50"/>
              </a:solidFill>
              <a:latin typeface="Arial"/>
              <a:cs typeface="Arial"/>
            </a:rPr>
            <a:pPr/>
            <a:t>Bottom 6 Divisions Sorted Based on % Difference to Budget</a:t>
          </a:fld>
          <a:endParaRPr lang="en-US" sz="1000"/>
        </a:p>
      </xdr:txBody>
    </xdr:sp>
    <xdr:clientData/>
  </xdr:twoCellAnchor>
  <xdr:twoCellAnchor>
    <xdr:from>
      <xdr:col>1</xdr:col>
      <xdr:colOff>99060</xdr:colOff>
      <xdr:row>21</xdr:row>
      <xdr:rowOff>45720</xdr:rowOff>
    </xdr:from>
    <xdr:to>
      <xdr:col>17</xdr:col>
      <xdr:colOff>144780</xdr:colOff>
      <xdr:row>22</xdr:row>
      <xdr:rowOff>114300</xdr:rowOff>
    </xdr:to>
    <xdr:sp macro="" textlink="Calculatiions1!AF13">
      <xdr:nvSpPr>
        <xdr:cNvPr id="23" name="TextBox 22">
          <a:extLst>
            <a:ext uri="{FF2B5EF4-FFF2-40B4-BE49-F238E27FC236}">
              <a16:creationId xmlns:a16="http://schemas.microsoft.com/office/drawing/2014/main" id="{00000000-0008-0000-0000-000017000000}"/>
            </a:ext>
          </a:extLst>
        </xdr:cNvPr>
        <xdr:cNvSpPr txBox="1"/>
      </xdr:nvSpPr>
      <xdr:spPr>
        <a:xfrm>
          <a:off x="198120" y="3215640"/>
          <a:ext cx="4968240" cy="24384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8131559-80CF-43E2-A96B-1D3A4C7242F8}" type="TxLink">
            <a:rPr lang="en-US" sz="1200" b="1" i="0" u="none" strike="noStrike">
              <a:solidFill>
                <a:schemeClr val="accent4">
                  <a:lumMod val="20000"/>
                  <a:lumOff val="80000"/>
                </a:schemeClr>
              </a:solidFill>
              <a:latin typeface="Arial"/>
              <a:cs typeface="Arial"/>
            </a:rPr>
            <a:pPr algn="ctr"/>
            <a:t>Cash Actual vs Budget</a:t>
          </a:fld>
          <a:endParaRPr lang="en-US" sz="1200" b="1">
            <a:solidFill>
              <a:schemeClr val="accent4">
                <a:lumMod val="20000"/>
                <a:lumOff val="80000"/>
              </a:schemeClr>
            </a:solidFill>
          </a:endParaRPr>
        </a:p>
      </xdr:txBody>
    </xdr:sp>
    <xdr:clientData/>
  </xdr:twoCellAnchor>
  <xdr:twoCellAnchor>
    <xdr:from>
      <xdr:col>17</xdr:col>
      <xdr:colOff>137160</xdr:colOff>
      <xdr:row>22</xdr:row>
      <xdr:rowOff>83820</xdr:rowOff>
    </xdr:from>
    <xdr:to>
      <xdr:col>29</xdr:col>
      <xdr:colOff>0</xdr:colOff>
      <xdr:row>33</xdr:row>
      <xdr:rowOff>22860</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281940</xdr:colOff>
      <xdr:row>21</xdr:row>
      <xdr:rowOff>45720</xdr:rowOff>
    </xdr:from>
    <xdr:to>
      <xdr:col>25</xdr:col>
      <xdr:colOff>320040</xdr:colOff>
      <xdr:row>22</xdr:row>
      <xdr:rowOff>114300</xdr:rowOff>
    </xdr:to>
    <xdr:sp macro="" textlink="Calculatiions1!AQ10">
      <xdr:nvSpPr>
        <xdr:cNvPr id="30" name="TextBox 29">
          <a:extLst>
            <a:ext uri="{FF2B5EF4-FFF2-40B4-BE49-F238E27FC236}">
              <a16:creationId xmlns:a16="http://schemas.microsoft.com/office/drawing/2014/main" id="{00000000-0008-0000-0000-00001E000000}"/>
            </a:ext>
          </a:extLst>
        </xdr:cNvPr>
        <xdr:cNvSpPr txBox="1"/>
      </xdr:nvSpPr>
      <xdr:spPr>
        <a:xfrm>
          <a:off x="5303520" y="3215640"/>
          <a:ext cx="2598420" cy="24384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2DF529-22A9-4B8D-8567-759EB9A24D92}" type="TxLink">
            <a:rPr lang="en-US" sz="1200" b="1" i="0" u="none" strike="noStrike">
              <a:solidFill>
                <a:schemeClr val="accent4">
                  <a:lumMod val="20000"/>
                  <a:lumOff val="80000"/>
                </a:schemeClr>
              </a:solidFill>
              <a:latin typeface="Arial"/>
              <a:cs typeface="Arial"/>
            </a:rPr>
            <a:pPr algn="ctr"/>
            <a:t>Profit for Pes</a:t>
          </a:fld>
          <a:endParaRPr lang="en-US" sz="1200" b="1">
            <a:solidFill>
              <a:schemeClr val="accent4">
                <a:lumMod val="20000"/>
                <a:lumOff val="80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27</xdr:col>
          <xdr:colOff>342900</xdr:colOff>
          <xdr:row>30</xdr:row>
          <xdr:rowOff>38100</xdr:rowOff>
        </xdr:from>
        <xdr:to>
          <xdr:col>30</xdr:col>
          <xdr:colOff>106680</xdr:colOff>
          <xdr:row>32</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PY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358140</xdr:colOff>
          <xdr:row>28</xdr:row>
          <xdr:rowOff>144780</xdr:rowOff>
        </xdr:from>
        <xdr:to>
          <xdr:col>30</xdr:col>
          <xdr:colOff>121920</xdr:colOff>
          <xdr:row>30</xdr:row>
          <xdr:rowOff>137160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Budget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335280</xdr:colOff>
          <xdr:row>21</xdr:row>
          <xdr:rowOff>53340</xdr:rowOff>
        </xdr:from>
        <xdr:to>
          <xdr:col>30</xdr:col>
          <xdr:colOff>15240</xdr:colOff>
          <xdr:row>22</xdr:row>
          <xdr:rowOff>76200</xdr:rowOff>
        </xdr:to>
        <xdr:sp macro="" textlink="">
          <xdr:nvSpPr>
            <xdr:cNvPr id="1039" name="Scroll Bar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0.36</cdr:x>
      <cdr:y>0.91054</cdr:y>
    </cdr:from>
    <cdr:to>
      <cdr:x>0.6</cdr:x>
      <cdr:y>0.97785</cdr:y>
    </cdr:to>
    <cdr:pic>
      <cdr:nvPicPr>
        <cdr:cNvPr id="2" name="chart">
          <a:extLst xmlns:a="http://schemas.openxmlformats.org/drawingml/2006/main">
            <a:ext uri="{FF2B5EF4-FFF2-40B4-BE49-F238E27FC236}">
              <a16:creationId xmlns:a16="http://schemas.microsoft.com/office/drawing/2014/main" id="{AC73A824-AB6E-4AAE-B84B-E4F681EB842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45920" y="2345154"/>
          <a:ext cx="1097280" cy="173357"/>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388620</xdr:colOff>
      <xdr:row>10</xdr:row>
      <xdr:rowOff>60960</xdr:rowOff>
    </xdr:from>
    <xdr:to>
      <xdr:col>6</xdr:col>
      <xdr:colOff>99060</xdr:colOff>
      <xdr:row>22</xdr:row>
      <xdr:rowOff>167640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426720</xdr:colOff>
      <xdr:row>5</xdr:row>
      <xdr:rowOff>0</xdr:rowOff>
    </xdr:from>
    <xdr:to>
      <xdr:col>2</xdr:col>
      <xdr:colOff>541020</xdr:colOff>
      <xdr:row>10</xdr:row>
      <xdr:rowOff>144780</xdr:rowOff>
    </xdr:to>
    <mc:AlternateContent xmlns:mc="http://schemas.openxmlformats.org/markup-compatibility/2006" xmlns:a14="http://schemas.microsoft.com/office/drawing/2010/main">
      <mc:Choice Requires="a14">
        <xdr:graphicFrame macro="">
          <xdr:nvGraphicFramePr>
            <xdr:cNvPr id="3" name="Division">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426720" y="865909"/>
              <a:ext cx="1458191" cy="1010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487680</xdr:colOff>
      <xdr:row>23</xdr:row>
      <xdr:rowOff>137160</xdr:rowOff>
    </xdr:from>
    <xdr:to>
      <xdr:col>2</xdr:col>
      <xdr:colOff>414830</xdr:colOff>
      <xdr:row>26</xdr:row>
      <xdr:rowOff>7620</xdr:rowOff>
    </xdr:to>
    <xdr:sp macro="" textlink="Calculations2!N5">
      <xdr:nvSpPr>
        <xdr:cNvPr id="6" name="TextBox 5">
          <a:extLst>
            <a:ext uri="{FF2B5EF4-FFF2-40B4-BE49-F238E27FC236}">
              <a16:creationId xmlns:a16="http://schemas.microsoft.com/office/drawing/2014/main" id="{00000000-0008-0000-0100-000006000000}"/>
            </a:ext>
          </a:extLst>
        </xdr:cNvPr>
        <xdr:cNvSpPr txBox="1"/>
      </xdr:nvSpPr>
      <xdr:spPr>
        <a:xfrm>
          <a:off x="487680" y="4168140"/>
          <a:ext cx="126827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CA41FD4-B0AF-439E-9D59-5ADBDF3AF016}" type="TxLink">
            <a:rPr lang="en-US" sz="1600" b="1" i="0" u="none" strike="noStrike">
              <a:solidFill>
                <a:schemeClr val="bg1">
                  <a:lumMod val="50000"/>
                </a:schemeClr>
              </a:solidFill>
              <a:latin typeface="Arial"/>
              <a:cs typeface="Arial"/>
            </a:rPr>
            <a:pPr algn="l"/>
            <a:t> $162,644 </a:t>
          </a:fld>
          <a:endParaRPr lang="en-US" sz="1600" b="1">
            <a:solidFill>
              <a:schemeClr val="bg1">
                <a:lumMod val="50000"/>
              </a:schemeClr>
            </a:solidFill>
          </a:endParaRPr>
        </a:p>
      </xdr:txBody>
    </xdr:sp>
    <xdr:clientData/>
  </xdr:twoCellAnchor>
  <xdr:twoCellAnchor>
    <xdr:from>
      <xdr:col>2</xdr:col>
      <xdr:colOff>365760</xdr:colOff>
      <xdr:row>24</xdr:row>
      <xdr:rowOff>22860</xdr:rowOff>
    </xdr:from>
    <xdr:to>
      <xdr:col>4</xdr:col>
      <xdr:colOff>434340</xdr:colOff>
      <xdr:row>25</xdr:row>
      <xdr:rowOff>121920</xdr:rowOff>
    </xdr:to>
    <xdr:sp macro="" textlink="Calculations2!O5">
      <xdr:nvSpPr>
        <xdr:cNvPr id="7" name="TextBox 6">
          <a:extLst>
            <a:ext uri="{FF2B5EF4-FFF2-40B4-BE49-F238E27FC236}">
              <a16:creationId xmlns:a16="http://schemas.microsoft.com/office/drawing/2014/main" id="{00000000-0008-0000-0100-000007000000}"/>
            </a:ext>
          </a:extLst>
        </xdr:cNvPr>
        <xdr:cNvSpPr txBox="1"/>
      </xdr:nvSpPr>
      <xdr:spPr>
        <a:xfrm>
          <a:off x="1706880" y="4229100"/>
          <a:ext cx="14097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8BEF01-0549-4B54-BD6E-5C8DE8585B5D}" type="TxLink">
            <a:rPr lang="en-US" sz="1100" b="0" i="0" u="none" strike="noStrike">
              <a:solidFill>
                <a:schemeClr val="accent4">
                  <a:lumMod val="20000"/>
                  <a:lumOff val="80000"/>
                </a:schemeClr>
              </a:solidFill>
              <a:latin typeface="Arial"/>
              <a:cs typeface="Arial"/>
            </a:rPr>
            <a:pPr/>
            <a:t>Productivity Apps Sold</a:t>
          </a:fld>
          <a:endParaRPr lang="en-US" sz="1600" b="1">
            <a:solidFill>
              <a:schemeClr val="accent4">
                <a:lumMod val="20000"/>
                <a:lumOff val="80000"/>
              </a:schemeClr>
            </a:solidFill>
          </a:endParaRPr>
        </a:p>
      </xdr:txBody>
    </xdr:sp>
    <xdr:clientData/>
  </xdr:twoCellAnchor>
  <xdr:twoCellAnchor>
    <xdr:from>
      <xdr:col>0</xdr:col>
      <xdr:colOff>487680</xdr:colOff>
      <xdr:row>25</xdr:row>
      <xdr:rowOff>91440</xdr:rowOff>
    </xdr:from>
    <xdr:to>
      <xdr:col>4</xdr:col>
      <xdr:colOff>699654</xdr:colOff>
      <xdr:row>27</xdr:row>
      <xdr:rowOff>15240</xdr:rowOff>
    </xdr:to>
    <xdr:sp macro="" textlink="Calculations2!N6">
      <xdr:nvSpPr>
        <xdr:cNvPr id="8" name="TextBox 7">
          <a:extLst>
            <a:ext uri="{FF2B5EF4-FFF2-40B4-BE49-F238E27FC236}">
              <a16:creationId xmlns:a16="http://schemas.microsoft.com/office/drawing/2014/main" id="{00000000-0008-0000-0100-000008000000}"/>
            </a:ext>
          </a:extLst>
        </xdr:cNvPr>
        <xdr:cNvSpPr txBox="1"/>
      </xdr:nvSpPr>
      <xdr:spPr>
        <a:xfrm>
          <a:off x="487680" y="4420985"/>
          <a:ext cx="2899756"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0CE3B70-E153-447E-B761-90866D960294}" type="TxLink">
            <a:rPr lang="en-US" sz="1100" b="0" i="0" u="none" strike="noStrike">
              <a:solidFill>
                <a:schemeClr val="accent4">
                  <a:lumMod val="20000"/>
                  <a:lumOff val="80000"/>
                </a:schemeClr>
              </a:solidFill>
              <a:latin typeface="Arial"/>
              <a:cs typeface="Arial"/>
            </a:rPr>
            <a:pPr algn="l"/>
            <a:t>Europe sold the most Productivity Apps</a:t>
          </a:fld>
          <a:endParaRPr lang="en-US" sz="1600" b="1">
            <a:solidFill>
              <a:schemeClr val="accent4">
                <a:lumMod val="20000"/>
                <a:lumOff val="80000"/>
              </a:schemeClr>
            </a:solidFill>
          </a:endParaRPr>
        </a:p>
      </xdr:txBody>
    </xdr:sp>
    <xdr:clientData/>
  </xdr:twoCellAnchor>
  <xdr:twoCellAnchor>
    <xdr:from>
      <xdr:col>0</xdr:col>
      <xdr:colOff>487680</xdr:colOff>
      <xdr:row>27</xdr:row>
      <xdr:rowOff>7620</xdr:rowOff>
    </xdr:from>
    <xdr:to>
      <xdr:col>5</xdr:col>
      <xdr:colOff>145473</xdr:colOff>
      <xdr:row>28</xdr:row>
      <xdr:rowOff>106680</xdr:rowOff>
    </xdr:to>
    <xdr:sp macro="" textlink="Calculations2!N7">
      <xdr:nvSpPr>
        <xdr:cNvPr id="9" name="TextBox 8">
          <a:extLst>
            <a:ext uri="{FF2B5EF4-FFF2-40B4-BE49-F238E27FC236}">
              <a16:creationId xmlns:a16="http://schemas.microsoft.com/office/drawing/2014/main" id="{00000000-0008-0000-0100-000009000000}"/>
            </a:ext>
          </a:extLst>
        </xdr:cNvPr>
        <xdr:cNvSpPr txBox="1"/>
      </xdr:nvSpPr>
      <xdr:spPr>
        <a:xfrm>
          <a:off x="487680" y="4683529"/>
          <a:ext cx="3211484" cy="27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0137B18-3914-4307-916D-E19007BD7FC2}" type="TxLink">
            <a:rPr lang="en-US" sz="1100" b="0" i="0" u="none" strike="noStrike">
              <a:solidFill>
                <a:schemeClr val="accent4">
                  <a:lumMod val="20000"/>
                  <a:lumOff val="80000"/>
                </a:schemeClr>
              </a:solidFill>
              <a:latin typeface="Arial"/>
              <a:cs typeface="Arial"/>
            </a:rPr>
            <a:pPr algn="l"/>
            <a:t>South America sold the least Productivity Apps</a:t>
          </a:fld>
          <a:endParaRPr lang="en-US" sz="1600" b="1">
            <a:solidFill>
              <a:schemeClr val="accent4">
                <a:lumMod val="20000"/>
                <a:lumOff val="80000"/>
              </a:schemeClr>
            </a:solidFill>
          </a:endParaRPr>
        </a:p>
      </xdr:txBody>
    </xdr:sp>
    <xdr:clientData/>
  </xdr:twoCellAnchor>
  <xdr:twoCellAnchor editAs="oneCell">
    <xdr:from>
      <xdr:col>6</xdr:col>
      <xdr:colOff>967740</xdr:colOff>
      <xdr:row>16</xdr:row>
      <xdr:rowOff>106680</xdr:rowOff>
    </xdr:from>
    <xdr:to>
      <xdr:col>11</xdr:col>
      <xdr:colOff>769620</xdr:colOff>
      <xdr:row>21</xdr:row>
      <xdr:rowOff>114300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87636" y="2877589"/>
              <a:ext cx="3457402" cy="873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480060</xdr:colOff>
      <xdr:row>0</xdr:row>
      <xdr:rowOff>106680</xdr:rowOff>
    </xdr:from>
    <xdr:to>
      <xdr:col>3</xdr:col>
      <xdr:colOff>228600</xdr:colOff>
      <xdr:row>5</xdr:row>
      <xdr:rowOff>15240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80060" y="106680"/>
          <a:ext cx="1760220" cy="78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lumMod val="90000"/>
                </a:schemeClr>
              </a:solidFill>
              <a:latin typeface="Arial"/>
              <a:cs typeface="Arial"/>
            </a:rPr>
            <a:t>Revenues</a:t>
          </a:r>
          <a:endParaRPr lang="hu-HU" sz="2400" b="1" i="0" u="none" strike="noStrike">
            <a:solidFill>
              <a:schemeClr val="bg1">
                <a:lumMod val="90000"/>
              </a:schemeClr>
            </a:solidFill>
            <a:latin typeface="Arial"/>
            <a:cs typeface="Arial"/>
          </a:endParaRPr>
        </a:p>
        <a:p>
          <a:pPr algn="ctr"/>
          <a:r>
            <a:rPr lang="en-US" sz="1200" b="1" i="0" u="none" strike="noStrike">
              <a:solidFill>
                <a:schemeClr val="bg1">
                  <a:lumMod val="90000"/>
                </a:schemeClr>
              </a:solidFill>
              <a:latin typeface="Arial"/>
              <a:cs typeface="Arial"/>
            </a:rPr>
            <a:t> by </a:t>
          </a:r>
          <a:r>
            <a:rPr lang="hu-HU" sz="1200" b="1" i="0" u="none" strike="noStrike">
              <a:solidFill>
                <a:schemeClr val="bg1">
                  <a:lumMod val="90000"/>
                </a:schemeClr>
              </a:solidFill>
              <a:latin typeface="Arial"/>
              <a:cs typeface="Arial"/>
            </a:rPr>
            <a:t>Division</a:t>
          </a:r>
          <a:endParaRPr lang="en-US" sz="1200" b="1" i="0" u="none" strike="noStrike">
            <a:solidFill>
              <a:schemeClr val="bg1">
                <a:lumMod val="90000"/>
              </a:schemeClr>
            </a:solidFill>
            <a:latin typeface="Arial"/>
            <a:cs typeface="Arial"/>
          </a:endParaRPr>
        </a:p>
      </xdr:txBody>
    </xdr:sp>
    <xdr:clientData/>
  </xdr:twoCellAnchor>
  <xdr:twoCellAnchor>
    <xdr:from>
      <xdr:col>9</xdr:col>
      <xdr:colOff>228600</xdr:colOff>
      <xdr:row>0</xdr:row>
      <xdr:rowOff>106680</xdr:rowOff>
    </xdr:from>
    <xdr:to>
      <xdr:col>11</xdr:col>
      <xdr:colOff>647700</xdr:colOff>
      <xdr:row>5</xdr:row>
      <xdr:rowOff>15240</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591300" y="106680"/>
          <a:ext cx="1760220" cy="78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lumMod val="90000"/>
                </a:schemeClr>
              </a:solidFill>
              <a:latin typeface="Arial"/>
              <a:cs typeface="Arial"/>
            </a:rPr>
            <a:t>Revenues</a:t>
          </a:r>
          <a:endParaRPr lang="hu-HU" sz="2400" b="1" i="0" u="none" strike="noStrike">
            <a:solidFill>
              <a:schemeClr val="bg1">
                <a:lumMod val="90000"/>
              </a:schemeClr>
            </a:solidFill>
            <a:latin typeface="Arial"/>
            <a:cs typeface="Arial"/>
          </a:endParaRPr>
        </a:p>
        <a:p>
          <a:pPr algn="ctr"/>
          <a:r>
            <a:rPr lang="en-US" sz="1200" b="1" i="0" u="none" strike="noStrike">
              <a:solidFill>
                <a:schemeClr val="bg1">
                  <a:lumMod val="90000"/>
                </a:schemeClr>
              </a:solidFill>
              <a:latin typeface="Arial"/>
              <a:cs typeface="Arial"/>
            </a:rPr>
            <a:t> by Region</a:t>
          </a:r>
        </a:p>
      </xdr:txBody>
    </xdr:sp>
    <xdr:clientData/>
  </xdr:twoCellAnchor>
  <xdr:twoCellAnchor>
    <xdr:from>
      <xdr:col>6</xdr:col>
      <xdr:colOff>922020</xdr:colOff>
      <xdr:row>4</xdr:row>
      <xdr:rowOff>68580</xdr:rowOff>
    </xdr:from>
    <xdr:to>
      <xdr:col>14</xdr:col>
      <xdr:colOff>114300</xdr:colOff>
      <xdr:row>15</xdr:row>
      <xdr:rowOff>160020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723900</xdr:colOff>
          <xdr:row>22</xdr:row>
          <xdr:rowOff>7620</xdr:rowOff>
        </xdr:from>
        <xdr:to>
          <xdr:col>14</xdr:col>
          <xdr:colOff>38100</xdr:colOff>
          <xdr:row>28</xdr:row>
          <xdr:rowOff>15240</xdr:rowOff>
        </xdr:to>
        <xdr:pic>
          <xdr:nvPicPr>
            <xdr:cNvPr id="40" name="Picture 39">
              <a:extLst>
                <a:ext uri="{FF2B5EF4-FFF2-40B4-BE49-F238E27FC236}">
                  <a16:creationId xmlns:a16="http://schemas.microsoft.com/office/drawing/2014/main" id="{00000000-0008-0000-0100-000028000000}"/>
                </a:ext>
              </a:extLst>
            </xdr:cNvPr>
            <xdr:cNvPicPr>
              <a:picLocks noChangeAspect="1" noChangeArrowheads="1"/>
              <a:extLst>
                <a:ext uri="{84589F7E-364E-4C9E-8A38-B11213B215E9}">
                  <a14:cameraTool cellRange="Calculations2!$B$20:$F$25" spid="_x0000_s4127"/>
                </a:ext>
              </a:extLst>
            </xdr:cNvPicPr>
          </xdr:nvPicPr>
          <xdr:blipFill>
            <a:blip xmlns:r="http://schemas.openxmlformats.org/officeDocument/2006/relationships" r:embed="rId3"/>
            <a:srcRect/>
            <a:stretch>
              <a:fillRect/>
            </a:stretch>
          </xdr:blipFill>
          <xdr:spPr bwMode="auto">
            <a:xfrm>
              <a:off x="4945380" y="3863340"/>
              <a:ext cx="3581400" cy="1059180"/>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zter" refreshedDate="43595.732863773148" createdVersion="6" refreshedVersion="6" minRefreshableVersion="3" recordCount="30" xr:uid="{A258F89B-116D-4542-9279-340F8035C650}">
  <cacheSource type="worksheet">
    <worksheetSource name="RawData"/>
  </cacheSource>
  <cacheFields count="4">
    <cacheField name="Year" numFmtId="0">
      <sharedItems count="2">
        <s v="Current"/>
        <s v="PY"/>
      </sharedItems>
    </cacheField>
    <cacheField name="Division" numFmtId="0">
      <sharedItems count="3">
        <s v="Utility"/>
        <s v="Productivity"/>
        <s v="Game"/>
      </sharedItems>
    </cacheField>
    <cacheField name="Region" numFmtId="0">
      <sharedItems count="5">
        <s v="North America"/>
        <s v="South America"/>
        <s v="Asia"/>
        <s v="Europe"/>
        <s v="Australia"/>
      </sharedItems>
    </cacheField>
    <cacheField name="Revenue" numFmtId="0">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1260153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44196"/>
  </r>
  <r>
    <x v="0"/>
    <x v="0"/>
    <x v="1"/>
    <n v="20898"/>
  </r>
  <r>
    <x v="0"/>
    <x v="0"/>
    <x v="2"/>
    <n v="46994"/>
  </r>
  <r>
    <x v="0"/>
    <x v="0"/>
    <x v="3"/>
    <n v="43695"/>
  </r>
  <r>
    <x v="0"/>
    <x v="0"/>
    <x v="4"/>
    <n v="34196"/>
  </r>
  <r>
    <x v="0"/>
    <x v="1"/>
    <x v="0"/>
    <n v="34155"/>
  </r>
  <r>
    <x v="0"/>
    <x v="1"/>
    <x v="1"/>
    <n v="24396"/>
  </r>
  <r>
    <x v="0"/>
    <x v="1"/>
    <x v="2"/>
    <n v="29276"/>
  </r>
  <r>
    <x v="0"/>
    <x v="1"/>
    <x v="3"/>
    <n v="45540"/>
  </r>
  <r>
    <x v="0"/>
    <x v="1"/>
    <x v="4"/>
    <n v="29277"/>
  </r>
  <r>
    <x v="0"/>
    <x v="2"/>
    <x v="0"/>
    <n v="44675"/>
  </r>
  <r>
    <x v="0"/>
    <x v="2"/>
    <x v="1"/>
    <n v="42569"/>
  </r>
  <r>
    <x v="0"/>
    <x v="2"/>
    <x v="2"/>
    <n v="43784"/>
  </r>
  <r>
    <x v="0"/>
    <x v="2"/>
    <x v="3"/>
    <n v="46336"/>
  </r>
  <r>
    <x v="0"/>
    <x v="2"/>
    <x v="4"/>
    <n v="49656"/>
  </r>
  <r>
    <x v="1"/>
    <x v="0"/>
    <x v="0"/>
    <n v="24325"/>
  </r>
  <r>
    <x v="1"/>
    <x v="0"/>
    <x v="1"/>
    <n v="33681"/>
  </r>
  <r>
    <x v="1"/>
    <x v="0"/>
    <x v="2"/>
    <n v="39295"/>
  </r>
  <r>
    <x v="1"/>
    <x v="0"/>
    <x v="3"/>
    <n v="59878"/>
  </r>
  <r>
    <x v="1"/>
    <x v="0"/>
    <x v="4"/>
    <n v="29938"/>
  </r>
  <r>
    <x v="1"/>
    <x v="1"/>
    <x v="0"/>
    <n v="52311"/>
  </r>
  <r>
    <x v="1"/>
    <x v="1"/>
    <x v="1"/>
    <n v="31955"/>
  </r>
  <r>
    <x v="1"/>
    <x v="1"/>
    <x v="2"/>
    <n v="31955"/>
  </r>
  <r>
    <x v="1"/>
    <x v="1"/>
    <x v="3"/>
    <n v="31955"/>
  </r>
  <r>
    <x v="1"/>
    <x v="1"/>
    <x v="4"/>
    <n v="11598"/>
  </r>
  <r>
    <x v="1"/>
    <x v="2"/>
    <x v="0"/>
    <n v="53963"/>
  </r>
  <r>
    <x v="1"/>
    <x v="2"/>
    <x v="1"/>
    <n v="65965"/>
  </r>
  <r>
    <x v="1"/>
    <x v="2"/>
    <x v="2"/>
    <n v="19989"/>
  </r>
  <r>
    <x v="1"/>
    <x v="2"/>
    <x v="3"/>
    <n v="39979"/>
  </r>
  <r>
    <x v="1"/>
    <x v="2"/>
    <x v="4"/>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903C8E-D8AC-479B-AE57-DDF66EDDF490}" name="Pivot_Div" cacheId="0" applyNumberFormats="0" applyBorderFormats="0" applyFontFormats="0" applyPatternFormats="0" applyAlignmentFormats="0" applyWidthHeightFormats="1" dataCaption="Values" grandTotalCaption="Total" updatedVersion="6" minRefreshableVersion="3" colGrandTotals="0" itemPrintTitles="1" createdVersion="6" indent="0" showHeaders="0" compact="0" outline="1" outlineData="1" compactData="0" multipleFieldFilters="0">
  <location ref="B20:H25" firstHeaderRow="0" firstDataRow="2" firstDataCol="1"/>
  <pivotFields count="4">
    <pivotField axis="axisCol" compact="0" showAll="0">
      <items count="3">
        <item x="0"/>
        <item x="1"/>
        <item t="default"/>
      </items>
    </pivotField>
    <pivotField axis="axisRow" compact="0" showAll="0">
      <items count="4">
        <item x="2"/>
        <item x="1"/>
        <item x="0"/>
        <item t="default"/>
      </items>
    </pivotField>
    <pivotField compact="0" showAll="0">
      <items count="6">
        <item h="1" x="2"/>
        <item h="1" x="4"/>
        <item x="3"/>
        <item h="1" x="0"/>
        <item h="1" x="1"/>
        <item t="default"/>
      </items>
    </pivotField>
    <pivotField dataField="1" compact="0" showAll="0"/>
  </pivotFields>
  <rowFields count="1">
    <field x="1"/>
  </rowFields>
  <rowItems count="4">
    <i>
      <x/>
    </i>
    <i>
      <x v="1"/>
    </i>
    <i>
      <x v="2"/>
    </i>
    <i t="grand">
      <x/>
    </i>
  </rowItems>
  <colFields count="2">
    <field x="0"/>
    <field x="-2"/>
  </colFields>
  <colItems count="6">
    <i>
      <x/>
      <x/>
    </i>
    <i r="1" i="1">
      <x v="1"/>
    </i>
    <i r="1" i="2">
      <x v="2"/>
    </i>
    <i>
      <x v="1"/>
      <x/>
    </i>
    <i r="1" i="1">
      <x v="1"/>
    </i>
    <i r="1" i="2">
      <x v="2"/>
    </i>
  </colItems>
  <dataFields count="3">
    <dataField name=" Revenue" fld="3" baseField="0" baseItem="0" numFmtId="164"/>
    <dataField name="% Δ PY" fld="3" showDataAs="percentDiff" baseField="0" baseItem="1" numFmtId="10"/>
    <dataField name="   " fld="3" showDataAs="percentDiff" baseField="0" baseItem="1" numFmtId="10"/>
  </dataFields>
  <formats count="20">
    <format dxfId="19">
      <pivotArea outline="0" fieldPosition="0">
        <references count="2">
          <reference field="4294967294" count="1" selected="0">
            <x v="2"/>
          </reference>
          <reference field="0" count="1" selected="0">
            <x v="0"/>
          </reference>
        </references>
      </pivotArea>
    </format>
    <format dxfId="18">
      <pivotArea dataOnly="0" labelOnly="1" outline="0" fieldPosition="0">
        <references count="1">
          <reference field="0" count="1">
            <x v="0"/>
          </reference>
        </references>
      </pivotArea>
    </format>
    <format dxfId="17">
      <pivotArea type="all" dataOnly="0" outline="0" fieldPosition="0"/>
    </format>
    <format dxfId="16">
      <pivotArea outline="0" collapsedLevelsAreSubtotals="1" fieldPosition="0"/>
    </format>
    <format dxfId="15">
      <pivotArea dataOnly="0" labelOnly="1" outline="0" fieldPosition="0">
        <references count="1">
          <reference field="1" count="0"/>
        </references>
      </pivotArea>
    </format>
    <format dxfId="14">
      <pivotArea dataOnly="0" labelOnly="1" grandRow="1" outline="0" fieldPosition="0"/>
    </format>
    <format dxfId="13">
      <pivotArea dataOnly="0" labelOnly="1" outline="0" fieldPosition="0">
        <references count="1">
          <reference field="0" count="0"/>
        </references>
      </pivotArea>
    </format>
    <format dxfId="12">
      <pivotArea dataOnly="0" labelOnly="1" outline="0" fieldPosition="0">
        <references count="1">
          <reference field="1" count="0"/>
        </references>
      </pivotArea>
    </format>
    <format dxfId="11">
      <pivotArea outline="0" fieldPosition="0">
        <references count="2">
          <reference field="4294967294" count="1" selected="0">
            <x v="2"/>
          </reference>
          <reference field="0" count="1" selected="0">
            <x v="0"/>
          </reference>
        </references>
      </pivotArea>
    </format>
    <format dxfId="10">
      <pivotArea outline="0" fieldPosition="0">
        <references count="2">
          <reference field="4294967294" count="1" selected="0">
            <x v="1"/>
          </reference>
          <reference field="0" count="1" selected="0">
            <x v="0"/>
          </reference>
        </references>
      </pivotArea>
    </format>
    <format dxfId="9">
      <pivotArea outline="0" fieldPosition="0">
        <references count="2">
          <reference field="4294967294" count="3" selected="0">
            <x v="0"/>
            <x v="1"/>
            <x v="2"/>
          </reference>
          <reference field="0" count="1" selected="0">
            <x v="0"/>
          </reference>
        </references>
      </pivotArea>
    </format>
    <format dxfId="8">
      <pivotArea outline="0" fieldPosition="0">
        <references count="2">
          <reference field="4294967294" count="1" selected="0">
            <x v="0"/>
          </reference>
          <reference field="0" count="1" selected="0">
            <x v="1"/>
          </reference>
        </references>
      </pivotArea>
    </format>
    <format dxfId="7">
      <pivotArea dataOnly="0" labelOnly="1" outline="0" fieldPosition="0">
        <references count="1">
          <reference field="1" count="0"/>
        </references>
      </pivotArea>
    </format>
    <format dxfId="6">
      <pivotArea dataOnly="0" labelOnly="1" grandRow="1" outline="0" fieldPosition="0"/>
    </format>
    <format dxfId="5">
      <pivotArea dataOnly="0" labelOnly="1" outline="0" fieldPosition="0">
        <references count="1">
          <reference field="0" count="1">
            <x v="0"/>
          </reference>
        </references>
      </pivotArea>
    </format>
    <format dxfId="4">
      <pivotArea dataOnly="0" labelOnly="1" outline="0" fieldPosition="0">
        <references count="1">
          <reference field="0" count="1">
            <x v="1"/>
          </reference>
        </references>
      </pivotArea>
    </format>
    <format dxfId="3">
      <pivotArea type="all" dataOnly="0" outline="0" fieldPosition="0"/>
    </format>
    <format dxfId="2">
      <pivotArea fieldPosition="0">
        <references count="3">
          <reference field="4294967294" count="3" selected="0">
            <x v="0"/>
            <x v="1"/>
            <x v="2"/>
          </reference>
          <reference field="0" count="1" selected="0">
            <x v="0"/>
          </reference>
          <reference field="1" count="0"/>
        </references>
      </pivotArea>
    </format>
    <format dxfId="1">
      <pivotArea fieldPosition="0">
        <references count="3">
          <reference field="4294967294" count="1" selected="0">
            <x v="0"/>
          </reference>
          <reference field="0" count="1" selected="0">
            <x v="1"/>
          </reference>
          <reference field="1" count="0"/>
        </references>
      </pivotArea>
    </format>
    <format dxfId="0">
      <pivotArea dataOnly="0" labelOnly="1" outline="0" fieldPosition="0">
        <references count="1">
          <reference field="1" count="0"/>
        </references>
      </pivotArea>
    </format>
  </formats>
  <pivotTableStyleInfo name="PivotStyleMedium11 2"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data" priority="1" id="{63272A93-1FDE-4126-92B1-668F5DFE54A1}">
            <x14:pivotAreas count="1">
              <pivotArea outline="0" fieldPosition="0">
                <references count="1">
                  <reference field="4294967294" count="1" selected="0">
                    <x v="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66C99-32AD-4BB7-BCE1-03664236697B}" name="Pivot_chart" cacheId="0" applyNumberFormats="0" applyBorderFormats="0" applyFontFormats="0" applyPatternFormats="0" applyAlignmentFormats="0" applyWidthHeightFormats="1" dataCaption="Values" grandTotalCaption="Total" updatedVersion="6" minRefreshableVersion="3" colGrandTotals="0" itemPrintTitles="1" createdVersion="6" indent="0" showHeaders="0" compact="0" outline="1" outlineData="1" compactData="0" multipleFieldFilters="0" chartFormat="4">
  <location ref="N20:O24" firstHeaderRow="1" firstDataRow="1" firstDataCol="1" rowPageCount="1" colPageCount="1"/>
  <pivotFields count="4">
    <pivotField axis="axisPage" compact="0" showAll="0">
      <items count="3">
        <item x="0"/>
        <item x="1"/>
        <item t="default"/>
      </items>
    </pivotField>
    <pivotField axis="axisRow" compact="0" showAll="0">
      <items count="4">
        <item x="2"/>
        <item x="1"/>
        <item x="0"/>
        <item t="default"/>
      </items>
    </pivotField>
    <pivotField compact="0" showAll="0">
      <items count="6">
        <item h="1" x="2"/>
        <item h="1" x="4"/>
        <item x="3"/>
        <item h="1" x="0"/>
        <item h="1" x="1"/>
        <item t="default"/>
      </items>
    </pivotField>
    <pivotField dataField="1" compact="0" showAll="0"/>
  </pivotFields>
  <rowFields count="1">
    <field x="1"/>
  </rowFields>
  <rowItems count="4">
    <i>
      <x/>
    </i>
    <i>
      <x v="1"/>
    </i>
    <i>
      <x v="2"/>
    </i>
    <i t="grand">
      <x/>
    </i>
  </rowItems>
  <colItems count="1">
    <i/>
  </colItems>
  <pageFields count="1">
    <pageField fld="0" item="0" hier="-1"/>
  </pageFields>
  <dataFields count="1">
    <dataField name=" Revenue" fld="3" baseField="0" baseItem="0" numFmtId="164"/>
  </dataFields>
  <formats count="13">
    <format dxfId="32">
      <pivotArea dataOnly="0" labelOnly="1" outline="0" fieldPosition="0">
        <references count="1">
          <reference field="0" count="1">
            <x v="0"/>
          </reference>
        </references>
      </pivotArea>
    </format>
    <format dxfId="31">
      <pivotArea type="all" dataOnly="0" outline="0" fieldPosition="0"/>
    </format>
    <format dxfId="30">
      <pivotArea outline="0" collapsedLevelsAreSubtotals="1" fieldPosition="0"/>
    </format>
    <format dxfId="29">
      <pivotArea dataOnly="0" labelOnly="1" outline="0" fieldPosition="0">
        <references count="1">
          <reference field="1" count="0"/>
        </references>
      </pivotArea>
    </format>
    <format dxfId="28">
      <pivotArea dataOnly="0" labelOnly="1" grandRow="1" outline="0" fieldPosition="0"/>
    </format>
    <format dxfId="27">
      <pivotArea dataOnly="0" labelOnly="1" outline="0" fieldPosition="0">
        <references count="1">
          <reference field="0" count="0"/>
        </references>
      </pivotArea>
    </format>
    <format dxfId="26">
      <pivotArea dataOnly="0" labelOnly="1" outline="0" fieldPosition="0">
        <references count="1">
          <reference field="1" count="0"/>
        </references>
      </pivotArea>
    </format>
    <format dxfId="25">
      <pivotArea outline="0" fieldPosition="0">
        <references count="2">
          <reference field="4294967294" count="1" selected="0">
            <x v="0"/>
          </reference>
          <reference field="0" count="1" selected="0">
            <x v="0"/>
          </reference>
        </references>
      </pivotArea>
    </format>
    <format dxfId="24">
      <pivotArea outline="0" fieldPosition="0">
        <references count="2">
          <reference field="4294967294" count="1" selected="0">
            <x v="0"/>
          </reference>
          <reference field="0" count="1" selected="0">
            <x v="1"/>
          </reference>
        </references>
      </pivotArea>
    </format>
    <format dxfId="23">
      <pivotArea dataOnly="0" labelOnly="1" outline="0" fieldPosition="0">
        <references count="1">
          <reference field="1" count="0"/>
        </references>
      </pivotArea>
    </format>
    <format dxfId="22">
      <pivotArea dataOnly="0" labelOnly="1" grandRow="1" outline="0" fieldPosition="0"/>
    </format>
    <format dxfId="21">
      <pivotArea dataOnly="0" labelOnly="1" outline="0" fieldPosition="0">
        <references count="1">
          <reference field="0" count="1">
            <x v="0"/>
          </reference>
        </references>
      </pivotArea>
    </format>
    <format dxfId="20">
      <pivotArea dataOnly="0" labelOnly="1" outline="0" fieldPosition="0">
        <references count="1">
          <reference field="0" count="1">
            <x v="1"/>
          </reference>
        </references>
      </pivotArea>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1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386804-6BF2-4BF3-A51B-BDCF3097D9FB}" name="Pivot_Region" cacheId="0" applyNumberFormats="0" applyBorderFormats="0" applyFontFormats="0" applyPatternFormats="0" applyAlignmentFormats="0" applyWidthHeightFormats="1" dataCaption="Values" updatedVersion="6" minRefreshableVersion="3" rowGrandTotals="0" colGrandTotals="0" itemPrintTitles="1" createdVersion="6" indent="0" compact="0" outline="1" outlineData="1" compactData="0" multipleFieldFilters="0">
  <location ref="B5:B6" firstHeaderRow="1" firstDataRow="1" firstDataCol="1"/>
  <pivotFields count="4">
    <pivotField compact="0" showAll="0"/>
    <pivotField axis="axisRow" compact="0" showAll="0">
      <items count="4">
        <item h="1" x="2"/>
        <item x="1"/>
        <item h="1" x="0"/>
        <item t="default"/>
      </items>
    </pivotField>
    <pivotField compact="0" showAll="0"/>
    <pivotField compact="0" showAll="0"/>
  </pivotFields>
  <rowFields count="1">
    <field x="1"/>
  </rowFields>
  <rowItems count="1">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EC8784D6-EE50-4AA8-8FED-247A7C58B731}" sourceName="Division">
  <pivotTables>
    <pivotTable tabId="6" name="Pivot_Region"/>
  </pivotTables>
  <data>
    <tabular pivotCacheId="1260153361">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902D93-3C3F-47A9-8BC8-5C4E56A1AF82}" sourceName="Region">
  <pivotTables>
    <pivotTable tabId="6" name="Pivot_chart"/>
    <pivotTable tabId="6" name="Pivot_Div"/>
  </pivotTables>
  <data>
    <tabular pivotCacheId="1260153361">
      <items count="5">
        <i x="2"/>
        <i x="4"/>
        <i x="3"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CD0B18F-AB9C-4229-AD65-2B4177E18FFD}" cache="Slicer_Division" caption="Division" showCaption="0" rowHeight="234950"/>
  <slicer name="Region" xr10:uid="{5EFF8CAF-CEC8-4D63-BD61-026F6C02E575}" cache="Slicer_Region" caption="Region"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04AAC0-DCAA-4B88-A6BA-39E55F4F2AD7}" name="RawData" displayName="RawData" ref="A1:D31" totalsRowShown="0" headerRowDxfId="34">
  <autoFilter ref="A1:D31" xr:uid="{CB1CD9F4-5CFF-492A-A506-56C27124B0B4}"/>
  <tableColumns count="4">
    <tableColumn id="1" xr3:uid="{67139C95-797C-4EB1-8DE5-104FA74811BD}" name="Year"/>
    <tableColumn id="2" xr3:uid="{02004F1E-E5E8-42E3-84C0-5CAE0EC6B518}" name="Division"/>
    <tableColumn id="3" xr3:uid="{02796FE9-2A40-4E45-AD24-141A96B90B92}" name="Region"/>
    <tableColumn id="4" xr3:uid="{316EEBAC-7DAE-4E7C-8A7A-981A7CD17805}" name="Reven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Saját szinek">
      <a:dk1>
        <a:srgbClr val="201E50"/>
      </a:dk1>
      <a:lt1>
        <a:srgbClr val="E6EBEA"/>
      </a:lt1>
      <a:dk2>
        <a:srgbClr val="201E50"/>
      </a:dk2>
      <a:lt2>
        <a:srgbClr val="ECF3EC"/>
      </a:lt2>
      <a:accent1>
        <a:srgbClr val="201E50"/>
      </a:accent1>
      <a:accent2>
        <a:srgbClr val="9199B2"/>
      </a:accent2>
      <a:accent3>
        <a:srgbClr val="869D96"/>
      </a:accent3>
      <a:accent4>
        <a:srgbClr val="A2C3A4"/>
      </a:accent4>
      <a:accent5>
        <a:srgbClr val="D9F6D5"/>
      </a:accent5>
      <a:accent6>
        <a:srgbClr val="D9F6D5"/>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494F8-0DFF-4ED7-92E1-91583FACF307}">
  <sheetPr codeName="Sheet1">
    <pageSetUpPr fitToPage="1"/>
  </sheetPr>
  <dimension ref="A1:AE35"/>
  <sheetViews>
    <sheetView showGridLines="0" showRowColHeaders="0" tabSelected="1" zoomScale="110" zoomScaleNormal="110" workbookViewId="0">
      <selection activeCell="E12" sqref="E12"/>
    </sheetView>
  </sheetViews>
  <sheetFormatPr defaultColWidth="0" defaultRowHeight="13.8" zeroHeight="1" x14ac:dyDescent="0.25"/>
  <cols>
    <col min="1" max="1" width="1.296875" style="23" customWidth="1"/>
    <col min="2" max="2" width="1.796875" style="23" customWidth="1"/>
    <col min="3" max="3" width="0.296875" style="23" customWidth="1"/>
    <col min="4" max="4" width="3.296875" style="23" customWidth="1"/>
    <col min="5" max="5" width="11.796875" style="23" customWidth="1"/>
    <col min="6" max="6" width="0.296875" style="23" customWidth="1"/>
    <col min="7" max="7" width="8.59765625" style="45" customWidth="1"/>
    <col min="8" max="8" width="0.296875" style="23" customWidth="1"/>
    <col min="9" max="9" width="5.8984375" style="23" bestFit="1" customWidth="1"/>
    <col min="10" max="10" width="6.296875" style="23" customWidth="1"/>
    <col min="11" max="11" width="0.296875" style="23" customWidth="1"/>
    <col min="12" max="13" width="5.59765625" style="23" customWidth="1"/>
    <col min="14" max="14" width="0.296875" style="23" customWidth="1"/>
    <col min="15" max="15" width="7.8984375" style="23" customWidth="1"/>
    <col min="16" max="16" width="0.296875" style="23" customWidth="1"/>
    <col min="17" max="17" width="6" style="23" customWidth="1"/>
    <col min="18" max="18" width="6.09765625" style="23" customWidth="1"/>
    <col min="19" max="19" width="0.296875" style="23" customWidth="1"/>
    <col min="20" max="20" width="6.19921875" style="46" customWidth="1"/>
    <col min="21" max="21" width="6" style="49" customWidth="1"/>
    <col min="22" max="22" width="0.296875" style="23" customWidth="1"/>
    <col min="23" max="23" width="8.5" style="23" customWidth="1"/>
    <col min="24" max="24" width="0.296875" style="23" customWidth="1"/>
    <col min="25" max="25" width="5.8984375" style="23" bestFit="1" customWidth="1"/>
    <col min="26" max="26" width="6.09765625" style="23" customWidth="1"/>
    <col min="27" max="27" width="0.296875" style="23" customWidth="1"/>
    <col min="28" max="28" width="6" style="23" customWidth="1"/>
    <col min="29" max="29" width="5.8984375" style="23" customWidth="1"/>
    <col min="30" max="30" width="0.296875" style="23" customWidth="1"/>
    <col min="31" max="31" width="4.796875" style="23" customWidth="1"/>
    <col min="32" max="16384" width="8.796875" style="23" hidden="1"/>
  </cols>
  <sheetData>
    <row r="1" spans="3:30" ht="7.2" customHeight="1" x14ac:dyDescent="0.25"/>
    <row r="2" spans="3:30" x14ac:dyDescent="0.25"/>
    <row r="3" spans="3:30" x14ac:dyDescent="0.25"/>
    <row r="4" spans="3:30" x14ac:dyDescent="0.25">
      <c r="E4" s="23" t="s">
        <v>62</v>
      </c>
      <c r="G4" s="58">
        <v>2017</v>
      </c>
    </row>
    <row r="5" spans="3:30" x14ac:dyDescent="0.25">
      <c r="E5" s="23" t="s">
        <v>63</v>
      </c>
      <c r="G5" s="58" t="s">
        <v>10</v>
      </c>
    </row>
    <row r="6" spans="3:30" ht="18" customHeight="1" x14ac:dyDescent="0.25">
      <c r="E6" s="23" t="s">
        <v>64</v>
      </c>
    </row>
    <row r="7" spans="3:30" ht="6.6" customHeight="1" x14ac:dyDescent="0.25"/>
    <row r="8" spans="3:30" ht="1.95" customHeight="1" x14ac:dyDescent="0.25">
      <c r="C8" s="52"/>
      <c r="D8" s="52">
        <v>1</v>
      </c>
      <c r="E8" s="52"/>
      <c r="F8" s="52"/>
      <c r="G8" s="53"/>
      <c r="H8" s="52"/>
      <c r="I8" s="52"/>
      <c r="J8" s="52"/>
      <c r="K8" s="52"/>
      <c r="L8" s="52"/>
      <c r="M8" s="52"/>
      <c r="N8" s="52"/>
      <c r="O8" s="52"/>
      <c r="P8" s="52"/>
      <c r="Q8" s="52"/>
      <c r="R8" s="52"/>
      <c r="S8" s="52"/>
      <c r="T8" s="54"/>
      <c r="U8" s="55"/>
      <c r="V8" s="52"/>
      <c r="W8" s="52"/>
      <c r="X8" s="52"/>
      <c r="Y8" s="52"/>
      <c r="Z8" s="52"/>
      <c r="AA8" s="52"/>
      <c r="AB8" s="52"/>
      <c r="AC8" s="52"/>
      <c r="AD8" s="52"/>
    </row>
    <row r="9" spans="3:30" s="68" customFormat="1" ht="13.2" x14ac:dyDescent="0.25">
      <c r="C9" s="61"/>
      <c r="D9" s="62"/>
      <c r="E9" s="62"/>
      <c r="F9" s="61"/>
      <c r="G9" s="63" t="s">
        <v>16</v>
      </c>
      <c r="H9" s="64"/>
      <c r="I9" s="63"/>
      <c r="J9" s="63"/>
      <c r="K9" s="64"/>
      <c r="L9" s="63"/>
      <c r="M9" s="63"/>
      <c r="N9" s="61"/>
      <c r="O9" s="63" t="s">
        <v>17</v>
      </c>
      <c r="P9" s="64"/>
      <c r="Q9" s="65"/>
      <c r="R9" s="65"/>
      <c r="S9" s="64"/>
      <c r="T9" s="66"/>
      <c r="U9" s="67"/>
      <c r="V9" s="61"/>
      <c r="W9" s="63" t="s">
        <v>18</v>
      </c>
      <c r="X9" s="64"/>
      <c r="Y9" s="63"/>
      <c r="Z9" s="63"/>
      <c r="AA9" s="64"/>
      <c r="AB9" s="63"/>
      <c r="AC9" s="63"/>
      <c r="AD9" s="61"/>
    </row>
    <row r="10" spans="3:30" s="68" customFormat="1" x14ac:dyDescent="0.3">
      <c r="C10" s="61"/>
      <c r="D10" s="62"/>
      <c r="E10" s="62"/>
      <c r="F10" s="61"/>
      <c r="G10" s="85" t="s">
        <v>1</v>
      </c>
      <c r="I10" s="83" t="s">
        <v>101</v>
      </c>
      <c r="J10" s="83"/>
      <c r="K10" s="69"/>
      <c r="L10" s="84" t="s">
        <v>94</v>
      </c>
      <c r="M10" s="84"/>
      <c r="N10" s="70"/>
      <c r="O10" s="85" t="s">
        <v>1</v>
      </c>
      <c r="P10" s="69"/>
      <c r="Q10" s="83" t="s">
        <v>101</v>
      </c>
      <c r="R10" s="83"/>
      <c r="S10" s="69"/>
      <c r="T10" s="84" t="s">
        <v>94</v>
      </c>
      <c r="U10" s="84"/>
      <c r="V10" s="70"/>
      <c r="W10" s="85" t="s">
        <v>1</v>
      </c>
      <c r="X10" s="69"/>
      <c r="Y10" s="83" t="s">
        <v>101</v>
      </c>
      <c r="Z10" s="83"/>
      <c r="AA10" s="69"/>
      <c r="AB10" s="84" t="s">
        <v>94</v>
      </c>
      <c r="AC10" s="84"/>
      <c r="AD10" s="61"/>
    </row>
    <row r="11" spans="3:30" s="68" customFormat="1" ht="1.95" customHeight="1" x14ac:dyDescent="0.25">
      <c r="C11" s="61"/>
      <c r="D11" s="61" t="b">
        <v>1</v>
      </c>
      <c r="E11" s="61"/>
      <c r="F11" s="61"/>
      <c r="G11" s="71"/>
      <c r="H11" s="61"/>
      <c r="I11" s="61"/>
      <c r="J11" s="61"/>
      <c r="K11" s="61"/>
      <c r="L11" s="61"/>
      <c r="M11" s="61"/>
      <c r="N11" s="61"/>
      <c r="O11" s="61"/>
      <c r="P11" s="61"/>
      <c r="Q11" s="61"/>
      <c r="R11" s="61"/>
      <c r="S11" s="61"/>
      <c r="T11" s="72"/>
      <c r="U11" s="73"/>
      <c r="V11" s="61"/>
      <c r="W11" s="61"/>
      <c r="X11" s="61"/>
      <c r="Y11" s="61"/>
      <c r="Z11" s="61"/>
      <c r="AA11" s="61"/>
      <c r="AB11" s="61"/>
      <c r="AC11" s="61"/>
    </row>
    <row r="12" spans="3:30" s="68" customFormat="1" ht="13.2" x14ac:dyDescent="0.25">
      <c r="C12" s="61"/>
      <c r="D12" s="74">
        <f>INDEX(Calculatiions1!L16:L$35,Calculatiions1!$D$6)</f>
        <v>9</v>
      </c>
      <c r="E12" s="74" t="str">
        <f>INDEX(Calculatiions1!M16:M$35,Calculatiions1!$D$6)</f>
        <v>Twistrr</v>
      </c>
      <c r="F12" s="74"/>
      <c r="G12" s="75">
        <f>INDEX(Calculatiions1!N16:N$35,Calculatiions1!$D$6)</f>
        <v>27210.600000000002</v>
      </c>
      <c r="H12" s="61"/>
      <c r="I12" s="76">
        <f>INDEX(Calculatiions1!W16:W$35,Calculatiions1!$D$6)</f>
        <v>6.9246003678030868E-2</v>
      </c>
      <c r="J12" s="77">
        <f>+I12</f>
        <v>6.9246003678030868E-2</v>
      </c>
      <c r="K12" s="61"/>
      <c r="L12" s="76">
        <f>INDEX(Calculatiions1!Z16:Z$35,Calculatiions1!$D$6)</f>
        <v>0.12352285395763665</v>
      </c>
      <c r="M12" s="77">
        <f t="shared" ref="M12:M21" si="0">+L12</f>
        <v>0.12352285395763665</v>
      </c>
      <c r="N12" s="61"/>
      <c r="O12" s="75">
        <f>INDEX(Calculatiions1!O16:O$35,Calculatiions1!$D$6)</f>
        <v>2903.4</v>
      </c>
      <c r="P12" s="61"/>
      <c r="Q12" s="76">
        <f>INDEX(Calculatiions1!X16:X$35,Calculatiions1!$D$6)</f>
        <v>0.34416666666666673</v>
      </c>
      <c r="R12" s="77">
        <f>+Q12</f>
        <v>0.34416666666666673</v>
      </c>
      <c r="S12" s="61"/>
      <c r="T12" s="76">
        <f>INDEX(Calculatiions1!AA16:AA$35,Calculatiions1!$D$6)</f>
        <v>0.15214285714285719</v>
      </c>
      <c r="U12" s="78">
        <f>+T12</f>
        <v>0.15214285714285719</v>
      </c>
      <c r="V12" s="61"/>
      <c r="W12" s="75">
        <f>INDEX(Calculatiions1!P16:P$35,Calculatiions1!$D$6)</f>
        <v>10490.4</v>
      </c>
      <c r="X12" s="61"/>
      <c r="Y12" s="76">
        <f>INDEX(Calculatiions1!Y16:Y$35,Calculatiions1!$D$6)</f>
        <v>-6.1815840309079266E-2</v>
      </c>
      <c r="Z12" s="77">
        <f>+Y12</f>
        <v>-6.1815840309079266E-2</v>
      </c>
      <c r="AA12" s="61"/>
      <c r="AB12" s="76">
        <f>INDEX(Calculatiions1!AB16:AB$35,Calculatiions1!$D$6)</f>
        <v>3.0981067125645089E-3</v>
      </c>
      <c r="AC12" s="77">
        <f>+Z12</f>
        <v>-6.1815840309079266E-2</v>
      </c>
      <c r="AD12" s="61"/>
    </row>
    <row r="13" spans="3:30" s="68" customFormat="1" ht="13.2" x14ac:dyDescent="0.25">
      <c r="C13" s="61"/>
      <c r="D13" s="74">
        <f>INDEX(Calculatiions1!L17:L$35,Calculatiions1!$D$6)</f>
        <v>10</v>
      </c>
      <c r="E13" s="74" t="str">
        <f>INDEX(Calculatiions1!M17:M$35,Calculatiions1!$D$6)</f>
        <v>Hackrr</v>
      </c>
      <c r="F13" s="74"/>
      <c r="G13" s="79">
        <f>INDEX(Calculatiions1!N17:N$35,Calculatiions1!$D$6)</f>
        <v>18700.5</v>
      </c>
      <c r="H13" s="61"/>
      <c r="I13" s="80">
        <f>INDEX(Calculatiions1!W17:W$35,Calculatiions1!$D$6)</f>
        <v>1.2391996361982599E-2</v>
      </c>
      <c r="J13" s="81">
        <f t="shared" ref="J13:J21" si="1">+I13</f>
        <v>1.2391996361982599E-2</v>
      </c>
      <c r="K13" s="61"/>
      <c r="L13" s="80">
        <f>INDEX(Calculatiions1!Z17:Z$35,Calculatiions1!$D$6)</f>
        <v>-2.0998240985048485E-2</v>
      </c>
      <c r="M13" s="81">
        <f t="shared" si="0"/>
        <v>-2.0998240985048485E-2</v>
      </c>
      <c r="N13" s="61"/>
      <c r="O13" s="79">
        <f>INDEX(Calculatiions1!O17:O$35,Calculatiions1!$D$6)</f>
        <v>984.90000000000009</v>
      </c>
      <c r="P13" s="61"/>
      <c r="Q13" s="80">
        <f>INDEX(Calculatiions1!X17:X$35,Calculatiions1!$D$6)</f>
        <v>0.4841772151898735</v>
      </c>
      <c r="R13" s="81">
        <f t="shared" ref="R13:R21" si="2">+Q13</f>
        <v>0.4841772151898735</v>
      </c>
      <c r="S13" s="61"/>
      <c r="T13" s="80">
        <f>INDEX(Calculatiions1!AA17:AA$35,Calculatiions1!$D$6)</f>
        <v>-0.24354838709677412</v>
      </c>
      <c r="U13" s="82">
        <f t="shared" ref="U13:U21" si="3">+T13</f>
        <v>-0.24354838709677412</v>
      </c>
      <c r="V13" s="61"/>
      <c r="W13" s="79">
        <f>INDEX(Calculatiions1!P17:P$35,Calculatiions1!$D$6)</f>
        <v>12654.6</v>
      </c>
      <c r="X13" s="61"/>
      <c r="Y13" s="80">
        <f>INDEX(Calculatiions1!Y17:Y$35,Calculatiions1!$D$6)</f>
        <v>-3.5994240921452564E-2</v>
      </c>
      <c r="Z13" s="81">
        <f t="shared" ref="Z13:Z21" si="4">+Y13</f>
        <v>-3.5994240921452564E-2</v>
      </c>
      <c r="AA13" s="61"/>
      <c r="AB13" s="80">
        <f>INDEX(Calculatiions1!AB17:AB$35,Calculatiions1!$D$6)</f>
        <v>3.8249483115093103E-2</v>
      </c>
      <c r="AC13" s="81">
        <f t="shared" ref="AC13:AC21" si="5">+Z13</f>
        <v>-3.5994240921452564E-2</v>
      </c>
      <c r="AD13" s="61"/>
    </row>
    <row r="14" spans="3:30" s="68" customFormat="1" ht="13.2" x14ac:dyDescent="0.25">
      <c r="C14" s="61"/>
      <c r="D14" s="74">
        <f>INDEX(Calculatiions1!L18:L$35,Calculatiions1!$D$6)</f>
        <v>11</v>
      </c>
      <c r="E14" s="74" t="str">
        <f>INDEX(Calculatiions1!M18:M$35,Calculatiions1!$D$6)</f>
        <v>Pes</v>
      </c>
      <c r="F14" s="74"/>
      <c r="G14" s="75">
        <f>INDEX(Calculatiions1!N18:N$35,Calculatiions1!$D$6)</f>
        <v>45315.9</v>
      </c>
      <c r="H14" s="61"/>
      <c r="I14" s="76">
        <f>INDEX(Calculatiions1!W18:W$35,Calculatiions1!$D$6)</f>
        <v>4.3169293241806121E-2</v>
      </c>
      <c r="J14" s="77">
        <f t="shared" si="1"/>
        <v>4.3169293241806121E-2</v>
      </c>
      <c r="K14" s="61"/>
      <c r="L14" s="76">
        <f>INDEX(Calculatiions1!Z18:Z$35,Calculatiions1!$D$6)</f>
        <v>5.376501611485493E-2</v>
      </c>
      <c r="M14" s="77">
        <f t="shared" si="0"/>
        <v>5.376501611485493E-2</v>
      </c>
      <c r="N14" s="61"/>
      <c r="O14" s="75">
        <f>INDEX(Calculatiions1!O18:O$35,Calculatiions1!$D$6)</f>
        <v>1932</v>
      </c>
      <c r="P14" s="61"/>
      <c r="Q14" s="76">
        <f>INDEX(Calculatiions1!X18:X$35,Calculatiions1!$D$6)</f>
        <v>0.40888208269525272</v>
      </c>
      <c r="R14" s="77">
        <f t="shared" si="2"/>
        <v>0.40888208269525272</v>
      </c>
      <c r="S14" s="61"/>
      <c r="T14" s="76">
        <f>INDEX(Calculatiions1!AA18:AA$35,Calculatiions1!$D$6)</f>
        <v>0.3981762917933131</v>
      </c>
      <c r="U14" s="78">
        <f t="shared" si="3"/>
        <v>0.3981762917933131</v>
      </c>
      <c r="V14" s="61"/>
      <c r="W14" s="75">
        <f>INDEX(Calculatiions1!P18:P$35,Calculatiions1!$D$6)</f>
        <v>15668.1</v>
      </c>
      <c r="X14" s="61"/>
      <c r="Y14" s="76">
        <f>INDEX(Calculatiions1!Y18:Y$35,Calculatiions1!$D$6)</f>
        <v>-0.13133077191756903</v>
      </c>
      <c r="Z14" s="77">
        <f t="shared" si="4"/>
        <v>-0.13133077191756903</v>
      </c>
      <c r="AA14" s="61"/>
      <c r="AB14" s="76">
        <f>INDEX(Calculatiions1!AB18:AB$35,Calculatiions1!$D$6)</f>
        <v>-1.8547750591949509E-2</v>
      </c>
      <c r="AC14" s="77">
        <f t="shared" si="5"/>
        <v>-0.13133077191756903</v>
      </c>
      <c r="AD14" s="61"/>
    </row>
    <row r="15" spans="3:30" s="68" customFormat="1" ht="13.2" x14ac:dyDescent="0.25">
      <c r="C15" s="61"/>
      <c r="D15" s="74">
        <f>INDEX(Calculatiions1!L19:L$35,Calculatiions1!$D$6)</f>
        <v>13</v>
      </c>
      <c r="E15" s="74" t="str">
        <f>INDEX(Calculatiions1!M19:M$35,Calculatiions1!$D$6)</f>
        <v>Baden</v>
      </c>
      <c r="F15" s="74"/>
      <c r="G15" s="79">
        <f>INDEX(Calculatiions1!N19:N$35,Calculatiions1!$D$6)</f>
        <v>35980</v>
      </c>
      <c r="H15" s="61"/>
      <c r="I15" s="80">
        <f>INDEX(Calculatiions1!W19:W$35,Calculatiions1!$D$6)</f>
        <v>9.728575785300396E-2</v>
      </c>
      <c r="J15" s="81">
        <f t="shared" si="1"/>
        <v>9.728575785300396E-2</v>
      </c>
      <c r="K15" s="61"/>
      <c r="L15" s="80">
        <f>INDEX(Calculatiions1!Z19:Z$35,Calculatiions1!$D$6)</f>
        <v>-1.0505472746273583E-2</v>
      </c>
      <c r="M15" s="81">
        <f t="shared" si="0"/>
        <v>-1.0505472746273583E-2</v>
      </c>
      <c r="N15" s="61"/>
      <c r="O15" s="79">
        <f>INDEX(Calculatiions1!O19:O$35,Calculatiions1!$D$6)</f>
        <v>2332</v>
      </c>
      <c r="P15" s="61"/>
      <c r="Q15" s="80">
        <f>INDEX(Calculatiions1!X19:X$35,Calculatiions1!$D$6)</f>
        <v>0.16251246261216351</v>
      </c>
      <c r="R15" s="81">
        <f t="shared" si="2"/>
        <v>0.16251246261216351</v>
      </c>
      <c r="S15" s="61"/>
      <c r="T15" s="80">
        <f>INDEX(Calculatiions1!AA19:AA$35,Calculatiions1!$D$6)</f>
        <v>-4.6606704824202781E-2</v>
      </c>
      <c r="U15" s="82">
        <f t="shared" si="3"/>
        <v>-4.6606704824202781E-2</v>
      </c>
      <c r="V15" s="61"/>
      <c r="W15" s="79">
        <f>INDEX(Calculatiions1!P19:P$35,Calculatiions1!$D$6)</f>
        <v>14274</v>
      </c>
      <c r="X15" s="61"/>
      <c r="Y15" s="80">
        <f>INDEX(Calculatiions1!Y19:Y$35,Calculatiions1!$D$6)</f>
        <v>-3.8528896672504379E-2</v>
      </c>
      <c r="Z15" s="81">
        <f t="shared" si="4"/>
        <v>-3.8528896672504379E-2</v>
      </c>
      <c r="AA15" s="61"/>
      <c r="AB15" s="80">
        <f>INDEX(Calculatiions1!AB19:AB$35,Calculatiions1!$D$6)</f>
        <v>-0.12920937042459738</v>
      </c>
      <c r="AC15" s="81">
        <f t="shared" si="5"/>
        <v>-3.8528896672504379E-2</v>
      </c>
      <c r="AD15" s="61"/>
    </row>
    <row r="16" spans="3:30" s="68" customFormat="1" ht="13.2" x14ac:dyDescent="0.25">
      <c r="C16" s="61"/>
      <c r="D16" s="74">
        <f>INDEX(Calculatiions1!L20:L$35,Calculatiions1!$D$6)</f>
        <v>14</v>
      </c>
      <c r="E16" s="74" t="str">
        <f>INDEX(Calculatiions1!M20:M$35,Calculatiions1!$D$6)</f>
        <v>Jellyfish</v>
      </c>
      <c r="F16" s="74"/>
      <c r="G16" s="75">
        <f>INDEX(Calculatiions1!N20:N$35,Calculatiions1!$D$6)</f>
        <v>7657</v>
      </c>
      <c r="H16" s="61"/>
      <c r="I16" s="76">
        <f>INDEX(Calculatiions1!W20:W$35,Calculatiions1!$D$6)</f>
        <v>0.44281138119464858</v>
      </c>
      <c r="J16" s="77">
        <f t="shared" si="1"/>
        <v>0.44281138119464858</v>
      </c>
      <c r="K16" s="61"/>
      <c r="L16" s="76">
        <f>INDEX(Calculatiions1!Z20:Z$35,Calculatiions1!$D$6)</f>
        <v>0.19063909189861608</v>
      </c>
      <c r="M16" s="77">
        <f t="shared" si="0"/>
        <v>0.19063909189861608</v>
      </c>
      <c r="N16" s="61"/>
      <c r="O16" s="75">
        <f>INDEX(Calculatiions1!O20:O$35,Calculatiions1!$D$6)</f>
        <v>276</v>
      </c>
      <c r="P16" s="61"/>
      <c r="Q16" s="76">
        <f>INDEX(Calculatiions1!X20:X$35,Calculatiions1!$D$6)</f>
        <v>0.62352941176470589</v>
      </c>
      <c r="R16" s="77">
        <f t="shared" si="2"/>
        <v>0.62352941176470589</v>
      </c>
      <c r="S16" s="61"/>
      <c r="T16" s="76">
        <f>INDEX(Calculatiions1!AA20:AA$35,Calculatiions1!$D$6)</f>
        <v>0.54189944134078216</v>
      </c>
      <c r="U16" s="78">
        <f t="shared" si="3"/>
        <v>0.54189944134078216</v>
      </c>
      <c r="V16" s="61"/>
      <c r="W16" s="75">
        <f>INDEX(Calculatiions1!P20:P$35,Calculatiions1!$D$6)</f>
        <v>5353</v>
      </c>
      <c r="X16" s="61"/>
      <c r="Y16" s="76">
        <f>INDEX(Calculatiions1!Y20:Y$35,Calculatiions1!$D$6)</f>
        <v>0.13651804670912951</v>
      </c>
      <c r="Z16" s="77">
        <f t="shared" si="4"/>
        <v>0.13651804670912951</v>
      </c>
      <c r="AA16" s="61"/>
      <c r="AB16" s="76">
        <f>INDEX(Calculatiions1!AB20:AB$35,Calculatiions1!$D$6)</f>
        <v>3.1207859757272201E-2</v>
      </c>
      <c r="AC16" s="77">
        <f t="shared" si="5"/>
        <v>0.13651804670912951</v>
      </c>
      <c r="AD16" s="61"/>
    </row>
    <row r="17" spans="3:30" s="68" customFormat="1" ht="13.2" x14ac:dyDescent="0.25">
      <c r="C17" s="61"/>
      <c r="D17" s="74">
        <f>INDEX(Calculatiions1!L21:L$35,Calculatiions1!$D$6)</f>
        <v>15</v>
      </c>
      <c r="E17" s="74" t="str">
        <f>INDEX(Calculatiions1!M21:M$35,Calculatiions1!$D$6)</f>
        <v>Aviatrr</v>
      </c>
      <c r="F17" s="74"/>
      <c r="G17" s="79">
        <f>INDEX(Calculatiions1!N21:N$35,Calculatiions1!$D$6)</f>
        <v>8126</v>
      </c>
      <c r="H17" s="61"/>
      <c r="I17" s="80">
        <f>INDEX(Calculatiions1!W21:W$35,Calculatiions1!$D$6)</f>
        <v>-0.10811107452529908</v>
      </c>
      <c r="J17" s="81">
        <f t="shared" si="1"/>
        <v>-0.10811107452529908</v>
      </c>
      <c r="K17" s="61"/>
      <c r="L17" s="80">
        <f>INDEX(Calculatiions1!Z21:Z$35,Calculatiions1!$D$6)</f>
        <v>-5.9708400833140475E-2</v>
      </c>
      <c r="M17" s="81">
        <f t="shared" si="0"/>
        <v>-5.9708400833140475E-2</v>
      </c>
      <c r="N17" s="61"/>
      <c r="O17" s="79">
        <f>INDEX(Calculatiions1!O21:O$35,Calculatiions1!$D$6)</f>
        <v>321</v>
      </c>
      <c r="P17" s="61"/>
      <c r="Q17" s="80">
        <f>INDEX(Calculatiions1!X21:X$35,Calculatiions1!$D$6)</f>
        <v>-0.43386243386243384</v>
      </c>
      <c r="R17" s="81">
        <f t="shared" si="2"/>
        <v>-0.43386243386243384</v>
      </c>
      <c r="S17" s="61"/>
      <c r="T17" s="80">
        <f>INDEX(Calculatiions1!AA21:AA$35,Calculatiions1!$D$6)</f>
        <v>-0.42057761732851984</v>
      </c>
      <c r="U17" s="82">
        <f t="shared" si="3"/>
        <v>-0.42057761732851984</v>
      </c>
      <c r="V17" s="61"/>
      <c r="W17" s="79">
        <f>INDEX(Calculatiions1!P21:P$35,Calculatiions1!$D$6)</f>
        <v>6153</v>
      </c>
      <c r="X17" s="61"/>
      <c r="Y17" s="80">
        <f>INDEX(Calculatiions1!Y21:Y$35,Calculatiions1!$D$6)</f>
        <v>3.2555797952676623E-2</v>
      </c>
      <c r="Z17" s="81">
        <f t="shared" si="4"/>
        <v>3.2555797952676623E-2</v>
      </c>
      <c r="AA17" s="61"/>
      <c r="AB17" s="80">
        <f>INDEX(Calculatiions1!AB21:AB$35,Calculatiions1!$D$6)</f>
        <v>-0.16648604714169601</v>
      </c>
      <c r="AC17" s="81">
        <f t="shared" si="5"/>
        <v>3.2555797952676623E-2</v>
      </c>
      <c r="AD17" s="61"/>
    </row>
    <row r="18" spans="3:30" s="68" customFormat="1" ht="13.2" x14ac:dyDescent="0.25">
      <c r="C18" s="61"/>
      <c r="D18" s="74">
        <f>INDEX(Calculatiions1!L22:L$35,Calculatiions1!$D$6)</f>
        <v>16</v>
      </c>
      <c r="E18" s="74" t="str">
        <f>INDEX(Calculatiions1!M22:M$35,Calculatiions1!$D$6)</f>
        <v>deRamblr</v>
      </c>
      <c r="F18" s="74"/>
      <c r="G18" s="75">
        <f>INDEX(Calculatiions1!N22:N$35,Calculatiions1!$D$6)</f>
        <v>5272</v>
      </c>
      <c r="H18" s="61"/>
      <c r="I18" s="76">
        <f>INDEX(Calculatiions1!W22:W$35,Calculatiions1!$D$6)</f>
        <v>6.8504256181597084E-2</v>
      </c>
      <c r="J18" s="77">
        <f t="shared" si="1"/>
        <v>6.8504256181597084E-2</v>
      </c>
      <c r="K18" s="61"/>
      <c r="L18" s="76">
        <f>INDEX(Calculatiions1!Z22:Z$35,Calculatiions1!$D$6)</f>
        <v>0.10085612862810607</v>
      </c>
      <c r="M18" s="77">
        <f t="shared" si="0"/>
        <v>0.10085612862810607</v>
      </c>
      <c r="N18" s="61"/>
      <c r="O18" s="75">
        <f>INDEX(Calculatiions1!O22:O$35,Calculatiions1!$D$6)</f>
        <v>316</v>
      </c>
      <c r="P18" s="61"/>
      <c r="Q18" s="76">
        <f>INDEX(Calculatiions1!X22:X$35,Calculatiions1!$D$6)</f>
        <v>0.35622317596566522</v>
      </c>
      <c r="R18" s="77">
        <f t="shared" si="2"/>
        <v>0.35622317596566522</v>
      </c>
      <c r="S18" s="61"/>
      <c r="T18" s="76">
        <f>INDEX(Calculatiions1!AA22:AA$35,Calculatiions1!$D$6)</f>
        <v>0.4697674418604651</v>
      </c>
      <c r="U18" s="78">
        <f t="shared" si="3"/>
        <v>0.4697674418604651</v>
      </c>
      <c r="V18" s="61"/>
      <c r="W18" s="75">
        <f>INDEX(Calculatiions1!P22:P$35,Calculatiions1!$D$6)</f>
        <v>1207</v>
      </c>
      <c r="X18" s="61"/>
      <c r="Y18" s="76">
        <f>INDEX(Calculatiions1!Y22:Y$35,Calculatiions1!$D$6)</f>
        <v>-0.18720538720538721</v>
      </c>
      <c r="Z18" s="77">
        <f t="shared" si="4"/>
        <v>-0.18720538720538721</v>
      </c>
      <c r="AA18" s="61"/>
      <c r="AB18" s="76">
        <f>INDEX(Calculatiions1!AB22:AB$35,Calculatiions1!$D$6)</f>
        <v>-0.37654958677685951</v>
      </c>
      <c r="AC18" s="77">
        <f t="shared" si="5"/>
        <v>-0.18720538720538721</v>
      </c>
      <c r="AD18" s="61"/>
    </row>
    <row r="19" spans="3:30" s="68" customFormat="1" ht="13.2" x14ac:dyDescent="0.25">
      <c r="C19" s="61"/>
      <c r="D19" s="74">
        <f>INDEX(Calculatiions1!L23:L$35,Calculatiions1!$D$6)</f>
        <v>14</v>
      </c>
      <c r="E19" s="74" t="str">
        <f>INDEX(Calculatiions1!M23:M$35,Calculatiions1!$D$6)</f>
        <v>Arcade</v>
      </c>
      <c r="F19" s="74"/>
      <c r="G19" s="79">
        <f>INDEX(Calculatiions1!N23:N$35,Calculatiions1!$D$6)</f>
        <v>6375</v>
      </c>
      <c r="H19" s="61"/>
      <c r="I19" s="80">
        <f>INDEX(Calculatiions1!W23:W$35,Calculatiions1!$D$6)</f>
        <v>-8.2073434125269976E-2</v>
      </c>
      <c r="J19" s="81">
        <f t="shared" si="1"/>
        <v>-8.2073434125269976E-2</v>
      </c>
      <c r="K19" s="61"/>
      <c r="L19" s="80">
        <f>INDEX(Calculatiions1!Z23:Z$35,Calculatiions1!$D$6)</f>
        <v>0.10408728784205057</v>
      </c>
      <c r="M19" s="81">
        <f t="shared" si="0"/>
        <v>0.10408728784205057</v>
      </c>
      <c r="N19" s="61"/>
      <c r="O19" s="79">
        <f>INDEX(Calculatiions1!O23:O$35,Calculatiions1!$D$6)</f>
        <v>192</v>
      </c>
      <c r="P19" s="61"/>
      <c r="Q19" s="80">
        <f>INDEX(Calculatiions1!X23:X$35,Calculatiions1!$D$6)</f>
        <v>-0.37864077669902912</v>
      </c>
      <c r="R19" s="81">
        <f t="shared" si="2"/>
        <v>-0.37864077669902912</v>
      </c>
      <c r="S19" s="61"/>
      <c r="T19" s="80">
        <f>INDEX(Calculatiions1!AA23:AA$35,Calculatiions1!$D$6)</f>
        <v>-0.4514285714285714</v>
      </c>
      <c r="U19" s="82">
        <f t="shared" si="3"/>
        <v>-0.4514285714285714</v>
      </c>
      <c r="V19" s="61"/>
      <c r="W19" s="79">
        <f>INDEX(Calculatiions1!P23:P$35,Calculatiions1!$D$6)</f>
        <v>4741</v>
      </c>
      <c r="X19" s="61"/>
      <c r="Y19" s="80">
        <f>INDEX(Calculatiions1!Y23:Y$35,Calculatiions1!$D$6)</f>
        <v>-5.2936476228525771E-2</v>
      </c>
      <c r="Z19" s="81">
        <f t="shared" si="4"/>
        <v>-5.2936476228525771E-2</v>
      </c>
      <c r="AA19" s="61"/>
      <c r="AB19" s="80">
        <f>INDEX(Calculatiions1!AB23:AB$35,Calculatiions1!$D$6)</f>
        <v>6.6111985608275248E-2</v>
      </c>
      <c r="AC19" s="81">
        <f t="shared" si="5"/>
        <v>-5.2936476228525771E-2</v>
      </c>
      <c r="AD19" s="61"/>
    </row>
    <row r="20" spans="3:30" s="68" customFormat="1" ht="13.2" x14ac:dyDescent="0.25">
      <c r="C20" s="61"/>
      <c r="D20" s="74" t="str">
        <f>INDEX(Calculatiions1!L24:L$35,Calculatiions1!$D$6)</f>
        <v/>
      </c>
      <c r="E20" s="74" t="str">
        <f>INDEX(Calculatiions1!M24:M$35,Calculatiions1!$D$6)</f>
        <v/>
      </c>
      <c r="F20" s="74"/>
      <c r="G20" s="75" t="str">
        <f>INDEX(Calculatiions1!N24:N$35,Calculatiions1!$D$6)</f>
        <v/>
      </c>
      <c r="H20" s="61"/>
      <c r="I20" s="76" t="str">
        <f>INDEX(Calculatiions1!W24:W$35,Calculatiions1!$D$6)</f>
        <v/>
      </c>
      <c r="J20" s="77" t="str">
        <f t="shared" si="1"/>
        <v/>
      </c>
      <c r="K20" s="61"/>
      <c r="L20" s="76" t="str">
        <f>INDEX(Calculatiions1!Z24:Z$35,Calculatiions1!$D$6)</f>
        <v/>
      </c>
      <c r="M20" s="77" t="str">
        <f t="shared" si="0"/>
        <v/>
      </c>
      <c r="N20" s="61"/>
      <c r="O20" s="75" t="str">
        <f>INDEX(Calculatiions1!O24:O$35,Calculatiions1!$D$6)</f>
        <v/>
      </c>
      <c r="P20" s="61"/>
      <c r="Q20" s="76" t="str">
        <f>INDEX(Calculatiions1!X24:X$35,Calculatiions1!$D$6)</f>
        <v/>
      </c>
      <c r="R20" s="77" t="str">
        <f t="shared" si="2"/>
        <v/>
      </c>
      <c r="S20" s="61"/>
      <c r="T20" s="76" t="str">
        <f>INDEX(Calculatiions1!AA24:AA$35,Calculatiions1!$D$6)</f>
        <v/>
      </c>
      <c r="U20" s="78" t="str">
        <f t="shared" si="3"/>
        <v/>
      </c>
      <c r="V20" s="61"/>
      <c r="W20" s="75" t="str">
        <f>INDEX(Calculatiions1!P24:P$35,Calculatiions1!$D$6)</f>
        <v/>
      </c>
      <c r="X20" s="61"/>
      <c r="Y20" s="76" t="str">
        <f>INDEX(Calculatiions1!Y24:Y$35,Calculatiions1!$D$6)</f>
        <v/>
      </c>
      <c r="Z20" s="77" t="str">
        <f t="shared" si="4"/>
        <v/>
      </c>
      <c r="AA20" s="61"/>
      <c r="AB20" s="76" t="str">
        <f>INDEX(Calculatiions1!AB24:AB$35,Calculatiions1!$D$6)</f>
        <v/>
      </c>
      <c r="AC20" s="77" t="str">
        <f t="shared" si="5"/>
        <v/>
      </c>
      <c r="AD20" s="61"/>
    </row>
    <row r="21" spans="3:30" s="68" customFormat="1" ht="13.2" x14ac:dyDescent="0.25">
      <c r="C21" s="61"/>
      <c r="D21" s="74" t="str">
        <f>INDEX(Calculatiions1!L25:L$35,Calculatiions1!$D$6)</f>
        <v/>
      </c>
      <c r="E21" s="74" t="str">
        <f>INDEX(Calculatiions1!M25:M$35,Calculatiions1!$D$6)</f>
        <v/>
      </c>
      <c r="F21" s="74"/>
      <c r="G21" s="79" t="str">
        <f>INDEX(Calculatiions1!N25:N$35,Calculatiions1!$D$6)</f>
        <v/>
      </c>
      <c r="H21" s="61"/>
      <c r="I21" s="80" t="str">
        <f>INDEX(Calculatiions1!W25:W$35,Calculatiions1!$D$6)</f>
        <v/>
      </c>
      <c r="J21" s="81" t="str">
        <f t="shared" si="1"/>
        <v/>
      </c>
      <c r="K21" s="61"/>
      <c r="L21" s="80" t="str">
        <f>INDEX(Calculatiions1!Z25:Z$35,Calculatiions1!$D$6)</f>
        <v/>
      </c>
      <c r="M21" s="81" t="str">
        <f t="shared" si="0"/>
        <v/>
      </c>
      <c r="N21" s="61"/>
      <c r="O21" s="79" t="str">
        <f>INDEX(Calculatiions1!O25:O$35,Calculatiions1!$D$6)</f>
        <v/>
      </c>
      <c r="P21" s="61"/>
      <c r="Q21" s="80" t="str">
        <f>INDEX(Calculatiions1!X25:X$35,Calculatiions1!$D$6)</f>
        <v/>
      </c>
      <c r="R21" s="81" t="str">
        <f t="shared" si="2"/>
        <v/>
      </c>
      <c r="S21" s="61"/>
      <c r="T21" s="80" t="str">
        <f>INDEX(Calculatiions1!AA25:AA$35,Calculatiions1!$D$6)</f>
        <v/>
      </c>
      <c r="U21" s="82" t="str">
        <f t="shared" si="3"/>
        <v/>
      </c>
      <c r="V21" s="61"/>
      <c r="W21" s="79" t="str">
        <f>INDEX(Calculatiions1!P25:P$35,Calculatiions1!$D$6)</f>
        <v/>
      </c>
      <c r="X21" s="61"/>
      <c r="Y21" s="80" t="str">
        <f>INDEX(Calculatiions1!Y25:Y$35,Calculatiions1!$D$6)</f>
        <v/>
      </c>
      <c r="Z21" s="81" t="str">
        <f t="shared" si="4"/>
        <v/>
      </c>
      <c r="AA21" s="61"/>
      <c r="AB21" s="80" t="str">
        <f>INDEX(Calculatiions1!AB25:AB$35,Calculatiions1!$D$6)</f>
        <v/>
      </c>
      <c r="AC21" s="81" t="str">
        <f t="shared" si="5"/>
        <v/>
      </c>
      <c r="AD21" s="61"/>
    </row>
    <row r="22" spans="3:30" x14ac:dyDescent="0.25"/>
    <row r="23" spans="3:30" x14ac:dyDescent="0.25">
      <c r="G23" s="86"/>
    </row>
    <row r="24" spans="3:30" x14ac:dyDescent="0.25">
      <c r="G24" s="86"/>
    </row>
    <row r="25" spans="3:30" x14ac:dyDescent="0.25">
      <c r="G25" s="86"/>
    </row>
    <row r="26" spans="3:30" x14ac:dyDescent="0.25">
      <c r="G26" s="86"/>
    </row>
    <row r="27" spans="3:30" x14ac:dyDescent="0.25">
      <c r="G27" s="86"/>
    </row>
    <row r="28" spans="3:30" x14ac:dyDescent="0.25">
      <c r="G28" s="86"/>
    </row>
    <row r="29" spans="3:30" x14ac:dyDescent="0.25">
      <c r="G29" s="86"/>
    </row>
    <row r="30" spans="3:30" x14ac:dyDescent="0.25">
      <c r="G30" s="86"/>
    </row>
    <row r="31" spans="3:30" x14ac:dyDescent="0.25">
      <c r="G31" s="86"/>
    </row>
    <row r="32" spans="3:30" x14ac:dyDescent="0.25">
      <c r="G32" s="86"/>
    </row>
    <row r="33" spans="7:7" x14ac:dyDescent="0.25">
      <c r="G33" s="86"/>
    </row>
    <row r="34" spans="7:7" x14ac:dyDescent="0.25">
      <c r="G34" s="86"/>
    </row>
    <row r="35" spans="7:7" x14ac:dyDescent="0.25">
      <c r="G35" s="23"/>
    </row>
  </sheetData>
  <dataValidations count="1">
    <dataValidation type="textLength" operator="equal" allowBlank="1" showInputMessage="1" showErrorMessage="1" errorTitle="Year incorrect" error="Please input year as YYYY." promptTitle="Year" prompt="Please input year as YYYY." sqref="G4" xr:uid="{0E9DE9C2-9143-4525-B659-8B189BC358DE}">
      <formula1>4</formula1>
    </dataValidation>
  </dataValidations>
  <pageMargins left="0.7" right="0.7" top="0.75" bottom="0.75" header="0.3" footer="0.3"/>
  <pageSetup paperSize="9" scale="98" fitToHeight="0" orientation="landscape"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nchor moveWithCells="1">
                  <from>
                    <xdr:col>4</xdr:col>
                    <xdr:colOff>731520</xdr:colOff>
                    <xdr:row>5</xdr:row>
                    <xdr:rowOff>22860</xdr:rowOff>
                  </from>
                  <to>
                    <xdr:col>8</xdr:col>
                    <xdr:colOff>297180</xdr:colOff>
                    <xdr:row>6</xdr:row>
                    <xdr:rowOff>45720</xdr:rowOff>
                  </to>
                </anchor>
              </controlPr>
            </control>
          </mc:Choice>
        </mc:AlternateContent>
        <mc:AlternateContent xmlns:mc="http://schemas.openxmlformats.org/markup-compatibility/2006">
          <mc:Choice Requires="x14">
            <control shapeId="1026" r:id="rId5" name="Scroll Bar 2">
              <controlPr defaultSize="0" autoPict="0">
                <anchor moveWithCells="1">
                  <from>
                    <xdr:col>30</xdr:col>
                    <xdr:colOff>15240</xdr:colOff>
                    <xdr:row>9</xdr:row>
                    <xdr:rowOff>167640</xdr:rowOff>
                  </from>
                  <to>
                    <xdr:col>30</xdr:col>
                    <xdr:colOff>114300</xdr:colOff>
                    <xdr:row>21</xdr:row>
                    <xdr:rowOff>0</xdr:rowOff>
                  </to>
                </anchor>
              </controlPr>
            </control>
          </mc:Choice>
        </mc:AlternateContent>
        <mc:AlternateContent xmlns:mc="http://schemas.openxmlformats.org/markup-compatibility/2006">
          <mc:Choice Requires="x14">
            <control shapeId="1029" r:id="rId6" name="List Box 5">
              <controlPr defaultSize="0" autoLine="0" autoPict="0">
                <anchor moveWithCells="1">
                  <from>
                    <xdr:col>1</xdr:col>
                    <xdr:colOff>121920</xdr:colOff>
                    <xdr:row>23</xdr:row>
                    <xdr:rowOff>7620</xdr:rowOff>
                  </from>
                  <to>
                    <xdr:col>5</xdr:col>
                    <xdr:colOff>0</xdr:colOff>
                    <xdr:row>26</xdr:row>
                    <xdr:rowOff>15240</xdr:rowOff>
                  </to>
                </anchor>
              </controlPr>
            </control>
          </mc:Choice>
        </mc:AlternateContent>
        <mc:AlternateContent xmlns:mc="http://schemas.openxmlformats.org/markup-compatibility/2006">
          <mc:Choice Requires="x14">
            <control shapeId="1030" r:id="rId7" name="Option Button 6">
              <controlPr defaultSize="0" autoFill="0" autoLine="0" autoPict="0">
                <anchor moveWithCells="1">
                  <from>
                    <xdr:col>1</xdr:col>
                    <xdr:colOff>99060</xdr:colOff>
                    <xdr:row>25</xdr:row>
                    <xdr:rowOff>106680</xdr:rowOff>
                  </from>
                  <to>
                    <xdr:col>4</xdr:col>
                    <xdr:colOff>502920</xdr:colOff>
                    <xdr:row>27</xdr:row>
                    <xdr:rowOff>160020</xdr:rowOff>
                  </to>
                </anchor>
              </controlPr>
            </control>
          </mc:Choice>
        </mc:AlternateContent>
        <mc:AlternateContent xmlns:mc="http://schemas.openxmlformats.org/markup-compatibility/2006">
          <mc:Choice Requires="x14">
            <control shapeId="1031" r:id="rId8" name="Option Button 7">
              <controlPr defaultSize="0" autoFill="0" autoLine="0" autoPict="0">
                <anchor moveWithCells="1">
                  <from>
                    <xdr:col>1</xdr:col>
                    <xdr:colOff>99060</xdr:colOff>
                    <xdr:row>27</xdr:row>
                    <xdr:rowOff>0</xdr:rowOff>
                  </from>
                  <to>
                    <xdr:col>4</xdr:col>
                    <xdr:colOff>502920</xdr:colOff>
                    <xdr:row>29</xdr:row>
                    <xdr:rowOff>53340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27</xdr:col>
                    <xdr:colOff>342900</xdr:colOff>
                    <xdr:row>30</xdr:row>
                    <xdr:rowOff>38100</xdr:rowOff>
                  </from>
                  <to>
                    <xdr:col>30</xdr:col>
                    <xdr:colOff>106680</xdr:colOff>
                    <xdr:row>32</xdr:row>
                    <xdr:rowOff>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27</xdr:col>
                    <xdr:colOff>358140</xdr:colOff>
                    <xdr:row>28</xdr:row>
                    <xdr:rowOff>144780</xdr:rowOff>
                  </from>
                  <to>
                    <xdr:col>30</xdr:col>
                    <xdr:colOff>121920</xdr:colOff>
                    <xdr:row>30</xdr:row>
                    <xdr:rowOff>137160</xdr:rowOff>
                  </to>
                </anchor>
              </controlPr>
            </control>
          </mc:Choice>
        </mc:AlternateContent>
        <mc:AlternateContent xmlns:mc="http://schemas.openxmlformats.org/markup-compatibility/2006">
          <mc:Choice Requires="x14">
            <control shapeId="1039" r:id="rId11" name="Scroll Bar 15">
              <controlPr defaultSize="0" autoPict="0">
                <anchor moveWithCells="1">
                  <from>
                    <xdr:col>25</xdr:col>
                    <xdr:colOff>335280</xdr:colOff>
                    <xdr:row>21</xdr:row>
                    <xdr:rowOff>53340</xdr:rowOff>
                  </from>
                  <to>
                    <xdr:col>30</xdr:col>
                    <xdr:colOff>15240</xdr:colOff>
                    <xdr:row>22</xdr:row>
                    <xdr:rowOff>76200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priority="7" id="{F86D4525-B6B3-4371-8C0C-D75775FE76E3}">
            <x14:dataBar minLength="0" maxLength="100" showValue="0" gradient="0">
              <x14:cfvo type="num">
                <xm:f>Calculatiions1!$O$42</xm:f>
              </x14:cfvo>
              <x14:cfvo type="num">
                <xm:f>Calculatiions1!$O$43</xm:f>
              </x14:cfvo>
              <x14:fillColor theme="1"/>
              <x14:negativeFillColor theme="6"/>
              <x14:axisColor rgb="FF000000"/>
            </x14:dataBar>
          </x14:cfRule>
          <xm:sqref>J12:J21</xm:sqref>
        </x14:conditionalFormatting>
        <x14:conditionalFormatting xmlns:xm="http://schemas.microsoft.com/office/excel/2006/main">
          <x14:cfRule type="iconSet" priority="5" id="{704B3FE2-3556-40AB-A4DC-3CE66D588918}">
            <x14:iconSet iconSet="3Triangles" showValue="0" custom="1">
              <x14:cfvo type="percent">
                <xm:f>0</xm:f>
              </x14:cfvo>
              <x14:cfvo type="num">
                <xm:f>-0.05</xm:f>
              </x14:cfvo>
              <x14:cfvo type="num">
                <xm:f>0.05</xm:f>
              </x14:cfvo>
              <x14:cfIcon iconSet="3Triangles" iconId="0"/>
              <x14:cfIcon iconSet="NoIcons" iconId="0"/>
              <x14:cfIcon iconSet="3Triangles" iconId="2"/>
            </x14:iconSet>
          </x14:cfRule>
          <xm:sqref>M12:M21</xm:sqref>
        </x14:conditionalFormatting>
        <x14:conditionalFormatting xmlns:xm="http://schemas.microsoft.com/office/excel/2006/main">
          <x14:cfRule type="dataBar" priority="4" id="{AB882977-C677-483C-8E80-D58432B3A7C6}">
            <x14:dataBar minLength="0" maxLength="100" showValue="0" gradient="0">
              <x14:cfvo type="num">
                <xm:f>Calculatiions1!$P$42</xm:f>
              </x14:cfvo>
              <x14:cfvo type="num">
                <xm:f>Calculatiions1!$P$43</xm:f>
              </x14:cfvo>
              <x14:fillColor theme="1"/>
              <x14:negativeFillColor theme="6"/>
              <x14:axisColor rgb="FF000000"/>
            </x14:dataBar>
          </x14:cfRule>
          <xm:sqref>R12:R21</xm:sqref>
        </x14:conditionalFormatting>
        <x14:conditionalFormatting xmlns:xm="http://schemas.microsoft.com/office/excel/2006/main">
          <x14:cfRule type="iconSet" priority="3" id="{E527DC2C-CD40-4F26-9677-6829CE23D1E2}">
            <x14:iconSet iconSet="3Triangles" showValue="0" custom="1">
              <x14:cfvo type="percent">
                <xm:f>0</xm:f>
              </x14:cfvo>
              <x14:cfvo type="num">
                <xm:f>-0.05</xm:f>
              </x14:cfvo>
              <x14:cfvo type="num">
                <xm:f>0.05</xm:f>
              </x14:cfvo>
              <x14:cfIcon iconSet="3Triangles" iconId="0"/>
              <x14:cfIcon iconSet="NoIcons" iconId="0"/>
              <x14:cfIcon iconSet="3Triangles" iconId="2"/>
            </x14:iconSet>
          </x14:cfRule>
          <xm:sqref>U12:U21</xm:sqref>
        </x14:conditionalFormatting>
        <x14:conditionalFormatting xmlns:xm="http://schemas.microsoft.com/office/excel/2006/main">
          <x14:cfRule type="dataBar" priority="2" id="{8FEF4932-A27F-4047-B104-4C8C739FF8B8}">
            <x14:dataBar minLength="0" maxLength="100" showValue="0" gradient="0">
              <x14:cfvo type="num">
                <xm:f>Calculatiions1!$Q$42</xm:f>
              </x14:cfvo>
              <x14:cfvo type="num">
                <xm:f>Calculatiions1!$Q$43</xm:f>
              </x14:cfvo>
              <x14:fillColor theme="1"/>
              <x14:negativeFillColor theme="6"/>
              <x14:axisColor rgb="FF000000"/>
            </x14:dataBar>
          </x14:cfRule>
          <xm:sqref>Z12:Z21</xm:sqref>
        </x14:conditionalFormatting>
        <x14:conditionalFormatting xmlns:xm="http://schemas.microsoft.com/office/excel/2006/main">
          <x14:cfRule type="iconSet" priority="1" id="{590CCDE4-BE90-4C96-99D8-655E38754BA0}">
            <x14:iconSet iconSet="3Triangles" showValue="0" custom="1">
              <x14:cfvo type="percent">
                <xm:f>0</xm:f>
              </x14:cfvo>
              <x14:cfvo type="num">
                <xm:f>-0.05</xm:f>
              </x14:cfvo>
              <x14:cfvo type="num">
                <xm:f>0.05</xm:f>
              </x14:cfvo>
              <x14:cfIcon iconSet="3Triangles" iconId="0"/>
              <x14:cfIcon iconSet="NoIcons" iconId="0"/>
              <x14:cfIcon iconSet="3Triangles" iconId="2"/>
            </x14:iconSet>
          </x14:cfRule>
          <xm:sqref>AC12:AC21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Month" prompt="Please select a month from the drop-down." xr:uid="{2AD54B4F-F93B-42D2-AD5B-F577DD8E879B}">
          <x14:formula1>
            <xm:f>Calculatiions1!$B$16:$B$27</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8EBB-B070-4AAE-A25F-0E525839B313}">
  <sheetPr codeName="Sheet4">
    <pageSetUpPr fitToPage="1"/>
  </sheetPr>
  <dimension ref="A1:P30"/>
  <sheetViews>
    <sheetView showGridLines="0" showRowColHeaders="0" zoomScale="110" zoomScaleNormal="110" workbookViewId="0">
      <selection activeCell="F28" sqref="F28"/>
    </sheetView>
  </sheetViews>
  <sheetFormatPr defaultColWidth="0" defaultRowHeight="13.8" zeroHeight="1" x14ac:dyDescent="0.25"/>
  <cols>
    <col min="1" max="4" width="8.796875" customWidth="1"/>
    <col min="5" max="5" width="11.3984375" customWidth="1"/>
    <col min="6" max="6" width="8.796875" customWidth="1"/>
    <col min="7" max="7" width="10" customWidth="1"/>
    <col min="8" max="11" width="8.796875" customWidth="1"/>
    <col min="12" max="12" width="10.796875" customWidth="1"/>
    <col min="13" max="14" width="0" hidden="1" customWidth="1"/>
    <col min="15" max="15" width="10" customWidth="1"/>
    <col min="16" max="16" width="0" hidden="1" customWidth="1"/>
    <col min="17" max="16384" width="8.796875" hidden="1"/>
  </cols>
  <sheetData>
    <row r="1" spans="1:15" x14ac:dyDescent="0.25">
      <c r="A1" s="52"/>
      <c r="B1" s="52"/>
      <c r="C1" s="52"/>
      <c r="D1" s="52"/>
      <c r="E1" s="52"/>
      <c r="F1" s="52"/>
      <c r="G1" s="52"/>
      <c r="H1" s="52"/>
      <c r="I1" s="52"/>
      <c r="J1" s="52"/>
      <c r="K1" s="52"/>
      <c r="L1" s="52"/>
      <c r="M1" s="52"/>
      <c r="N1" s="52"/>
      <c r="O1" s="52"/>
    </row>
    <row r="2" spans="1:15" x14ac:dyDescent="0.25">
      <c r="A2" s="52"/>
      <c r="B2" s="52"/>
      <c r="C2" s="52"/>
      <c r="D2" s="52"/>
      <c r="E2" s="52"/>
      <c r="F2" s="52"/>
      <c r="G2" s="52"/>
      <c r="H2" s="52"/>
      <c r="I2" s="52"/>
      <c r="J2" s="52"/>
      <c r="K2" s="52"/>
      <c r="L2" s="52"/>
      <c r="M2" s="52"/>
      <c r="N2" s="52"/>
      <c r="O2" s="52"/>
    </row>
    <row r="3" spans="1:15" x14ac:dyDescent="0.25">
      <c r="A3" s="52"/>
      <c r="B3" s="52"/>
      <c r="C3" s="52"/>
      <c r="D3" s="52"/>
      <c r="E3" s="52"/>
      <c r="F3" s="52"/>
      <c r="G3" s="52"/>
      <c r="H3" s="52"/>
      <c r="I3" s="52"/>
      <c r="J3" s="52"/>
      <c r="K3" s="52"/>
      <c r="L3" s="52"/>
      <c r="M3" s="52"/>
      <c r="N3" s="52"/>
      <c r="O3" s="52"/>
    </row>
    <row r="4" spans="1:15" x14ac:dyDescent="0.25">
      <c r="A4" s="52"/>
      <c r="B4" s="52"/>
      <c r="C4" s="52"/>
      <c r="D4" s="52"/>
      <c r="E4" s="52"/>
      <c r="F4" s="52"/>
      <c r="G4" s="52"/>
      <c r="H4" s="52"/>
      <c r="I4" s="52"/>
      <c r="J4" s="52"/>
      <c r="K4" s="52"/>
      <c r="L4" s="52"/>
      <c r="M4" s="52"/>
      <c r="N4" s="52"/>
      <c r="O4" s="52"/>
    </row>
    <row r="5" spans="1:15" x14ac:dyDescent="0.25">
      <c r="A5" s="52"/>
      <c r="B5" s="52"/>
      <c r="C5" s="52"/>
      <c r="D5" s="52"/>
      <c r="E5" s="52"/>
      <c r="F5" s="52"/>
      <c r="G5" s="52"/>
      <c r="H5" s="52"/>
      <c r="I5" s="52"/>
      <c r="J5" s="52"/>
      <c r="K5" s="52"/>
      <c r="L5" s="52"/>
      <c r="M5" s="52"/>
      <c r="N5" s="52"/>
      <c r="O5" s="52"/>
    </row>
    <row r="6" spans="1:15" x14ac:dyDescent="0.25">
      <c r="A6" s="52"/>
      <c r="B6" s="52"/>
      <c r="C6" s="52"/>
      <c r="D6" s="52"/>
      <c r="E6" s="52"/>
      <c r="F6" s="52"/>
      <c r="G6" s="52"/>
      <c r="H6" s="52"/>
      <c r="I6" s="52"/>
      <c r="J6" s="52"/>
      <c r="K6" s="52"/>
      <c r="L6" s="52"/>
      <c r="M6" s="52"/>
      <c r="N6" s="52"/>
      <c r="O6" s="52"/>
    </row>
    <row r="7" spans="1:15" x14ac:dyDescent="0.25">
      <c r="A7" s="52"/>
      <c r="B7" s="52"/>
      <c r="C7" s="52"/>
      <c r="D7" s="52"/>
      <c r="E7" s="52"/>
      <c r="F7" s="52"/>
      <c r="G7" s="52"/>
      <c r="H7" s="52"/>
      <c r="I7" s="52"/>
      <c r="J7" s="52"/>
      <c r="K7" s="52"/>
      <c r="L7" s="52"/>
      <c r="M7" s="52"/>
      <c r="N7" s="52"/>
      <c r="O7" s="52"/>
    </row>
    <row r="8" spans="1:15" x14ac:dyDescent="0.25">
      <c r="A8" s="52"/>
      <c r="B8" s="52"/>
      <c r="C8" s="52"/>
      <c r="D8" s="3" t="str">
        <f>IF(COUNTA(Calculations2!$B$6:$B$8)&gt;1,"Please select only 1 Division."," ")</f>
        <v xml:space="preserve"> </v>
      </c>
      <c r="E8" s="52"/>
      <c r="F8" s="52"/>
      <c r="G8" s="52"/>
      <c r="H8" s="52"/>
      <c r="I8" s="52"/>
      <c r="J8" s="52"/>
      <c r="K8" s="52"/>
      <c r="L8" s="52"/>
      <c r="M8" s="52"/>
      <c r="N8" s="52"/>
      <c r="O8" s="52"/>
    </row>
    <row r="9" spans="1:15" x14ac:dyDescent="0.25">
      <c r="A9" s="52"/>
      <c r="B9" s="52"/>
      <c r="C9" s="52"/>
      <c r="D9" s="52" t="str">
        <f>IF(COUNTA(Calculations2!B6:B8&gt;1),"Please, select only one division.")</f>
        <v>Please, select only one division.</v>
      </c>
      <c r="E9" s="52"/>
      <c r="F9" s="52"/>
      <c r="G9" s="52"/>
      <c r="H9" s="52"/>
      <c r="I9" s="52"/>
      <c r="J9" s="52"/>
      <c r="K9" s="52"/>
      <c r="L9" s="52"/>
      <c r="M9" s="52"/>
      <c r="N9" s="52"/>
      <c r="O9" s="52"/>
    </row>
    <row r="10" spans="1:15" x14ac:dyDescent="0.25">
      <c r="A10" s="52"/>
      <c r="B10" s="52"/>
      <c r="C10" s="52"/>
      <c r="D10" s="52"/>
      <c r="E10" s="52"/>
      <c r="F10" s="52"/>
      <c r="G10" s="52"/>
      <c r="H10" s="52"/>
      <c r="I10" s="52"/>
      <c r="J10" s="52"/>
      <c r="K10" s="52"/>
      <c r="L10" s="52"/>
      <c r="M10" s="52"/>
      <c r="N10" s="52"/>
      <c r="O10" s="52"/>
    </row>
    <row r="11" spans="1:15" x14ac:dyDescent="0.25">
      <c r="A11" s="52"/>
      <c r="B11" s="52"/>
      <c r="C11" s="52"/>
      <c r="D11" s="52"/>
      <c r="E11" s="52"/>
      <c r="F11" s="52"/>
      <c r="G11" s="52"/>
      <c r="H11" s="52"/>
      <c r="I11" s="52"/>
      <c r="J11" s="52"/>
      <c r="K11" s="52"/>
      <c r="L11" s="52"/>
      <c r="M11" s="52"/>
      <c r="N11" s="52"/>
      <c r="O11" s="52"/>
    </row>
    <row r="12" spans="1:15" x14ac:dyDescent="0.25">
      <c r="A12" s="52"/>
      <c r="B12" s="52"/>
      <c r="C12" s="52"/>
      <c r="D12" s="52"/>
      <c r="E12" s="52"/>
      <c r="F12" s="52"/>
      <c r="G12" s="52"/>
      <c r="H12" s="52"/>
      <c r="I12" s="52"/>
      <c r="J12" s="52"/>
      <c r="K12" s="52"/>
      <c r="L12" s="52"/>
      <c r="M12" s="52"/>
      <c r="N12" s="52"/>
      <c r="O12" s="52"/>
    </row>
    <row r="13" spans="1:15" x14ac:dyDescent="0.25">
      <c r="A13" s="52"/>
      <c r="B13" s="52"/>
      <c r="C13" s="52"/>
      <c r="D13" s="52"/>
      <c r="E13" s="52"/>
      <c r="F13" s="52"/>
      <c r="G13" s="52"/>
      <c r="H13" s="52"/>
      <c r="I13" s="52"/>
      <c r="J13" s="52"/>
      <c r="K13" s="52"/>
      <c r="L13" s="52"/>
      <c r="M13" s="52"/>
      <c r="N13" s="52"/>
      <c r="O13" s="52"/>
    </row>
    <row r="14" spans="1:15" x14ac:dyDescent="0.25">
      <c r="A14" s="52"/>
      <c r="B14" s="52"/>
      <c r="C14" s="52"/>
      <c r="D14" s="52"/>
      <c r="E14" s="52"/>
      <c r="F14" s="52"/>
      <c r="G14" s="52"/>
      <c r="H14" s="52"/>
      <c r="I14" s="52"/>
      <c r="J14" s="52"/>
      <c r="K14" s="52"/>
      <c r="L14" s="52"/>
      <c r="M14" s="52"/>
      <c r="N14" s="52"/>
      <c r="O14" s="52"/>
    </row>
    <row r="15" spans="1:15" x14ac:dyDescent="0.25">
      <c r="A15" s="52"/>
      <c r="B15" s="52"/>
      <c r="C15" s="52"/>
      <c r="D15" s="52"/>
      <c r="E15" s="52"/>
      <c r="F15" s="52"/>
      <c r="G15" s="52"/>
      <c r="H15" s="52"/>
      <c r="I15" s="52"/>
      <c r="J15" s="52"/>
      <c r="K15" s="52"/>
      <c r="L15" s="52"/>
      <c r="M15" s="52"/>
      <c r="N15" s="52"/>
      <c r="O15" s="52"/>
    </row>
    <row r="16" spans="1:15" x14ac:dyDescent="0.25">
      <c r="A16" s="52"/>
      <c r="B16" s="52"/>
      <c r="C16" s="52"/>
      <c r="D16" s="52"/>
      <c r="E16" s="52"/>
      <c r="F16" s="52"/>
      <c r="G16" s="52"/>
      <c r="H16" s="52">
        <v>0</v>
      </c>
      <c r="I16" s="52"/>
      <c r="J16" s="52"/>
      <c r="K16" s="52"/>
      <c r="L16" s="52"/>
      <c r="M16" s="52"/>
      <c r="N16" s="52"/>
      <c r="O16" s="52"/>
    </row>
    <row r="17" spans="1:15" x14ac:dyDescent="0.25">
      <c r="A17" s="52"/>
      <c r="B17" s="52"/>
      <c r="C17" s="52"/>
      <c r="D17" s="52"/>
      <c r="E17" s="52"/>
      <c r="F17" s="52"/>
      <c r="G17" s="52"/>
      <c r="H17" s="52"/>
      <c r="I17" s="52"/>
      <c r="J17" s="52"/>
      <c r="K17" s="52"/>
      <c r="L17" s="52"/>
      <c r="M17" s="52"/>
      <c r="N17" s="52"/>
      <c r="O17" s="52"/>
    </row>
    <row r="18" spans="1:15" x14ac:dyDescent="0.25">
      <c r="A18" s="52"/>
      <c r="B18" s="52"/>
      <c r="C18" s="52"/>
      <c r="D18" s="52"/>
      <c r="E18" s="52"/>
      <c r="F18" s="52"/>
      <c r="G18" s="52"/>
      <c r="H18" s="52"/>
      <c r="I18" s="52"/>
      <c r="J18" s="52"/>
      <c r="K18" s="52"/>
      <c r="L18" s="52"/>
      <c r="M18" s="52"/>
      <c r="N18" s="52"/>
      <c r="O18" s="52"/>
    </row>
    <row r="19" spans="1:15" x14ac:dyDescent="0.25">
      <c r="A19" s="52"/>
      <c r="B19" s="52"/>
      <c r="C19" s="52"/>
      <c r="D19" s="52"/>
      <c r="E19" s="52"/>
      <c r="F19" s="52"/>
      <c r="G19" s="52"/>
      <c r="H19" s="52"/>
      <c r="I19" s="52"/>
      <c r="J19" s="52"/>
      <c r="K19" s="52"/>
      <c r="L19" s="52"/>
      <c r="M19" s="52"/>
      <c r="N19" s="52"/>
      <c r="O19" s="52"/>
    </row>
    <row r="20" spans="1:15" x14ac:dyDescent="0.25">
      <c r="A20" s="52"/>
      <c r="B20" s="52"/>
      <c r="C20" s="52"/>
      <c r="D20" s="52"/>
      <c r="E20" s="52"/>
      <c r="F20" s="52"/>
      <c r="G20" s="52"/>
      <c r="H20" s="52"/>
      <c r="I20" s="52"/>
      <c r="J20" s="52"/>
      <c r="K20" s="52"/>
      <c r="L20" s="52"/>
      <c r="M20" s="52"/>
      <c r="N20" s="52"/>
      <c r="O20" s="52"/>
    </row>
    <row r="21" spans="1:15" x14ac:dyDescent="0.25">
      <c r="A21" s="52"/>
      <c r="B21" s="52"/>
      <c r="C21" s="52"/>
      <c r="D21" s="52"/>
      <c r="E21" s="52"/>
      <c r="F21" s="52"/>
      <c r="G21" s="52"/>
      <c r="H21" s="52"/>
      <c r="I21" s="52"/>
      <c r="J21" s="52"/>
      <c r="K21" s="52"/>
      <c r="L21" s="52"/>
      <c r="O21" s="52"/>
    </row>
    <row r="22" spans="1:15" x14ac:dyDescent="0.25">
      <c r="A22" s="52"/>
      <c r="B22" s="52"/>
      <c r="C22" s="52"/>
      <c r="D22" s="52"/>
      <c r="E22" s="52"/>
      <c r="F22" s="52"/>
      <c r="G22" s="52"/>
      <c r="H22" s="52"/>
      <c r="I22" s="52"/>
      <c r="J22" s="52"/>
      <c r="K22" s="52"/>
      <c r="L22" s="52"/>
      <c r="O22" s="52"/>
    </row>
    <row r="23" spans="1:15" x14ac:dyDescent="0.25">
      <c r="A23" s="52"/>
      <c r="B23" s="52"/>
      <c r="C23" s="52"/>
      <c r="D23" s="52"/>
      <c r="E23" s="52"/>
      <c r="F23" s="52"/>
      <c r="G23" s="52"/>
      <c r="H23" s="52"/>
      <c r="I23" s="52"/>
      <c r="J23" s="52"/>
      <c r="K23" s="52"/>
      <c r="L23" s="52"/>
      <c r="O23" s="52"/>
    </row>
    <row r="24" spans="1:15" x14ac:dyDescent="0.25">
      <c r="A24" s="52"/>
      <c r="B24" s="52"/>
      <c r="C24" s="52"/>
      <c r="D24" s="52"/>
      <c r="E24" s="52"/>
      <c r="F24" s="52"/>
      <c r="G24" s="52"/>
      <c r="H24" s="52"/>
      <c r="I24" s="52"/>
      <c r="J24" s="52"/>
      <c r="K24" s="52"/>
      <c r="L24" s="52"/>
      <c r="O24" s="52"/>
    </row>
    <row r="25" spans="1:15" x14ac:dyDescent="0.25">
      <c r="A25" s="52"/>
      <c r="B25" s="52"/>
      <c r="C25" s="52"/>
      <c r="D25" s="52"/>
      <c r="E25" s="52"/>
      <c r="F25" s="52"/>
      <c r="G25" s="52"/>
      <c r="H25" s="52"/>
      <c r="I25" s="52"/>
      <c r="J25" s="52"/>
      <c r="K25" s="52"/>
      <c r="L25" s="52"/>
      <c r="O25" s="52"/>
    </row>
    <row r="26" spans="1:15" x14ac:dyDescent="0.25">
      <c r="A26" s="52"/>
      <c r="B26" s="52"/>
      <c r="C26" s="52"/>
      <c r="D26" s="52"/>
      <c r="E26" s="52"/>
      <c r="F26" s="52"/>
      <c r="G26" s="52"/>
      <c r="H26" s="52"/>
      <c r="I26" s="52"/>
      <c r="J26" s="52"/>
      <c r="K26" s="52"/>
      <c r="L26" s="52"/>
      <c r="O26" s="52"/>
    </row>
    <row r="27" spans="1:15" x14ac:dyDescent="0.25">
      <c r="A27" s="52"/>
      <c r="B27" s="52"/>
      <c r="C27" s="52"/>
      <c r="D27" s="52"/>
      <c r="E27" s="52"/>
      <c r="F27" s="52"/>
      <c r="G27" s="52"/>
      <c r="H27" s="52"/>
      <c r="I27" s="52"/>
      <c r="J27" s="52"/>
      <c r="K27" s="52"/>
      <c r="L27" s="52"/>
      <c r="O27" s="52"/>
    </row>
    <row r="28" spans="1:15" x14ac:dyDescent="0.25">
      <c r="A28" s="52"/>
      <c r="B28" s="52"/>
      <c r="C28" s="52"/>
      <c r="D28" s="52"/>
      <c r="E28" s="52"/>
      <c r="F28" s="52"/>
      <c r="G28" s="52"/>
      <c r="H28" s="52"/>
      <c r="I28" s="52"/>
      <c r="J28" s="52"/>
      <c r="K28" s="52"/>
      <c r="L28" s="52"/>
      <c r="O28" s="52"/>
    </row>
    <row r="29" spans="1:15" x14ac:dyDescent="0.25">
      <c r="A29" s="52"/>
      <c r="B29" s="52"/>
      <c r="C29" s="52"/>
      <c r="D29" s="52"/>
      <c r="E29" s="52"/>
      <c r="F29" s="52"/>
      <c r="G29" s="52"/>
      <c r="H29" s="52"/>
      <c r="I29" s="52"/>
      <c r="J29" s="52"/>
      <c r="K29" s="52"/>
      <c r="L29" s="52"/>
      <c r="M29" s="52"/>
      <c r="N29" s="52"/>
      <c r="O29" s="52"/>
    </row>
    <row r="30" spans="1:15" x14ac:dyDescent="0.25">
      <c r="A30" s="52"/>
      <c r="B30" s="52"/>
      <c r="C30" s="52"/>
      <c r="D30" s="52"/>
      <c r="E30" s="52"/>
      <c r="F30" s="52"/>
      <c r="G30" s="52"/>
      <c r="H30" s="52"/>
      <c r="I30" s="52"/>
      <c r="J30" s="52"/>
      <c r="K30" s="52"/>
      <c r="L30" s="52"/>
      <c r="M30" s="52"/>
      <c r="N30" s="52"/>
      <c r="O30" s="52"/>
    </row>
  </sheetData>
  <sheetProtection sheet="1" objects="1" scenarios="1"/>
  <pageMargins left="0.7" right="0.7" top="0.75" bottom="0.75" header="0.3" footer="0.3"/>
  <pageSetup paperSize="9" scale="99" fitToHeight="0" orientation="landscape" horizontalDpi="4294967293" verticalDpi="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3CE8-77DD-4E26-AC54-711E4824C242}">
  <sheetPr codeName="Sheet2"/>
  <dimension ref="A1:AT51"/>
  <sheetViews>
    <sheetView workbookViewId="0">
      <selection activeCell="B6" sqref="B6"/>
    </sheetView>
  </sheetViews>
  <sheetFormatPr defaultRowHeight="13.8" x14ac:dyDescent="0.25"/>
  <cols>
    <col min="1" max="1" width="12.5" customWidth="1"/>
    <col min="30" max="30" width="8.796875" customWidth="1"/>
  </cols>
  <sheetData>
    <row r="1" spans="1:46" x14ac:dyDescent="0.25">
      <c r="A1" s="2"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25">
      <c r="A2" s="23">
        <f>curr_year</f>
        <v>2017</v>
      </c>
      <c r="B2" s="23">
        <f>+A2-1</f>
        <v>2016</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row>
    <row r="3" spans="1:46" x14ac:dyDescent="0.25">
      <c r="A3" s="2"/>
      <c r="B3" s="41" t="s">
        <v>1</v>
      </c>
      <c r="C3" s="42"/>
      <c r="D3" s="43"/>
      <c r="E3" s="41" t="s">
        <v>2</v>
      </c>
      <c r="F3" s="42"/>
      <c r="G3" s="43"/>
      <c r="H3" s="21" t="s">
        <v>3</v>
      </c>
      <c r="I3" s="21"/>
      <c r="J3" s="22"/>
      <c r="K3" s="35" t="s">
        <v>1</v>
      </c>
      <c r="L3" s="3"/>
      <c r="M3" s="3"/>
      <c r="N3" s="3"/>
      <c r="O3" s="3"/>
      <c r="P3" s="3"/>
      <c r="Q3" s="3"/>
      <c r="R3" s="3"/>
      <c r="S3" s="3"/>
      <c r="T3" s="3"/>
      <c r="U3" s="3"/>
      <c r="V3" s="3"/>
      <c r="W3" s="1" t="s">
        <v>2</v>
      </c>
      <c r="X3" s="19"/>
      <c r="Y3" s="20"/>
      <c r="Z3" s="1"/>
      <c r="AA3" s="19"/>
      <c r="AB3" s="20"/>
      <c r="AC3" s="1"/>
      <c r="AD3" s="19"/>
      <c r="AE3" s="20"/>
      <c r="AF3" s="1"/>
      <c r="AG3" s="19"/>
      <c r="AH3" s="20"/>
      <c r="AI3" s="21" t="s">
        <v>3</v>
      </c>
      <c r="AJ3" s="21"/>
      <c r="AK3" s="22"/>
      <c r="AL3" s="21"/>
      <c r="AM3" s="21"/>
      <c r="AN3" s="22"/>
      <c r="AO3" s="21"/>
      <c r="AP3" s="21"/>
      <c r="AQ3" s="22"/>
      <c r="AR3" s="21"/>
      <c r="AS3" s="21"/>
      <c r="AT3" s="22"/>
    </row>
    <row r="4" spans="1:46" x14ac:dyDescent="0.25">
      <c r="A4" s="23" t="s">
        <v>75</v>
      </c>
      <c r="B4" s="23" t="str">
        <f>B5&amp;B6&amp;B7&amp;B8</f>
        <v>2017JunActualRevenue</v>
      </c>
      <c r="C4" s="23" t="str">
        <f t="shared" ref="C4:AT4" si="0">C5&amp;C6&amp;C7&amp;C8</f>
        <v>2017JunActualProfit</v>
      </c>
      <c r="D4" s="23" t="str">
        <f t="shared" si="0"/>
        <v>2017JunActualCash</v>
      </c>
      <c r="E4" s="23" t="str">
        <f t="shared" si="0"/>
        <v>2016JunActualRevenue</v>
      </c>
      <c r="F4" s="23" t="str">
        <f t="shared" si="0"/>
        <v>2016JunActualProfit</v>
      </c>
      <c r="G4" s="23" t="str">
        <f t="shared" si="0"/>
        <v>2016JunActualCash</v>
      </c>
      <c r="H4" s="23" t="str">
        <f t="shared" si="0"/>
        <v>2017JunBudgetRevenue</v>
      </c>
      <c r="I4" s="23" t="str">
        <f t="shared" si="0"/>
        <v>2017JunBudgetProfit</v>
      </c>
      <c r="J4" s="23" t="str">
        <f t="shared" si="0"/>
        <v>2017JunBudgetCash</v>
      </c>
      <c r="K4" s="23" t="str">
        <f t="shared" si="0"/>
        <v>2017JanActualProfit</v>
      </c>
      <c r="L4" s="23" t="str">
        <f t="shared" si="0"/>
        <v>2017FebActualProfit</v>
      </c>
      <c r="M4" s="23" t="str">
        <f t="shared" si="0"/>
        <v>2017MarActualProfit</v>
      </c>
      <c r="N4" s="23" t="str">
        <f t="shared" si="0"/>
        <v>2017AprActualProfit</v>
      </c>
      <c r="O4" s="23" t="str">
        <f t="shared" si="0"/>
        <v>2017MayActualProfit</v>
      </c>
      <c r="P4" s="23" t="str">
        <f t="shared" si="0"/>
        <v>2017JunActualProfit</v>
      </c>
      <c r="Q4" s="23" t="str">
        <f t="shared" si="0"/>
        <v>2017JulActualProfit</v>
      </c>
      <c r="R4" s="23" t="str">
        <f t="shared" si="0"/>
        <v>2017AugActualProfit</v>
      </c>
      <c r="S4" s="23" t="str">
        <f t="shared" si="0"/>
        <v>2017SepActualProfit</v>
      </c>
      <c r="T4" s="23" t="str">
        <f t="shared" si="0"/>
        <v>2017OctActualProfit</v>
      </c>
      <c r="U4" s="23" t="str">
        <f t="shared" si="0"/>
        <v>2017NovActualProfit</v>
      </c>
      <c r="V4" s="23" t="str">
        <f t="shared" si="0"/>
        <v>2017DecActualProfit</v>
      </c>
      <c r="W4" s="23" t="str">
        <f t="shared" si="0"/>
        <v>2016JanActualProfit</v>
      </c>
      <c r="X4" s="23" t="str">
        <f t="shared" si="0"/>
        <v>2016FebActualProfit</v>
      </c>
      <c r="Y4" s="23" t="str">
        <f t="shared" si="0"/>
        <v>2016MarActualProfit</v>
      </c>
      <c r="Z4" s="23" t="str">
        <f t="shared" si="0"/>
        <v>2016AprActualProfit</v>
      </c>
      <c r="AA4" s="23" t="str">
        <f t="shared" si="0"/>
        <v>2016MayActualProfit</v>
      </c>
      <c r="AB4" s="23" t="str">
        <f t="shared" si="0"/>
        <v>2016JunActualProfit</v>
      </c>
      <c r="AC4" s="23" t="str">
        <f t="shared" si="0"/>
        <v>2016JulActualProfit</v>
      </c>
      <c r="AD4" s="23" t="str">
        <f t="shared" si="0"/>
        <v>2016AugActualProfit</v>
      </c>
      <c r="AE4" s="23" t="str">
        <f t="shared" si="0"/>
        <v>2016SepActualProfit</v>
      </c>
      <c r="AF4" s="23" t="str">
        <f t="shared" si="0"/>
        <v>2016OctActualProfit</v>
      </c>
      <c r="AG4" s="23" t="str">
        <f t="shared" si="0"/>
        <v>2016NovActualProfit</v>
      </c>
      <c r="AH4" s="23" t="str">
        <f t="shared" si="0"/>
        <v>2016DecActualProfit</v>
      </c>
      <c r="AI4" s="23" t="str">
        <f t="shared" si="0"/>
        <v>2017JanBudgetProfit</v>
      </c>
      <c r="AJ4" s="23" t="str">
        <f t="shared" si="0"/>
        <v>2017FebBudgetProfit</v>
      </c>
      <c r="AK4" s="23" t="str">
        <f t="shared" si="0"/>
        <v>2017MarBudgetProfit</v>
      </c>
      <c r="AL4" s="23" t="str">
        <f t="shared" si="0"/>
        <v>2017AprBudgetProfit</v>
      </c>
      <c r="AM4" s="23" t="str">
        <f t="shared" si="0"/>
        <v>2017MayBudgetProfit</v>
      </c>
      <c r="AN4" s="23" t="str">
        <f t="shared" si="0"/>
        <v>2017JunBudgetProfit</v>
      </c>
      <c r="AO4" s="23" t="str">
        <f t="shared" si="0"/>
        <v>2017JulBudgetProfit</v>
      </c>
      <c r="AP4" s="23" t="str">
        <f t="shared" si="0"/>
        <v>2017AugBudgetProfit</v>
      </c>
      <c r="AQ4" s="23" t="str">
        <f t="shared" si="0"/>
        <v>2017SepBudgetProfit</v>
      </c>
      <c r="AR4" s="23" t="str">
        <f t="shared" si="0"/>
        <v>2017OctBudgetProfit</v>
      </c>
      <c r="AS4" s="23" t="str">
        <f t="shared" si="0"/>
        <v>2017NovBudgetProfit</v>
      </c>
      <c r="AT4" s="23" t="str">
        <f t="shared" si="0"/>
        <v>2017DecBudgetProfit</v>
      </c>
    </row>
    <row r="5" spans="1:46" x14ac:dyDescent="0.25">
      <c r="A5" s="2"/>
      <c r="B5" s="5">
        <f t="shared" ref="B5:D5" si="1">$A$2</f>
        <v>2017</v>
      </c>
      <c r="C5" s="5">
        <f t="shared" si="1"/>
        <v>2017</v>
      </c>
      <c r="D5" s="6">
        <f t="shared" si="1"/>
        <v>2017</v>
      </c>
      <c r="E5" s="5">
        <f t="shared" ref="E5:G5" si="2">$B$2</f>
        <v>2016</v>
      </c>
      <c r="F5" s="5">
        <f t="shared" si="2"/>
        <v>2016</v>
      </c>
      <c r="G5" s="6">
        <f t="shared" si="2"/>
        <v>2016</v>
      </c>
      <c r="H5" s="5">
        <f t="shared" ref="H5:V5" si="3">$A$2</f>
        <v>2017</v>
      </c>
      <c r="I5" s="5">
        <f t="shared" si="3"/>
        <v>2017</v>
      </c>
      <c r="J5" s="6">
        <f t="shared" si="3"/>
        <v>2017</v>
      </c>
      <c r="K5" s="7">
        <f t="shared" si="3"/>
        <v>2017</v>
      </c>
      <c r="L5" s="7">
        <f t="shared" si="3"/>
        <v>2017</v>
      </c>
      <c r="M5" s="7">
        <f t="shared" si="3"/>
        <v>2017</v>
      </c>
      <c r="N5" s="7">
        <f t="shared" si="3"/>
        <v>2017</v>
      </c>
      <c r="O5" s="7">
        <f t="shared" si="3"/>
        <v>2017</v>
      </c>
      <c r="P5" s="7">
        <f t="shared" si="3"/>
        <v>2017</v>
      </c>
      <c r="Q5" s="7">
        <f t="shared" si="3"/>
        <v>2017</v>
      </c>
      <c r="R5" s="7">
        <f t="shared" si="3"/>
        <v>2017</v>
      </c>
      <c r="S5" s="7">
        <f t="shared" si="3"/>
        <v>2017</v>
      </c>
      <c r="T5" s="7">
        <f t="shared" si="3"/>
        <v>2017</v>
      </c>
      <c r="U5" s="7">
        <f t="shared" si="3"/>
        <v>2017</v>
      </c>
      <c r="V5" s="7">
        <f t="shared" si="3"/>
        <v>2017</v>
      </c>
      <c r="W5" s="8">
        <f t="shared" ref="W5:AH5" si="4">$B$2</f>
        <v>2016</v>
      </c>
      <c r="X5" s="7">
        <f t="shared" si="4"/>
        <v>2016</v>
      </c>
      <c r="Y5" s="7">
        <f t="shared" si="4"/>
        <v>2016</v>
      </c>
      <c r="Z5" s="7">
        <f t="shared" si="4"/>
        <v>2016</v>
      </c>
      <c r="AA5" s="7">
        <f t="shared" si="4"/>
        <v>2016</v>
      </c>
      <c r="AB5" s="7">
        <f t="shared" si="4"/>
        <v>2016</v>
      </c>
      <c r="AC5" s="7">
        <f t="shared" si="4"/>
        <v>2016</v>
      </c>
      <c r="AD5" s="7">
        <f t="shared" si="4"/>
        <v>2016</v>
      </c>
      <c r="AE5" s="7">
        <f t="shared" si="4"/>
        <v>2016</v>
      </c>
      <c r="AF5" s="7">
        <f t="shared" si="4"/>
        <v>2016</v>
      </c>
      <c r="AG5" s="7">
        <f t="shared" si="4"/>
        <v>2016</v>
      </c>
      <c r="AH5" s="9">
        <f t="shared" si="4"/>
        <v>2016</v>
      </c>
      <c r="AI5" s="7">
        <f t="shared" ref="AI5:AT5" si="5">$A$2</f>
        <v>2017</v>
      </c>
      <c r="AJ5" s="7">
        <f t="shared" si="5"/>
        <v>2017</v>
      </c>
      <c r="AK5" s="7">
        <f t="shared" si="5"/>
        <v>2017</v>
      </c>
      <c r="AL5" s="7">
        <f t="shared" si="5"/>
        <v>2017</v>
      </c>
      <c r="AM5" s="7">
        <f t="shared" si="5"/>
        <v>2017</v>
      </c>
      <c r="AN5" s="7">
        <f t="shared" si="5"/>
        <v>2017</v>
      </c>
      <c r="AO5" s="7">
        <f t="shared" si="5"/>
        <v>2017</v>
      </c>
      <c r="AP5" s="7">
        <f t="shared" si="5"/>
        <v>2017</v>
      </c>
      <c r="AQ5" s="7">
        <f t="shared" si="5"/>
        <v>2017</v>
      </c>
      <c r="AR5" s="7">
        <f t="shared" si="5"/>
        <v>2017</v>
      </c>
      <c r="AS5" s="7">
        <f t="shared" si="5"/>
        <v>2017</v>
      </c>
      <c r="AT5" s="7">
        <f t="shared" si="5"/>
        <v>2017</v>
      </c>
    </row>
    <row r="6" spans="1:46" x14ac:dyDescent="0.25">
      <c r="A6" s="2"/>
      <c r="B6" s="5" t="str">
        <f t="shared" ref="B6:J6" si="6">curr_month</f>
        <v>Jun</v>
      </c>
      <c r="C6" s="5" t="str">
        <f t="shared" si="6"/>
        <v>Jun</v>
      </c>
      <c r="D6" s="6" t="str">
        <f t="shared" si="6"/>
        <v>Jun</v>
      </c>
      <c r="E6" s="5" t="str">
        <f t="shared" si="6"/>
        <v>Jun</v>
      </c>
      <c r="F6" s="5" t="str">
        <f t="shared" si="6"/>
        <v>Jun</v>
      </c>
      <c r="G6" s="6" t="str">
        <f t="shared" si="6"/>
        <v>Jun</v>
      </c>
      <c r="H6" s="5" t="str">
        <f t="shared" si="6"/>
        <v>Jun</v>
      </c>
      <c r="I6" s="5" t="str">
        <f t="shared" si="6"/>
        <v>Jun</v>
      </c>
      <c r="J6" s="6" t="str">
        <f t="shared" si="6"/>
        <v>Jun</v>
      </c>
      <c r="K6" s="7" t="s">
        <v>5</v>
      </c>
      <c r="L6" s="7" t="s">
        <v>6</v>
      </c>
      <c r="M6" s="7" t="s">
        <v>7</v>
      </c>
      <c r="N6" s="7" t="s">
        <v>8</v>
      </c>
      <c r="O6" s="7" t="s">
        <v>9</v>
      </c>
      <c r="P6" s="7" t="s">
        <v>10</v>
      </c>
      <c r="Q6" s="7" t="s">
        <v>11</v>
      </c>
      <c r="R6" s="7" t="s">
        <v>4</v>
      </c>
      <c r="S6" s="7" t="s">
        <v>12</v>
      </c>
      <c r="T6" s="7" t="s">
        <v>13</v>
      </c>
      <c r="U6" s="7" t="s">
        <v>14</v>
      </c>
      <c r="V6" s="9" t="s">
        <v>15</v>
      </c>
      <c r="W6" s="7" t="s">
        <v>5</v>
      </c>
      <c r="X6" s="7" t="s">
        <v>6</v>
      </c>
      <c r="Y6" s="7" t="s">
        <v>7</v>
      </c>
      <c r="Z6" s="7" t="s">
        <v>8</v>
      </c>
      <c r="AA6" s="7" t="s">
        <v>9</v>
      </c>
      <c r="AB6" s="7" t="s">
        <v>10</v>
      </c>
      <c r="AC6" s="7" t="s">
        <v>11</v>
      </c>
      <c r="AD6" s="7" t="s">
        <v>4</v>
      </c>
      <c r="AE6" s="7" t="s">
        <v>12</v>
      </c>
      <c r="AF6" s="7" t="s">
        <v>13</v>
      </c>
      <c r="AG6" s="7" t="s">
        <v>14</v>
      </c>
      <c r="AH6" s="9" t="s">
        <v>15</v>
      </c>
      <c r="AI6" s="7" t="s">
        <v>5</v>
      </c>
      <c r="AJ6" s="7" t="s">
        <v>6</v>
      </c>
      <c r="AK6" s="7" t="s">
        <v>7</v>
      </c>
      <c r="AL6" s="7" t="s">
        <v>8</v>
      </c>
      <c r="AM6" s="7" t="s">
        <v>9</v>
      </c>
      <c r="AN6" s="7" t="s">
        <v>10</v>
      </c>
      <c r="AO6" s="7" t="s">
        <v>11</v>
      </c>
      <c r="AP6" s="7" t="s">
        <v>4</v>
      </c>
      <c r="AQ6" s="7" t="s">
        <v>12</v>
      </c>
      <c r="AR6" s="7" t="s">
        <v>13</v>
      </c>
      <c r="AS6" s="7" t="s">
        <v>14</v>
      </c>
      <c r="AT6" s="7" t="s">
        <v>15</v>
      </c>
    </row>
    <row r="7" spans="1:46" x14ac:dyDescent="0.25">
      <c r="A7" s="2"/>
      <c r="B7" s="5" t="s">
        <v>1</v>
      </c>
      <c r="C7" s="5" t="s">
        <v>1</v>
      </c>
      <c r="D7" s="6" t="s">
        <v>1</v>
      </c>
      <c r="E7" s="5" t="s">
        <v>1</v>
      </c>
      <c r="F7" s="5" t="s">
        <v>1</v>
      </c>
      <c r="G7" s="6" t="s">
        <v>1</v>
      </c>
      <c r="H7" s="5" t="s">
        <v>3</v>
      </c>
      <c r="I7" s="5" t="s">
        <v>3</v>
      </c>
      <c r="J7" s="6" t="s">
        <v>3</v>
      </c>
      <c r="K7" s="7" t="s">
        <v>1</v>
      </c>
      <c r="L7" s="7" t="s">
        <v>1</v>
      </c>
      <c r="M7" s="7" t="s">
        <v>1</v>
      </c>
      <c r="N7" s="7" t="s">
        <v>1</v>
      </c>
      <c r="O7" s="7" t="s">
        <v>1</v>
      </c>
      <c r="P7" s="7" t="s">
        <v>1</v>
      </c>
      <c r="Q7" s="7" t="s">
        <v>1</v>
      </c>
      <c r="R7" s="7" t="s">
        <v>1</v>
      </c>
      <c r="S7" s="7" t="s">
        <v>1</v>
      </c>
      <c r="T7" s="7" t="s">
        <v>1</v>
      </c>
      <c r="U7" s="7" t="s">
        <v>1</v>
      </c>
      <c r="V7" s="7" t="s">
        <v>1</v>
      </c>
      <c r="W7" s="8" t="s">
        <v>1</v>
      </c>
      <c r="X7" s="7" t="s">
        <v>1</v>
      </c>
      <c r="Y7" s="7" t="s">
        <v>1</v>
      </c>
      <c r="Z7" s="7" t="s">
        <v>1</v>
      </c>
      <c r="AA7" s="7" t="s">
        <v>1</v>
      </c>
      <c r="AB7" s="7" t="s">
        <v>1</v>
      </c>
      <c r="AC7" s="7" t="s">
        <v>1</v>
      </c>
      <c r="AD7" s="7" t="s">
        <v>1</v>
      </c>
      <c r="AE7" s="7" t="s">
        <v>1</v>
      </c>
      <c r="AF7" s="7" t="s">
        <v>1</v>
      </c>
      <c r="AG7" s="7" t="s">
        <v>1</v>
      </c>
      <c r="AH7" s="9" t="s">
        <v>1</v>
      </c>
      <c r="AI7" s="7" t="s">
        <v>3</v>
      </c>
      <c r="AJ7" s="7" t="s">
        <v>3</v>
      </c>
      <c r="AK7" s="7" t="s">
        <v>3</v>
      </c>
      <c r="AL7" s="7" t="s">
        <v>3</v>
      </c>
      <c r="AM7" s="7" t="s">
        <v>3</v>
      </c>
      <c r="AN7" s="7" t="s">
        <v>3</v>
      </c>
      <c r="AO7" s="7" t="s">
        <v>3</v>
      </c>
      <c r="AP7" s="7" t="s">
        <v>3</v>
      </c>
      <c r="AQ7" s="7" t="s">
        <v>3</v>
      </c>
      <c r="AR7" s="7" t="s">
        <v>3</v>
      </c>
      <c r="AS7" s="7" t="s">
        <v>3</v>
      </c>
      <c r="AT7" s="7" t="s">
        <v>3</v>
      </c>
    </row>
    <row r="8" spans="1:46" x14ac:dyDescent="0.25">
      <c r="A8" s="10"/>
      <c r="B8" s="11" t="s">
        <v>16</v>
      </c>
      <c r="C8" s="11" t="s">
        <v>17</v>
      </c>
      <c r="D8" s="12" t="s">
        <v>18</v>
      </c>
      <c r="E8" s="11" t="s">
        <v>16</v>
      </c>
      <c r="F8" s="11" t="s">
        <v>17</v>
      </c>
      <c r="G8" s="12" t="s">
        <v>18</v>
      </c>
      <c r="H8" s="11" t="s">
        <v>16</v>
      </c>
      <c r="I8" s="11" t="s">
        <v>17</v>
      </c>
      <c r="J8" s="12" t="s">
        <v>18</v>
      </c>
      <c r="K8" s="13" t="s">
        <v>17</v>
      </c>
      <c r="L8" s="13" t="s">
        <v>17</v>
      </c>
      <c r="M8" s="13" t="s">
        <v>17</v>
      </c>
      <c r="N8" s="13" t="s">
        <v>17</v>
      </c>
      <c r="O8" s="13" t="s">
        <v>17</v>
      </c>
      <c r="P8" s="13" t="s">
        <v>17</v>
      </c>
      <c r="Q8" s="13" t="s">
        <v>17</v>
      </c>
      <c r="R8" s="13" t="s">
        <v>17</v>
      </c>
      <c r="S8" s="13" t="s">
        <v>17</v>
      </c>
      <c r="T8" s="13" t="s">
        <v>17</v>
      </c>
      <c r="U8" s="13" t="s">
        <v>17</v>
      </c>
      <c r="V8" s="13" t="s">
        <v>17</v>
      </c>
      <c r="W8" s="14" t="s">
        <v>17</v>
      </c>
      <c r="X8" s="13" t="s">
        <v>17</v>
      </c>
      <c r="Y8" s="13" t="s">
        <v>17</v>
      </c>
      <c r="Z8" s="13" t="s">
        <v>17</v>
      </c>
      <c r="AA8" s="13" t="s">
        <v>17</v>
      </c>
      <c r="AB8" s="13" t="s">
        <v>17</v>
      </c>
      <c r="AC8" s="13" t="s">
        <v>17</v>
      </c>
      <c r="AD8" s="13" t="s">
        <v>17</v>
      </c>
      <c r="AE8" s="13" t="s">
        <v>17</v>
      </c>
      <c r="AF8" s="13" t="s">
        <v>17</v>
      </c>
      <c r="AG8" s="13" t="s">
        <v>17</v>
      </c>
      <c r="AH8" s="15" t="s">
        <v>17</v>
      </c>
      <c r="AI8" s="13" t="s">
        <v>17</v>
      </c>
      <c r="AJ8" s="13" t="s">
        <v>17</v>
      </c>
      <c r="AK8" s="13" t="s">
        <v>17</v>
      </c>
      <c r="AL8" s="13" t="s">
        <v>17</v>
      </c>
      <c r="AM8" s="13" t="s">
        <v>17</v>
      </c>
      <c r="AN8" s="13" t="s">
        <v>17</v>
      </c>
      <c r="AO8" s="13" t="s">
        <v>17</v>
      </c>
      <c r="AP8" s="13" t="s">
        <v>17</v>
      </c>
      <c r="AQ8" s="13" t="s">
        <v>17</v>
      </c>
      <c r="AR8" s="13" t="s">
        <v>17</v>
      </c>
      <c r="AS8" s="13" t="s">
        <v>17</v>
      </c>
      <c r="AT8" s="13" t="s">
        <v>17</v>
      </c>
    </row>
    <row r="9" spans="1:46" x14ac:dyDescent="0.25">
      <c r="A9" s="2" t="s">
        <v>19</v>
      </c>
      <c r="B9" s="2">
        <v>162643</v>
      </c>
      <c r="C9" s="2">
        <v>9359</v>
      </c>
      <c r="D9" s="4">
        <v>103058</v>
      </c>
      <c r="E9" s="2">
        <v>159773</v>
      </c>
      <c r="F9" s="2">
        <v>9241</v>
      </c>
      <c r="G9" s="4">
        <v>103723</v>
      </c>
      <c r="H9" s="2">
        <v>164760</v>
      </c>
      <c r="I9" s="2">
        <v>9443</v>
      </c>
      <c r="J9" s="4">
        <v>104426</v>
      </c>
      <c r="K9" s="2">
        <v>1005</v>
      </c>
      <c r="L9" s="2">
        <v>2218</v>
      </c>
      <c r="M9" s="2">
        <v>3685</v>
      </c>
      <c r="N9" s="2">
        <v>5304</v>
      </c>
      <c r="O9" s="2">
        <v>7477</v>
      </c>
      <c r="P9" s="2">
        <v>9359</v>
      </c>
      <c r="Q9" s="2"/>
      <c r="R9" s="2"/>
      <c r="S9" s="2"/>
      <c r="T9" s="2"/>
      <c r="U9" s="2"/>
      <c r="V9" s="2"/>
      <c r="W9" s="16">
        <v>1136</v>
      </c>
      <c r="X9" s="2">
        <v>2193</v>
      </c>
      <c r="Y9" s="2">
        <v>3803</v>
      </c>
      <c r="Z9" s="2">
        <v>5307</v>
      </c>
      <c r="AA9" s="2">
        <v>6687</v>
      </c>
      <c r="AB9" s="2">
        <v>8231</v>
      </c>
      <c r="AC9" s="2">
        <v>9662</v>
      </c>
      <c r="AD9" s="2">
        <v>10821</v>
      </c>
      <c r="AE9" s="2">
        <v>11926</v>
      </c>
      <c r="AF9" s="2">
        <v>13136</v>
      </c>
      <c r="AG9" s="2">
        <v>13951</v>
      </c>
      <c r="AH9" s="4">
        <v>14067</v>
      </c>
      <c r="AI9" s="2">
        <v>953</v>
      </c>
      <c r="AJ9" s="2">
        <v>1990</v>
      </c>
      <c r="AK9" s="2">
        <v>3619</v>
      </c>
      <c r="AL9" s="2">
        <v>5170</v>
      </c>
      <c r="AM9" s="2">
        <v>6762</v>
      </c>
      <c r="AN9" s="2">
        <v>8451</v>
      </c>
      <c r="AO9" s="2">
        <v>10075</v>
      </c>
      <c r="AP9" s="2">
        <v>10901</v>
      </c>
      <c r="AQ9" s="2">
        <v>12366</v>
      </c>
      <c r="AR9" s="2">
        <v>13962</v>
      </c>
      <c r="AS9" s="2">
        <v>15507</v>
      </c>
      <c r="AT9" s="2">
        <v>15918</v>
      </c>
    </row>
    <row r="10" spans="1:46" x14ac:dyDescent="0.25">
      <c r="A10" s="17" t="s">
        <v>20</v>
      </c>
      <c r="B10" s="2">
        <v>14432</v>
      </c>
      <c r="C10" s="2">
        <v>240</v>
      </c>
      <c r="D10" s="4">
        <v>11099</v>
      </c>
      <c r="E10" s="2">
        <v>13699</v>
      </c>
      <c r="F10" s="2">
        <v>210</v>
      </c>
      <c r="G10" s="4">
        <v>12058</v>
      </c>
      <c r="H10" s="2">
        <v>15113</v>
      </c>
      <c r="I10" s="2">
        <v>363</v>
      </c>
      <c r="J10" s="4">
        <v>11468</v>
      </c>
      <c r="K10" s="2">
        <v>23</v>
      </c>
      <c r="L10" s="2">
        <v>66</v>
      </c>
      <c r="M10" s="2">
        <v>171</v>
      </c>
      <c r="N10" s="2">
        <v>200</v>
      </c>
      <c r="O10" s="2">
        <v>222</v>
      </c>
      <c r="P10" s="2">
        <v>240</v>
      </c>
      <c r="Q10" s="2"/>
      <c r="R10" s="2"/>
      <c r="S10" s="2"/>
      <c r="T10" s="2"/>
      <c r="U10" s="2"/>
      <c r="V10" s="2"/>
      <c r="W10" s="16">
        <v>22</v>
      </c>
      <c r="X10" s="2">
        <v>32</v>
      </c>
      <c r="Y10" s="2">
        <v>44</v>
      </c>
      <c r="Z10" s="2">
        <v>54</v>
      </c>
      <c r="AA10" s="2">
        <v>68</v>
      </c>
      <c r="AB10" s="2">
        <v>76</v>
      </c>
      <c r="AC10" s="2">
        <v>89</v>
      </c>
      <c r="AD10" s="2">
        <v>110</v>
      </c>
      <c r="AE10" s="2">
        <v>113</v>
      </c>
      <c r="AF10" s="2">
        <v>191</v>
      </c>
      <c r="AG10" s="2">
        <v>276</v>
      </c>
      <c r="AH10" s="4">
        <v>264</v>
      </c>
      <c r="AI10" s="2">
        <v>49</v>
      </c>
      <c r="AJ10" s="2">
        <v>92</v>
      </c>
      <c r="AK10" s="2">
        <v>163</v>
      </c>
      <c r="AL10" s="2">
        <v>228</v>
      </c>
      <c r="AM10" s="2">
        <v>299</v>
      </c>
      <c r="AN10" s="2">
        <v>363</v>
      </c>
      <c r="AO10" s="2">
        <v>423</v>
      </c>
      <c r="AP10" s="2">
        <v>483</v>
      </c>
      <c r="AQ10" s="2">
        <v>535</v>
      </c>
      <c r="AR10" s="2">
        <v>607</v>
      </c>
      <c r="AS10" s="2">
        <v>671</v>
      </c>
      <c r="AT10" s="2">
        <v>582</v>
      </c>
    </row>
    <row r="11" spans="1:46" x14ac:dyDescent="0.25">
      <c r="A11" s="17" t="s">
        <v>21</v>
      </c>
      <c r="B11" s="2">
        <v>17990</v>
      </c>
      <c r="C11" s="2">
        <v>1166</v>
      </c>
      <c r="D11" s="4">
        <v>7137</v>
      </c>
      <c r="E11" s="2">
        <v>16395</v>
      </c>
      <c r="F11" s="2">
        <v>1003</v>
      </c>
      <c r="G11" s="4">
        <v>7423</v>
      </c>
      <c r="H11" s="2">
        <v>18181</v>
      </c>
      <c r="I11" s="2">
        <v>1223</v>
      </c>
      <c r="J11" s="4">
        <v>8196</v>
      </c>
      <c r="K11" s="2">
        <v>170</v>
      </c>
      <c r="L11" s="2">
        <v>327</v>
      </c>
      <c r="M11" s="2">
        <v>512</v>
      </c>
      <c r="N11" s="2">
        <v>732</v>
      </c>
      <c r="O11" s="2">
        <v>941</v>
      </c>
      <c r="P11" s="2">
        <v>1166</v>
      </c>
      <c r="Q11" s="2"/>
      <c r="R11" s="2"/>
      <c r="S11" s="2"/>
      <c r="T11" s="2"/>
      <c r="U11" s="2"/>
      <c r="V11" s="2"/>
      <c r="W11" s="16">
        <v>149</v>
      </c>
      <c r="X11" s="2">
        <v>274</v>
      </c>
      <c r="Y11" s="2">
        <v>490</v>
      </c>
      <c r="Z11" s="2">
        <v>641</v>
      </c>
      <c r="AA11" s="2">
        <v>823</v>
      </c>
      <c r="AB11" s="2">
        <v>1003</v>
      </c>
      <c r="AC11" s="2">
        <v>1164</v>
      </c>
      <c r="AD11" s="2">
        <v>1272</v>
      </c>
      <c r="AE11" s="2">
        <v>1395</v>
      </c>
      <c r="AF11" s="2">
        <v>1538</v>
      </c>
      <c r="AG11" s="2">
        <v>1712</v>
      </c>
      <c r="AH11" s="4">
        <v>1750</v>
      </c>
      <c r="AI11" s="2">
        <v>151</v>
      </c>
      <c r="AJ11" s="2">
        <v>302</v>
      </c>
      <c r="AK11" s="2">
        <v>547</v>
      </c>
      <c r="AL11" s="2">
        <v>772</v>
      </c>
      <c r="AM11" s="2">
        <v>1002</v>
      </c>
      <c r="AN11" s="2">
        <v>1223</v>
      </c>
      <c r="AO11" s="2">
        <v>1402</v>
      </c>
      <c r="AP11" s="2">
        <v>1507</v>
      </c>
      <c r="AQ11" s="2">
        <v>1724</v>
      </c>
      <c r="AR11" s="2">
        <v>1977</v>
      </c>
      <c r="AS11" s="2">
        <v>2191</v>
      </c>
      <c r="AT11" s="2">
        <v>2239</v>
      </c>
    </row>
    <row r="12" spans="1:46" x14ac:dyDescent="0.25">
      <c r="A12" s="17" t="s">
        <v>22</v>
      </c>
      <c r="B12" s="2">
        <v>15117</v>
      </c>
      <c r="C12" s="2">
        <v>1613</v>
      </c>
      <c r="D12" s="4">
        <v>5828</v>
      </c>
      <c r="E12" s="2">
        <v>14138</v>
      </c>
      <c r="F12" s="2">
        <v>1200</v>
      </c>
      <c r="G12" s="4">
        <v>6212</v>
      </c>
      <c r="H12" s="2">
        <v>13455</v>
      </c>
      <c r="I12" s="2">
        <v>1400</v>
      </c>
      <c r="J12" s="4">
        <v>5810</v>
      </c>
      <c r="K12" s="2">
        <v>150</v>
      </c>
      <c r="L12" s="2">
        <v>315</v>
      </c>
      <c r="M12" s="2">
        <v>537</v>
      </c>
      <c r="N12" s="2">
        <v>795</v>
      </c>
      <c r="O12" s="2">
        <v>1393</v>
      </c>
      <c r="P12" s="2">
        <v>1613</v>
      </c>
      <c r="Q12" s="2"/>
      <c r="R12" s="2"/>
      <c r="S12" s="2"/>
      <c r="T12" s="2"/>
      <c r="U12" s="2"/>
      <c r="V12" s="2"/>
      <c r="W12" s="16">
        <v>47</v>
      </c>
      <c r="X12" s="2">
        <v>144</v>
      </c>
      <c r="Y12" s="2">
        <v>268</v>
      </c>
      <c r="Z12" s="2">
        <v>358</v>
      </c>
      <c r="AA12" s="2">
        <v>430</v>
      </c>
      <c r="AB12" s="2">
        <v>516</v>
      </c>
      <c r="AC12" s="2">
        <v>608</v>
      </c>
      <c r="AD12" s="2">
        <v>710</v>
      </c>
      <c r="AE12" s="2">
        <v>796</v>
      </c>
      <c r="AF12" s="2">
        <v>866</v>
      </c>
      <c r="AG12" s="2">
        <v>990</v>
      </c>
      <c r="AH12" s="4">
        <v>1000</v>
      </c>
      <c r="AI12" s="2">
        <v>128</v>
      </c>
      <c r="AJ12" s="2">
        <v>238</v>
      </c>
      <c r="AK12" s="2">
        <v>365</v>
      </c>
      <c r="AL12" s="2">
        <v>489</v>
      </c>
      <c r="AM12" s="2">
        <v>614</v>
      </c>
      <c r="AN12" s="2">
        <v>732</v>
      </c>
      <c r="AO12" s="2">
        <v>864</v>
      </c>
      <c r="AP12" s="2">
        <v>993</v>
      </c>
      <c r="AQ12" s="2">
        <v>1129</v>
      </c>
      <c r="AR12" s="2">
        <v>1270</v>
      </c>
      <c r="AS12" s="2">
        <v>1404</v>
      </c>
      <c r="AT12" s="2">
        <v>1460</v>
      </c>
    </row>
    <row r="13" spans="1:46" x14ac:dyDescent="0.25">
      <c r="A13" s="17" t="s">
        <v>23</v>
      </c>
      <c r="B13" s="2">
        <v>11154</v>
      </c>
      <c r="C13" s="2">
        <v>731</v>
      </c>
      <c r="D13" s="4">
        <v>8008</v>
      </c>
      <c r="E13" s="2">
        <v>11502</v>
      </c>
      <c r="F13" s="2">
        <v>499</v>
      </c>
      <c r="G13" s="4">
        <v>8953</v>
      </c>
      <c r="H13" s="2">
        <v>12031</v>
      </c>
      <c r="I13" s="2">
        <v>641</v>
      </c>
      <c r="J13" s="4">
        <v>8424</v>
      </c>
      <c r="K13" s="2">
        <v>135</v>
      </c>
      <c r="L13" s="2">
        <v>239</v>
      </c>
      <c r="M13" s="2">
        <v>341</v>
      </c>
      <c r="N13" s="2">
        <v>445</v>
      </c>
      <c r="O13" s="2">
        <v>623</v>
      </c>
      <c r="P13" s="2">
        <v>731</v>
      </c>
      <c r="Q13" s="2"/>
      <c r="R13" s="2"/>
      <c r="S13" s="2"/>
      <c r="T13" s="2"/>
      <c r="U13" s="2"/>
      <c r="V13" s="2"/>
      <c r="W13" s="16">
        <v>119</v>
      </c>
      <c r="X13" s="2">
        <v>139</v>
      </c>
      <c r="Y13" s="2">
        <v>245</v>
      </c>
      <c r="Z13" s="2">
        <v>350</v>
      </c>
      <c r="AA13" s="2">
        <v>410</v>
      </c>
      <c r="AB13" s="2">
        <v>499</v>
      </c>
      <c r="AC13" s="2">
        <v>547</v>
      </c>
      <c r="AD13" s="2">
        <v>520</v>
      </c>
      <c r="AE13" s="2">
        <v>550</v>
      </c>
      <c r="AF13" s="2">
        <v>551</v>
      </c>
      <c r="AG13" s="2">
        <v>573</v>
      </c>
      <c r="AH13" s="4">
        <v>472</v>
      </c>
      <c r="AI13" s="2">
        <v>114</v>
      </c>
      <c r="AJ13" s="2">
        <v>184</v>
      </c>
      <c r="AK13" s="2">
        <v>287</v>
      </c>
      <c r="AL13" s="2">
        <v>404</v>
      </c>
      <c r="AM13" s="2">
        <v>521</v>
      </c>
      <c r="AN13" s="2">
        <v>641</v>
      </c>
      <c r="AO13" s="2">
        <v>734</v>
      </c>
      <c r="AP13" s="2">
        <v>742</v>
      </c>
      <c r="AQ13" s="2">
        <v>848</v>
      </c>
      <c r="AR13" s="2">
        <v>956</v>
      </c>
      <c r="AS13" s="2">
        <v>1065</v>
      </c>
      <c r="AT13" s="2">
        <v>1065</v>
      </c>
    </row>
    <row r="14" spans="1:46" x14ac:dyDescent="0.25">
      <c r="A14" s="17" t="s">
        <v>24</v>
      </c>
      <c r="B14" s="2">
        <v>11022</v>
      </c>
      <c r="C14" s="2">
        <v>550</v>
      </c>
      <c r="D14" s="4">
        <v>9000</v>
      </c>
      <c r="E14" s="2">
        <v>14644</v>
      </c>
      <c r="F14" s="2">
        <v>780</v>
      </c>
      <c r="G14" s="4">
        <v>8670</v>
      </c>
      <c r="H14" s="2">
        <v>13112</v>
      </c>
      <c r="I14" s="2">
        <v>474</v>
      </c>
      <c r="J14" s="4">
        <v>8193</v>
      </c>
      <c r="K14" s="2">
        <v>62</v>
      </c>
      <c r="L14" s="2">
        <v>144</v>
      </c>
      <c r="M14" s="2">
        <v>167</v>
      </c>
      <c r="N14" s="2">
        <v>201</v>
      </c>
      <c r="O14" s="2">
        <v>319</v>
      </c>
      <c r="P14" s="2">
        <v>550</v>
      </c>
      <c r="Q14" s="2"/>
      <c r="R14" s="2"/>
      <c r="S14" s="2"/>
      <c r="T14" s="2"/>
      <c r="U14" s="2"/>
      <c r="V14" s="2"/>
      <c r="W14" s="16">
        <v>146</v>
      </c>
      <c r="X14" s="2">
        <v>307</v>
      </c>
      <c r="Y14" s="2">
        <v>433</v>
      </c>
      <c r="Z14" s="2">
        <v>560</v>
      </c>
      <c r="AA14" s="2">
        <v>669</v>
      </c>
      <c r="AB14" s="2">
        <v>780</v>
      </c>
      <c r="AC14" s="2">
        <v>884</v>
      </c>
      <c r="AD14" s="2">
        <v>1263</v>
      </c>
      <c r="AE14" s="2">
        <v>1263</v>
      </c>
      <c r="AF14" s="2">
        <v>1263</v>
      </c>
      <c r="AG14" s="2">
        <v>1265</v>
      </c>
      <c r="AH14" s="4">
        <v>1275</v>
      </c>
      <c r="AI14" s="2">
        <v>36</v>
      </c>
      <c r="AJ14" s="2">
        <v>154</v>
      </c>
      <c r="AK14" s="2">
        <v>248</v>
      </c>
      <c r="AL14" s="2">
        <v>359</v>
      </c>
      <c r="AM14" s="2">
        <v>441</v>
      </c>
      <c r="AN14" s="2">
        <v>474</v>
      </c>
      <c r="AO14" s="2">
        <v>525</v>
      </c>
      <c r="AP14" s="2">
        <v>587</v>
      </c>
      <c r="AQ14" s="2">
        <v>649</v>
      </c>
      <c r="AR14" s="2">
        <v>693</v>
      </c>
      <c r="AS14" s="2">
        <v>754</v>
      </c>
      <c r="AT14" s="2">
        <v>714</v>
      </c>
    </row>
    <row r="15" spans="1:46" x14ac:dyDescent="0.25">
      <c r="A15" s="17" t="s">
        <v>25</v>
      </c>
      <c r="B15" s="2">
        <v>8905</v>
      </c>
      <c r="C15" s="2">
        <v>469</v>
      </c>
      <c r="D15" s="4">
        <v>6026</v>
      </c>
      <c r="E15" s="2">
        <v>8796</v>
      </c>
      <c r="F15" s="2">
        <v>316</v>
      </c>
      <c r="G15" s="4">
        <v>6251</v>
      </c>
      <c r="H15" s="2">
        <v>9096</v>
      </c>
      <c r="I15" s="2">
        <v>620</v>
      </c>
      <c r="J15" s="4">
        <v>5804</v>
      </c>
      <c r="K15" s="2">
        <v>24</v>
      </c>
      <c r="L15" s="2">
        <v>81</v>
      </c>
      <c r="M15" s="2">
        <v>150</v>
      </c>
      <c r="N15" s="2">
        <v>314</v>
      </c>
      <c r="O15" s="2">
        <v>403</v>
      </c>
      <c r="P15" s="2">
        <v>469</v>
      </c>
      <c r="Q15" s="2"/>
      <c r="R15" s="2"/>
      <c r="S15" s="2"/>
      <c r="T15" s="2"/>
      <c r="U15" s="2"/>
      <c r="V15" s="2"/>
      <c r="W15" s="16">
        <v>42</v>
      </c>
      <c r="X15" s="2">
        <v>63</v>
      </c>
      <c r="Y15" s="2">
        <v>128</v>
      </c>
      <c r="Z15" s="2">
        <v>142</v>
      </c>
      <c r="AA15" s="2">
        <v>214</v>
      </c>
      <c r="AB15" s="2">
        <v>316</v>
      </c>
      <c r="AC15" s="2">
        <v>419</v>
      </c>
      <c r="AD15" s="2">
        <v>491</v>
      </c>
      <c r="AE15" s="2">
        <v>576</v>
      </c>
      <c r="AF15" s="2">
        <v>644</v>
      </c>
      <c r="AG15" s="2">
        <v>650</v>
      </c>
      <c r="AH15" s="4">
        <v>551</v>
      </c>
      <c r="AI15" s="2">
        <v>100</v>
      </c>
      <c r="AJ15" s="2">
        <v>204</v>
      </c>
      <c r="AK15" s="2">
        <v>293</v>
      </c>
      <c r="AL15" s="2">
        <v>422</v>
      </c>
      <c r="AM15" s="2">
        <v>513</v>
      </c>
      <c r="AN15" s="2">
        <v>620</v>
      </c>
      <c r="AO15" s="2">
        <v>722</v>
      </c>
      <c r="AP15" s="2">
        <v>748</v>
      </c>
      <c r="AQ15" s="2">
        <v>846</v>
      </c>
      <c r="AR15" s="2">
        <v>942</v>
      </c>
      <c r="AS15" s="2">
        <v>1050</v>
      </c>
      <c r="AT15" s="2">
        <v>1161</v>
      </c>
    </row>
    <row r="16" spans="1:46" x14ac:dyDescent="0.25">
      <c r="A16" s="17" t="s">
        <v>26</v>
      </c>
      <c r="B16" s="2">
        <v>16735</v>
      </c>
      <c r="C16" s="2">
        <v>800</v>
      </c>
      <c r="D16" s="4">
        <v>10149</v>
      </c>
      <c r="E16" s="2">
        <v>17503</v>
      </c>
      <c r="F16" s="2">
        <v>1083</v>
      </c>
      <c r="G16" s="4">
        <v>10507</v>
      </c>
      <c r="H16" s="2">
        <v>18207</v>
      </c>
      <c r="I16" s="2">
        <v>1176</v>
      </c>
      <c r="J16" s="4">
        <v>10508</v>
      </c>
      <c r="K16" s="2">
        <v>140</v>
      </c>
      <c r="L16" s="2">
        <v>280</v>
      </c>
      <c r="M16" s="2">
        <v>390</v>
      </c>
      <c r="N16" s="2">
        <v>460</v>
      </c>
      <c r="O16" s="2">
        <v>670</v>
      </c>
      <c r="P16" s="2">
        <v>800</v>
      </c>
      <c r="Q16" s="2"/>
      <c r="R16" s="2"/>
      <c r="S16" s="2"/>
      <c r="T16" s="2"/>
      <c r="U16" s="2"/>
      <c r="V16" s="2"/>
      <c r="W16" s="16">
        <v>69</v>
      </c>
      <c r="X16" s="2">
        <v>194</v>
      </c>
      <c r="Y16" s="2">
        <v>401</v>
      </c>
      <c r="Z16" s="2">
        <v>668</v>
      </c>
      <c r="AA16" s="2">
        <v>864</v>
      </c>
      <c r="AB16" s="2">
        <v>1083</v>
      </c>
      <c r="AC16" s="2">
        <v>1363</v>
      </c>
      <c r="AD16" s="2">
        <v>1364</v>
      </c>
      <c r="AE16" s="2">
        <v>1483</v>
      </c>
      <c r="AF16" s="2">
        <v>1720</v>
      </c>
      <c r="AG16" s="2">
        <v>1909</v>
      </c>
      <c r="AH16" s="4">
        <v>1913</v>
      </c>
      <c r="AI16" s="2">
        <v>79</v>
      </c>
      <c r="AJ16" s="2">
        <v>227</v>
      </c>
      <c r="AK16" s="2">
        <v>459</v>
      </c>
      <c r="AL16" s="2">
        <v>700</v>
      </c>
      <c r="AM16" s="2">
        <v>939</v>
      </c>
      <c r="AN16" s="2">
        <v>1176</v>
      </c>
      <c r="AO16" s="2">
        <v>1417</v>
      </c>
      <c r="AP16" s="2">
        <v>1417</v>
      </c>
      <c r="AQ16" s="2">
        <v>1605</v>
      </c>
      <c r="AR16" s="2">
        <v>1928</v>
      </c>
      <c r="AS16" s="2">
        <v>2257</v>
      </c>
      <c r="AT16" s="2">
        <v>2428</v>
      </c>
    </row>
    <row r="17" spans="1:46" x14ac:dyDescent="0.25">
      <c r="A17" s="17" t="s">
        <v>27</v>
      </c>
      <c r="B17" s="2">
        <v>3635</v>
      </c>
      <c r="C17" s="2">
        <v>96</v>
      </c>
      <c r="D17" s="4">
        <v>2050</v>
      </c>
      <c r="E17" s="2">
        <v>2337</v>
      </c>
      <c r="F17" s="2">
        <v>90</v>
      </c>
      <c r="G17" s="4">
        <v>1585</v>
      </c>
      <c r="H17" s="2">
        <v>3579</v>
      </c>
      <c r="I17" s="2">
        <v>184</v>
      </c>
      <c r="J17" s="4">
        <v>1396</v>
      </c>
      <c r="K17" s="2">
        <v>9</v>
      </c>
      <c r="L17" s="2">
        <v>17</v>
      </c>
      <c r="M17" s="2">
        <v>20</v>
      </c>
      <c r="N17" s="2">
        <v>15</v>
      </c>
      <c r="O17" s="2">
        <v>31</v>
      </c>
      <c r="P17" s="2">
        <v>96</v>
      </c>
      <c r="Q17" s="2"/>
      <c r="R17" s="2"/>
      <c r="S17" s="2"/>
      <c r="T17" s="2"/>
      <c r="U17" s="2"/>
      <c r="V17" s="2"/>
      <c r="W17" s="16">
        <v>17</v>
      </c>
      <c r="X17" s="2">
        <v>29</v>
      </c>
      <c r="Y17" s="2">
        <v>44</v>
      </c>
      <c r="Z17" s="2">
        <v>45</v>
      </c>
      <c r="AA17" s="2">
        <v>48</v>
      </c>
      <c r="AB17" s="2">
        <v>55</v>
      </c>
      <c r="AC17" s="2">
        <v>58</v>
      </c>
      <c r="AD17" s="2">
        <v>35</v>
      </c>
      <c r="AE17" s="2">
        <v>41</v>
      </c>
      <c r="AF17" s="2">
        <v>138</v>
      </c>
      <c r="AG17" s="2">
        <v>203</v>
      </c>
      <c r="AH17" s="4">
        <v>298</v>
      </c>
      <c r="AI17" s="2">
        <v>31</v>
      </c>
      <c r="AJ17" s="2">
        <v>61</v>
      </c>
      <c r="AK17" s="2">
        <v>92</v>
      </c>
      <c r="AL17" s="2">
        <v>123</v>
      </c>
      <c r="AM17" s="2">
        <v>153</v>
      </c>
      <c r="AN17" s="2">
        <v>184</v>
      </c>
      <c r="AO17" s="2">
        <v>215</v>
      </c>
      <c r="AP17" s="2">
        <v>245</v>
      </c>
      <c r="AQ17" s="2">
        <v>276</v>
      </c>
      <c r="AR17" s="2">
        <v>307</v>
      </c>
      <c r="AS17" s="2">
        <v>337</v>
      </c>
      <c r="AT17" s="2">
        <v>368</v>
      </c>
    </row>
    <row r="18" spans="1:46" x14ac:dyDescent="0.25">
      <c r="A18" s="17" t="s">
        <v>28</v>
      </c>
      <c r="B18" s="2">
        <v>15627</v>
      </c>
      <c r="C18" s="2">
        <v>1996</v>
      </c>
      <c r="D18" s="4">
        <v>9397</v>
      </c>
      <c r="E18" s="2">
        <v>15357</v>
      </c>
      <c r="F18" s="2">
        <v>1908</v>
      </c>
      <c r="G18" s="4">
        <v>9702</v>
      </c>
      <c r="H18" s="2">
        <v>14634</v>
      </c>
      <c r="I18" s="2">
        <v>1584</v>
      </c>
      <c r="J18" s="4">
        <v>9527</v>
      </c>
      <c r="K18" s="2">
        <v>73</v>
      </c>
      <c r="L18" s="2">
        <v>240</v>
      </c>
      <c r="M18" s="2">
        <v>626</v>
      </c>
      <c r="N18" s="2">
        <v>1100</v>
      </c>
      <c r="O18" s="2">
        <v>1558</v>
      </c>
      <c r="P18" s="2">
        <v>1996</v>
      </c>
      <c r="Q18" s="2"/>
      <c r="R18" s="2"/>
      <c r="S18" s="2"/>
      <c r="T18" s="2"/>
      <c r="U18" s="2"/>
      <c r="V18" s="2"/>
      <c r="W18" s="16">
        <v>48</v>
      </c>
      <c r="X18" s="2">
        <v>231</v>
      </c>
      <c r="Y18" s="2">
        <v>575</v>
      </c>
      <c r="Z18" s="2">
        <v>968</v>
      </c>
      <c r="AA18" s="2">
        <v>1432</v>
      </c>
      <c r="AB18" s="2">
        <v>1908</v>
      </c>
      <c r="AC18" s="2">
        <v>2413</v>
      </c>
      <c r="AD18" s="2">
        <v>2869</v>
      </c>
      <c r="AE18" s="2">
        <v>3230</v>
      </c>
      <c r="AF18" s="2">
        <v>3594</v>
      </c>
      <c r="AG18" s="2">
        <v>3595</v>
      </c>
      <c r="AH18" s="4">
        <v>3600</v>
      </c>
      <c r="AI18" s="2">
        <v>48</v>
      </c>
      <c r="AJ18" s="2">
        <v>105</v>
      </c>
      <c r="AK18" s="2">
        <v>507</v>
      </c>
      <c r="AL18" s="2">
        <v>791</v>
      </c>
      <c r="AM18" s="2">
        <v>1165</v>
      </c>
      <c r="AN18" s="2">
        <v>1584</v>
      </c>
      <c r="AO18" s="2">
        <v>2015</v>
      </c>
      <c r="AP18" s="2">
        <v>2350</v>
      </c>
      <c r="AQ18" s="2">
        <v>2656</v>
      </c>
      <c r="AR18" s="2">
        <v>2872</v>
      </c>
      <c r="AS18" s="2">
        <v>3141</v>
      </c>
      <c r="AT18" s="2">
        <v>3259</v>
      </c>
    </row>
    <row r="19" spans="1:46" x14ac:dyDescent="0.25">
      <c r="A19" s="17" t="s">
        <v>29</v>
      </c>
      <c r="B19" s="2">
        <v>7270</v>
      </c>
      <c r="C19" s="2">
        <v>150</v>
      </c>
      <c r="D19" s="4">
        <v>8948</v>
      </c>
      <c r="E19" s="2">
        <v>7119</v>
      </c>
      <c r="F19" s="2">
        <v>349</v>
      </c>
      <c r="G19" s="4">
        <v>8520</v>
      </c>
      <c r="H19" s="2">
        <v>7158</v>
      </c>
      <c r="I19" s="2">
        <v>120</v>
      </c>
      <c r="J19" s="4">
        <v>8630</v>
      </c>
      <c r="K19" s="2">
        <v>19</v>
      </c>
      <c r="L19" s="2">
        <v>43</v>
      </c>
      <c r="M19" s="2">
        <v>73</v>
      </c>
      <c r="N19" s="2">
        <v>80</v>
      </c>
      <c r="O19" s="2">
        <v>142</v>
      </c>
      <c r="P19" s="2">
        <v>150</v>
      </c>
      <c r="Q19" s="2"/>
      <c r="R19" s="2"/>
      <c r="S19" s="2"/>
      <c r="T19" s="2"/>
      <c r="U19" s="2"/>
      <c r="V19" s="2"/>
      <c r="W19" s="16">
        <v>46</v>
      </c>
      <c r="X19" s="2">
        <v>107</v>
      </c>
      <c r="Y19" s="2">
        <v>190</v>
      </c>
      <c r="Z19" s="2">
        <v>263</v>
      </c>
      <c r="AA19" s="2">
        <v>308</v>
      </c>
      <c r="AB19" s="2">
        <v>349</v>
      </c>
      <c r="AC19" s="2">
        <v>377</v>
      </c>
      <c r="AD19" s="2">
        <v>516</v>
      </c>
      <c r="AE19" s="2">
        <v>566</v>
      </c>
      <c r="AF19" s="2">
        <v>592</v>
      </c>
      <c r="AG19" s="2">
        <v>591</v>
      </c>
      <c r="AH19" s="4">
        <v>593</v>
      </c>
      <c r="AI19" s="2">
        <v>5</v>
      </c>
      <c r="AJ19" s="2">
        <v>13</v>
      </c>
      <c r="AK19" s="2">
        <v>25</v>
      </c>
      <c r="AL19" s="2">
        <v>29</v>
      </c>
      <c r="AM19" s="2">
        <v>36</v>
      </c>
      <c r="AN19" s="2">
        <v>48</v>
      </c>
      <c r="AO19" s="2">
        <v>60</v>
      </c>
      <c r="AP19" s="2">
        <v>46</v>
      </c>
      <c r="AQ19" s="2">
        <v>60</v>
      </c>
      <c r="AR19" s="2">
        <v>65</v>
      </c>
      <c r="AS19" s="2">
        <v>61</v>
      </c>
      <c r="AT19" s="2">
        <v>39</v>
      </c>
    </row>
    <row r="20" spans="1:46" x14ac:dyDescent="0.25">
      <c r="A20" s="2" t="s">
        <v>30</v>
      </c>
      <c r="B20" s="2">
        <v>5955</v>
      </c>
      <c r="C20" s="2">
        <v>260</v>
      </c>
      <c r="D20" s="4">
        <v>5931</v>
      </c>
      <c r="E20" s="2">
        <v>5612</v>
      </c>
      <c r="F20" s="2">
        <v>233</v>
      </c>
      <c r="G20" s="4">
        <v>5128</v>
      </c>
      <c r="H20" s="2">
        <v>5977</v>
      </c>
      <c r="I20" s="2">
        <v>210</v>
      </c>
      <c r="J20" s="4">
        <v>4722</v>
      </c>
      <c r="K20" s="2">
        <v>30</v>
      </c>
      <c r="L20" s="2">
        <v>70</v>
      </c>
      <c r="M20" s="2">
        <v>80</v>
      </c>
      <c r="N20" s="2">
        <v>110</v>
      </c>
      <c r="O20" s="2">
        <v>120</v>
      </c>
      <c r="P20" s="2">
        <v>260</v>
      </c>
      <c r="Q20" s="2"/>
      <c r="R20" s="2"/>
      <c r="S20" s="2"/>
      <c r="T20" s="2"/>
      <c r="U20" s="2"/>
      <c r="V20" s="2"/>
      <c r="W20" s="16">
        <v>88</v>
      </c>
      <c r="X20" s="2">
        <v>151</v>
      </c>
      <c r="Y20" s="2">
        <v>200</v>
      </c>
      <c r="Z20" s="2">
        <v>226</v>
      </c>
      <c r="AA20" s="2">
        <v>232</v>
      </c>
      <c r="AB20" s="2">
        <v>233</v>
      </c>
      <c r="AC20" s="2">
        <v>235</v>
      </c>
      <c r="AD20" s="2">
        <v>213</v>
      </c>
      <c r="AE20" s="2">
        <v>236</v>
      </c>
      <c r="AF20" s="2">
        <v>194</v>
      </c>
      <c r="AG20" s="2">
        <v>198</v>
      </c>
      <c r="AH20" s="4">
        <v>200</v>
      </c>
      <c r="AI20" s="2">
        <v>3</v>
      </c>
      <c r="AJ20" s="2">
        <v>10</v>
      </c>
      <c r="AK20" s="2">
        <v>20</v>
      </c>
      <c r="AL20" s="2">
        <v>23</v>
      </c>
      <c r="AM20" s="2">
        <v>30</v>
      </c>
      <c r="AN20" s="2">
        <v>40</v>
      </c>
      <c r="AO20" s="2">
        <v>49</v>
      </c>
      <c r="AP20" s="2">
        <v>37</v>
      </c>
      <c r="AQ20" s="2">
        <v>49</v>
      </c>
      <c r="AR20" s="2">
        <v>54</v>
      </c>
      <c r="AS20" s="2">
        <v>53</v>
      </c>
      <c r="AT20" s="2">
        <v>37</v>
      </c>
    </row>
    <row r="21" spans="1:46" x14ac:dyDescent="0.25">
      <c r="A21" s="17" t="s">
        <v>31</v>
      </c>
      <c r="B21" s="2">
        <v>7666</v>
      </c>
      <c r="C21" s="2">
        <v>274</v>
      </c>
      <c r="D21" s="4">
        <v>6624</v>
      </c>
      <c r="E21" s="2">
        <v>5060</v>
      </c>
      <c r="F21" s="2">
        <v>369</v>
      </c>
      <c r="G21" s="4">
        <v>5174</v>
      </c>
      <c r="H21" s="2">
        <v>7099</v>
      </c>
      <c r="I21" s="2">
        <v>230</v>
      </c>
      <c r="J21" s="4">
        <v>6253</v>
      </c>
      <c r="K21" s="2">
        <v>47</v>
      </c>
      <c r="L21" s="2">
        <v>117</v>
      </c>
      <c r="M21" s="2">
        <v>164</v>
      </c>
      <c r="N21" s="2">
        <v>220</v>
      </c>
      <c r="O21" s="2">
        <v>236</v>
      </c>
      <c r="P21" s="2">
        <v>274</v>
      </c>
      <c r="Q21" s="2"/>
      <c r="R21" s="2"/>
      <c r="S21" s="2"/>
      <c r="T21" s="2"/>
      <c r="U21" s="2"/>
      <c r="V21" s="2"/>
      <c r="W21" s="16">
        <v>120</v>
      </c>
      <c r="X21" s="2">
        <v>134</v>
      </c>
      <c r="Y21" s="2">
        <v>156</v>
      </c>
      <c r="Z21" s="2">
        <v>176</v>
      </c>
      <c r="AA21" s="2">
        <v>198</v>
      </c>
      <c r="AB21" s="2">
        <v>212</v>
      </c>
      <c r="AC21" s="2">
        <v>234</v>
      </c>
      <c r="AD21" s="2">
        <v>266</v>
      </c>
      <c r="AE21" s="2">
        <v>279</v>
      </c>
      <c r="AF21" s="2">
        <v>360</v>
      </c>
      <c r="AG21" s="2">
        <v>388</v>
      </c>
      <c r="AH21" s="4">
        <v>450</v>
      </c>
      <c r="AI21" s="2">
        <v>5</v>
      </c>
      <c r="AJ21" s="2">
        <v>15</v>
      </c>
      <c r="AK21" s="2">
        <v>39</v>
      </c>
      <c r="AL21" s="2">
        <v>48</v>
      </c>
      <c r="AM21" s="2">
        <v>56</v>
      </c>
      <c r="AN21" s="2">
        <v>148</v>
      </c>
      <c r="AO21" s="2">
        <v>211</v>
      </c>
      <c r="AP21" s="2">
        <v>289</v>
      </c>
      <c r="AQ21" s="2">
        <v>307</v>
      </c>
      <c r="AR21" s="2">
        <v>363</v>
      </c>
      <c r="AS21" s="2">
        <v>380</v>
      </c>
      <c r="AT21" s="2">
        <v>355</v>
      </c>
    </row>
    <row r="22" spans="1:46" x14ac:dyDescent="0.25">
      <c r="A22" s="17" t="s">
        <v>32</v>
      </c>
      <c r="B22" s="2">
        <v>10857</v>
      </c>
      <c r="C22" s="2">
        <v>281</v>
      </c>
      <c r="D22" s="4">
        <v>4396</v>
      </c>
      <c r="E22" s="2">
        <v>10547</v>
      </c>
      <c r="F22" s="2">
        <v>281</v>
      </c>
      <c r="G22" s="4">
        <v>4979</v>
      </c>
      <c r="H22" s="2">
        <v>10799</v>
      </c>
      <c r="I22" s="2">
        <v>333</v>
      </c>
      <c r="J22" s="4">
        <v>4779</v>
      </c>
      <c r="K22" s="2">
        <v>59</v>
      </c>
      <c r="L22" s="2">
        <v>109</v>
      </c>
      <c r="M22" s="2">
        <v>137</v>
      </c>
      <c r="N22" s="2">
        <v>191</v>
      </c>
      <c r="O22" s="2">
        <v>232</v>
      </c>
      <c r="P22" s="2">
        <v>281</v>
      </c>
      <c r="Q22" s="2"/>
      <c r="R22" s="2"/>
      <c r="S22" s="2"/>
      <c r="T22" s="2"/>
      <c r="U22" s="2"/>
      <c r="V22" s="2"/>
      <c r="W22" s="16">
        <v>68</v>
      </c>
      <c r="X22" s="2">
        <v>87</v>
      </c>
      <c r="Y22" s="2">
        <v>137</v>
      </c>
      <c r="Z22" s="2">
        <v>176</v>
      </c>
      <c r="AA22" s="2">
        <v>219</v>
      </c>
      <c r="AB22" s="2">
        <v>281</v>
      </c>
      <c r="AC22" s="2">
        <v>295</v>
      </c>
      <c r="AD22" s="2">
        <v>330</v>
      </c>
      <c r="AE22" s="2">
        <v>440</v>
      </c>
      <c r="AF22" s="2">
        <v>480</v>
      </c>
      <c r="AG22" s="2">
        <v>554</v>
      </c>
      <c r="AH22" s="4">
        <v>555</v>
      </c>
      <c r="AI22" s="2">
        <v>70</v>
      </c>
      <c r="AJ22" s="2">
        <v>117</v>
      </c>
      <c r="AK22" s="2">
        <v>151</v>
      </c>
      <c r="AL22" s="2">
        <v>214</v>
      </c>
      <c r="AM22" s="2">
        <v>264</v>
      </c>
      <c r="AN22" s="2">
        <v>333</v>
      </c>
      <c r="AO22" s="2">
        <v>374</v>
      </c>
      <c r="AP22" s="2">
        <v>387</v>
      </c>
      <c r="AQ22" s="2">
        <v>459</v>
      </c>
      <c r="AR22" s="2">
        <v>532</v>
      </c>
      <c r="AS22" s="2">
        <v>606</v>
      </c>
      <c r="AT22" s="2">
        <v>650</v>
      </c>
    </row>
    <row r="23" spans="1:46" x14ac:dyDescent="0.25">
      <c r="A23" s="17" t="s">
        <v>33</v>
      </c>
      <c r="B23" s="2">
        <v>9873</v>
      </c>
      <c r="C23" s="2">
        <v>370</v>
      </c>
      <c r="D23" s="4">
        <v>7076</v>
      </c>
      <c r="E23" s="2">
        <v>11069</v>
      </c>
      <c r="F23" s="2">
        <v>652</v>
      </c>
      <c r="G23" s="4">
        <v>6853</v>
      </c>
      <c r="H23" s="2">
        <v>10500</v>
      </c>
      <c r="I23" s="2">
        <v>637</v>
      </c>
      <c r="J23" s="4">
        <v>8490</v>
      </c>
      <c r="K23" s="2">
        <v>30</v>
      </c>
      <c r="L23" s="2">
        <v>90</v>
      </c>
      <c r="M23" s="2">
        <v>166</v>
      </c>
      <c r="N23" s="2">
        <v>227</v>
      </c>
      <c r="O23" s="2">
        <v>304</v>
      </c>
      <c r="P23" s="2">
        <v>370</v>
      </c>
      <c r="Q23" s="2"/>
      <c r="R23" s="2"/>
      <c r="S23" s="2"/>
      <c r="T23" s="2"/>
      <c r="U23" s="2"/>
      <c r="V23" s="2"/>
      <c r="W23" s="16">
        <v>139</v>
      </c>
      <c r="X23" s="2">
        <v>264</v>
      </c>
      <c r="Y23" s="2">
        <v>409</v>
      </c>
      <c r="Z23" s="2">
        <v>519</v>
      </c>
      <c r="AA23" s="2">
        <v>580</v>
      </c>
      <c r="AB23" s="2">
        <v>652</v>
      </c>
      <c r="AC23" s="2">
        <v>690</v>
      </c>
      <c r="AD23" s="2">
        <v>593</v>
      </c>
      <c r="AE23" s="2">
        <v>619</v>
      </c>
      <c r="AF23" s="2">
        <v>622</v>
      </c>
      <c r="AG23" s="2">
        <v>680</v>
      </c>
      <c r="AH23" s="4">
        <v>682</v>
      </c>
      <c r="AI23" s="2">
        <v>110</v>
      </c>
      <c r="AJ23" s="2">
        <v>214</v>
      </c>
      <c r="AK23" s="2">
        <v>323</v>
      </c>
      <c r="AL23" s="2">
        <v>426</v>
      </c>
      <c r="AM23" s="2">
        <v>535</v>
      </c>
      <c r="AN23" s="2">
        <v>637</v>
      </c>
      <c r="AO23" s="2">
        <v>765</v>
      </c>
      <c r="AP23" s="2">
        <v>771</v>
      </c>
      <c r="AQ23" s="2">
        <v>878</v>
      </c>
      <c r="AR23" s="2">
        <v>1005</v>
      </c>
      <c r="AS23" s="2">
        <v>1105</v>
      </c>
      <c r="AT23" s="2">
        <v>1130</v>
      </c>
    </row>
    <row r="24" spans="1:46" x14ac:dyDescent="0.25">
      <c r="A24" s="17" t="s">
        <v>34</v>
      </c>
      <c r="B24" s="2">
        <v>6405</v>
      </c>
      <c r="C24" s="2">
        <v>363</v>
      </c>
      <c r="D24" s="4">
        <v>1389</v>
      </c>
      <c r="E24" s="2">
        <v>5995</v>
      </c>
      <c r="F24" s="2">
        <v>268</v>
      </c>
      <c r="G24" s="4">
        <v>1708</v>
      </c>
      <c r="H24" s="2">
        <v>5819</v>
      </c>
      <c r="I24" s="2">
        <v>248</v>
      </c>
      <c r="J24" s="4">
        <v>2226</v>
      </c>
      <c r="K24" s="2">
        <v>34</v>
      </c>
      <c r="L24" s="2">
        <v>80</v>
      </c>
      <c r="M24" s="2">
        <v>151</v>
      </c>
      <c r="N24" s="2">
        <v>214</v>
      </c>
      <c r="O24" s="2">
        <v>283</v>
      </c>
      <c r="P24" s="2">
        <v>363</v>
      </c>
      <c r="Q24" s="2"/>
      <c r="R24" s="2"/>
      <c r="S24" s="2"/>
      <c r="T24" s="2"/>
      <c r="U24" s="2"/>
      <c r="V24" s="2"/>
      <c r="W24" s="16">
        <v>16</v>
      </c>
      <c r="X24" s="2">
        <v>37</v>
      </c>
      <c r="Y24" s="2">
        <v>83</v>
      </c>
      <c r="Z24" s="2">
        <v>161</v>
      </c>
      <c r="AA24" s="2">
        <v>192</v>
      </c>
      <c r="AB24" s="2">
        <v>268</v>
      </c>
      <c r="AC24" s="2">
        <v>286</v>
      </c>
      <c r="AD24" s="2">
        <v>269</v>
      </c>
      <c r="AE24" s="2">
        <v>339</v>
      </c>
      <c r="AF24" s="2">
        <v>383</v>
      </c>
      <c r="AG24" s="2">
        <v>367</v>
      </c>
      <c r="AH24" s="4">
        <v>464</v>
      </c>
      <c r="AI24" s="2">
        <v>24</v>
      </c>
      <c r="AJ24" s="2">
        <v>54</v>
      </c>
      <c r="AK24" s="2">
        <v>100</v>
      </c>
      <c r="AL24" s="2">
        <v>142</v>
      </c>
      <c r="AM24" s="2">
        <v>194</v>
      </c>
      <c r="AN24" s="2">
        <v>248</v>
      </c>
      <c r="AO24" s="2">
        <v>299</v>
      </c>
      <c r="AP24" s="2">
        <v>299</v>
      </c>
      <c r="AQ24" s="2">
        <v>345</v>
      </c>
      <c r="AR24" s="2">
        <v>391</v>
      </c>
      <c r="AS24" s="2">
        <v>432</v>
      </c>
      <c r="AT24" s="2">
        <v>431</v>
      </c>
    </row>
    <row r="25" spans="1:46" x14ac:dyDescent="0.25">
      <c r="A25" s="2" t="s">
        <v>35</v>
      </c>
      <c r="B25" s="2">
        <v>210616</v>
      </c>
      <c r="C25" s="2">
        <v>12324.3</v>
      </c>
      <c r="D25" s="4">
        <v>95902.1</v>
      </c>
      <c r="E25" s="2">
        <v>199893.6</v>
      </c>
      <c r="F25" s="2">
        <v>9835.9000000000015</v>
      </c>
      <c r="G25" s="4">
        <v>101383.6</v>
      </c>
      <c r="H25" s="2">
        <v>198526.40000000002</v>
      </c>
      <c r="I25" s="2">
        <v>11343.8</v>
      </c>
      <c r="J25" s="4">
        <v>100022.6</v>
      </c>
      <c r="K25" s="2">
        <v>1523.4</v>
      </c>
      <c r="L25" s="2">
        <v>3029.7</v>
      </c>
      <c r="M25" s="2">
        <v>4948.3999999999996</v>
      </c>
      <c r="N25" s="2">
        <v>7267</v>
      </c>
      <c r="O25" s="2">
        <v>10245.5</v>
      </c>
      <c r="P25" s="2">
        <v>12324.3</v>
      </c>
      <c r="Q25" s="2">
        <v>0</v>
      </c>
      <c r="R25" s="2">
        <v>0</v>
      </c>
      <c r="S25" s="2">
        <v>0</v>
      </c>
      <c r="T25" s="2">
        <v>0</v>
      </c>
      <c r="U25" s="2">
        <v>0</v>
      </c>
      <c r="V25" s="2">
        <v>0</v>
      </c>
      <c r="W25" s="16">
        <v>1228</v>
      </c>
      <c r="X25" s="2">
        <v>2468.6999999999998</v>
      </c>
      <c r="Y25" s="2">
        <v>4022.1000000000004</v>
      </c>
      <c r="Z25" s="2">
        <v>5341.2</v>
      </c>
      <c r="AA25" s="2">
        <v>6926.7</v>
      </c>
      <c r="AB25" s="2">
        <v>8526.7000000000007</v>
      </c>
      <c r="AC25" s="2">
        <v>10423.9</v>
      </c>
      <c r="AD25" s="2">
        <v>10992.900000000001</v>
      </c>
      <c r="AE25" s="2">
        <v>12312.1</v>
      </c>
      <c r="AF25" s="2">
        <v>13498.900000000001</v>
      </c>
      <c r="AG25" s="2">
        <v>14643</v>
      </c>
      <c r="AH25" s="4">
        <v>15391.900000000001</v>
      </c>
      <c r="AI25" s="2">
        <v>1469.7</v>
      </c>
      <c r="AJ25" s="2">
        <v>2920.6000000000004</v>
      </c>
      <c r="AK25" s="2">
        <v>4767.3999999999996</v>
      </c>
      <c r="AL25" s="2">
        <v>6226.2999999999993</v>
      </c>
      <c r="AM25" s="2">
        <v>8272.5</v>
      </c>
      <c r="AN25" s="2">
        <v>10141.400000000001</v>
      </c>
      <c r="AO25" s="2">
        <v>12032.099999999999</v>
      </c>
      <c r="AP25" s="2">
        <v>12476.8</v>
      </c>
      <c r="AQ25" s="2">
        <v>14357.9</v>
      </c>
      <c r="AR25" s="2">
        <v>15804.7</v>
      </c>
      <c r="AS25" s="2">
        <v>17385.599999999999</v>
      </c>
      <c r="AT25" s="2">
        <v>17750.2</v>
      </c>
    </row>
    <row r="26" spans="1:46" x14ac:dyDescent="0.25">
      <c r="A26" s="18" t="s">
        <v>36</v>
      </c>
      <c r="B26" s="2">
        <v>11649</v>
      </c>
      <c r="C26" s="2">
        <v>802</v>
      </c>
      <c r="D26" s="4">
        <v>5956</v>
      </c>
      <c r="E26" s="2">
        <v>10414</v>
      </c>
      <c r="F26" s="2">
        <v>536</v>
      </c>
      <c r="G26" s="4">
        <v>6713</v>
      </c>
      <c r="H26" s="2">
        <v>10593</v>
      </c>
      <c r="I26" s="2">
        <v>554</v>
      </c>
      <c r="J26" s="4">
        <v>6803</v>
      </c>
      <c r="K26" s="2">
        <v>55</v>
      </c>
      <c r="L26" s="2">
        <v>58</v>
      </c>
      <c r="M26" s="2">
        <v>212</v>
      </c>
      <c r="N26" s="2">
        <v>410</v>
      </c>
      <c r="O26" s="2">
        <v>638</v>
      </c>
      <c r="P26" s="2">
        <v>802</v>
      </c>
      <c r="Q26" s="2"/>
      <c r="R26" s="2"/>
      <c r="S26" s="2"/>
      <c r="T26" s="2"/>
      <c r="U26" s="2"/>
      <c r="V26" s="2"/>
      <c r="W26" s="16">
        <v>24</v>
      </c>
      <c r="X26" s="2">
        <v>123</v>
      </c>
      <c r="Y26" s="2">
        <v>208</v>
      </c>
      <c r="Z26" s="2">
        <v>229</v>
      </c>
      <c r="AA26" s="2">
        <v>397</v>
      </c>
      <c r="AB26" s="2">
        <v>536</v>
      </c>
      <c r="AC26" s="2">
        <v>849</v>
      </c>
      <c r="AD26" s="2">
        <v>791</v>
      </c>
      <c r="AE26" s="2">
        <v>917</v>
      </c>
      <c r="AF26" s="2">
        <v>1073</v>
      </c>
      <c r="AG26" s="2">
        <v>1056</v>
      </c>
      <c r="AH26" s="4">
        <v>1217</v>
      </c>
      <c r="AI26" s="2">
        <v>26</v>
      </c>
      <c r="AJ26" s="2">
        <v>68</v>
      </c>
      <c r="AK26" s="2">
        <v>125</v>
      </c>
      <c r="AL26" s="2">
        <v>227</v>
      </c>
      <c r="AM26" s="2">
        <v>406</v>
      </c>
      <c r="AN26" s="2">
        <v>554</v>
      </c>
      <c r="AO26" s="2">
        <v>749</v>
      </c>
      <c r="AP26" s="2">
        <v>724</v>
      </c>
      <c r="AQ26" s="2">
        <v>872</v>
      </c>
      <c r="AR26" s="2">
        <v>973</v>
      </c>
      <c r="AS26" s="2">
        <v>1028</v>
      </c>
      <c r="AT26" s="2">
        <v>1064</v>
      </c>
    </row>
    <row r="27" spans="1:46" x14ac:dyDescent="0.25">
      <c r="A27" s="18" t="s">
        <v>37</v>
      </c>
      <c r="B27" s="2">
        <v>7718</v>
      </c>
      <c r="C27" s="2">
        <v>876</v>
      </c>
      <c r="D27" s="4">
        <v>8432</v>
      </c>
      <c r="E27" s="2">
        <v>7282</v>
      </c>
      <c r="F27" s="2">
        <v>775</v>
      </c>
      <c r="G27" s="4">
        <v>8242</v>
      </c>
      <c r="H27" s="2">
        <v>6409</v>
      </c>
      <c r="I27" s="2">
        <v>654</v>
      </c>
      <c r="J27" s="4">
        <v>8312</v>
      </c>
      <c r="K27" s="2">
        <v>69</v>
      </c>
      <c r="L27" s="2">
        <v>157</v>
      </c>
      <c r="M27" s="2">
        <v>276</v>
      </c>
      <c r="N27" s="2">
        <v>455</v>
      </c>
      <c r="O27" s="2">
        <v>671</v>
      </c>
      <c r="P27" s="2">
        <v>876</v>
      </c>
      <c r="Q27" s="2"/>
      <c r="R27" s="2"/>
      <c r="S27" s="2"/>
      <c r="T27" s="2"/>
      <c r="U27" s="2"/>
      <c r="V27" s="2"/>
      <c r="W27" s="16">
        <v>55</v>
      </c>
      <c r="X27" s="2">
        <v>142</v>
      </c>
      <c r="Y27" s="2">
        <v>250</v>
      </c>
      <c r="Z27" s="2">
        <v>338</v>
      </c>
      <c r="AA27" s="2">
        <v>574</v>
      </c>
      <c r="AB27" s="2">
        <v>775</v>
      </c>
      <c r="AC27" s="2">
        <v>1075</v>
      </c>
      <c r="AD27" s="2">
        <v>1146</v>
      </c>
      <c r="AE27" s="2">
        <v>1360</v>
      </c>
      <c r="AF27" s="2">
        <v>1567</v>
      </c>
      <c r="AG27" s="2">
        <v>1733</v>
      </c>
      <c r="AH27" s="4">
        <v>1709</v>
      </c>
      <c r="AI27" s="2">
        <v>59</v>
      </c>
      <c r="AJ27" s="2">
        <v>129</v>
      </c>
      <c r="AK27" s="2">
        <v>211</v>
      </c>
      <c r="AL27" s="2">
        <v>315</v>
      </c>
      <c r="AM27" s="2">
        <v>496</v>
      </c>
      <c r="AN27" s="2">
        <v>654</v>
      </c>
      <c r="AO27" s="2">
        <v>835</v>
      </c>
      <c r="AP27" s="2">
        <v>863</v>
      </c>
      <c r="AQ27" s="2">
        <v>997</v>
      </c>
      <c r="AR27" s="2">
        <v>1096</v>
      </c>
      <c r="AS27" s="2">
        <v>1183</v>
      </c>
      <c r="AT27" s="2">
        <v>1241</v>
      </c>
    </row>
    <row r="28" spans="1:46" x14ac:dyDescent="0.25">
      <c r="A28" s="18" t="s">
        <v>38</v>
      </c>
      <c r="B28" s="2">
        <v>15033</v>
      </c>
      <c r="C28" s="2">
        <v>469</v>
      </c>
      <c r="D28" s="4">
        <v>3512</v>
      </c>
      <c r="E28" s="2">
        <v>15064</v>
      </c>
      <c r="F28" s="2">
        <v>392</v>
      </c>
      <c r="G28" s="4">
        <v>3488</v>
      </c>
      <c r="H28" s="2">
        <v>12724</v>
      </c>
      <c r="I28" s="2">
        <v>530</v>
      </c>
      <c r="J28" s="4">
        <v>3347</v>
      </c>
      <c r="K28" s="2">
        <v>100</v>
      </c>
      <c r="L28" s="2">
        <v>154</v>
      </c>
      <c r="M28" s="2">
        <v>215</v>
      </c>
      <c r="N28" s="2">
        <v>280</v>
      </c>
      <c r="O28" s="2">
        <v>389</v>
      </c>
      <c r="P28" s="2">
        <v>469</v>
      </c>
      <c r="Q28" s="2"/>
      <c r="R28" s="2"/>
      <c r="S28" s="2"/>
      <c r="T28" s="2"/>
      <c r="U28" s="2"/>
      <c r="V28" s="2"/>
      <c r="W28" s="16">
        <v>2</v>
      </c>
      <c r="X28" s="2">
        <v>44</v>
      </c>
      <c r="Y28" s="2">
        <v>102</v>
      </c>
      <c r="Z28" s="2">
        <v>206</v>
      </c>
      <c r="AA28" s="2">
        <v>269</v>
      </c>
      <c r="AB28" s="2">
        <v>392</v>
      </c>
      <c r="AC28" s="2">
        <v>528</v>
      </c>
      <c r="AD28" s="2">
        <v>616</v>
      </c>
      <c r="AE28" s="2">
        <v>724</v>
      </c>
      <c r="AF28" s="2">
        <v>754</v>
      </c>
      <c r="AG28" s="2">
        <v>737</v>
      </c>
      <c r="AH28" s="4">
        <v>702</v>
      </c>
      <c r="AI28" s="2">
        <v>82</v>
      </c>
      <c r="AJ28" s="2">
        <v>164</v>
      </c>
      <c r="AK28" s="2">
        <v>283</v>
      </c>
      <c r="AL28" s="2">
        <v>353</v>
      </c>
      <c r="AM28" s="2">
        <v>454</v>
      </c>
      <c r="AN28" s="2">
        <v>530</v>
      </c>
      <c r="AO28" s="2">
        <v>648</v>
      </c>
      <c r="AP28" s="2">
        <v>742</v>
      </c>
      <c r="AQ28" s="2">
        <v>791</v>
      </c>
      <c r="AR28" s="2">
        <v>812</v>
      </c>
      <c r="AS28" s="2">
        <v>763</v>
      </c>
      <c r="AT28" s="2">
        <v>770</v>
      </c>
    </row>
    <row r="29" spans="1:46" x14ac:dyDescent="0.25">
      <c r="A29" s="18" t="s">
        <v>39</v>
      </c>
      <c r="B29" s="2">
        <v>21579</v>
      </c>
      <c r="C29" s="2">
        <v>920</v>
      </c>
      <c r="D29" s="4">
        <v>7461</v>
      </c>
      <c r="E29" s="2">
        <v>20686</v>
      </c>
      <c r="F29" s="2">
        <v>653</v>
      </c>
      <c r="G29" s="4">
        <v>8589</v>
      </c>
      <c r="H29" s="2">
        <v>20478</v>
      </c>
      <c r="I29" s="2">
        <v>658</v>
      </c>
      <c r="J29" s="4">
        <v>7602</v>
      </c>
      <c r="K29" s="2">
        <v>170</v>
      </c>
      <c r="L29" s="2">
        <v>316</v>
      </c>
      <c r="M29" s="2">
        <v>478</v>
      </c>
      <c r="N29" s="2">
        <v>626</v>
      </c>
      <c r="O29" s="2">
        <v>788</v>
      </c>
      <c r="P29" s="2">
        <v>920</v>
      </c>
      <c r="Q29" s="2"/>
      <c r="R29" s="2"/>
      <c r="S29" s="2"/>
      <c r="T29" s="2"/>
      <c r="U29" s="2"/>
      <c r="V29" s="2"/>
      <c r="W29" s="16">
        <v>162</v>
      </c>
      <c r="X29" s="2">
        <v>292</v>
      </c>
      <c r="Y29" s="2">
        <v>399</v>
      </c>
      <c r="Z29" s="2">
        <v>506</v>
      </c>
      <c r="AA29" s="2">
        <v>593</v>
      </c>
      <c r="AB29" s="2">
        <v>653</v>
      </c>
      <c r="AC29" s="2">
        <v>716</v>
      </c>
      <c r="AD29" s="2">
        <v>728</v>
      </c>
      <c r="AE29" s="2">
        <v>807</v>
      </c>
      <c r="AF29" s="2">
        <v>867</v>
      </c>
      <c r="AG29" s="2">
        <v>938</v>
      </c>
      <c r="AH29" s="4">
        <v>1028</v>
      </c>
      <c r="AI29" s="2">
        <v>133</v>
      </c>
      <c r="AJ29" s="2">
        <v>258</v>
      </c>
      <c r="AK29" s="2">
        <v>411</v>
      </c>
      <c r="AL29" s="2">
        <v>409</v>
      </c>
      <c r="AM29" s="2">
        <v>540</v>
      </c>
      <c r="AN29" s="2">
        <v>658</v>
      </c>
      <c r="AO29" s="2">
        <v>747</v>
      </c>
      <c r="AP29" s="2">
        <v>696</v>
      </c>
      <c r="AQ29" s="2">
        <v>841</v>
      </c>
      <c r="AR29" s="2">
        <v>855</v>
      </c>
      <c r="AS29" s="2">
        <v>994</v>
      </c>
      <c r="AT29" s="2">
        <v>931</v>
      </c>
    </row>
    <row r="30" spans="1:46" x14ac:dyDescent="0.25">
      <c r="A30" s="18" t="s">
        <v>40</v>
      </c>
      <c r="B30" s="2">
        <v>27210.600000000002</v>
      </c>
      <c r="C30" s="2">
        <v>2903.4</v>
      </c>
      <c r="D30" s="4">
        <v>10490.4</v>
      </c>
      <c r="E30" s="2">
        <v>25448.400000000001</v>
      </c>
      <c r="F30" s="2">
        <v>2160</v>
      </c>
      <c r="G30" s="4">
        <v>11181.6</v>
      </c>
      <c r="H30" s="2">
        <v>24219</v>
      </c>
      <c r="I30" s="2">
        <v>2520</v>
      </c>
      <c r="J30" s="4">
        <v>10458</v>
      </c>
      <c r="K30" s="2">
        <v>270</v>
      </c>
      <c r="L30" s="2">
        <v>567</v>
      </c>
      <c r="M30" s="2">
        <v>966.6</v>
      </c>
      <c r="N30" s="2">
        <v>1431</v>
      </c>
      <c r="O30" s="2">
        <v>2507.4</v>
      </c>
      <c r="P30" s="2">
        <v>2903.4</v>
      </c>
      <c r="Q30" s="2">
        <v>0</v>
      </c>
      <c r="R30" s="2">
        <v>0</v>
      </c>
      <c r="S30" s="2">
        <v>0</v>
      </c>
      <c r="T30" s="2">
        <v>0</v>
      </c>
      <c r="U30" s="2">
        <v>0</v>
      </c>
      <c r="V30" s="2">
        <v>0</v>
      </c>
      <c r="W30" s="16">
        <v>84.600000000000009</v>
      </c>
      <c r="X30" s="2">
        <v>259.2</v>
      </c>
      <c r="Y30" s="2">
        <v>482.40000000000003</v>
      </c>
      <c r="Z30" s="2">
        <v>644.4</v>
      </c>
      <c r="AA30" s="2">
        <v>774</v>
      </c>
      <c r="AB30" s="2">
        <v>928.80000000000007</v>
      </c>
      <c r="AC30" s="2">
        <v>1094.4000000000001</v>
      </c>
      <c r="AD30" s="2">
        <v>1278</v>
      </c>
      <c r="AE30" s="2">
        <v>1432.8</v>
      </c>
      <c r="AF30" s="2">
        <v>1558.8</v>
      </c>
      <c r="AG30" s="2">
        <v>1782</v>
      </c>
      <c r="AH30" s="4">
        <v>1962</v>
      </c>
      <c r="AI30" s="2">
        <v>230.4</v>
      </c>
      <c r="AJ30" s="2">
        <v>428.40000000000003</v>
      </c>
      <c r="AK30" s="2">
        <v>657</v>
      </c>
      <c r="AL30" s="2">
        <v>880.2</v>
      </c>
      <c r="AM30" s="2">
        <v>1105.2</v>
      </c>
      <c r="AN30" s="2">
        <v>1317.6000000000001</v>
      </c>
      <c r="AO30" s="2">
        <v>1555.2</v>
      </c>
      <c r="AP30" s="2">
        <v>1787.4</v>
      </c>
      <c r="AQ30" s="2">
        <v>2032.2</v>
      </c>
      <c r="AR30" s="2">
        <v>2286</v>
      </c>
      <c r="AS30" s="2">
        <v>2527.2000000000003</v>
      </c>
      <c r="AT30" s="2">
        <v>2628</v>
      </c>
    </row>
    <row r="31" spans="1:46" x14ac:dyDescent="0.25">
      <c r="A31" s="18" t="s">
        <v>41</v>
      </c>
      <c r="B31" s="2">
        <v>18700.5</v>
      </c>
      <c r="C31" s="2">
        <v>984.90000000000009</v>
      </c>
      <c r="D31" s="4">
        <v>12654.6</v>
      </c>
      <c r="E31" s="2">
        <v>18471.600000000002</v>
      </c>
      <c r="F31" s="2">
        <v>663.6</v>
      </c>
      <c r="G31" s="4">
        <v>13127.1</v>
      </c>
      <c r="H31" s="2">
        <v>19101.600000000002</v>
      </c>
      <c r="I31" s="2">
        <v>1302</v>
      </c>
      <c r="J31" s="4">
        <v>12188.4</v>
      </c>
      <c r="K31" s="2">
        <v>50.400000000000006</v>
      </c>
      <c r="L31" s="2">
        <v>170.1</v>
      </c>
      <c r="M31" s="2">
        <v>315</v>
      </c>
      <c r="N31" s="2">
        <v>659.4</v>
      </c>
      <c r="O31" s="2">
        <v>846.30000000000007</v>
      </c>
      <c r="P31" s="2">
        <v>984.90000000000009</v>
      </c>
      <c r="Q31" s="2">
        <v>0</v>
      </c>
      <c r="R31" s="2">
        <v>0</v>
      </c>
      <c r="S31" s="2">
        <v>0</v>
      </c>
      <c r="T31" s="2">
        <v>0</v>
      </c>
      <c r="U31" s="2">
        <v>0</v>
      </c>
      <c r="V31" s="2">
        <v>0</v>
      </c>
      <c r="W31" s="16">
        <v>88.2</v>
      </c>
      <c r="X31" s="2">
        <v>132.30000000000001</v>
      </c>
      <c r="Y31" s="2">
        <v>268.8</v>
      </c>
      <c r="Z31" s="2">
        <v>298.2</v>
      </c>
      <c r="AA31" s="2">
        <v>449.40000000000003</v>
      </c>
      <c r="AB31" s="2">
        <v>663.6</v>
      </c>
      <c r="AC31" s="2">
        <v>879.90000000000009</v>
      </c>
      <c r="AD31" s="2">
        <v>1031.1000000000001</v>
      </c>
      <c r="AE31" s="2">
        <v>1209.6000000000001</v>
      </c>
      <c r="AF31" s="2">
        <v>1352.4</v>
      </c>
      <c r="AG31" s="2">
        <v>1516.2</v>
      </c>
      <c r="AH31" s="4">
        <v>1157.1000000000001</v>
      </c>
      <c r="AI31" s="2">
        <v>210</v>
      </c>
      <c r="AJ31" s="2">
        <v>428.40000000000003</v>
      </c>
      <c r="AK31" s="2">
        <v>615.30000000000007</v>
      </c>
      <c r="AL31" s="2">
        <v>886.2</v>
      </c>
      <c r="AM31" s="2">
        <v>1077.3</v>
      </c>
      <c r="AN31" s="2">
        <v>1302</v>
      </c>
      <c r="AO31" s="2">
        <v>1516.2</v>
      </c>
      <c r="AP31" s="2">
        <v>1570.8</v>
      </c>
      <c r="AQ31" s="2">
        <v>1776.6000000000001</v>
      </c>
      <c r="AR31" s="2">
        <v>1978.2</v>
      </c>
      <c r="AS31" s="2">
        <v>2205</v>
      </c>
      <c r="AT31" s="2">
        <v>2438.1</v>
      </c>
    </row>
    <row r="32" spans="1:46" x14ac:dyDescent="0.25">
      <c r="A32" s="18" t="s">
        <v>42</v>
      </c>
      <c r="B32" s="2">
        <v>45315.9</v>
      </c>
      <c r="C32" s="2">
        <v>1932</v>
      </c>
      <c r="D32" s="4">
        <v>15668.1</v>
      </c>
      <c r="E32" s="2">
        <v>43440.6</v>
      </c>
      <c r="F32" s="2">
        <v>1371.3</v>
      </c>
      <c r="G32" s="4">
        <v>18036.900000000001</v>
      </c>
      <c r="H32" s="2">
        <v>43003.8</v>
      </c>
      <c r="I32" s="2">
        <v>1381.8</v>
      </c>
      <c r="J32" s="4">
        <v>15964.2</v>
      </c>
      <c r="K32" s="2">
        <v>357</v>
      </c>
      <c r="L32" s="2">
        <v>663.6</v>
      </c>
      <c r="M32" s="2">
        <v>1003.8000000000001</v>
      </c>
      <c r="N32" s="2">
        <v>1314.6000000000001</v>
      </c>
      <c r="O32" s="2">
        <v>1654.8000000000002</v>
      </c>
      <c r="P32" s="2">
        <v>1932</v>
      </c>
      <c r="Q32" s="2">
        <v>0</v>
      </c>
      <c r="R32" s="2">
        <v>0</v>
      </c>
      <c r="S32" s="2">
        <v>0</v>
      </c>
      <c r="T32" s="2">
        <v>0</v>
      </c>
      <c r="U32" s="2">
        <v>0</v>
      </c>
      <c r="V32" s="2">
        <v>0</v>
      </c>
      <c r="W32" s="16">
        <v>340.2</v>
      </c>
      <c r="X32" s="2">
        <v>613.20000000000005</v>
      </c>
      <c r="Y32" s="2">
        <v>837.90000000000009</v>
      </c>
      <c r="Z32" s="2">
        <v>1062.6000000000001</v>
      </c>
      <c r="AA32" s="2">
        <v>1245.3</v>
      </c>
      <c r="AB32" s="2">
        <v>1371.3</v>
      </c>
      <c r="AC32" s="2">
        <v>1503.6000000000001</v>
      </c>
      <c r="AD32" s="2">
        <v>1528.8</v>
      </c>
      <c r="AE32" s="2">
        <v>1694.7</v>
      </c>
      <c r="AF32" s="2">
        <v>1820.7</v>
      </c>
      <c r="AG32" s="2">
        <v>1969.8000000000002</v>
      </c>
      <c r="AH32" s="4">
        <v>2158.8000000000002</v>
      </c>
      <c r="AI32" s="2">
        <v>279.3</v>
      </c>
      <c r="AJ32" s="2">
        <v>541.80000000000007</v>
      </c>
      <c r="AK32" s="2">
        <v>863.1</v>
      </c>
      <c r="AL32" s="2">
        <v>858.90000000000009</v>
      </c>
      <c r="AM32" s="2">
        <v>1134</v>
      </c>
      <c r="AN32" s="2">
        <v>1381.8</v>
      </c>
      <c r="AO32" s="2">
        <v>1568.7</v>
      </c>
      <c r="AP32" s="2">
        <v>1461.6000000000001</v>
      </c>
      <c r="AQ32" s="2">
        <v>1766.1000000000001</v>
      </c>
      <c r="AR32" s="2">
        <v>1795.5</v>
      </c>
      <c r="AS32" s="2">
        <v>2087.4</v>
      </c>
      <c r="AT32" s="2">
        <v>1955.1000000000001</v>
      </c>
    </row>
    <row r="33" spans="1:46" x14ac:dyDescent="0.25">
      <c r="A33" s="18" t="s">
        <v>43</v>
      </c>
      <c r="B33" s="2">
        <v>35980</v>
      </c>
      <c r="C33" s="2">
        <v>2332</v>
      </c>
      <c r="D33" s="4">
        <v>14274</v>
      </c>
      <c r="E33" s="2">
        <v>32790</v>
      </c>
      <c r="F33" s="2">
        <v>2006</v>
      </c>
      <c r="G33" s="4">
        <v>14846</v>
      </c>
      <c r="H33" s="2">
        <v>36362</v>
      </c>
      <c r="I33" s="2">
        <v>2446</v>
      </c>
      <c r="J33" s="4">
        <v>16392</v>
      </c>
      <c r="K33" s="2">
        <v>340</v>
      </c>
      <c r="L33" s="2">
        <v>654</v>
      </c>
      <c r="M33" s="2">
        <v>1024</v>
      </c>
      <c r="N33" s="2">
        <v>1464</v>
      </c>
      <c r="O33" s="2">
        <v>1882</v>
      </c>
      <c r="P33" s="2">
        <v>2332</v>
      </c>
      <c r="Q33" s="2">
        <v>0</v>
      </c>
      <c r="R33" s="2">
        <v>0</v>
      </c>
      <c r="S33" s="2">
        <v>0</v>
      </c>
      <c r="T33" s="2">
        <v>0</v>
      </c>
      <c r="U33" s="2">
        <v>0</v>
      </c>
      <c r="V33" s="2">
        <v>0</v>
      </c>
      <c r="W33" s="16">
        <v>298</v>
      </c>
      <c r="X33" s="2">
        <v>548</v>
      </c>
      <c r="Y33" s="2">
        <v>980</v>
      </c>
      <c r="Z33" s="2">
        <v>1282</v>
      </c>
      <c r="AA33" s="2">
        <v>1646</v>
      </c>
      <c r="AB33" s="2">
        <v>2006</v>
      </c>
      <c r="AC33" s="2">
        <v>2328</v>
      </c>
      <c r="AD33" s="2">
        <v>2544</v>
      </c>
      <c r="AE33" s="2">
        <v>2790</v>
      </c>
      <c r="AF33" s="2">
        <v>3076</v>
      </c>
      <c r="AG33" s="2">
        <v>3424</v>
      </c>
      <c r="AH33" s="4">
        <v>3876</v>
      </c>
      <c r="AI33" s="2">
        <v>302</v>
      </c>
      <c r="AJ33" s="2">
        <v>604</v>
      </c>
      <c r="AK33" s="2">
        <v>1094</v>
      </c>
      <c r="AL33" s="2">
        <v>1544</v>
      </c>
      <c r="AM33" s="2">
        <v>2004</v>
      </c>
      <c r="AN33" s="2">
        <v>2446</v>
      </c>
      <c r="AO33" s="2">
        <v>2804</v>
      </c>
      <c r="AP33" s="2">
        <v>3014</v>
      </c>
      <c r="AQ33" s="2">
        <v>3448</v>
      </c>
      <c r="AR33" s="2">
        <v>3954</v>
      </c>
      <c r="AS33" s="2">
        <v>4382</v>
      </c>
      <c r="AT33" s="2">
        <v>4478</v>
      </c>
    </row>
    <row r="34" spans="1:46" x14ac:dyDescent="0.25">
      <c r="A34" s="18" t="s">
        <v>44</v>
      </c>
      <c r="B34" s="2">
        <v>7657</v>
      </c>
      <c r="C34" s="2">
        <v>276</v>
      </c>
      <c r="D34" s="4">
        <v>5353</v>
      </c>
      <c r="E34" s="2">
        <v>5307</v>
      </c>
      <c r="F34" s="2">
        <v>170</v>
      </c>
      <c r="G34" s="4">
        <v>4710</v>
      </c>
      <c r="H34" s="2">
        <v>6431</v>
      </c>
      <c r="I34" s="2">
        <v>179</v>
      </c>
      <c r="J34" s="4">
        <v>5191</v>
      </c>
      <c r="K34" s="2">
        <v>43</v>
      </c>
      <c r="L34" s="2">
        <v>93</v>
      </c>
      <c r="M34" s="2">
        <v>115</v>
      </c>
      <c r="N34" s="2">
        <v>164</v>
      </c>
      <c r="O34" s="2">
        <v>236</v>
      </c>
      <c r="P34" s="2">
        <v>276</v>
      </c>
      <c r="Q34" s="2"/>
      <c r="R34" s="2"/>
      <c r="S34" s="2"/>
      <c r="T34" s="2"/>
      <c r="U34" s="2"/>
      <c r="V34" s="2"/>
      <c r="W34" s="16">
        <v>23</v>
      </c>
      <c r="X34" s="2">
        <v>26</v>
      </c>
      <c r="Y34" s="2">
        <v>40</v>
      </c>
      <c r="Z34" s="2">
        <v>79</v>
      </c>
      <c r="AA34" s="2">
        <v>90</v>
      </c>
      <c r="AB34" s="2">
        <v>92</v>
      </c>
      <c r="AC34" s="2">
        <v>113</v>
      </c>
      <c r="AD34" s="2">
        <v>116</v>
      </c>
      <c r="AE34" s="2">
        <v>116</v>
      </c>
      <c r="AF34" s="2">
        <v>126</v>
      </c>
      <c r="AG34" s="2">
        <v>144</v>
      </c>
      <c r="AH34" s="4">
        <v>151</v>
      </c>
      <c r="AI34" s="2">
        <v>9</v>
      </c>
      <c r="AJ34" s="2">
        <v>14</v>
      </c>
      <c r="AK34" s="2">
        <v>50</v>
      </c>
      <c r="AL34" s="2">
        <v>109</v>
      </c>
      <c r="AM34" s="2">
        <v>165</v>
      </c>
      <c r="AN34" s="2">
        <v>179</v>
      </c>
      <c r="AO34" s="2">
        <v>226</v>
      </c>
      <c r="AP34" s="2">
        <v>234</v>
      </c>
      <c r="AQ34" s="2">
        <v>249</v>
      </c>
      <c r="AR34" s="2">
        <v>275</v>
      </c>
      <c r="AS34" s="2">
        <v>283</v>
      </c>
      <c r="AT34" s="2">
        <v>296</v>
      </c>
    </row>
    <row r="35" spans="1:46" x14ac:dyDescent="0.25">
      <c r="A35" s="18" t="s">
        <v>45</v>
      </c>
      <c r="B35" s="2">
        <v>8126</v>
      </c>
      <c r="C35" s="2">
        <v>321</v>
      </c>
      <c r="D35" s="4">
        <v>6153</v>
      </c>
      <c r="E35" s="2">
        <v>9111</v>
      </c>
      <c r="F35" s="2">
        <v>567</v>
      </c>
      <c r="G35" s="4">
        <v>5959</v>
      </c>
      <c r="H35" s="2">
        <v>8642</v>
      </c>
      <c r="I35" s="2">
        <v>554</v>
      </c>
      <c r="J35" s="4">
        <v>7382</v>
      </c>
      <c r="K35" s="2">
        <v>24</v>
      </c>
      <c r="L35" s="2">
        <v>78</v>
      </c>
      <c r="M35" s="2">
        <v>145</v>
      </c>
      <c r="N35" s="2">
        <v>197</v>
      </c>
      <c r="O35" s="2">
        <v>265</v>
      </c>
      <c r="P35" s="2">
        <v>321</v>
      </c>
      <c r="Q35" s="2"/>
      <c r="R35" s="2"/>
      <c r="S35" s="2"/>
      <c r="T35" s="2"/>
      <c r="U35" s="2"/>
      <c r="V35" s="2"/>
      <c r="W35" s="16">
        <v>121</v>
      </c>
      <c r="X35" s="2">
        <v>230</v>
      </c>
      <c r="Y35" s="2">
        <v>355</v>
      </c>
      <c r="Z35" s="2">
        <v>451</v>
      </c>
      <c r="AA35" s="2">
        <v>504</v>
      </c>
      <c r="AB35" s="2">
        <v>567</v>
      </c>
      <c r="AC35" s="2">
        <v>600</v>
      </c>
      <c r="AD35" s="2">
        <v>516</v>
      </c>
      <c r="AE35" s="2">
        <v>538</v>
      </c>
      <c r="AF35" s="2">
        <v>541</v>
      </c>
      <c r="AG35" s="2">
        <v>592</v>
      </c>
      <c r="AH35" s="4">
        <v>593</v>
      </c>
      <c r="AI35" s="2">
        <v>96</v>
      </c>
      <c r="AJ35" s="2">
        <v>186</v>
      </c>
      <c r="AK35" s="2">
        <v>281</v>
      </c>
      <c r="AL35" s="2">
        <v>371</v>
      </c>
      <c r="AM35" s="2">
        <v>465</v>
      </c>
      <c r="AN35" s="2">
        <v>554</v>
      </c>
      <c r="AO35" s="2">
        <v>665</v>
      </c>
      <c r="AP35" s="2">
        <v>671</v>
      </c>
      <c r="AQ35" s="2">
        <v>763</v>
      </c>
      <c r="AR35" s="2">
        <v>874</v>
      </c>
      <c r="AS35" s="2">
        <v>961</v>
      </c>
      <c r="AT35" s="2">
        <v>983</v>
      </c>
    </row>
    <row r="36" spans="1:46" x14ac:dyDescent="0.25">
      <c r="A36" s="18" t="s">
        <v>46</v>
      </c>
      <c r="B36" s="2">
        <v>5272</v>
      </c>
      <c r="C36" s="2">
        <v>316</v>
      </c>
      <c r="D36" s="4">
        <v>1207</v>
      </c>
      <c r="E36" s="2">
        <v>4934</v>
      </c>
      <c r="F36" s="2">
        <v>233</v>
      </c>
      <c r="G36" s="4">
        <v>1485</v>
      </c>
      <c r="H36" s="2">
        <v>4789</v>
      </c>
      <c r="I36" s="2">
        <v>215</v>
      </c>
      <c r="J36" s="4">
        <v>1936</v>
      </c>
      <c r="K36" s="2">
        <v>28</v>
      </c>
      <c r="L36" s="2">
        <v>69</v>
      </c>
      <c r="M36" s="2">
        <v>131</v>
      </c>
      <c r="N36" s="2">
        <v>186</v>
      </c>
      <c r="O36" s="2">
        <v>246</v>
      </c>
      <c r="P36" s="2">
        <v>316</v>
      </c>
      <c r="Q36" s="2"/>
      <c r="R36" s="2"/>
      <c r="S36" s="2"/>
      <c r="T36" s="2"/>
      <c r="U36" s="2"/>
      <c r="V36" s="2"/>
      <c r="W36" s="16">
        <v>14</v>
      </c>
      <c r="X36" s="2">
        <v>32</v>
      </c>
      <c r="Y36" s="2">
        <v>72</v>
      </c>
      <c r="Z36" s="2">
        <v>140</v>
      </c>
      <c r="AA36" s="2">
        <v>167</v>
      </c>
      <c r="AB36" s="2">
        <v>233</v>
      </c>
      <c r="AC36" s="2">
        <v>249</v>
      </c>
      <c r="AD36" s="2">
        <v>234</v>
      </c>
      <c r="AE36" s="2">
        <v>294</v>
      </c>
      <c r="AF36" s="2">
        <v>333</v>
      </c>
      <c r="AG36" s="2">
        <v>319</v>
      </c>
      <c r="AH36" s="4">
        <v>403</v>
      </c>
      <c r="AI36" s="2">
        <v>21</v>
      </c>
      <c r="AJ36" s="2">
        <v>47</v>
      </c>
      <c r="AK36" s="2">
        <v>87</v>
      </c>
      <c r="AL36" s="2">
        <v>123</v>
      </c>
      <c r="AM36" s="2">
        <v>168</v>
      </c>
      <c r="AN36" s="2">
        <v>215</v>
      </c>
      <c r="AO36" s="2">
        <v>260</v>
      </c>
      <c r="AP36" s="2">
        <v>260</v>
      </c>
      <c r="AQ36" s="2">
        <v>300</v>
      </c>
      <c r="AR36" s="2">
        <v>340</v>
      </c>
      <c r="AS36" s="2">
        <v>376</v>
      </c>
      <c r="AT36" s="2">
        <v>375</v>
      </c>
    </row>
    <row r="37" spans="1:46" x14ac:dyDescent="0.25">
      <c r="A37" s="18" t="s">
        <v>47</v>
      </c>
      <c r="B37" s="2">
        <v>6375</v>
      </c>
      <c r="C37" s="2">
        <v>192</v>
      </c>
      <c r="D37" s="4">
        <v>4741</v>
      </c>
      <c r="E37" s="2">
        <v>6945</v>
      </c>
      <c r="F37" s="2">
        <v>309</v>
      </c>
      <c r="G37" s="4">
        <v>5006</v>
      </c>
      <c r="H37" s="2">
        <v>5774</v>
      </c>
      <c r="I37" s="2">
        <v>350</v>
      </c>
      <c r="J37" s="4">
        <v>4447</v>
      </c>
      <c r="K37" s="2">
        <v>17</v>
      </c>
      <c r="L37" s="2">
        <v>50</v>
      </c>
      <c r="M37" s="2">
        <v>67</v>
      </c>
      <c r="N37" s="2">
        <v>80</v>
      </c>
      <c r="O37" s="2">
        <v>122</v>
      </c>
      <c r="P37" s="2">
        <v>192</v>
      </c>
      <c r="Q37" s="2"/>
      <c r="R37" s="2"/>
      <c r="S37" s="2"/>
      <c r="T37" s="2"/>
      <c r="U37" s="2"/>
      <c r="V37" s="2"/>
      <c r="W37" s="16">
        <v>16</v>
      </c>
      <c r="X37" s="2">
        <v>27</v>
      </c>
      <c r="Y37" s="2">
        <v>27</v>
      </c>
      <c r="Z37" s="2">
        <v>105</v>
      </c>
      <c r="AA37" s="2">
        <v>218</v>
      </c>
      <c r="AB37" s="2">
        <v>309</v>
      </c>
      <c r="AC37" s="2">
        <v>488</v>
      </c>
      <c r="AD37" s="2">
        <v>464</v>
      </c>
      <c r="AE37" s="2">
        <v>429</v>
      </c>
      <c r="AF37" s="2">
        <v>430</v>
      </c>
      <c r="AG37" s="2">
        <v>432</v>
      </c>
      <c r="AH37" s="4">
        <v>435</v>
      </c>
      <c r="AI37" s="2">
        <v>22</v>
      </c>
      <c r="AJ37" s="2">
        <v>52</v>
      </c>
      <c r="AK37" s="2">
        <v>90</v>
      </c>
      <c r="AL37" s="2">
        <v>150</v>
      </c>
      <c r="AM37" s="2">
        <v>258</v>
      </c>
      <c r="AN37" s="2">
        <v>350</v>
      </c>
      <c r="AO37" s="2">
        <v>458</v>
      </c>
      <c r="AP37" s="2">
        <v>453</v>
      </c>
      <c r="AQ37" s="2">
        <v>522</v>
      </c>
      <c r="AR37" s="2">
        <v>566</v>
      </c>
      <c r="AS37" s="2">
        <v>596</v>
      </c>
      <c r="AT37" s="2">
        <v>591</v>
      </c>
    </row>
    <row r="38" spans="1:46" x14ac:dyDescent="0.25">
      <c r="A38" s="2" t="s">
        <v>48</v>
      </c>
      <c r="B38" s="2">
        <v>189978.5</v>
      </c>
      <c r="C38" s="2">
        <v>8869.2000000000007</v>
      </c>
      <c r="D38" s="4">
        <v>91467.1</v>
      </c>
      <c r="E38" s="2">
        <v>187118.2</v>
      </c>
      <c r="F38" s="2">
        <v>7865.9000000000005</v>
      </c>
      <c r="G38" s="4">
        <v>97100.299999999988</v>
      </c>
      <c r="H38" s="2">
        <v>181464.8</v>
      </c>
      <c r="I38" s="2">
        <v>8122.2</v>
      </c>
      <c r="J38" s="4">
        <v>94780.800000000003</v>
      </c>
      <c r="K38" s="2">
        <v>1232.5999999999999</v>
      </c>
      <c r="L38" s="2">
        <v>2521.8000000000002</v>
      </c>
      <c r="M38" s="2">
        <v>3867.8</v>
      </c>
      <c r="N38" s="2">
        <v>5348.4</v>
      </c>
      <c r="O38" s="2">
        <v>7289.8</v>
      </c>
      <c r="P38" s="2">
        <v>8869.2000000000007</v>
      </c>
      <c r="Q38" s="2">
        <v>0</v>
      </c>
      <c r="R38" s="2">
        <v>0</v>
      </c>
      <c r="S38" s="2">
        <v>0</v>
      </c>
      <c r="T38" s="2">
        <v>0</v>
      </c>
      <c r="U38" s="2">
        <v>0</v>
      </c>
      <c r="V38" s="2">
        <v>0</v>
      </c>
      <c r="W38" s="16">
        <v>1081.8</v>
      </c>
      <c r="X38" s="2">
        <v>1914.2</v>
      </c>
      <c r="Y38" s="2">
        <v>3013.9</v>
      </c>
      <c r="Z38" s="2">
        <v>4416.3999999999996</v>
      </c>
      <c r="AA38" s="2">
        <v>5770.1</v>
      </c>
      <c r="AB38" s="2">
        <v>7247.9000000000005</v>
      </c>
      <c r="AC38" s="2">
        <v>8752.2000000000007</v>
      </c>
      <c r="AD38" s="2">
        <v>9323.7999999999993</v>
      </c>
      <c r="AE38" s="2">
        <v>10122.5</v>
      </c>
      <c r="AF38" s="2">
        <v>10897.7</v>
      </c>
      <c r="AG38" s="2">
        <v>11759</v>
      </c>
      <c r="AH38" s="4">
        <v>11946</v>
      </c>
      <c r="AI38" s="2">
        <v>1097.7</v>
      </c>
      <c r="AJ38" s="2">
        <v>2174.8000000000002</v>
      </c>
      <c r="AK38" s="2">
        <v>3533.9</v>
      </c>
      <c r="AL38" s="2">
        <v>4717.1000000000004</v>
      </c>
      <c r="AM38" s="2">
        <v>6398.7999999999993</v>
      </c>
      <c r="AN38" s="2">
        <v>7933.2</v>
      </c>
      <c r="AO38" s="2">
        <v>9431.5</v>
      </c>
      <c r="AP38" s="2">
        <v>9732.7999999999993</v>
      </c>
      <c r="AQ38" s="2">
        <v>11196.7</v>
      </c>
      <c r="AR38" s="2">
        <v>12313.3</v>
      </c>
      <c r="AS38" s="2">
        <v>13505.4</v>
      </c>
      <c r="AT38" s="2">
        <v>13380.699999999999</v>
      </c>
    </row>
    <row r="39" spans="1:46" x14ac:dyDescent="0.25">
      <c r="A39" s="17" t="s">
        <v>49</v>
      </c>
      <c r="B39" s="2">
        <v>6353</v>
      </c>
      <c r="C39" s="2">
        <v>762</v>
      </c>
      <c r="D39" s="4">
        <v>7332</v>
      </c>
      <c r="E39" s="2">
        <v>5993</v>
      </c>
      <c r="F39" s="2">
        <v>674</v>
      </c>
      <c r="G39" s="4">
        <v>7167</v>
      </c>
      <c r="H39" s="2">
        <v>5275</v>
      </c>
      <c r="I39" s="2">
        <v>568</v>
      </c>
      <c r="J39" s="4">
        <v>7227</v>
      </c>
      <c r="K39" s="2">
        <v>56</v>
      </c>
      <c r="L39" s="2">
        <v>137</v>
      </c>
      <c r="M39" s="2">
        <v>240</v>
      </c>
      <c r="N39" s="2">
        <v>396</v>
      </c>
      <c r="O39" s="2">
        <v>584</v>
      </c>
      <c r="P39" s="2">
        <v>762</v>
      </c>
      <c r="Q39" s="2"/>
      <c r="R39" s="2"/>
      <c r="S39" s="2"/>
      <c r="T39" s="2"/>
      <c r="U39" s="2"/>
      <c r="V39" s="2"/>
      <c r="W39" s="16">
        <v>48</v>
      </c>
      <c r="X39" s="2">
        <v>123</v>
      </c>
      <c r="Y39" s="2">
        <v>218</v>
      </c>
      <c r="Z39" s="2">
        <v>294</v>
      </c>
      <c r="AA39" s="2">
        <v>499</v>
      </c>
      <c r="AB39" s="2">
        <v>674</v>
      </c>
      <c r="AC39" s="2">
        <v>934</v>
      </c>
      <c r="AD39" s="2">
        <v>996</v>
      </c>
      <c r="AE39" s="2">
        <v>1182</v>
      </c>
      <c r="AF39" s="2">
        <v>1362</v>
      </c>
      <c r="AG39" s="2">
        <v>1507</v>
      </c>
      <c r="AH39" s="4">
        <v>1486</v>
      </c>
      <c r="AI39" s="2">
        <v>51</v>
      </c>
      <c r="AJ39" s="2">
        <v>112</v>
      </c>
      <c r="AK39" s="2">
        <v>183</v>
      </c>
      <c r="AL39" s="2">
        <v>274</v>
      </c>
      <c r="AM39" s="2">
        <v>432</v>
      </c>
      <c r="AN39" s="2">
        <v>568</v>
      </c>
      <c r="AO39" s="2">
        <v>726</v>
      </c>
      <c r="AP39" s="2">
        <v>750</v>
      </c>
      <c r="AQ39" s="2">
        <v>867</v>
      </c>
      <c r="AR39" s="2">
        <v>953</v>
      </c>
      <c r="AS39" s="2">
        <v>1029</v>
      </c>
      <c r="AT39" s="2">
        <v>1079</v>
      </c>
    </row>
    <row r="40" spans="1:46" x14ac:dyDescent="0.25">
      <c r="A40" s="17" t="s">
        <v>50</v>
      </c>
      <c r="B40" s="2">
        <v>12373</v>
      </c>
      <c r="C40" s="2">
        <v>408</v>
      </c>
      <c r="D40" s="4">
        <v>3054</v>
      </c>
      <c r="E40" s="2">
        <v>12398</v>
      </c>
      <c r="F40" s="2">
        <v>341</v>
      </c>
      <c r="G40" s="4">
        <v>3033</v>
      </c>
      <c r="H40" s="2">
        <v>10472</v>
      </c>
      <c r="I40" s="2">
        <v>461</v>
      </c>
      <c r="J40" s="4">
        <v>2910</v>
      </c>
      <c r="K40" s="2">
        <v>82</v>
      </c>
      <c r="L40" s="2">
        <v>134</v>
      </c>
      <c r="M40" s="2">
        <v>187</v>
      </c>
      <c r="N40" s="2">
        <v>244</v>
      </c>
      <c r="O40" s="2">
        <v>338</v>
      </c>
      <c r="P40" s="2">
        <v>408</v>
      </c>
      <c r="Q40" s="2"/>
      <c r="R40" s="2"/>
      <c r="S40" s="2"/>
      <c r="T40" s="2"/>
      <c r="U40" s="2"/>
      <c r="V40" s="2"/>
      <c r="W40" s="16">
        <v>2</v>
      </c>
      <c r="X40" s="2">
        <v>38</v>
      </c>
      <c r="Y40" s="2">
        <v>89</v>
      </c>
      <c r="Z40" s="2">
        <v>179</v>
      </c>
      <c r="AA40" s="2">
        <v>234</v>
      </c>
      <c r="AB40" s="2">
        <v>341</v>
      </c>
      <c r="AC40" s="2">
        <v>459</v>
      </c>
      <c r="AD40" s="2">
        <v>536</v>
      </c>
      <c r="AE40" s="2">
        <v>629</v>
      </c>
      <c r="AF40" s="2">
        <v>656</v>
      </c>
      <c r="AG40" s="2">
        <v>641</v>
      </c>
      <c r="AH40" s="4">
        <v>550</v>
      </c>
      <c r="AI40" s="2">
        <v>71</v>
      </c>
      <c r="AJ40" s="2">
        <v>142</v>
      </c>
      <c r="AK40" s="2">
        <v>247</v>
      </c>
      <c r="AL40" s="2">
        <v>307</v>
      </c>
      <c r="AM40" s="2">
        <v>395</v>
      </c>
      <c r="AN40" s="2">
        <v>461</v>
      </c>
      <c r="AO40" s="2">
        <v>564</v>
      </c>
      <c r="AP40" s="2">
        <v>645</v>
      </c>
      <c r="AQ40" s="2">
        <v>688</v>
      </c>
      <c r="AR40" s="2">
        <v>706</v>
      </c>
      <c r="AS40" s="2">
        <v>664</v>
      </c>
      <c r="AT40" s="2">
        <v>593</v>
      </c>
    </row>
    <row r="41" spans="1:46" x14ac:dyDescent="0.25">
      <c r="A41" s="17" t="s">
        <v>51</v>
      </c>
      <c r="B41" s="2">
        <v>17760</v>
      </c>
      <c r="C41" s="2">
        <v>800</v>
      </c>
      <c r="D41" s="4">
        <v>6488</v>
      </c>
      <c r="E41" s="2">
        <v>17025</v>
      </c>
      <c r="F41" s="2">
        <v>568</v>
      </c>
      <c r="G41" s="4">
        <v>7469</v>
      </c>
      <c r="H41" s="2">
        <v>16854</v>
      </c>
      <c r="I41" s="2">
        <v>572</v>
      </c>
      <c r="J41" s="4">
        <v>6611</v>
      </c>
      <c r="K41" s="2">
        <v>140</v>
      </c>
      <c r="L41" s="2">
        <v>274</v>
      </c>
      <c r="M41" s="2">
        <v>416</v>
      </c>
      <c r="N41" s="2">
        <v>544</v>
      </c>
      <c r="O41" s="2">
        <v>685</v>
      </c>
      <c r="P41" s="2">
        <v>800</v>
      </c>
      <c r="Q41" s="2"/>
      <c r="R41" s="2"/>
      <c r="S41" s="2"/>
      <c r="T41" s="2"/>
      <c r="U41" s="2"/>
      <c r="V41" s="2"/>
      <c r="W41" s="16">
        <v>141</v>
      </c>
      <c r="X41" s="2">
        <v>254</v>
      </c>
      <c r="Y41" s="2">
        <v>347</v>
      </c>
      <c r="Z41" s="2">
        <v>440</v>
      </c>
      <c r="AA41" s="2">
        <v>515</v>
      </c>
      <c r="AB41" s="2">
        <v>568</v>
      </c>
      <c r="AC41" s="2">
        <v>623</v>
      </c>
      <c r="AD41" s="2">
        <v>633</v>
      </c>
      <c r="AE41" s="2">
        <v>702</v>
      </c>
      <c r="AF41" s="2">
        <v>754</v>
      </c>
      <c r="AG41" s="2">
        <v>816</v>
      </c>
      <c r="AH41" s="4">
        <v>894</v>
      </c>
      <c r="AI41" s="2">
        <v>116</v>
      </c>
      <c r="AJ41" s="2">
        <v>225</v>
      </c>
      <c r="AK41" s="2">
        <v>357</v>
      </c>
      <c r="AL41" s="2">
        <v>356</v>
      </c>
      <c r="AM41" s="2">
        <v>470</v>
      </c>
      <c r="AN41" s="2">
        <v>572</v>
      </c>
      <c r="AO41" s="2">
        <v>650</v>
      </c>
      <c r="AP41" s="2">
        <v>606</v>
      </c>
      <c r="AQ41" s="2">
        <v>732</v>
      </c>
      <c r="AR41" s="2">
        <v>744</v>
      </c>
      <c r="AS41" s="2">
        <v>865</v>
      </c>
      <c r="AT41" s="2">
        <v>810</v>
      </c>
    </row>
    <row r="42" spans="1:46" x14ac:dyDescent="0.25">
      <c r="A42" s="17" t="s">
        <v>52</v>
      </c>
      <c r="B42" s="2">
        <v>30399.599999999999</v>
      </c>
      <c r="C42" s="2">
        <v>786.8</v>
      </c>
      <c r="D42" s="4">
        <v>12308.8</v>
      </c>
      <c r="E42" s="2">
        <v>29531.599999999999</v>
      </c>
      <c r="F42" s="2">
        <v>786.8</v>
      </c>
      <c r="G42" s="4">
        <v>13941.199999999999</v>
      </c>
      <c r="H42" s="2">
        <v>30237.199999999997</v>
      </c>
      <c r="I42" s="2">
        <v>932.4</v>
      </c>
      <c r="J42" s="4">
        <v>13381.199999999999</v>
      </c>
      <c r="K42" s="2">
        <v>165.2</v>
      </c>
      <c r="L42" s="2">
        <v>305.2</v>
      </c>
      <c r="M42" s="2">
        <v>383.59999999999997</v>
      </c>
      <c r="N42" s="2">
        <v>534.79999999999995</v>
      </c>
      <c r="O42" s="2">
        <v>649.59999999999991</v>
      </c>
      <c r="P42" s="2">
        <v>786.8</v>
      </c>
      <c r="Q42" s="2">
        <v>0</v>
      </c>
      <c r="R42" s="2">
        <v>0</v>
      </c>
      <c r="S42" s="2">
        <v>0</v>
      </c>
      <c r="T42" s="2">
        <v>0</v>
      </c>
      <c r="U42" s="2">
        <v>0</v>
      </c>
      <c r="V42" s="2">
        <v>0</v>
      </c>
      <c r="W42" s="16">
        <v>190.39999999999998</v>
      </c>
      <c r="X42" s="2">
        <v>243.6</v>
      </c>
      <c r="Y42" s="2">
        <v>383.59999999999997</v>
      </c>
      <c r="Z42" s="2">
        <v>492.79999999999995</v>
      </c>
      <c r="AA42" s="2">
        <v>613.19999999999993</v>
      </c>
      <c r="AB42" s="2">
        <v>786.8</v>
      </c>
      <c r="AC42" s="2">
        <v>826</v>
      </c>
      <c r="AD42" s="2">
        <v>949.19999999999993</v>
      </c>
      <c r="AE42" s="2">
        <v>1000</v>
      </c>
      <c r="AF42" s="2">
        <v>1100</v>
      </c>
      <c r="AG42" s="2">
        <v>1300</v>
      </c>
      <c r="AH42" s="4">
        <v>1400</v>
      </c>
      <c r="AI42" s="2">
        <v>196</v>
      </c>
      <c r="AJ42" s="2">
        <v>327.59999999999997</v>
      </c>
      <c r="AK42" s="2">
        <v>422.79999999999995</v>
      </c>
      <c r="AL42" s="2">
        <v>599.19999999999993</v>
      </c>
      <c r="AM42" s="2">
        <v>739.19999999999993</v>
      </c>
      <c r="AN42" s="2">
        <v>932.4</v>
      </c>
      <c r="AO42" s="2">
        <v>1047.2</v>
      </c>
      <c r="AP42" s="2">
        <v>1083.5999999999999</v>
      </c>
      <c r="AQ42" s="2">
        <v>1285.1999999999998</v>
      </c>
      <c r="AR42" s="2">
        <v>1489.6</v>
      </c>
      <c r="AS42" s="2">
        <v>1696.8</v>
      </c>
      <c r="AT42" s="2">
        <v>1744.3999999999999</v>
      </c>
    </row>
    <row r="43" spans="1:46" x14ac:dyDescent="0.25">
      <c r="A43" s="17" t="s">
        <v>53</v>
      </c>
      <c r="B43" s="2">
        <v>20400</v>
      </c>
      <c r="C43" s="2">
        <v>614.40000000000009</v>
      </c>
      <c r="D43" s="4">
        <v>15171.2</v>
      </c>
      <c r="E43" s="2">
        <v>22224</v>
      </c>
      <c r="F43" s="2">
        <v>988.80000000000007</v>
      </c>
      <c r="G43" s="4">
        <v>16019.2</v>
      </c>
      <c r="H43" s="2">
        <v>18476.8</v>
      </c>
      <c r="I43" s="2">
        <v>1120</v>
      </c>
      <c r="J43" s="4">
        <v>14230.400000000001</v>
      </c>
      <c r="K43" s="2">
        <v>54.400000000000006</v>
      </c>
      <c r="L43" s="2">
        <v>160</v>
      </c>
      <c r="M43" s="2">
        <v>214.4</v>
      </c>
      <c r="N43" s="2">
        <v>256</v>
      </c>
      <c r="O43" s="2">
        <v>390.40000000000003</v>
      </c>
      <c r="P43" s="2">
        <v>614.40000000000009</v>
      </c>
      <c r="Q43" s="2">
        <v>0</v>
      </c>
      <c r="R43" s="2">
        <v>0</v>
      </c>
      <c r="S43" s="2">
        <v>0</v>
      </c>
      <c r="T43" s="2">
        <v>0</v>
      </c>
      <c r="U43" s="2">
        <v>0</v>
      </c>
      <c r="V43" s="2">
        <v>0</v>
      </c>
      <c r="W43" s="16">
        <v>51.2</v>
      </c>
      <c r="X43" s="2">
        <v>86.4</v>
      </c>
      <c r="Y43" s="2">
        <v>86.4</v>
      </c>
      <c r="Z43" s="2">
        <v>336</v>
      </c>
      <c r="AA43" s="2">
        <v>697.6</v>
      </c>
      <c r="AB43" s="2">
        <v>988.80000000000007</v>
      </c>
      <c r="AC43" s="2">
        <v>1561.6000000000001</v>
      </c>
      <c r="AD43" s="2">
        <v>1484.8000000000002</v>
      </c>
      <c r="AE43" s="2">
        <v>1372.8000000000002</v>
      </c>
      <c r="AF43" s="2">
        <v>1370</v>
      </c>
      <c r="AG43" s="2">
        <v>1375</v>
      </c>
      <c r="AH43" s="4">
        <v>1410</v>
      </c>
      <c r="AI43" s="2">
        <v>70.400000000000006</v>
      </c>
      <c r="AJ43" s="2">
        <v>166.4</v>
      </c>
      <c r="AK43" s="2">
        <v>288</v>
      </c>
      <c r="AL43" s="2">
        <v>480</v>
      </c>
      <c r="AM43" s="2">
        <v>825.6</v>
      </c>
      <c r="AN43" s="2">
        <v>1120</v>
      </c>
      <c r="AO43" s="2">
        <v>1465.6000000000001</v>
      </c>
      <c r="AP43" s="2">
        <v>1449.6000000000001</v>
      </c>
      <c r="AQ43" s="2">
        <v>1670.4</v>
      </c>
      <c r="AR43" s="2">
        <v>1811.2</v>
      </c>
      <c r="AS43" s="2">
        <v>1907.2</v>
      </c>
      <c r="AT43" s="2">
        <v>1891.2</v>
      </c>
    </row>
    <row r="44" spans="1:46" x14ac:dyDescent="0.25">
      <c r="A44" s="17" t="s">
        <v>54</v>
      </c>
      <c r="B44" s="2">
        <v>21088</v>
      </c>
      <c r="C44" s="2">
        <v>1264</v>
      </c>
      <c r="D44" s="4">
        <v>4828</v>
      </c>
      <c r="E44" s="2">
        <v>19736</v>
      </c>
      <c r="F44" s="2">
        <v>932</v>
      </c>
      <c r="G44" s="4">
        <v>5940</v>
      </c>
      <c r="H44" s="2">
        <v>19156</v>
      </c>
      <c r="I44" s="2">
        <v>860</v>
      </c>
      <c r="J44" s="4">
        <v>7744</v>
      </c>
      <c r="K44" s="2">
        <v>112</v>
      </c>
      <c r="L44" s="2">
        <v>276</v>
      </c>
      <c r="M44" s="2">
        <v>524</v>
      </c>
      <c r="N44" s="2">
        <v>744</v>
      </c>
      <c r="O44" s="2">
        <v>984</v>
      </c>
      <c r="P44" s="2">
        <v>1264</v>
      </c>
      <c r="Q44" s="2">
        <v>0</v>
      </c>
      <c r="R44" s="2">
        <v>0</v>
      </c>
      <c r="S44" s="2">
        <v>0</v>
      </c>
      <c r="T44" s="2">
        <v>0</v>
      </c>
      <c r="U44" s="2">
        <v>0</v>
      </c>
      <c r="V44" s="2">
        <v>0</v>
      </c>
      <c r="W44" s="16">
        <v>56</v>
      </c>
      <c r="X44" s="2">
        <v>128</v>
      </c>
      <c r="Y44" s="2">
        <v>288</v>
      </c>
      <c r="Z44" s="2">
        <v>560</v>
      </c>
      <c r="AA44" s="2">
        <v>668</v>
      </c>
      <c r="AB44" s="2">
        <v>932</v>
      </c>
      <c r="AC44" s="2">
        <v>996</v>
      </c>
      <c r="AD44" s="2">
        <v>936</v>
      </c>
      <c r="AE44" s="2">
        <v>1176</v>
      </c>
      <c r="AF44" s="2">
        <v>1332</v>
      </c>
      <c r="AG44" s="2">
        <v>1276</v>
      </c>
      <c r="AH44" s="4">
        <v>1400</v>
      </c>
      <c r="AI44" s="2">
        <v>84</v>
      </c>
      <c r="AJ44" s="2">
        <v>188</v>
      </c>
      <c r="AK44" s="2">
        <v>348</v>
      </c>
      <c r="AL44" s="2">
        <v>492</v>
      </c>
      <c r="AM44" s="2">
        <v>672</v>
      </c>
      <c r="AN44" s="2">
        <v>860</v>
      </c>
      <c r="AO44" s="2">
        <v>1040</v>
      </c>
      <c r="AP44" s="2">
        <v>1040</v>
      </c>
      <c r="AQ44" s="2">
        <v>1200</v>
      </c>
      <c r="AR44" s="2">
        <v>1360</v>
      </c>
      <c r="AS44" s="2">
        <v>1504</v>
      </c>
      <c r="AT44" s="2">
        <v>1500</v>
      </c>
    </row>
    <row r="45" spans="1:46" x14ac:dyDescent="0.25">
      <c r="A45" s="2" t="s">
        <v>55</v>
      </c>
      <c r="B45" s="2">
        <v>23736.9</v>
      </c>
      <c r="C45" s="2">
        <v>1012.0000000000001</v>
      </c>
      <c r="D45" s="4">
        <v>8207.1</v>
      </c>
      <c r="E45" s="2">
        <v>22754.600000000002</v>
      </c>
      <c r="F45" s="2">
        <v>718.30000000000007</v>
      </c>
      <c r="G45" s="4">
        <v>9447.9000000000015</v>
      </c>
      <c r="H45" s="2">
        <v>22525.800000000003</v>
      </c>
      <c r="I45" s="2">
        <v>723.80000000000007</v>
      </c>
      <c r="J45" s="4">
        <v>8362.2000000000007</v>
      </c>
      <c r="K45" s="2">
        <v>187.00000000000003</v>
      </c>
      <c r="L45" s="2">
        <v>347.6</v>
      </c>
      <c r="M45" s="2">
        <v>525.80000000000007</v>
      </c>
      <c r="N45" s="2">
        <v>688.6</v>
      </c>
      <c r="O45" s="2">
        <v>866.80000000000007</v>
      </c>
      <c r="P45" s="2">
        <v>1012.0000000000001</v>
      </c>
      <c r="Q45" s="2">
        <v>0</v>
      </c>
      <c r="R45" s="2">
        <v>0</v>
      </c>
      <c r="S45" s="2">
        <v>0</v>
      </c>
      <c r="T45" s="2">
        <v>0</v>
      </c>
      <c r="U45" s="2">
        <v>0</v>
      </c>
      <c r="V45" s="2">
        <v>0</v>
      </c>
      <c r="W45" s="16">
        <v>178.20000000000002</v>
      </c>
      <c r="X45" s="2">
        <v>321.20000000000005</v>
      </c>
      <c r="Y45" s="2">
        <v>438.90000000000003</v>
      </c>
      <c r="Z45" s="2">
        <v>556.6</v>
      </c>
      <c r="AA45" s="2">
        <v>652.30000000000007</v>
      </c>
      <c r="AB45" s="2">
        <v>718.30000000000007</v>
      </c>
      <c r="AC45" s="2">
        <v>787.6</v>
      </c>
      <c r="AD45" s="2">
        <v>800.80000000000007</v>
      </c>
      <c r="AE45" s="2">
        <v>887.7</v>
      </c>
      <c r="AF45" s="2">
        <v>953.7</v>
      </c>
      <c r="AG45" s="2">
        <v>1100</v>
      </c>
      <c r="AH45" s="4">
        <v>1120</v>
      </c>
      <c r="AI45" s="2">
        <v>146.30000000000001</v>
      </c>
      <c r="AJ45" s="2">
        <v>283.8</v>
      </c>
      <c r="AK45" s="2">
        <v>452.1</v>
      </c>
      <c r="AL45" s="2">
        <v>449.90000000000003</v>
      </c>
      <c r="AM45" s="2">
        <v>594</v>
      </c>
      <c r="AN45" s="2">
        <v>723.80000000000007</v>
      </c>
      <c r="AO45" s="2">
        <v>821.7</v>
      </c>
      <c r="AP45" s="2">
        <v>765.6</v>
      </c>
      <c r="AQ45" s="2">
        <v>925.1</v>
      </c>
      <c r="AR45" s="2">
        <v>940.50000000000011</v>
      </c>
      <c r="AS45" s="2">
        <v>1093.4000000000001</v>
      </c>
      <c r="AT45" s="2">
        <v>1024.1000000000001</v>
      </c>
    </row>
    <row r="46" spans="1:46" x14ac:dyDescent="0.25">
      <c r="A46" s="17" t="s">
        <v>56</v>
      </c>
      <c r="B46" s="2">
        <v>6302</v>
      </c>
      <c r="C46" s="2">
        <v>240</v>
      </c>
      <c r="D46" s="4">
        <v>4655</v>
      </c>
      <c r="E46" s="2">
        <v>5400</v>
      </c>
      <c r="F46" s="2">
        <v>190</v>
      </c>
      <c r="G46" s="4">
        <v>4096</v>
      </c>
      <c r="H46" s="2">
        <v>5293</v>
      </c>
      <c r="I46" s="2">
        <v>156</v>
      </c>
      <c r="J46" s="4">
        <v>4514</v>
      </c>
      <c r="K46" s="2">
        <v>36</v>
      </c>
      <c r="L46" s="2">
        <v>81</v>
      </c>
      <c r="M46" s="2">
        <v>100</v>
      </c>
      <c r="N46" s="2">
        <v>143</v>
      </c>
      <c r="O46" s="2">
        <v>205</v>
      </c>
      <c r="P46" s="2">
        <v>240</v>
      </c>
      <c r="Q46" s="2"/>
      <c r="R46" s="2"/>
      <c r="S46" s="2"/>
      <c r="T46" s="2"/>
      <c r="U46" s="2"/>
      <c r="V46" s="2"/>
      <c r="W46" s="16">
        <v>20</v>
      </c>
      <c r="X46" s="2">
        <v>22</v>
      </c>
      <c r="Y46" s="2">
        <v>35</v>
      </c>
      <c r="Z46" s="2">
        <v>68</v>
      </c>
      <c r="AA46" s="2">
        <v>78</v>
      </c>
      <c r="AB46" s="2">
        <v>80</v>
      </c>
      <c r="AC46" s="2">
        <v>98</v>
      </c>
      <c r="AD46" s="2">
        <v>101</v>
      </c>
      <c r="AE46" s="2">
        <v>101</v>
      </c>
      <c r="AF46" s="2">
        <v>110</v>
      </c>
      <c r="AG46" s="2">
        <v>126</v>
      </c>
      <c r="AH46" s="4">
        <v>127</v>
      </c>
      <c r="AI46" s="2">
        <v>8</v>
      </c>
      <c r="AJ46" s="2">
        <v>12</v>
      </c>
      <c r="AK46" s="2">
        <v>44</v>
      </c>
      <c r="AL46" s="2">
        <v>94</v>
      </c>
      <c r="AM46" s="2">
        <v>143</v>
      </c>
      <c r="AN46" s="2">
        <v>156</v>
      </c>
      <c r="AO46" s="2">
        <v>197</v>
      </c>
      <c r="AP46" s="2">
        <v>204</v>
      </c>
      <c r="AQ46" s="2">
        <v>216</v>
      </c>
      <c r="AR46" s="2">
        <v>239</v>
      </c>
      <c r="AS46" s="2">
        <v>246</v>
      </c>
      <c r="AT46" s="2">
        <v>257</v>
      </c>
    </row>
    <row r="47" spans="1:46" x14ac:dyDescent="0.25">
      <c r="A47" s="17" t="s">
        <v>57</v>
      </c>
      <c r="B47" s="2">
        <v>10675</v>
      </c>
      <c r="C47" s="2">
        <v>128</v>
      </c>
      <c r="D47" s="4">
        <v>8210</v>
      </c>
      <c r="E47" s="2">
        <v>10133</v>
      </c>
      <c r="F47" s="2">
        <v>89</v>
      </c>
      <c r="G47" s="4">
        <v>8179</v>
      </c>
      <c r="H47" s="2">
        <v>11178</v>
      </c>
      <c r="I47" s="2">
        <v>190</v>
      </c>
      <c r="J47" s="4">
        <v>8010</v>
      </c>
      <c r="K47" s="2">
        <v>17</v>
      </c>
      <c r="L47" s="2">
        <v>49</v>
      </c>
      <c r="M47" s="2">
        <v>126</v>
      </c>
      <c r="N47" s="2">
        <v>190</v>
      </c>
      <c r="O47" s="2">
        <v>164</v>
      </c>
      <c r="P47" s="2">
        <v>128</v>
      </c>
      <c r="Q47" s="2"/>
      <c r="R47" s="2"/>
      <c r="S47" s="2"/>
      <c r="T47" s="2"/>
      <c r="U47" s="2"/>
      <c r="V47" s="2"/>
      <c r="W47" s="16">
        <v>55</v>
      </c>
      <c r="X47" s="2">
        <v>59</v>
      </c>
      <c r="Y47" s="2">
        <v>66</v>
      </c>
      <c r="Z47" s="2">
        <v>78</v>
      </c>
      <c r="AA47" s="2">
        <v>88</v>
      </c>
      <c r="AB47" s="2">
        <v>89</v>
      </c>
      <c r="AC47" s="2">
        <v>98</v>
      </c>
      <c r="AD47" s="2">
        <v>102</v>
      </c>
      <c r="AE47" s="2">
        <v>110</v>
      </c>
      <c r="AF47" s="2">
        <v>141</v>
      </c>
      <c r="AG47" s="2">
        <v>204</v>
      </c>
      <c r="AH47" s="4">
        <v>204</v>
      </c>
      <c r="AI47" s="2">
        <v>36</v>
      </c>
      <c r="AJ47" s="2">
        <v>68</v>
      </c>
      <c r="AK47" s="2">
        <v>121</v>
      </c>
      <c r="AL47" s="2">
        <v>168</v>
      </c>
      <c r="AM47" s="2">
        <v>221</v>
      </c>
      <c r="AN47" s="2">
        <v>269</v>
      </c>
      <c r="AO47" s="2">
        <v>313</v>
      </c>
      <c r="AP47" s="2">
        <v>357</v>
      </c>
      <c r="AQ47" s="2">
        <v>396</v>
      </c>
      <c r="AR47" s="2">
        <v>449</v>
      </c>
      <c r="AS47" s="2">
        <v>497</v>
      </c>
      <c r="AT47" s="2">
        <v>430</v>
      </c>
    </row>
    <row r="48" spans="1:46" x14ac:dyDescent="0.25">
      <c r="A48" s="17" t="s">
        <v>58</v>
      </c>
      <c r="B48" s="2">
        <v>13307</v>
      </c>
      <c r="C48" s="2">
        <v>862</v>
      </c>
      <c r="D48" s="4">
        <v>5279</v>
      </c>
      <c r="E48" s="2">
        <v>12127</v>
      </c>
      <c r="F48" s="2">
        <v>742</v>
      </c>
      <c r="G48" s="4">
        <v>5491</v>
      </c>
      <c r="H48" s="2">
        <v>13448</v>
      </c>
      <c r="I48" s="2">
        <v>905</v>
      </c>
      <c r="J48" s="4">
        <v>6062</v>
      </c>
      <c r="K48" s="2">
        <v>126</v>
      </c>
      <c r="L48" s="2">
        <v>242</v>
      </c>
      <c r="M48" s="2">
        <v>379</v>
      </c>
      <c r="N48" s="2">
        <v>542</v>
      </c>
      <c r="O48" s="2">
        <v>696</v>
      </c>
      <c r="P48" s="2">
        <v>862</v>
      </c>
      <c r="Q48" s="2"/>
      <c r="R48" s="2"/>
      <c r="S48" s="2"/>
      <c r="T48" s="2"/>
      <c r="U48" s="2"/>
      <c r="V48" s="2"/>
      <c r="W48" s="16">
        <v>110</v>
      </c>
      <c r="X48" s="2">
        <v>202</v>
      </c>
      <c r="Y48" s="2">
        <v>363</v>
      </c>
      <c r="Z48" s="2">
        <v>474</v>
      </c>
      <c r="AA48" s="2">
        <v>609</v>
      </c>
      <c r="AB48" s="2">
        <v>742</v>
      </c>
      <c r="AC48" s="2">
        <v>861</v>
      </c>
      <c r="AD48" s="2">
        <v>941</v>
      </c>
      <c r="AE48" s="2">
        <v>1032</v>
      </c>
      <c r="AF48" s="2">
        <v>1138</v>
      </c>
      <c r="AG48" s="2">
        <v>1266</v>
      </c>
      <c r="AH48" s="4">
        <v>1270</v>
      </c>
      <c r="AI48" s="2">
        <v>112</v>
      </c>
      <c r="AJ48" s="2">
        <v>224</v>
      </c>
      <c r="AK48" s="2">
        <v>405</v>
      </c>
      <c r="AL48" s="2">
        <v>571</v>
      </c>
      <c r="AM48" s="2">
        <v>741</v>
      </c>
      <c r="AN48" s="2">
        <v>905</v>
      </c>
      <c r="AO48" s="2">
        <v>1037</v>
      </c>
      <c r="AP48" s="2">
        <v>1115</v>
      </c>
      <c r="AQ48" s="2">
        <v>1275</v>
      </c>
      <c r="AR48" s="2">
        <v>1462</v>
      </c>
      <c r="AS48" s="2">
        <v>1620</v>
      </c>
      <c r="AT48" s="2">
        <v>1656</v>
      </c>
    </row>
    <row r="49" spans="1:46" x14ac:dyDescent="0.25">
      <c r="A49" s="17" t="s">
        <v>59</v>
      </c>
      <c r="B49" s="2">
        <v>11182</v>
      </c>
      <c r="C49" s="2">
        <v>1193</v>
      </c>
      <c r="D49" s="4">
        <v>4311</v>
      </c>
      <c r="E49" s="2">
        <v>10457</v>
      </c>
      <c r="F49" s="2">
        <v>890</v>
      </c>
      <c r="G49" s="4">
        <v>4595</v>
      </c>
      <c r="H49" s="2">
        <v>9952</v>
      </c>
      <c r="I49" s="2">
        <v>810</v>
      </c>
      <c r="J49" s="4">
        <v>4298</v>
      </c>
      <c r="K49" s="2">
        <v>111</v>
      </c>
      <c r="L49" s="2">
        <v>233</v>
      </c>
      <c r="M49" s="2">
        <v>397</v>
      </c>
      <c r="N49" s="2">
        <v>588</v>
      </c>
      <c r="O49" s="2">
        <v>1030</v>
      </c>
      <c r="P49" s="2">
        <v>1193</v>
      </c>
      <c r="Q49" s="2"/>
      <c r="R49" s="2"/>
      <c r="S49" s="2"/>
      <c r="T49" s="2"/>
      <c r="U49" s="2"/>
      <c r="V49" s="2"/>
      <c r="W49" s="16">
        <v>34</v>
      </c>
      <c r="X49" s="2">
        <v>107</v>
      </c>
      <c r="Y49" s="2">
        <v>198</v>
      </c>
      <c r="Z49" s="2">
        <v>265</v>
      </c>
      <c r="AA49" s="2">
        <v>318</v>
      </c>
      <c r="AB49" s="2">
        <v>382</v>
      </c>
      <c r="AC49" s="2">
        <v>450</v>
      </c>
      <c r="AD49" s="2">
        <v>525</v>
      </c>
      <c r="AE49" s="2">
        <v>589</v>
      </c>
      <c r="AF49" s="2">
        <v>640</v>
      </c>
      <c r="AG49" s="2">
        <v>733</v>
      </c>
      <c r="AH49" s="4">
        <v>806</v>
      </c>
      <c r="AI49" s="2">
        <v>95</v>
      </c>
      <c r="AJ49" s="2">
        <v>176</v>
      </c>
      <c r="AK49" s="2">
        <v>270</v>
      </c>
      <c r="AL49" s="2">
        <v>362</v>
      </c>
      <c r="AM49" s="2">
        <v>454</v>
      </c>
      <c r="AN49" s="2">
        <v>542</v>
      </c>
      <c r="AO49" s="2">
        <v>639</v>
      </c>
      <c r="AP49" s="2">
        <v>734</v>
      </c>
      <c r="AQ49" s="2">
        <v>835</v>
      </c>
      <c r="AR49" s="2">
        <v>939</v>
      </c>
      <c r="AS49" s="2">
        <v>1038</v>
      </c>
      <c r="AT49" s="2">
        <v>1080</v>
      </c>
    </row>
    <row r="50" spans="1:46" x14ac:dyDescent="0.25">
      <c r="A50" s="17" t="s">
        <v>60</v>
      </c>
      <c r="B50" s="2">
        <v>8250</v>
      </c>
      <c r="C50" s="2">
        <v>541</v>
      </c>
      <c r="D50" s="4">
        <v>5923</v>
      </c>
      <c r="E50" s="2">
        <v>8507</v>
      </c>
      <c r="F50" s="2">
        <v>369</v>
      </c>
      <c r="G50" s="4">
        <v>6622</v>
      </c>
      <c r="H50" s="2">
        <v>8899</v>
      </c>
      <c r="I50" s="2">
        <v>474</v>
      </c>
      <c r="J50" s="4">
        <v>6231</v>
      </c>
      <c r="K50" s="2">
        <v>100</v>
      </c>
      <c r="L50" s="2">
        <v>177</v>
      </c>
      <c r="M50" s="2">
        <v>252</v>
      </c>
      <c r="N50" s="2">
        <v>329</v>
      </c>
      <c r="O50" s="2">
        <v>461</v>
      </c>
      <c r="P50" s="2">
        <v>541</v>
      </c>
      <c r="Q50" s="2"/>
      <c r="R50" s="2"/>
      <c r="S50" s="2"/>
      <c r="T50" s="2"/>
      <c r="U50" s="2"/>
      <c r="V50" s="2"/>
      <c r="W50" s="16">
        <v>88</v>
      </c>
      <c r="X50" s="2">
        <v>103</v>
      </c>
      <c r="Y50" s="2">
        <v>181</v>
      </c>
      <c r="Z50" s="2">
        <v>259</v>
      </c>
      <c r="AA50" s="2">
        <v>303</v>
      </c>
      <c r="AB50" s="2">
        <v>369</v>
      </c>
      <c r="AC50" s="2">
        <v>404</v>
      </c>
      <c r="AD50" s="2">
        <v>385</v>
      </c>
      <c r="AE50" s="2">
        <v>407</v>
      </c>
      <c r="AF50" s="2">
        <v>407</v>
      </c>
      <c r="AG50" s="2">
        <v>424</v>
      </c>
      <c r="AH50" s="4">
        <v>349</v>
      </c>
      <c r="AI50" s="2">
        <v>85</v>
      </c>
      <c r="AJ50" s="2">
        <v>136</v>
      </c>
      <c r="AK50" s="2">
        <v>213</v>
      </c>
      <c r="AL50" s="2">
        <v>298</v>
      </c>
      <c r="AM50" s="2">
        <v>386</v>
      </c>
      <c r="AN50" s="2">
        <v>474</v>
      </c>
      <c r="AO50" s="2">
        <v>543</v>
      </c>
      <c r="AP50" s="2">
        <v>549</v>
      </c>
      <c r="AQ50" s="2">
        <v>627</v>
      </c>
      <c r="AR50" s="2">
        <v>707</v>
      </c>
      <c r="AS50" s="2">
        <v>788</v>
      </c>
      <c r="AT50" s="2">
        <v>788</v>
      </c>
    </row>
    <row r="51" spans="1:46" x14ac:dyDescent="0.25">
      <c r="A51" s="17" t="s">
        <v>61</v>
      </c>
      <c r="B51" s="2">
        <v>8152</v>
      </c>
      <c r="C51" s="2">
        <v>258</v>
      </c>
      <c r="D51" s="4">
        <v>5700</v>
      </c>
      <c r="E51" s="2">
        <v>10832</v>
      </c>
      <c r="F51" s="2">
        <v>577</v>
      </c>
      <c r="G51" s="4">
        <v>5100</v>
      </c>
      <c r="H51" s="2">
        <v>9698</v>
      </c>
      <c r="I51" s="2">
        <v>350</v>
      </c>
      <c r="J51" s="4">
        <v>5200</v>
      </c>
      <c r="K51" s="2">
        <v>46</v>
      </c>
      <c r="L51" s="2">
        <v>106</v>
      </c>
      <c r="M51" s="2">
        <v>123</v>
      </c>
      <c r="N51" s="2">
        <v>149</v>
      </c>
      <c r="O51" s="2">
        <v>236</v>
      </c>
      <c r="P51" s="2">
        <v>258</v>
      </c>
      <c r="Q51" s="2"/>
      <c r="R51" s="2"/>
      <c r="S51" s="2"/>
      <c r="T51" s="2"/>
      <c r="U51" s="2"/>
      <c r="V51" s="2"/>
      <c r="W51" s="16">
        <v>108</v>
      </c>
      <c r="X51" s="2">
        <v>227</v>
      </c>
      <c r="Y51" s="2">
        <v>320</v>
      </c>
      <c r="Z51" s="2">
        <v>414</v>
      </c>
      <c r="AA51" s="2">
        <v>495</v>
      </c>
      <c r="AB51" s="2">
        <v>577</v>
      </c>
      <c r="AC51" s="2">
        <v>654</v>
      </c>
      <c r="AD51" s="2">
        <v>934</v>
      </c>
      <c r="AE51" s="2">
        <v>934</v>
      </c>
      <c r="AF51" s="2">
        <v>934</v>
      </c>
      <c r="AG51" s="2">
        <v>991</v>
      </c>
      <c r="AH51" s="4">
        <v>930</v>
      </c>
      <c r="AI51" s="2">
        <v>27</v>
      </c>
      <c r="AJ51" s="2">
        <v>114</v>
      </c>
      <c r="AK51" s="2">
        <v>183</v>
      </c>
      <c r="AL51" s="2">
        <v>266</v>
      </c>
      <c r="AM51" s="2">
        <v>326</v>
      </c>
      <c r="AN51" s="2">
        <v>350</v>
      </c>
      <c r="AO51" s="2">
        <v>388</v>
      </c>
      <c r="AP51" s="2">
        <v>434</v>
      </c>
      <c r="AQ51" s="2">
        <v>480</v>
      </c>
      <c r="AR51" s="2">
        <v>513</v>
      </c>
      <c r="AS51" s="2">
        <v>557</v>
      </c>
      <c r="AT51" s="2">
        <v>528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5C06-973E-45F1-997E-4D27D0EFD3F3}">
  <sheetPr codeName="Sheet3"/>
  <dimension ref="A1:AT59"/>
  <sheetViews>
    <sheetView topLeftCell="AB1" workbookViewId="0">
      <selection activeCell="AI17" sqref="AI17"/>
    </sheetView>
  </sheetViews>
  <sheetFormatPr defaultRowHeight="13.8" x14ac:dyDescent="0.25"/>
  <cols>
    <col min="3" max="3" width="18.296875" customWidth="1"/>
    <col min="7" max="7" width="21.296875" bestFit="1" customWidth="1"/>
    <col min="8" max="9" width="10.19921875" bestFit="1" customWidth="1"/>
    <col min="13" max="13" width="10.69921875" bestFit="1" customWidth="1"/>
    <col min="14" max="14" width="12.09765625" bestFit="1" customWidth="1"/>
    <col min="15" max="15" width="10.09765625" bestFit="1" customWidth="1"/>
    <col min="16" max="17" width="12.09765625" bestFit="1" customWidth="1"/>
    <col min="18" max="18" width="10.09765625" bestFit="1" customWidth="1"/>
    <col min="19" max="20" width="12.09765625" bestFit="1" customWidth="1"/>
    <col min="21" max="21" width="10.09765625" bestFit="1" customWidth="1"/>
    <col min="22" max="22" width="12.09765625" bestFit="1" customWidth="1"/>
    <col min="23" max="23" width="10.19921875" customWidth="1"/>
    <col min="31" max="31" width="12.8984375" customWidth="1"/>
    <col min="33" max="33" width="15.296875" customWidth="1"/>
    <col min="34" max="34" width="13.5" customWidth="1"/>
    <col min="39" max="41" width="10.09765625" bestFit="1" customWidth="1"/>
  </cols>
  <sheetData>
    <row r="1" spans="1:46" s="2" customFormat="1" x14ac:dyDescent="0.25"/>
    <row r="2" spans="1:46" s="2" customFormat="1" x14ac:dyDescent="0.25">
      <c r="B2"/>
      <c r="C2"/>
      <c r="D2"/>
      <c r="E2"/>
    </row>
    <row r="3" spans="1:46" s="2" customFormat="1" x14ac:dyDescent="0.25">
      <c r="B3" s="25" t="s">
        <v>65</v>
      </c>
      <c r="C3" s="24"/>
      <c r="D3" s="24"/>
      <c r="E3" s="24"/>
    </row>
    <row r="4" spans="1:46" s="2" customFormat="1" x14ac:dyDescent="0.25">
      <c r="B4"/>
      <c r="C4"/>
      <c r="D4"/>
      <c r="E4"/>
    </row>
    <row r="5" spans="1:46" x14ac:dyDescent="0.25">
      <c r="C5" s="23" t="s">
        <v>67</v>
      </c>
      <c r="D5" s="23">
        <v>2</v>
      </c>
    </row>
    <row r="6" spans="1:46" x14ac:dyDescent="0.25">
      <c r="C6" s="23" t="s">
        <v>76</v>
      </c>
      <c r="D6" s="23">
        <v>5</v>
      </c>
    </row>
    <row r="7" spans="1:46" x14ac:dyDescent="0.25">
      <c r="C7" s="23" t="s">
        <v>95</v>
      </c>
      <c r="D7" s="23">
        <v>3</v>
      </c>
      <c r="L7" s="25" t="s">
        <v>69</v>
      </c>
      <c r="M7" s="24"/>
      <c r="N7" s="24"/>
      <c r="O7" s="24"/>
      <c r="AD7" s="25" t="s">
        <v>90</v>
      </c>
      <c r="AE7" s="24"/>
      <c r="AF7" s="24"/>
      <c r="AG7" s="24"/>
      <c r="AL7" s="25" t="s">
        <v>104</v>
      </c>
      <c r="AM7" s="24"/>
      <c r="AN7" s="24"/>
      <c r="AO7" s="24"/>
      <c r="AQ7" s="25" t="s">
        <v>112</v>
      </c>
      <c r="AR7" s="24"/>
      <c r="AS7" s="24"/>
      <c r="AT7" s="24"/>
    </row>
    <row r="8" spans="1:46" x14ac:dyDescent="0.25">
      <c r="B8" s="2"/>
      <c r="C8" s="23" t="s">
        <v>100</v>
      </c>
      <c r="D8" s="23">
        <v>2</v>
      </c>
      <c r="E8" s="2"/>
    </row>
    <row r="9" spans="1:46" x14ac:dyDescent="0.25">
      <c r="C9" s="23" t="s">
        <v>107</v>
      </c>
      <c r="D9" s="23">
        <v>7</v>
      </c>
      <c r="N9" t="str">
        <f>N10&amp;N11&amp;N12&amp;N13</f>
        <v>2017JunActualRevenue</v>
      </c>
      <c r="O9" s="2" t="str">
        <f t="shared" ref="O9:P9" si="0">O10&amp;O11&amp;O12&amp;O13</f>
        <v>2017JunActualProfit</v>
      </c>
      <c r="P9" s="2" t="str">
        <f t="shared" si="0"/>
        <v>2017JunActualCash</v>
      </c>
      <c r="Q9" s="2" t="str">
        <f t="shared" ref="Q9:V9" si="1">Q10&amp;Q11&amp;Q12&amp;Q13</f>
        <v>2016JunActualRevenue</v>
      </c>
      <c r="R9" s="2" t="str">
        <f t="shared" si="1"/>
        <v>2016JunActualProfit</v>
      </c>
      <c r="S9" s="2" t="str">
        <f t="shared" si="1"/>
        <v>2016JunActualCash</v>
      </c>
      <c r="T9" s="2" t="str">
        <f t="shared" si="1"/>
        <v>2017JunBudgetRevenue</v>
      </c>
      <c r="U9" s="2" t="str">
        <f t="shared" si="1"/>
        <v>2017JunBudgetProfit</v>
      </c>
      <c r="V9" s="2" t="str">
        <f t="shared" si="1"/>
        <v>2017JunBudgetCash</v>
      </c>
      <c r="AD9" t="s">
        <v>93</v>
      </c>
    </row>
    <row r="10" spans="1:46" x14ac:dyDescent="0.25">
      <c r="C10" s="23" t="s">
        <v>108</v>
      </c>
      <c r="D10" t="b">
        <v>1</v>
      </c>
      <c r="N10">
        <f>curr_year</f>
        <v>2017</v>
      </c>
      <c r="O10" s="2">
        <f>curr_year</f>
        <v>2017</v>
      </c>
      <c r="P10" s="2">
        <f>curr_year</f>
        <v>2017</v>
      </c>
      <c r="Q10" s="2">
        <f>curr_year-1</f>
        <v>2016</v>
      </c>
      <c r="R10" s="2">
        <f>curr_year-1</f>
        <v>2016</v>
      </c>
      <c r="S10" s="2">
        <f>curr_year-1</f>
        <v>2016</v>
      </c>
      <c r="T10" s="2">
        <f>curr_year</f>
        <v>2017</v>
      </c>
      <c r="U10" s="2">
        <f>curr_year</f>
        <v>2017</v>
      </c>
      <c r="V10" s="2">
        <f>curr_year</f>
        <v>2017</v>
      </c>
      <c r="AL10" t="str">
        <f>INDEX(Calculatiions1!$G$16:$I$30,Calculatiions1!$D$9,Calculatiions1!$D$5)</f>
        <v>Pes</v>
      </c>
      <c r="AQ10" s="23" t="str">
        <f>"Profit for "&amp;AL11</f>
        <v>Profit for Pes</v>
      </c>
    </row>
    <row r="11" spans="1:46" x14ac:dyDescent="0.25">
      <c r="C11" s="23" t="s">
        <v>109</v>
      </c>
      <c r="D11" t="b">
        <v>1</v>
      </c>
      <c r="N11" t="str">
        <f t="shared" ref="N11:V11" si="2">curr_month</f>
        <v>Jun</v>
      </c>
      <c r="O11" s="2" t="str">
        <f t="shared" si="2"/>
        <v>Jun</v>
      </c>
      <c r="P11" s="2" t="str">
        <f t="shared" si="2"/>
        <v>Jun</v>
      </c>
      <c r="Q11" s="2" t="str">
        <f t="shared" si="2"/>
        <v>Jun</v>
      </c>
      <c r="R11" s="2" t="str">
        <f t="shared" si="2"/>
        <v>Jun</v>
      </c>
      <c r="S11" s="2" t="str">
        <f t="shared" si="2"/>
        <v>Jun</v>
      </c>
      <c r="T11" s="2" t="str">
        <f t="shared" si="2"/>
        <v>Jun</v>
      </c>
      <c r="U11" s="2" t="str">
        <f t="shared" si="2"/>
        <v>Jun</v>
      </c>
      <c r="V11" s="2" t="str">
        <f t="shared" si="2"/>
        <v>Jun</v>
      </c>
      <c r="AF11" s="23"/>
      <c r="AG11" s="23"/>
      <c r="AH11" s="23"/>
      <c r="AL11" s="2" t="str">
        <f>INDEX(Calculatiions1!$G$16:$I$30,Calculatiions1!$D$9,Calculatiions1!$D$5)</f>
        <v>Pes</v>
      </c>
    </row>
    <row r="12" spans="1:46" x14ac:dyDescent="0.25">
      <c r="A12" s="2"/>
      <c r="F12" s="2"/>
      <c r="G12" s="2"/>
      <c r="H12" s="2"/>
      <c r="I12" s="2"/>
      <c r="J12" s="2"/>
      <c r="N12" t="str">
        <f>Data1!B7</f>
        <v>Actual</v>
      </c>
      <c r="O12" s="2" t="str">
        <f>Data1!C7</f>
        <v>Actual</v>
      </c>
      <c r="P12" s="2" t="str">
        <f>Data1!D7</f>
        <v>Actual</v>
      </c>
      <c r="Q12" s="2" t="str">
        <f>Data1!E7</f>
        <v>Actual</v>
      </c>
      <c r="R12" s="2" t="str">
        <f>Data1!F7</f>
        <v>Actual</v>
      </c>
      <c r="S12" s="2" t="str">
        <f>Data1!G7</f>
        <v>Actual</v>
      </c>
      <c r="T12" s="2" t="str">
        <f>Data1!H7</f>
        <v>Budget</v>
      </c>
      <c r="U12" s="2" t="str">
        <f>Data1!I7</f>
        <v>Budget</v>
      </c>
      <c r="V12" s="2" t="str">
        <f>Data1!J7</f>
        <v>Budget</v>
      </c>
      <c r="AF12" s="23" t="str">
        <f>CHOOSE(D8,"Top 6","Bottom 6")&amp;" Divisions Sorted Based on % Difference to Budget"</f>
        <v>Bottom 6 Divisions Sorted Based on % Difference to Budget</v>
      </c>
      <c r="AG12" s="23"/>
      <c r="AH12" s="23"/>
      <c r="AL12" t="s">
        <v>17</v>
      </c>
    </row>
    <row r="13" spans="1:46" x14ac:dyDescent="0.25">
      <c r="N13" t="str">
        <f>Data1!B8</f>
        <v>Revenue</v>
      </c>
      <c r="O13" s="2" t="str">
        <f>Data1!C8</f>
        <v>Profit</v>
      </c>
      <c r="P13" s="2" t="str">
        <f>Data1!D8</f>
        <v>Cash</v>
      </c>
      <c r="Q13" s="2" t="str">
        <f>Data1!E8</f>
        <v>Revenue</v>
      </c>
      <c r="R13" s="2" t="str">
        <f>Data1!F8</f>
        <v>Profit</v>
      </c>
      <c r="S13" s="2" t="str">
        <f>Data1!G8</f>
        <v>Cash</v>
      </c>
      <c r="T13" s="2" t="str">
        <f>Data1!H8</f>
        <v>Revenue</v>
      </c>
      <c r="U13" s="2" t="str">
        <f>Data1!I8</f>
        <v>Profit</v>
      </c>
      <c r="V13" s="2" t="str">
        <f>Data1!J8</f>
        <v>Cash</v>
      </c>
      <c r="AF13" t="str">
        <f>INDEX(D16:D18,D7)&amp; " Actual vs Budget"</f>
        <v>Cash Actual vs Budget</v>
      </c>
      <c r="AM13">
        <f>curr_year</f>
        <v>2017</v>
      </c>
      <c r="AN13">
        <f>+AM13-1</f>
        <v>2016</v>
      </c>
      <c r="AO13">
        <f>+AM13</f>
        <v>2017</v>
      </c>
      <c r="AQ13" s="2">
        <f>curr_year</f>
        <v>2017</v>
      </c>
      <c r="AR13" s="2">
        <f>+AQ13-1</f>
        <v>2016</v>
      </c>
      <c r="AS13" s="2">
        <f>+AQ13</f>
        <v>2017</v>
      </c>
      <c r="AT13" t="s">
        <v>111</v>
      </c>
    </row>
    <row r="14" spans="1:46" x14ac:dyDescent="0.25">
      <c r="B14" s="25" t="s">
        <v>66</v>
      </c>
      <c r="C14" s="24"/>
      <c r="D14" s="24"/>
      <c r="E14" s="24"/>
      <c r="G14" s="25" t="s">
        <v>68</v>
      </c>
      <c r="H14" s="24"/>
      <c r="I14" s="24"/>
      <c r="J14" s="24"/>
      <c r="L14" s="56"/>
      <c r="M14" s="56"/>
      <c r="N14" s="35" t="s">
        <v>1</v>
      </c>
      <c r="O14" s="36"/>
      <c r="P14" s="37"/>
      <c r="Q14" s="38" t="s">
        <v>2</v>
      </c>
      <c r="R14" s="39"/>
      <c r="S14" s="40"/>
      <c r="T14" s="21" t="s">
        <v>3</v>
      </c>
      <c r="U14" s="21"/>
      <c r="V14" s="22"/>
      <c r="W14" s="38" t="s">
        <v>70</v>
      </c>
      <c r="X14" s="39"/>
      <c r="Y14" s="40"/>
      <c r="Z14" s="21" t="s">
        <v>71</v>
      </c>
      <c r="AA14" s="21"/>
      <c r="AB14" s="22"/>
      <c r="AD14" t="s">
        <v>96</v>
      </c>
      <c r="AE14" t="s">
        <v>97</v>
      </c>
      <c r="AF14" t="s">
        <v>98</v>
      </c>
      <c r="AG14" t="s">
        <v>99</v>
      </c>
      <c r="AL14" t="s">
        <v>105</v>
      </c>
      <c r="AM14" s="51" t="s">
        <v>1</v>
      </c>
      <c r="AN14" s="40" t="s">
        <v>1</v>
      </c>
      <c r="AO14" s="21" t="s">
        <v>3</v>
      </c>
      <c r="AP14" t="s">
        <v>105</v>
      </c>
      <c r="AQ14" s="51" t="s">
        <v>1</v>
      </c>
      <c r="AR14" s="40" t="s">
        <v>106</v>
      </c>
      <c r="AS14" s="21" t="s">
        <v>3</v>
      </c>
      <c r="AT14" t="s">
        <v>110</v>
      </c>
    </row>
    <row r="15" spans="1:46" x14ac:dyDescent="0.25">
      <c r="G15" s="23" t="s">
        <v>19</v>
      </c>
      <c r="H15" s="23" t="s">
        <v>35</v>
      </c>
      <c r="I15" s="23" t="s">
        <v>48</v>
      </c>
      <c r="L15" s="56"/>
      <c r="M15" s="56" t="s">
        <v>91</v>
      </c>
      <c r="N15" s="35" t="s">
        <v>16</v>
      </c>
      <c r="O15" s="36" t="s">
        <v>17</v>
      </c>
      <c r="P15" s="37" t="s">
        <v>18</v>
      </c>
      <c r="Q15" s="38" t="s">
        <v>16</v>
      </c>
      <c r="R15" s="39" t="s">
        <v>17</v>
      </c>
      <c r="S15" s="40" t="s">
        <v>18</v>
      </c>
      <c r="T15" s="21" t="s">
        <v>16</v>
      </c>
      <c r="U15" s="21" t="s">
        <v>17</v>
      </c>
      <c r="V15" s="22" t="s">
        <v>18</v>
      </c>
      <c r="W15" s="38" t="s">
        <v>72</v>
      </c>
      <c r="X15" s="39" t="s">
        <v>73</v>
      </c>
      <c r="Y15" s="40" t="s">
        <v>74</v>
      </c>
      <c r="Z15" s="21" t="s">
        <v>72</v>
      </c>
      <c r="AA15" s="21" t="s">
        <v>73</v>
      </c>
      <c r="AB15" s="21" t="s">
        <v>74</v>
      </c>
      <c r="AD15" s="60" t="s">
        <v>91</v>
      </c>
      <c r="AE15" s="51" t="str">
        <f>INDEX(D16:D19,D7)&amp; " % Δ Budget"</f>
        <v>Cash % Δ Budget</v>
      </c>
      <c r="AF15" s="60" t="s">
        <v>92</v>
      </c>
      <c r="AG15" s="51" t="s">
        <v>1</v>
      </c>
      <c r="AH15" s="50" t="s">
        <v>3</v>
      </c>
      <c r="AI15" s="23" t="s">
        <v>102</v>
      </c>
      <c r="AJ15" s="23" t="s">
        <v>103</v>
      </c>
      <c r="AL15" t="s">
        <v>5</v>
      </c>
      <c r="AM15" s="89">
        <f>INDEX(Data1!$B$9:$AT$51,MATCH(Calculatiions1!$AL$11,Data1!$A$9:$A$51,0), MATCH(Calculatiions1!AM$13&amp;Calculatiions1!$AL15&amp;Calculatiions1!AM$14&amp;Calculatiions1!$AL$12,Data1!$B$4:$AT$4, 0))</f>
        <v>357</v>
      </c>
      <c r="AN15" s="89">
        <f>INDEX(Data1!$B$9:$AT$51,MATCH(Calculatiions1!$AL$11,Data1!$A$9:$A$51,0), MATCH(Calculatiions1!AN$13&amp;Calculatiions1!$AL15&amp;Calculatiions1!AN$14&amp;Calculatiions1!$AL$12,Data1!$B$4:$AT$4, 0))</f>
        <v>340.2</v>
      </c>
      <c r="AO15" s="89">
        <f>INDEX(Data1!$B$9:$AT$51,MATCH(Calculatiions1!$AL$11,Data1!$A$9:$A$51,0), MATCH(Calculatiions1!AO$13&amp;Calculatiions1!$AL15&amp;Calculatiions1!AO$14&amp;Calculatiions1!$AL$12,Data1!$B$4:$AT$4, 0))</f>
        <v>279.3</v>
      </c>
      <c r="AP15" t="str">
        <f>+AL15</f>
        <v>Jan</v>
      </c>
      <c r="AQ15">
        <f>IF(MATCH(curr_month,$AL$15:$AL$26,0)&gt;=ROWS($AL$15:AL15),AM15,NA())</f>
        <v>357</v>
      </c>
      <c r="AR15" s="90">
        <f>IF($D$11,AN15,NA())</f>
        <v>340.2</v>
      </c>
      <c r="AS15" s="90">
        <f>IF($D$10,AO15,NA())</f>
        <v>279.3</v>
      </c>
      <c r="AT15" t="e">
        <f t="shared" ref="AT15:AT26" si="3">IF(curr_month=AP15,AQ15,NA())</f>
        <v>#N/A</v>
      </c>
    </row>
    <row r="16" spans="1:46" x14ac:dyDescent="0.25">
      <c r="B16" t="s">
        <v>5</v>
      </c>
      <c r="C16" s="2" t="s">
        <v>19</v>
      </c>
      <c r="D16" s="2" t="s">
        <v>16</v>
      </c>
      <c r="G16" s="26" t="s">
        <v>20</v>
      </c>
      <c r="H16" s="27" t="s">
        <v>36</v>
      </c>
      <c r="I16" s="28" t="s">
        <v>49</v>
      </c>
      <c r="L16" s="23">
        <f t="shared" ref="L16:L22" si="4">IF(M16&gt;"",ROW(A5), "")</f>
        <v>5</v>
      </c>
      <c r="M16" s="23" t="str">
        <f t="shared" ref="M16:M35" si="5">IF(INDEX(G16:I16,,$D$5)=0,"",INDEX(G16:I16,,$D$5))</f>
        <v>Fightrr</v>
      </c>
      <c r="N16" s="47">
        <f>IF($M16&lt;&gt;"", INDEX(Data1!$B$9:$J$51,MATCH($M16,Data1!$A$9:$A$51,0),MATCH(N$9,Data1!$B$4:$AT$4,0)),"")</f>
        <v>11649</v>
      </c>
      <c r="O16" s="47">
        <f>IF($M16&lt;&gt;"", INDEX(Data1!$B$9:$J$51,MATCH($M16,Data1!$A$9:$A$51,0),MATCH(O$9,Data1!$B$4:$AT$4,0)),"")</f>
        <v>802</v>
      </c>
      <c r="P16" s="47">
        <f>IF($M16&lt;&gt;"", INDEX(Data1!$B$9:$J$51,MATCH($M16,Data1!$A$9:$A$51,0),MATCH(P$9,Data1!$B$4:$AT$4,0)),"")</f>
        <v>5956</v>
      </c>
      <c r="Q16" s="47">
        <f>IF($M16&lt;&gt;"", INDEX(Data1!$B$9:$J$51,MATCH($M16,Data1!$A$9:$A$51,0),MATCH(Q$9,Data1!$B$4:$AT$4,0)),"")</f>
        <v>10414</v>
      </c>
      <c r="R16" s="47">
        <f>IF($M16&lt;&gt;"", INDEX(Data1!$B$9:$J$51,MATCH($M16,Data1!$A$9:$A$51,0),MATCH(R$9,Data1!$B$4:$AT$4,0)),"")</f>
        <v>536</v>
      </c>
      <c r="S16" s="47">
        <f>IF($M16&lt;&gt;"", INDEX(Data1!$B$9:$J$51,MATCH($M16,Data1!$A$9:$A$51,0),MATCH(S$9,Data1!$B$4:$AT$4,0)),"")</f>
        <v>6713</v>
      </c>
      <c r="T16" s="47">
        <f>IF($M16&lt;&gt;"", INDEX(Data1!$B$9:$J$51,MATCH($M16,Data1!$A$9:$A$51,0),MATCH(T$9,Data1!$B$4:$AT$4,0)),"")</f>
        <v>10593</v>
      </c>
      <c r="U16" s="47">
        <f>IF($M16&lt;&gt;"", INDEX(Data1!$B$9:$J$51,MATCH($M16,Data1!$A$9:$A$51,0),MATCH(U$9,Data1!$B$4:$AT$4,0)),"")</f>
        <v>554</v>
      </c>
      <c r="V16" s="47">
        <f>IF($M16&lt;&gt;"", INDEX(Data1!$B$9:$J$51,MATCH($M16,Data1!$A$9:$A$51,0),MATCH(V$9,Data1!$B$4:$AT$4,0)),"")</f>
        <v>6803</v>
      </c>
      <c r="W16" s="44">
        <f t="shared" ref="W16:W35" si="6">IF($M16&lt;&gt;"",(N16-Q16)/Q16,"")</f>
        <v>0.11859035913193777</v>
      </c>
      <c r="X16" s="44">
        <f t="shared" ref="X16:X35" si="7">IF($M16&lt;&gt;"",(O16-R16)/R16,"")</f>
        <v>0.4962686567164179</v>
      </c>
      <c r="Y16" s="44">
        <f t="shared" ref="Y16:Y35" si="8">IF($M16&lt;&gt;"",(P16-S16)/S16,"")</f>
        <v>-0.11276627439296887</v>
      </c>
      <c r="Z16" s="44">
        <f t="shared" ref="Z16:Z35" si="9">IF($M16&lt;&gt;"",(N16-T16)/T16,"")</f>
        <v>9.9688473520249218E-2</v>
      </c>
      <c r="AA16" s="44">
        <f t="shared" ref="AA16:AA35" si="10">IF($M16&lt;&gt;"",(O16-U16)/U16,"")</f>
        <v>0.44765342960288806</v>
      </c>
      <c r="AB16" s="44">
        <f t="shared" ref="AB16:AB35" si="11">IF($M16&lt;&gt;"",(P16-V16)/V16,"")</f>
        <v>-0.12450389534029105</v>
      </c>
      <c r="AD16" s="23" t="str">
        <f t="shared" ref="AD16:AD35" si="12">+M16</f>
        <v>Fightrr</v>
      </c>
      <c r="AE16" s="48">
        <f t="shared" ref="AE16:AE35" si="13">IF(Z16&lt;&gt;"",INDEX(Z16:AB16,,$D$7)+ROW()/100000000000,"")</f>
        <v>-0.12450389518029105</v>
      </c>
      <c r="AF16" s="59" t="str">
        <f t="shared" ref="AF16:AF21" si="14">INDEX($AD$16:$AD$35,MATCH(CHOOSE($D$8,LARGE($AE$16:$AE$35,$L16),SMALL($AE$16:$AE$35,$L16)),$AE$16:$AE$35,0))</f>
        <v>Five Labs</v>
      </c>
      <c r="AG16" s="47">
        <f t="shared" ref="AG16:AG21" si="15">INDEX($N$16:$P$35,MATCH($AF16,$M$16:$M$35,0),$D$7)</f>
        <v>7461</v>
      </c>
      <c r="AH16" s="47">
        <f t="shared" ref="AH16:AH21" si="16">INDEX($T$16:$V$35,MATCH($AF16,$M$16:$M$35,0),$D$7)</f>
        <v>7602</v>
      </c>
      <c r="AI16" s="87">
        <f>MAX(AG16:AH16)</f>
        <v>7602</v>
      </c>
      <c r="AJ16" s="88" t="str">
        <f t="shared" ref="AJ16:AJ21" si="17">TEXT(INDEX($Z$16:$AB$30,MATCH(AF16,$M$16:$M$35,0),$D$7), "0%")&amp;" I "&amp;TEXT( AG16,"###0")</f>
        <v>-2% I 7461</v>
      </c>
      <c r="AL16" t="s">
        <v>6</v>
      </c>
      <c r="AM16" s="89">
        <f>INDEX(Data1!$B$9:$AT$51,MATCH(Calculatiions1!$AL$11,Data1!$A$9:$A$51,0), MATCH(Calculatiions1!AM$13&amp;Calculatiions1!$AL16&amp;Calculatiions1!AM$14&amp;Calculatiions1!$AL$12,Data1!$B$4:$AT$4, 0))</f>
        <v>663.6</v>
      </c>
      <c r="AN16" s="89">
        <f>INDEX(Data1!$B$9:$AT$51,MATCH(Calculatiions1!$AL$11,Data1!$A$9:$A$51,0), MATCH(Calculatiions1!AN$13&amp;Calculatiions1!$AL16&amp;Calculatiions1!AN$14&amp;Calculatiions1!$AL$12,Data1!$B$4:$AT$4, 0))</f>
        <v>613.20000000000005</v>
      </c>
      <c r="AO16" s="89">
        <f>INDEX(Data1!$B$9:$AT$51,MATCH(Calculatiions1!$AL$11,Data1!$A$9:$A$51,0), MATCH(Calculatiions1!AO$13&amp;Calculatiions1!$AL16&amp;Calculatiions1!AO$14&amp;Calculatiions1!$AL$12,Data1!$B$4:$AT$4, 0))</f>
        <v>541.80000000000007</v>
      </c>
      <c r="AP16" s="2" t="str">
        <f t="shared" ref="AP16:AP26" si="18">+AL16</f>
        <v>Feb</v>
      </c>
      <c r="AQ16" s="2">
        <f>IF(MATCH(curr_month,$AL$15:$AL$26,0)&gt;=ROWS($AL$15:AL16),AM16,NA())</f>
        <v>663.6</v>
      </c>
      <c r="AR16" s="90">
        <f t="shared" ref="AR16:AR26" si="19">IF($D$11,AN16,NA())</f>
        <v>613.20000000000005</v>
      </c>
      <c r="AS16" s="90">
        <f t="shared" ref="AS16:AS26" si="20">IF($D$10,AO16,NA())</f>
        <v>541.80000000000007</v>
      </c>
      <c r="AT16" s="2" t="e">
        <f t="shared" si="3"/>
        <v>#N/A</v>
      </c>
    </row>
    <row r="17" spans="2:46" x14ac:dyDescent="0.25">
      <c r="B17" t="s">
        <v>6</v>
      </c>
      <c r="C17" s="2" t="s">
        <v>35</v>
      </c>
      <c r="D17" s="2" t="s">
        <v>17</v>
      </c>
      <c r="G17" s="29" t="s">
        <v>21</v>
      </c>
      <c r="H17" s="18" t="s">
        <v>37</v>
      </c>
      <c r="I17" s="30" t="s">
        <v>50</v>
      </c>
      <c r="L17" s="23">
        <f t="shared" si="4"/>
        <v>6</v>
      </c>
      <c r="M17" s="23" t="str">
        <f t="shared" si="5"/>
        <v>Kryptis</v>
      </c>
      <c r="N17" s="47">
        <f>IF($M17&lt;&gt;"", INDEX(Data1!$B$9:$J$51,MATCH($M17,Data1!$A$9:$A$51,0),MATCH(N$9,Data1!$B$4:$AT$4,0)),"")</f>
        <v>7718</v>
      </c>
      <c r="O17" s="47">
        <f>IF($M17&lt;&gt;"", INDEX(Data1!$B$9:$J$51,MATCH($M17,Data1!$A$9:$A$51,0),MATCH(O$9,Data1!$B$4:$AT$4,0)),"")</f>
        <v>876</v>
      </c>
      <c r="P17" s="47">
        <f>IF($M17&lt;&gt;"", INDEX(Data1!$B$9:$J$51,MATCH($M17,Data1!$A$9:$A$51,0),MATCH(P$9,Data1!$B$4:$AT$4,0)),"")</f>
        <v>8432</v>
      </c>
      <c r="Q17" s="47">
        <f>IF($M17&lt;&gt;"", INDEX(Data1!$B$9:$J$51,MATCH($M17,Data1!$A$9:$A$51,0),MATCH(Q$9,Data1!$B$4:$AT$4,0)),"")</f>
        <v>7282</v>
      </c>
      <c r="R17" s="47">
        <f>IF($M17&lt;&gt;"", INDEX(Data1!$B$9:$J$51,MATCH($M17,Data1!$A$9:$A$51,0),MATCH(R$9,Data1!$B$4:$AT$4,0)),"")</f>
        <v>775</v>
      </c>
      <c r="S17" s="47">
        <f>IF($M17&lt;&gt;"", INDEX(Data1!$B$9:$J$51,MATCH($M17,Data1!$A$9:$A$51,0),MATCH(S$9,Data1!$B$4:$AT$4,0)),"")</f>
        <v>8242</v>
      </c>
      <c r="T17" s="47">
        <f>IF($M17&lt;&gt;"", INDEX(Data1!$B$9:$J$51,MATCH($M17,Data1!$A$9:$A$51,0),MATCH(T$9,Data1!$B$4:$AT$4,0)),"")</f>
        <v>6409</v>
      </c>
      <c r="U17" s="47">
        <f>IF($M17&lt;&gt;"", INDEX(Data1!$B$9:$J$51,MATCH($M17,Data1!$A$9:$A$51,0),MATCH(U$9,Data1!$B$4:$AT$4,0)),"")</f>
        <v>654</v>
      </c>
      <c r="V17" s="47">
        <f>IF($M17&lt;&gt;"", INDEX(Data1!$B$9:$J$51,MATCH($M17,Data1!$A$9:$A$51,0),MATCH(V$9,Data1!$B$4:$AT$4,0)),"")</f>
        <v>8312</v>
      </c>
      <c r="W17" s="44">
        <f t="shared" si="6"/>
        <v>5.9873661082120298E-2</v>
      </c>
      <c r="X17" s="44">
        <f t="shared" si="7"/>
        <v>0.13032258064516128</v>
      </c>
      <c r="Y17" s="44">
        <f t="shared" si="8"/>
        <v>2.3052657122057753E-2</v>
      </c>
      <c r="Z17" s="44">
        <f t="shared" si="9"/>
        <v>0.20424403183023873</v>
      </c>
      <c r="AA17" s="44">
        <f t="shared" si="10"/>
        <v>0.33944954128440369</v>
      </c>
      <c r="AB17" s="44">
        <f t="shared" si="11"/>
        <v>1.4436958614051972E-2</v>
      </c>
      <c r="AD17" s="23" t="str">
        <f t="shared" si="12"/>
        <v>Kryptis</v>
      </c>
      <c r="AE17" s="48">
        <f t="shared" si="13"/>
        <v>1.4436958784051972E-2</v>
      </c>
      <c r="AF17" s="59" t="str">
        <f t="shared" si="14"/>
        <v>Pes</v>
      </c>
      <c r="AG17" s="47">
        <f>INDEX($N$16:$P$35,MATCH($AF17,$M$16:$M$35,0),$D$7)</f>
        <v>15668.1</v>
      </c>
      <c r="AH17" s="47">
        <f t="shared" si="16"/>
        <v>15964.2</v>
      </c>
      <c r="AI17" s="87">
        <f t="shared" ref="AI17:AI21" si="21">MAX(AG17:AH17)</f>
        <v>15964.2</v>
      </c>
      <c r="AJ17" s="88" t="str">
        <f t="shared" si="17"/>
        <v>-2% I 15668</v>
      </c>
      <c r="AL17" s="2" t="s">
        <v>7</v>
      </c>
      <c r="AM17" s="89">
        <f>INDEX(Data1!$B$9:$AT$51,MATCH(Calculatiions1!$AL$11,Data1!$A$9:$A$51,0), MATCH(Calculatiions1!AM$13&amp;Calculatiions1!$AL17&amp;Calculatiions1!AM$14&amp;Calculatiions1!$AL$12,Data1!$B$4:$AT$4, 0))</f>
        <v>1003.8000000000001</v>
      </c>
      <c r="AN17" s="89">
        <f>INDEX(Data1!$B$9:$AT$51,MATCH(Calculatiions1!$AL$11,Data1!$A$9:$A$51,0), MATCH(Calculatiions1!AN$13&amp;Calculatiions1!$AL17&amp;Calculatiions1!AN$14&amp;Calculatiions1!$AL$12,Data1!$B$4:$AT$4, 0))</f>
        <v>837.90000000000009</v>
      </c>
      <c r="AO17" s="89">
        <f>INDEX(Data1!$B$9:$AT$51,MATCH(Calculatiions1!$AL$11,Data1!$A$9:$A$51,0), MATCH(Calculatiions1!AO$13&amp;Calculatiions1!$AL17&amp;Calculatiions1!AO$14&amp;Calculatiions1!$AL$12,Data1!$B$4:$AT$4, 0))</f>
        <v>863.1</v>
      </c>
      <c r="AP17" s="2" t="str">
        <f t="shared" si="18"/>
        <v>Mar</v>
      </c>
      <c r="AQ17" s="2">
        <f>IF(MATCH(curr_month,$AL$15:$AL$26,0)&gt;=ROWS($AL$15:AL17),AM17,NA())</f>
        <v>1003.8000000000001</v>
      </c>
      <c r="AR17" s="90">
        <f t="shared" si="19"/>
        <v>837.90000000000009</v>
      </c>
      <c r="AS17" s="90">
        <f t="shared" si="20"/>
        <v>863.1</v>
      </c>
      <c r="AT17" s="2" t="e">
        <f t="shared" si="3"/>
        <v>#N/A</v>
      </c>
    </row>
    <row r="18" spans="2:46" x14ac:dyDescent="0.25">
      <c r="B18" s="2" t="s">
        <v>7</v>
      </c>
      <c r="C18" s="2" t="s">
        <v>48</v>
      </c>
      <c r="D18" s="2" t="s">
        <v>18</v>
      </c>
      <c r="G18" s="29" t="s">
        <v>22</v>
      </c>
      <c r="H18" s="18" t="s">
        <v>38</v>
      </c>
      <c r="I18" s="30" t="s">
        <v>51</v>
      </c>
      <c r="L18" s="23">
        <f t="shared" si="4"/>
        <v>7</v>
      </c>
      <c r="M18" s="23" t="str">
        <f t="shared" si="5"/>
        <v>Perino</v>
      </c>
      <c r="N18" s="47">
        <f>IF($M18&lt;&gt;"", INDEX(Data1!$B$9:$J$51,MATCH($M18,Data1!$A$9:$A$51,0),MATCH(N$9,Data1!$B$4:$AT$4,0)),"")</f>
        <v>15033</v>
      </c>
      <c r="O18" s="47">
        <f>IF($M18&lt;&gt;"", INDEX(Data1!$B$9:$J$51,MATCH($M18,Data1!$A$9:$A$51,0),MATCH(O$9,Data1!$B$4:$AT$4,0)),"")</f>
        <v>469</v>
      </c>
      <c r="P18" s="47">
        <f>IF($M18&lt;&gt;"", INDEX(Data1!$B$9:$J$51,MATCH($M18,Data1!$A$9:$A$51,0),MATCH(P$9,Data1!$B$4:$AT$4,0)),"")</f>
        <v>3512</v>
      </c>
      <c r="Q18" s="47">
        <f>IF($M18&lt;&gt;"", INDEX(Data1!$B$9:$J$51,MATCH($M18,Data1!$A$9:$A$51,0),MATCH(Q$9,Data1!$B$4:$AT$4,0)),"")</f>
        <v>15064</v>
      </c>
      <c r="R18" s="47">
        <f>IF($M18&lt;&gt;"", INDEX(Data1!$B$9:$J$51,MATCH($M18,Data1!$A$9:$A$51,0),MATCH(R$9,Data1!$B$4:$AT$4,0)),"")</f>
        <v>392</v>
      </c>
      <c r="S18" s="47">
        <f>IF($M18&lt;&gt;"", INDEX(Data1!$B$9:$J$51,MATCH($M18,Data1!$A$9:$A$51,0),MATCH(S$9,Data1!$B$4:$AT$4,0)),"")</f>
        <v>3488</v>
      </c>
      <c r="T18" s="47">
        <f>IF($M18&lt;&gt;"", INDEX(Data1!$B$9:$J$51,MATCH($M18,Data1!$A$9:$A$51,0),MATCH(T$9,Data1!$B$4:$AT$4,0)),"")</f>
        <v>12724</v>
      </c>
      <c r="U18" s="47">
        <f>IF($M18&lt;&gt;"", INDEX(Data1!$B$9:$J$51,MATCH($M18,Data1!$A$9:$A$51,0),MATCH(U$9,Data1!$B$4:$AT$4,0)),"")</f>
        <v>530</v>
      </c>
      <c r="V18" s="47">
        <f>IF($M18&lt;&gt;"", INDEX(Data1!$B$9:$J$51,MATCH($M18,Data1!$A$9:$A$51,0),MATCH(V$9,Data1!$B$4:$AT$4,0)),"")</f>
        <v>3347</v>
      </c>
      <c r="W18" s="44">
        <f t="shared" si="6"/>
        <v>-2.0578863515666491E-3</v>
      </c>
      <c r="X18" s="44">
        <f t="shared" si="7"/>
        <v>0.19642857142857142</v>
      </c>
      <c r="Y18" s="44">
        <f t="shared" si="8"/>
        <v>6.8807339449541288E-3</v>
      </c>
      <c r="Z18" s="44">
        <f t="shared" si="9"/>
        <v>0.18146809179503301</v>
      </c>
      <c r="AA18" s="44">
        <f t="shared" si="10"/>
        <v>-0.11509433962264151</v>
      </c>
      <c r="AB18" s="44">
        <f t="shared" si="11"/>
        <v>4.9297878697340904E-2</v>
      </c>
      <c r="AD18" s="23" t="str">
        <f t="shared" si="12"/>
        <v>Perino</v>
      </c>
      <c r="AE18" s="48">
        <f t="shared" si="13"/>
        <v>4.9297878877340905E-2</v>
      </c>
      <c r="AF18" s="59" t="str">
        <f t="shared" si="14"/>
        <v>Twistrr</v>
      </c>
      <c r="AG18" s="47">
        <f t="shared" si="15"/>
        <v>10490.4</v>
      </c>
      <c r="AH18" s="47">
        <f t="shared" si="16"/>
        <v>10458</v>
      </c>
      <c r="AI18" s="87">
        <f t="shared" si="21"/>
        <v>10490.4</v>
      </c>
      <c r="AJ18" s="88" t="str">
        <f t="shared" si="17"/>
        <v>0% I 10490</v>
      </c>
      <c r="AL18" s="2" t="s">
        <v>8</v>
      </c>
      <c r="AM18" s="89">
        <f>INDEX(Data1!$B$9:$AT$51,MATCH(Calculatiions1!$AL$11,Data1!$A$9:$A$51,0), MATCH(Calculatiions1!AM$13&amp;Calculatiions1!$AL18&amp;Calculatiions1!AM$14&amp;Calculatiions1!$AL$12,Data1!$B$4:$AT$4, 0))</f>
        <v>1314.6000000000001</v>
      </c>
      <c r="AN18" s="89">
        <f>INDEX(Data1!$B$9:$AT$51,MATCH(Calculatiions1!$AL$11,Data1!$A$9:$A$51,0), MATCH(Calculatiions1!AN$13&amp;Calculatiions1!$AL18&amp;Calculatiions1!AN$14&amp;Calculatiions1!$AL$12,Data1!$B$4:$AT$4, 0))</f>
        <v>1062.6000000000001</v>
      </c>
      <c r="AO18" s="89">
        <f>INDEX(Data1!$B$9:$AT$51,MATCH(Calculatiions1!$AL$11,Data1!$A$9:$A$51,0), MATCH(Calculatiions1!AO$13&amp;Calculatiions1!$AL18&amp;Calculatiions1!AO$14&amp;Calculatiions1!$AL$12,Data1!$B$4:$AT$4, 0))</f>
        <v>858.90000000000009</v>
      </c>
      <c r="AP18" s="2" t="str">
        <f t="shared" si="18"/>
        <v>Apr</v>
      </c>
      <c r="AQ18" s="2">
        <f>IF(MATCH(curr_month,$AL$15:$AL$26,0)&gt;=ROWS($AL$15:AL18),AM18,NA())</f>
        <v>1314.6000000000001</v>
      </c>
      <c r="AR18" s="90">
        <f t="shared" si="19"/>
        <v>1062.6000000000001</v>
      </c>
      <c r="AS18" s="90">
        <f t="shared" si="20"/>
        <v>858.90000000000009</v>
      </c>
      <c r="AT18" s="2" t="e">
        <f t="shared" si="3"/>
        <v>#N/A</v>
      </c>
    </row>
    <row r="19" spans="2:46" x14ac:dyDescent="0.25">
      <c r="B19" s="2" t="s">
        <v>8</v>
      </c>
      <c r="C19" s="17"/>
      <c r="D19" s="2"/>
      <c r="G19" s="29" t="s">
        <v>23</v>
      </c>
      <c r="H19" s="18" t="s">
        <v>39</v>
      </c>
      <c r="I19" s="30" t="s">
        <v>52</v>
      </c>
      <c r="L19" s="23">
        <f t="shared" si="4"/>
        <v>8</v>
      </c>
      <c r="M19" s="23" t="str">
        <f t="shared" si="5"/>
        <v>Five Labs</v>
      </c>
      <c r="N19" s="47">
        <f>IF($M19&lt;&gt;"", INDEX(Data1!$B$9:$J$51,MATCH($M19,Data1!$A$9:$A$51,0),MATCH(N$9,Data1!$B$4:$AT$4,0)),"")</f>
        <v>21579</v>
      </c>
      <c r="O19" s="47">
        <f>IF($M19&lt;&gt;"", INDEX(Data1!$B$9:$J$51,MATCH($M19,Data1!$A$9:$A$51,0),MATCH(O$9,Data1!$B$4:$AT$4,0)),"")</f>
        <v>920</v>
      </c>
      <c r="P19" s="47">
        <f>IF($M19&lt;&gt;"", INDEX(Data1!$B$9:$J$51,MATCH($M19,Data1!$A$9:$A$51,0),MATCH(P$9,Data1!$B$4:$AT$4,0)),"")</f>
        <v>7461</v>
      </c>
      <c r="Q19" s="47">
        <f>IF($M19&lt;&gt;"", INDEX(Data1!$B$9:$J$51,MATCH($M19,Data1!$A$9:$A$51,0),MATCH(Q$9,Data1!$B$4:$AT$4,0)),"")</f>
        <v>20686</v>
      </c>
      <c r="R19" s="47">
        <f>IF($M19&lt;&gt;"", INDEX(Data1!$B$9:$J$51,MATCH($M19,Data1!$A$9:$A$51,0),MATCH(R$9,Data1!$B$4:$AT$4,0)),"")</f>
        <v>653</v>
      </c>
      <c r="S19" s="47">
        <f>IF($M19&lt;&gt;"", INDEX(Data1!$B$9:$J$51,MATCH($M19,Data1!$A$9:$A$51,0),MATCH(S$9,Data1!$B$4:$AT$4,0)),"")</f>
        <v>8589</v>
      </c>
      <c r="T19" s="47">
        <f>IF($M19&lt;&gt;"", INDEX(Data1!$B$9:$J$51,MATCH($M19,Data1!$A$9:$A$51,0),MATCH(T$9,Data1!$B$4:$AT$4,0)),"")</f>
        <v>20478</v>
      </c>
      <c r="U19" s="47">
        <f>IF($M19&lt;&gt;"", INDEX(Data1!$B$9:$J$51,MATCH($M19,Data1!$A$9:$A$51,0),MATCH(U$9,Data1!$B$4:$AT$4,0)),"")</f>
        <v>658</v>
      </c>
      <c r="V19" s="47">
        <f>IF($M19&lt;&gt;"", INDEX(Data1!$B$9:$J$51,MATCH($M19,Data1!$A$9:$A$51,0),MATCH(V$9,Data1!$B$4:$AT$4,0)),"")</f>
        <v>7602</v>
      </c>
      <c r="W19" s="44">
        <f t="shared" si="6"/>
        <v>4.3169293241806052E-2</v>
      </c>
      <c r="X19" s="44">
        <f t="shared" si="7"/>
        <v>0.40888208269525267</v>
      </c>
      <c r="Y19" s="44">
        <f t="shared" si="8"/>
        <v>-0.13133077191756898</v>
      </c>
      <c r="Z19" s="44">
        <f t="shared" si="9"/>
        <v>5.3765016114854965E-2</v>
      </c>
      <c r="AA19" s="44">
        <f t="shared" si="10"/>
        <v>0.3981762917933131</v>
      </c>
      <c r="AB19" s="44">
        <f t="shared" si="11"/>
        <v>-1.8547750591949488E-2</v>
      </c>
      <c r="AD19" s="23" t="str">
        <f t="shared" si="12"/>
        <v>Five Labs</v>
      </c>
      <c r="AE19" s="48">
        <f t="shared" si="13"/>
        <v>-1.8547750401949489E-2</v>
      </c>
      <c r="AF19" s="59" t="str">
        <f t="shared" si="14"/>
        <v>Kryptis</v>
      </c>
      <c r="AG19" s="47">
        <f t="shared" si="15"/>
        <v>8432</v>
      </c>
      <c r="AH19" s="47">
        <f t="shared" si="16"/>
        <v>8312</v>
      </c>
      <c r="AI19" s="87">
        <f t="shared" si="21"/>
        <v>8432</v>
      </c>
      <c r="AJ19" s="88" t="str">
        <f t="shared" si="17"/>
        <v>1% I 8432</v>
      </c>
      <c r="AL19" s="2" t="s">
        <v>9</v>
      </c>
      <c r="AM19" s="89">
        <f>INDEX(Data1!$B$9:$AT$51,MATCH(Calculatiions1!$AL$11,Data1!$A$9:$A$51,0), MATCH(Calculatiions1!AM$13&amp;Calculatiions1!$AL19&amp;Calculatiions1!AM$14&amp;Calculatiions1!$AL$12,Data1!$B$4:$AT$4, 0))</f>
        <v>1654.8000000000002</v>
      </c>
      <c r="AN19" s="89">
        <f>INDEX(Data1!$B$9:$AT$51,MATCH(Calculatiions1!$AL$11,Data1!$A$9:$A$51,0), MATCH(Calculatiions1!AN$13&amp;Calculatiions1!$AL19&amp;Calculatiions1!AN$14&amp;Calculatiions1!$AL$12,Data1!$B$4:$AT$4, 0))</f>
        <v>1245.3</v>
      </c>
      <c r="AO19" s="89">
        <f>INDEX(Data1!$B$9:$AT$51,MATCH(Calculatiions1!$AL$11,Data1!$A$9:$A$51,0), MATCH(Calculatiions1!AO$13&amp;Calculatiions1!$AL19&amp;Calculatiions1!AO$14&amp;Calculatiions1!$AL$12,Data1!$B$4:$AT$4, 0))</f>
        <v>1134</v>
      </c>
      <c r="AP19" s="2" t="str">
        <f t="shared" si="18"/>
        <v>May</v>
      </c>
      <c r="AQ19" s="2">
        <f>IF(MATCH(curr_month,$AL$15:$AL$26,0)&gt;=ROWS($AL$15:AL19),AM19,NA())</f>
        <v>1654.8000000000002</v>
      </c>
      <c r="AR19" s="90">
        <f t="shared" si="19"/>
        <v>1245.3</v>
      </c>
      <c r="AS19" s="90">
        <f t="shared" si="20"/>
        <v>1134</v>
      </c>
      <c r="AT19" s="2" t="e">
        <f t="shared" si="3"/>
        <v>#N/A</v>
      </c>
    </row>
    <row r="20" spans="2:46" x14ac:dyDescent="0.25">
      <c r="B20" s="2" t="s">
        <v>9</v>
      </c>
      <c r="C20" s="17"/>
      <c r="G20" s="29" t="s">
        <v>24</v>
      </c>
      <c r="H20" s="18" t="s">
        <v>40</v>
      </c>
      <c r="I20" s="30" t="s">
        <v>53</v>
      </c>
      <c r="L20" s="23">
        <f t="shared" si="4"/>
        <v>9</v>
      </c>
      <c r="M20" s="23" t="str">
        <f t="shared" si="5"/>
        <v>Twistrr</v>
      </c>
      <c r="N20" s="47">
        <f>IF($M20&lt;&gt;"", INDEX(Data1!$B$9:$J$51,MATCH($M20,Data1!$A$9:$A$51,0),MATCH(N$9,Data1!$B$4:$AT$4,0)),"")</f>
        <v>27210.600000000002</v>
      </c>
      <c r="O20" s="47">
        <f>IF($M20&lt;&gt;"", INDEX(Data1!$B$9:$J$51,MATCH($M20,Data1!$A$9:$A$51,0),MATCH(O$9,Data1!$B$4:$AT$4,0)),"")</f>
        <v>2903.4</v>
      </c>
      <c r="P20" s="47">
        <f>IF($M20&lt;&gt;"", INDEX(Data1!$B$9:$J$51,MATCH($M20,Data1!$A$9:$A$51,0),MATCH(P$9,Data1!$B$4:$AT$4,0)),"")</f>
        <v>10490.4</v>
      </c>
      <c r="Q20" s="47">
        <f>IF($M20&lt;&gt;"", INDEX(Data1!$B$9:$J$51,MATCH($M20,Data1!$A$9:$A$51,0),MATCH(Q$9,Data1!$B$4:$AT$4,0)),"")</f>
        <v>25448.400000000001</v>
      </c>
      <c r="R20" s="47">
        <f>IF($M20&lt;&gt;"", INDEX(Data1!$B$9:$J$51,MATCH($M20,Data1!$A$9:$A$51,0),MATCH(R$9,Data1!$B$4:$AT$4,0)),"")</f>
        <v>2160</v>
      </c>
      <c r="S20" s="47">
        <f>IF($M20&lt;&gt;"", INDEX(Data1!$B$9:$J$51,MATCH($M20,Data1!$A$9:$A$51,0),MATCH(S$9,Data1!$B$4:$AT$4,0)),"")</f>
        <v>11181.6</v>
      </c>
      <c r="T20" s="47">
        <f>IF($M20&lt;&gt;"", INDEX(Data1!$B$9:$J$51,MATCH($M20,Data1!$A$9:$A$51,0),MATCH(T$9,Data1!$B$4:$AT$4,0)),"")</f>
        <v>24219</v>
      </c>
      <c r="U20" s="47">
        <f>IF($M20&lt;&gt;"", INDEX(Data1!$B$9:$J$51,MATCH($M20,Data1!$A$9:$A$51,0),MATCH(U$9,Data1!$B$4:$AT$4,0)),"")</f>
        <v>2520</v>
      </c>
      <c r="V20" s="47">
        <f>IF($M20&lt;&gt;"", INDEX(Data1!$B$9:$J$51,MATCH($M20,Data1!$A$9:$A$51,0),MATCH(V$9,Data1!$B$4:$AT$4,0)),"")</f>
        <v>10458</v>
      </c>
      <c r="W20" s="44">
        <f t="shared" si="6"/>
        <v>6.9246003678030868E-2</v>
      </c>
      <c r="X20" s="44">
        <f t="shared" si="7"/>
        <v>0.34416666666666673</v>
      </c>
      <c r="Y20" s="44">
        <f t="shared" si="8"/>
        <v>-6.1815840309079266E-2</v>
      </c>
      <c r="Z20" s="44">
        <f t="shared" si="9"/>
        <v>0.12352285395763665</v>
      </c>
      <c r="AA20" s="44">
        <f t="shared" si="10"/>
        <v>0.15214285714285719</v>
      </c>
      <c r="AB20" s="44">
        <f t="shared" si="11"/>
        <v>3.0981067125645089E-3</v>
      </c>
      <c r="AD20" s="23" t="str">
        <f t="shared" si="12"/>
        <v>Twistrr</v>
      </c>
      <c r="AE20" s="48">
        <f t="shared" si="13"/>
        <v>3.098106912564509E-3</v>
      </c>
      <c r="AF20" s="59" t="str">
        <f t="shared" si="14"/>
        <v>Jellyfish</v>
      </c>
      <c r="AG20" s="47">
        <f t="shared" si="15"/>
        <v>5353</v>
      </c>
      <c r="AH20" s="47">
        <f t="shared" si="16"/>
        <v>5191</v>
      </c>
      <c r="AI20" s="87">
        <f t="shared" si="21"/>
        <v>5353</v>
      </c>
      <c r="AJ20" s="88" t="str">
        <f t="shared" si="17"/>
        <v>3% I 5353</v>
      </c>
      <c r="AL20" s="2" t="s">
        <v>10</v>
      </c>
      <c r="AM20" s="89">
        <f>INDEX(Data1!$B$9:$AT$51,MATCH(Calculatiions1!$AL$11,Data1!$A$9:$A$51,0), MATCH(Calculatiions1!AM$13&amp;Calculatiions1!$AL20&amp;Calculatiions1!AM$14&amp;Calculatiions1!$AL$12,Data1!$B$4:$AT$4, 0))</f>
        <v>1932</v>
      </c>
      <c r="AN20" s="89">
        <f>INDEX(Data1!$B$9:$AT$51,MATCH(Calculatiions1!$AL$11,Data1!$A$9:$A$51,0), MATCH(Calculatiions1!AN$13&amp;Calculatiions1!$AL20&amp;Calculatiions1!AN$14&amp;Calculatiions1!$AL$12,Data1!$B$4:$AT$4, 0))</f>
        <v>1371.3</v>
      </c>
      <c r="AO20" s="89">
        <f>INDEX(Data1!$B$9:$AT$51,MATCH(Calculatiions1!$AL$11,Data1!$A$9:$A$51,0), MATCH(Calculatiions1!AO$13&amp;Calculatiions1!$AL20&amp;Calculatiions1!AO$14&amp;Calculatiions1!$AL$12,Data1!$B$4:$AT$4, 0))</f>
        <v>1381.8</v>
      </c>
      <c r="AP20" s="2" t="str">
        <f t="shared" si="18"/>
        <v>Jun</v>
      </c>
      <c r="AQ20" s="2">
        <f>IF(MATCH(curr_month,$AL$15:$AL$26,0)&gt;=ROWS($AL$15:AL20),AM20,NA())</f>
        <v>1932</v>
      </c>
      <c r="AR20" s="90">
        <f t="shared" si="19"/>
        <v>1371.3</v>
      </c>
      <c r="AS20" s="90">
        <f t="shared" si="20"/>
        <v>1381.8</v>
      </c>
      <c r="AT20" s="2">
        <f t="shared" si="3"/>
        <v>1932</v>
      </c>
    </row>
    <row r="21" spans="2:46" x14ac:dyDescent="0.25">
      <c r="B21" s="2" t="s">
        <v>10</v>
      </c>
      <c r="C21" s="17"/>
      <c r="G21" s="29" t="s">
        <v>25</v>
      </c>
      <c r="H21" s="18" t="s">
        <v>41</v>
      </c>
      <c r="I21" s="30" t="s">
        <v>54</v>
      </c>
      <c r="L21" s="23">
        <f t="shared" si="4"/>
        <v>10</v>
      </c>
      <c r="M21" s="23" t="str">
        <f t="shared" si="5"/>
        <v>Hackrr</v>
      </c>
      <c r="N21" s="47">
        <f>IF($M21&lt;&gt;"", INDEX(Data1!$B$9:$J$51,MATCH($M21,Data1!$A$9:$A$51,0),MATCH(N$9,Data1!$B$4:$AT$4,0)),"")</f>
        <v>18700.5</v>
      </c>
      <c r="O21" s="47">
        <f>IF($M21&lt;&gt;"", INDEX(Data1!$B$9:$J$51,MATCH($M21,Data1!$A$9:$A$51,0),MATCH(O$9,Data1!$B$4:$AT$4,0)),"")</f>
        <v>984.90000000000009</v>
      </c>
      <c r="P21" s="47">
        <f>IF($M21&lt;&gt;"", INDEX(Data1!$B$9:$J$51,MATCH($M21,Data1!$A$9:$A$51,0),MATCH(P$9,Data1!$B$4:$AT$4,0)),"")</f>
        <v>12654.6</v>
      </c>
      <c r="Q21" s="47">
        <f>IF($M21&lt;&gt;"", INDEX(Data1!$B$9:$J$51,MATCH($M21,Data1!$A$9:$A$51,0),MATCH(Q$9,Data1!$B$4:$AT$4,0)),"")</f>
        <v>18471.600000000002</v>
      </c>
      <c r="R21" s="47">
        <f>IF($M21&lt;&gt;"", INDEX(Data1!$B$9:$J$51,MATCH($M21,Data1!$A$9:$A$51,0),MATCH(R$9,Data1!$B$4:$AT$4,0)),"")</f>
        <v>663.6</v>
      </c>
      <c r="S21" s="47">
        <f>IF($M21&lt;&gt;"", INDEX(Data1!$B$9:$J$51,MATCH($M21,Data1!$A$9:$A$51,0),MATCH(S$9,Data1!$B$4:$AT$4,0)),"")</f>
        <v>13127.1</v>
      </c>
      <c r="T21" s="47">
        <f>IF($M21&lt;&gt;"", INDEX(Data1!$B$9:$J$51,MATCH($M21,Data1!$A$9:$A$51,0),MATCH(T$9,Data1!$B$4:$AT$4,0)),"")</f>
        <v>19101.600000000002</v>
      </c>
      <c r="U21" s="47">
        <f>IF($M21&lt;&gt;"", INDEX(Data1!$B$9:$J$51,MATCH($M21,Data1!$A$9:$A$51,0),MATCH(U$9,Data1!$B$4:$AT$4,0)),"")</f>
        <v>1302</v>
      </c>
      <c r="V21" s="47">
        <f>IF($M21&lt;&gt;"", INDEX(Data1!$B$9:$J$51,MATCH($M21,Data1!$A$9:$A$51,0),MATCH(V$9,Data1!$B$4:$AT$4,0)),"")</f>
        <v>12188.4</v>
      </c>
      <c r="W21" s="44">
        <f t="shared" si="6"/>
        <v>1.2391996361982599E-2</v>
      </c>
      <c r="X21" s="44">
        <f t="shared" si="7"/>
        <v>0.4841772151898735</v>
      </c>
      <c r="Y21" s="44">
        <f t="shared" si="8"/>
        <v>-3.5994240921452564E-2</v>
      </c>
      <c r="Z21" s="44">
        <f t="shared" si="9"/>
        <v>-2.0998240985048485E-2</v>
      </c>
      <c r="AA21" s="44">
        <f t="shared" si="10"/>
        <v>-0.24354838709677412</v>
      </c>
      <c r="AB21" s="44">
        <f t="shared" si="11"/>
        <v>3.8249483115093103E-2</v>
      </c>
      <c r="AD21" s="23" t="str">
        <f t="shared" si="12"/>
        <v>Hackrr</v>
      </c>
      <c r="AE21" s="48">
        <f t="shared" si="13"/>
        <v>3.8249483325093099E-2</v>
      </c>
      <c r="AF21" s="59" t="str">
        <f t="shared" si="14"/>
        <v>Hackrr</v>
      </c>
      <c r="AG21" s="47">
        <f t="shared" si="15"/>
        <v>12654.6</v>
      </c>
      <c r="AH21" s="47">
        <f t="shared" si="16"/>
        <v>12188.4</v>
      </c>
      <c r="AI21" s="87">
        <f t="shared" si="21"/>
        <v>12654.6</v>
      </c>
      <c r="AJ21" s="88" t="str">
        <f t="shared" si="17"/>
        <v>4% I 12655</v>
      </c>
      <c r="AL21" s="2" t="s">
        <v>11</v>
      </c>
      <c r="AM21" s="89">
        <f>INDEX(Data1!$B$9:$AT$51,MATCH(Calculatiions1!$AL$11,Data1!$A$9:$A$51,0), MATCH(Calculatiions1!AM$13&amp;Calculatiions1!$AL21&amp;Calculatiions1!AM$14&amp;Calculatiions1!$AL$12,Data1!$B$4:$AT$4, 0))</f>
        <v>0</v>
      </c>
      <c r="AN21" s="89">
        <f>INDEX(Data1!$B$9:$AT$51,MATCH(Calculatiions1!$AL$11,Data1!$A$9:$A$51,0), MATCH(Calculatiions1!AN$13&amp;Calculatiions1!$AL21&amp;Calculatiions1!AN$14&amp;Calculatiions1!$AL$12,Data1!$B$4:$AT$4, 0))</f>
        <v>1503.6000000000001</v>
      </c>
      <c r="AO21" s="89">
        <f>INDEX(Data1!$B$9:$AT$51,MATCH(Calculatiions1!$AL$11,Data1!$A$9:$A$51,0), MATCH(Calculatiions1!AO$13&amp;Calculatiions1!$AL21&amp;Calculatiions1!AO$14&amp;Calculatiions1!$AL$12,Data1!$B$4:$AT$4, 0))</f>
        <v>1568.7</v>
      </c>
      <c r="AP21" s="2" t="str">
        <f t="shared" si="18"/>
        <v>Jul</v>
      </c>
      <c r="AQ21" s="2" t="e">
        <f>IF(MATCH(curr_month,$AL$15:$AL$26,0)&gt;=ROWS($AL$15:AL21),AM21,NA())</f>
        <v>#N/A</v>
      </c>
      <c r="AR21" s="90">
        <f t="shared" si="19"/>
        <v>1503.6000000000001</v>
      </c>
      <c r="AS21" s="90">
        <f t="shared" si="20"/>
        <v>1568.7</v>
      </c>
      <c r="AT21" s="2" t="e">
        <f t="shared" si="3"/>
        <v>#N/A</v>
      </c>
    </row>
    <row r="22" spans="2:46" x14ac:dyDescent="0.25">
      <c r="B22" s="2" t="s">
        <v>11</v>
      </c>
      <c r="C22" s="17"/>
      <c r="G22" s="29" t="s">
        <v>26</v>
      </c>
      <c r="H22" s="18" t="s">
        <v>42</v>
      </c>
      <c r="I22" s="31" t="s">
        <v>55</v>
      </c>
      <c r="L22" s="23">
        <f t="shared" si="4"/>
        <v>11</v>
      </c>
      <c r="M22" s="23" t="str">
        <f t="shared" si="5"/>
        <v>Pes</v>
      </c>
      <c r="N22" s="47">
        <f>IF($M22&lt;&gt;"", INDEX(Data1!$B$9:$J$51,MATCH($M22,Data1!$A$9:$A$51,0),MATCH(N$9,Data1!$B$4:$AT$4,0)),"")</f>
        <v>45315.9</v>
      </c>
      <c r="O22" s="47">
        <f>IF($M22&lt;&gt;"", INDEX(Data1!$B$9:$J$51,MATCH($M22,Data1!$A$9:$A$51,0),MATCH(O$9,Data1!$B$4:$AT$4,0)),"")</f>
        <v>1932</v>
      </c>
      <c r="P22" s="47">
        <f>IF($M22&lt;&gt;"", INDEX(Data1!$B$9:$J$51,MATCH($M22,Data1!$A$9:$A$51,0),MATCH(P$9,Data1!$B$4:$AT$4,0)),"")</f>
        <v>15668.1</v>
      </c>
      <c r="Q22" s="47">
        <f>IF($M22&lt;&gt;"", INDEX(Data1!$B$9:$J$51,MATCH($M22,Data1!$A$9:$A$51,0),MATCH(Q$9,Data1!$B$4:$AT$4,0)),"")</f>
        <v>43440.6</v>
      </c>
      <c r="R22" s="47">
        <f>IF($M22&lt;&gt;"", INDEX(Data1!$B$9:$J$51,MATCH($M22,Data1!$A$9:$A$51,0),MATCH(R$9,Data1!$B$4:$AT$4,0)),"")</f>
        <v>1371.3</v>
      </c>
      <c r="S22" s="47">
        <f>IF($M22&lt;&gt;"", INDEX(Data1!$B$9:$J$51,MATCH($M22,Data1!$A$9:$A$51,0),MATCH(S$9,Data1!$B$4:$AT$4,0)),"")</f>
        <v>18036.900000000001</v>
      </c>
      <c r="T22" s="47">
        <f>IF($M22&lt;&gt;"", INDEX(Data1!$B$9:$J$51,MATCH($M22,Data1!$A$9:$A$51,0),MATCH(T$9,Data1!$B$4:$AT$4,0)),"")</f>
        <v>43003.8</v>
      </c>
      <c r="U22" s="47">
        <f>IF($M22&lt;&gt;"", INDEX(Data1!$B$9:$J$51,MATCH($M22,Data1!$A$9:$A$51,0),MATCH(U$9,Data1!$B$4:$AT$4,0)),"")</f>
        <v>1381.8</v>
      </c>
      <c r="V22" s="47">
        <f>IF($M22&lt;&gt;"", INDEX(Data1!$B$9:$J$51,MATCH($M22,Data1!$A$9:$A$51,0),MATCH(V$9,Data1!$B$4:$AT$4,0)),"")</f>
        <v>15964.2</v>
      </c>
      <c r="W22" s="44">
        <f t="shared" si="6"/>
        <v>4.3169293241806121E-2</v>
      </c>
      <c r="X22" s="44">
        <f t="shared" si="7"/>
        <v>0.40888208269525272</v>
      </c>
      <c r="Y22" s="44">
        <f t="shared" si="8"/>
        <v>-0.13133077191756903</v>
      </c>
      <c r="Z22" s="44">
        <f t="shared" si="9"/>
        <v>5.376501611485493E-2</v>
      </c>
      <c r="AA22" s="44">
        <f t="shared" si="10"/>
        <v>0.3981762917933131</v>
      </c>
      <c r="AB22" s="44">
        <f t="shared" si="11"/>
        <v>-1.8547750591949509E-2</v>
      </c>
      <c r="AD22" s="23" t="str">
        <f t="shared" si="12"/>
        <v>Pes</v>
      </c>
      <c r="AE22" s="48">
        <f t="shared" si="13"/>
        <v>-1.8547750371949508E-2</v>
      </c>
      <c r="AF22" s="59"/>
      <c r="AG22" s="48"/>
      <c r="AH22" s="47"/>
      <c r="AL22" s="2" t="s">
        <v>4</v>
      </c>
      <c r="AM22" s="89">
        <f>INDEX(Data1!$B$9:$AT$51,MATCH(Calculatiions1!$AL$11,Data1!$A$9:$A$51,0), MATCH(Calculatiions1!AM$13&amp;Calculatiions1!$AL22&amp;Calculatiions1!AM$14&amp;Calculatiions1!$AL$12,Data1!$B$4:$AT$4, 0))</f>
        <v>0</v>
      </c>
      <c r="AN22" s="89">
        <f>INDEX(Data1!$B$9:$AT$51,MATCH(Calculatiions1!$AL$11,Data1!$A$9:$A$51,0), MATCH(Calculatiions1!AN$13&amp;Calculatiions1!$AL22&amp;Calculatiions1!AN$14&amp;Calculatiions1!$AL$12,Data1!$B$4:$AT$4, 0))</f>
        <v>1528.8</v>
      </c>
      <c r="AO22" s="89">
        <f>INDEX(Data1!$B$9:$AT$51,MATCH(Calculatiions1!$AL$11,Data1!$A$9:$A$51,0), MATCH(Calculatiions1!AO$13&amp;Calculatiions1!$AL22&amp;Calculatiions1!AO$14&amp;Calculatiions1!$AL$12,Data1!$B$4:$AT$4, 0))</f>
        <v>1461.6000000000001</v>
      </c>
      <c r="AP22" s="2" t="str">
        <f t="shared" si="18"/>
        <v>Aug</v>
      </c>
      <c r="AQ22" s="2" t="e">
        <f>IF(MATCH(curr_month,$AL$15:$AL$26,0)&gt;=ROWS($AL$15:AL22),AM22,NA())</f>
        <v>#N/A</v>
      </c>
      <c r="AR22" s="90">
        <f t="shared" si="19"/>
        <v>1528.8</v>
      </c>
      <c r="AS22" s="90">
        <f t="shared" si="20"/>
        <v>1461.6000000000001</v>
      </c>
      <c r="AT22" s="2" t="e">
        <f t="shared" si="3"/>
        <v>#N/A</v>
      </c>
    </row>
    <row r="23" spans="2:46" x14ac:dyDescent="0.25">
      <c r="B23" s="2" t="s">
        <v>4</v>
      </c>
      <c r="C23" s="17"/>
      <c r="G23" s="29" t="s">
        <v>27</v>
      </c>
      <c r="H23" s="18" t="s">
        <v>43</v>
      </c>
      <c r="I23" s="30" t="s">
        <v>56</v>
      </c>
      <c r="L23" s="23">
        <f>IF(M23&gt;"",ROW(A13), "")</f>
        <v>13</v>
      </c>
      <c r="M23" s="23" t="str">
        <f t="shared" si="5"/>
        <v>Baden</v>
      </c>
      <c r="N23" s="47">
        <f>IF($M23&lt;&gt;"", INDEX(Data1!$B$9:$J$51,MATCH($M23,Data1!$A$9:$A$51,0),MATCH(N$9,Data1!$B$4:$AT$4,0)),"")</f>
        <v>35980</v>
      </c>
      <c r="O23" s="47">
        <f>IF($M23&lt;&gt;"", INDEX(Data1!$B$9:$J$51,MATCH($M23,Data1!$A$9:$A$51,0),MATCH(O$9,Data1!$B$4:$AT$4,0)),"")</f>
        <v>2332</v>
      </c>
      <c r="P23" s="47">
        <f>IF($M23&lt;&gt;"", INDEX(Data1!$B$9:$J$51,MATCH($M23,Data1!$A$9:$A$51,0),MATCH(P$9,Data1!$B$4:$AT$4,0)),"")</f>
        <v>14274</v>
      </c>
      <c r="Q23" s="47">
        <f>IF($M23&lt;&gt;"", INDEX(Data1!$B$9:$J$51,MATCH($M23,Data1!$A$9:$A$51,0),MATCH(Q$9,Data1!$B$4:$AT$4,0)),"")</f>
        <v>32790</v>
      </c>
      <c r="R23" s="47">
        <f>IF($M23&lt;&gt;"", INDEX(Data1!$B$9:$J$51,MATCH($M23,Data1!$A$9:$A$51,0),MATCH(R$9,Data1!$B$4:$AT$4,0)),"")</f>
        <v>2006</v>
      </c>
      <c r="S23" s="47">
        <f>IF($M23&lt;&gt;"", INDEX(Data1!$B$9:$J$51,MATCH($M23,Data1!$A$9:$A$51,0),MATCH(S$9,Data1!$B$4:$AT$4,0)),"")</f>
        <v>14846</v>
      </c>
      <c r="T23" s="47">
        <f>IF($M23&lt;&gt;"", INDEX(Data1!$B$9:$J$51,MATCH($M23,Data1!$A$9:$A$51,0),MATCH(T$9,Data1!$B$4:$AT$4,0)),"")</f>
        <v>36362</v>
      </c>
      <c r="U23" s="47">
        <f>IF($M23&lt;&gt;"", INDEX(Data1!$B$9:$J$51,MATCH($M23,Data1!$A$9:$A$51,0),MATCH(U$9,Data1!$B$4:$AT$4,0)),"")</f>
        <v>2446</v>
      </c>
      <c r="V23" s="47">
        <f>IF($M23&lt;&gt;"", INDEX(Data1!$B$9:$J$51,MATCH($M23,Data1!$A$9:$A$51,0),MATCH(V$9,Data1!$B$4:$AT$4,0)),"")</f>
        <v>16392</v>
      </c>
      <c r="W23" s="44">
        <f t="shared" si="6"/>
        <v>9.728575785300396E-2</v>
      </c>
      <c r="X23" s="44">
        <f t="shared" si="7"/>
        <v>0.16251246261216351</v>
      </c>
      <c r="Y23" s="44">
        <f t="shared" si="8"/>
        <v>-3.8528896672504379E-2</v>
      </c>
      <c r="Z23" s="44">
        <f t="shared" si="9"/>
        <v>-1.0505472746273583E-2</v>
      </c>
      <c r="AA23" s="44">
        <f t="shared" si="10"/>
        <v>-4.6606704824202781E-2</v>
      </c>
      <c r="AB23" s="44">
        <f t="shared" si="11"/>
        <v>-0.12920937042459738</v>
      </c>
      <c r="AD23" s="23" t="str">
        <f t="shared" si="12"/>
        <v>Baden</v>
      </c>
      <c r="AE23" s="48">
        <f t="shared" si="13"/>
        <v>-0.12920937019459738</v>
      </c>
      <c r="AF23" s="59"/>
      <c r="AG23" s="48"/>
      <c r="AH23" s="47"/>
      <c r="AL23" s="2" t="s">
        <v>12</v>
      </c>
      <c r="AM23" s="89">
        <f>INDEX(Data1!$B$9:$AT$51,MATCH(Calculatiions1!$AL$11,Data1!$A$9:$A$51,0), MATCH(Calculatiions1!AM$13&amp;Calculatiions1!$AL23&amp;Calculatiions1!AM$14&amp;Calculatiions1!$AL$12,Data1!$B$4:$AT$4, 0))</f>
        <v>0</v>
      </c>
      <c r="AN23" s="89">
        <f>INDEX(Data1!$B$9:$AT$51,MATCH(Calculatiions1!$AL$11,Data1!$A$9:$A$51,0), MATCH(Calculatiions1!AN$13&amp;Calculatiions1!$AL23&amp;Calculatiions1!AN$14&amp;Calculatiions1!$AL$12,Data1!$B$4:$AT$4, 0))</f>
        <v>1694.7</v>
      </c>
      <c r="AO23" s="89">
        <f>INDEX(Data1!$B$9:$AT$51,MATCH(Calculatiions1!$AL$11,Data1!$A$9:$A$51,0), MATCH(Calculatiions1!AO$13&amp;Calculatiions1!$AL23&amp;Calculatiions1!AO$14&amp;Calculatiions1!$AL$12,Data1!$B$4:$AT$4, 0))</f>
        <v>1766.1000000000001</v>
      </c>
      <c r="AP23" s="2" t="str">
        <f t="shared" si="18"/>
        <v>Sep</v>
      </c>
      <c r="AQ23" s="2" t="e">
        <f>IF(MATCH(curr_month,$AL$15:$AL$26,0)&gt;=ROWS($AL$15:AL23),AM23,NA())</f>
        <v>#N/A</v>
      </c>
      <c r="AR23" s="90">
        <f t="shared" si="19"/>
        <v>1694.7</v>
      </c>
      <c r="AS23" s="90">
        <f t="shared" si="20"/>
        <v>1766.1000000000001</v>
      </c>
      <c r="AT23" s="2" t="e">
        <f t="shared" si="3"/>
        <v>#N/A</v>
      </c>
    </row>
    <row r="24" spans="2:46" x14ac:dyDescent="0.25">
      <c r="B24" s="2" t="s">
        <v>12</v>
      </c>
      <c r="C24" s="17"/>
      <c r="G24" s="29" t="s">
        <v>28</v>
      </c>
      <c r="H24" s="18" t="s">
        <v>44</v>
      </c>
      <c r="I24" s="30" t="s">
        <v>57</v>
      </c>
      <c r="L24" s="23">
        <f>IF(M24&gt;"",ROW(A14), "")</f>
        <v>14</v>
      </c>
      <c r="M24" s="23" t="str">
        <f t="shared" si="5"/>
        <v>Jellyfish</v>
      </c>
      <c r="N24" s="47">
        <f>IF($M24&lt;&gt;"", INDEX(Data1!$B$9:$J$51,MATCH($M24,Data1!$A$9:$A$51,0),MATCH(N$9,Data1!$B$4:$AT$4,0)),"")</f>
        <v>7657</v>
      </c>
      <c r="O24" s="47">
        <f>IF($M24&lt;&gt;"", INDEX(Data1!$B$9:$J$51,MATCH($M24,Data1!$A$9:$A$51,0),MATCH(O$9,Data1!$B$4:$AT$4,0)),"")</f>
        <v>276</v>
      </c>
      <c r="P24" s="47">
        <f>IF($M24&lt;&gt;"", INDEX(Data1!$B$9:$J$51,MATCH($M24,Data1!$A$9:$A$51,0),MATCH(P$9,Data1!$B$4:$AT$4,0)),"")</f>
        <v>5353</v>
      </c>
      <c r="Q24" s="47">
        <f>IF($M24&lt;&gt;"", INDEX(Data1!$B$9:$J$51,MATCH($M24,Data1!$A$9:$A$51,0),MATCH(Q$9,Data1!$B$4:$AT$4,0)),"")</f>
        <v>5307</v>
      </c>
      <c r="R24" s="47">
        <f>IF($M24&lt;&gt;"", INDEX(Data1!$B$9:$J$51,MATCH($M24,Data1!$A$9:$A$51,0),MATCH(R$9,Data1!$B$4:$AT$4,0)),"")</f>
        <v>170</v>
      </c>
      <c r="S24" s="47">
        <f>IF($M24&lt;&gt;"", INDEX(Data1!$B$9:$J$51,MATCH($M24,Data1!$A$9:$A$51,0),MATCH(S$9,Data1!$B$4:$AT$4,0)),"")</f>
        <v>4710</v>
      </c>
      <c r="T24" s="47">
        <f>IF($M24&lt;&gt;"", INDEX(Data1!$B$9:$J$51,MATCH($M24,Data1!$A$9:$A$51,0),MATCH(T$9,Data1!$B$4:$AT$4,0)),"")</f>
        <v>6431</v>
      </c>
      <c r="U24" s="47">
        <f>IF($M24&lt;&gt;"", INDEX(Data1!$B$9:$J$51,MATCH($M24,Data1!$A$9:$A$51,0),MATCH(U$9,Data1!$B$4:$AT$4,0)),"")</f>
        <v>179</v>
      </c>
      <c r="V24" s="47">
        <f>IF($M24&lt;&gt;"", INDEX(Data1!$B$9:$J$51,MATCH($M24,Data1!$A$9:$A$51,0),MATCH(V$9,Data1!$B$4:$AT$4,0)),"")</f>
        <v>5191</v>
      </c>
      <c r="W24" s="44">
        <f t="shared" si="6"/>
        <v>0.44281138119464858</v>
      </c>
      <c r="X24" s="44">
        <f t="shared" si="7"/>
        <v>0.62352941176470589</v>
      </c>
      <c r="Y24" s="44">
        <f t="shared" si="8"/>
        <v>0.13651804670912951</v>
      </c>
      <c r="Z24" s="44">
        <f t="shared" si="9"/>
        <v>0.19063909189861608</v>
      </c>
      <c r="AA24" s="44">
        <f t="shared" si="10"/>
        <v>0.54189944134078216</v>
      </c>
      <c r="AB24" s="44">
        <f t="shared" si="11"/>
        <v>3.1207859757272201E-2</v>
      </c>
      <c r="AD24" s="23" t="str">
        <f t="shared" si="12"/>
        <v>Jellyfish</v>
      </c>
      <c r="AE24" s="48">
        <f t="shared" si="13"/>
        <v>3.12078599972722E-2</v>
      </c>
      <c r="AF24" s="59"/>
      <c r="AG24" s="48"/>
      <c r="AH24" s="47"/>
      <c r="AL24" s="2" t="s">
        <v>13</v>
      </c>
      <c r="AM24" s="89">
        <f>INDEX(Data1!$B$9:$AT$51,MATCH(Calculatiions1!$AL$11,Data1!$A$9:$A$51,0), MATCH(Calculatiions1!AM$13&amp;Calculatiions1!$AL24&amp;Calculatiions1!AM$14&amp;Calculatiions1!$AL$12,Data1!$B$4:$AT$4, 0))</f>
        <v>0</v>
      </c>
      <c r="AN24" s="89">
        <f>INDEX(Data1!$B$9:$AT$51,MATCH(Calculatiions1!$AL$11,Data1!$A$9:$A$51,0), MATCH(Calculatiions1!AN$13&amp;Calculatiions1!$AL24&amp;Calculatiions1!AN$14&amp;Calculatiions1!$AL$12,Data1!$B$4:$AT$4, 0))</f>
        <v>1820.7</v>
      </c>
      <c r="AO24" s="89">
        <f>INDEX(Data1!$B$9:$AT$51,MATCH(Calculatiions1!$AL$11,Data1!$A$9:$A$51,0), MATCH(Calculatiions1!AO$13&amp;Calculatiions1!$AL24&amp;Calculatiions1!AO$14&amp;Calculatiions1!$AL$12,Data1!$B$4:$AT$4, 0))</f>
        <v>1795.5</v>
      </c>
      <c r="AP24" s="2" t="str">
        <f t="shared" si="18"/>
        <v>Oct</v>
      </c>
      <c r="AQ24" s="2" t="e">
        <f>IF(MATCH(curr_month,$AL$15:$AL$26,0)&gt;=ROWS($AL$15:AL24),AM24,NA())</f>
        <v>#N/A</v>
      </c>
      <c r="AR24" s="90">
        <f t="shared" si="19"/>
        <v>1820.7</v>
      </c>
      <c r="AS24" s="90">
        <f t="shared" si="20"/>
        <v>1795.5</v>
      </c>
      <c r="AT24" s="2" t="e">
        <f t="shared" si="3"/>
        <v>#N/A</v>
      </c>
    </row>
    <row r="25" spans="2:46" x14ac:dyDescent="0.25">
      <c r="B25" s="2" t="s">
        <v>13</v>
      </c>
      <c r="C25" s="17"/>
      <c r="G25" s="29" t="s">
        <v>29</v>
      </c>
      <c r="H25" s="18" t="s">
        <v>45</v>
      </c>
      <c r="I25" s="30" t="s">
        <v>58</v>
      </c>
      <c r="L25" s="23">
        <f>IF(M25&gt;"",ROW(A15), "")</f>
        <v>15</v>
      </c>
      <c r="M25" s="23" t="str">
        <f t="shared" si="5"/>
        <v>Aviatrr</v>
      </c>
      <c r="N25" s="47">
        <f>IF($M25&lt;&gt;"", INDEX(Data1!$B$9:$J$51,MATCH($M25,Data1!$A$9:$A$51,0),MATCH(N$9,Data1!$B$4:$AT$4,0)),"")</f>
        <v>8126</v>
      </c>
      <c r="O25" s="47">
        <f>IF($M25&lt;&gt;"", INDEX(Data1!$B$9:$J$51,MATCH($M25,Data1!$A$9:$A$51,0),MATCH(O$9,Data1!$B$4:$AT$4,0)),"")</f>
        <v>321</v>
      </c>
      <c r="P25" s="47">
        <f>IF($M25&lt;&gt;"", INDEX(Data1!$B$9:$J$51,MATCH($M25,Data1!$A$9:$A$51,0),MATCH(P$9,Data1!$B$4:$AT$4,0)),"")</f>
        <v>6153</v>
      </c>
      <c r="Q25" s="47">
        <f>IF($M25&lt;&gt;"", INDEX(Data1!$B$9:$J$51,MATCH($M25,Data1!$A$9:$A$51,0),MATCH(Q$9,Data1!$B$4:$AT$4,0)),"")</f>
        <v>9111</v>
      </c>
      <c r="R25" s="47">
        <f>IF($M25&lt;&gt;"", INDEX(Data1!$B$9:$J$51,MATCH($M25,Data1!$A$9:$A$51,0),MATCH(R$9,Data1!$B$4:$AT$4,0)),"")</f>
        <v>567</v>
      </c>
      <c r="S25" s="47">
        <f>IF($M25&lt;&gt;"", INDEX(Data1!$B$9:$J$51,MATCH($M25,Data1!$A$9:$A$51,0),MATCH(S$9,Data1!$B$4:$AT$4,0)),"")</f>
        <v>5959</v>
      </c>
      <c r="T25" s="47">
        <f>IF($M25&lt;&gt;"", INDEX(Data1!$B$9:$J$51,MATCH($M25,Data1!$A$9:$A$51,0),MATCH(T$9,Data1!$B$4:$AT$4,0)),"")</f>
        <v>8642</v>
      </c>
      <c r="U25" s="47">
        <f>IF($M25&lt;&gt;"", INDEX(Data1!$B$9:$J$51,MATCH($M25,Data1!$A$9:$A$51,0),MATCH(U$9,Data1!$B$4:$AT$4,0)),"")</f>
        <v>554</v>
      </c>
      <c r="V25" s="47">
        <f>IF($M25&lt;&gt;"", INDEX(Data1!$B$9:$J$51,MATCH($M25,Data1!$A$9:$A$51,0),MATCH(V$9,Data1!$B$4:$AT$4,0)),"")</f>
        <v>7382</v>
      </c>
      <c r="W25" s="44">
        <f t="shared" si="6"/>
        <v>-0.10811107452529908</v>
      </c>
      <c r="X25" s="44">
        <f t="shared" si="7"/>
        <v>-0.43386243386243384</v>
      </c>
      <c r="Y25" s="44">
        <f t="shared" si="8"/>
        <v>3.2555797952676623E-2</v>
      </c>
      <c r="Z25" s="44">
        <f t="shared" si="9"/>
        <v>-5.9708400833140475E-2</v>
      </c>
      <c r="AA25" s="44">
        <f t="shared" si="10"/>
        <v>-0.42057761732851984</v>
      </c>
      <c r="AB25" s="44">
        <f t="shared" si="11"/>
        <v>-0.16648604714169601</v>
      </c>
      <c r="AD25" s="23" t="str">
        <f t="shared" si="12"/>
        <v>Aviatrr</v>
      </c>
      <c r="AE25" s="48">
        <f t="shared" si="13"/>
        <v>-0.16648604689169602</v>
      </c>
      <c r="AF25" s="59"/>
      <c r="AG25" s="48"/>
      <c r="AH25" s="47"/>
      <c r="AL25" s="2" t="s">
        <v>14</v>
      </c>
      <c r="AM25" s="89">
        <f>INDEX(Data1!$B$9:$AT$51,MATCH(Calculatiions1!$AL$11,Data1!$A$9:$A$51,0), MATCH(Calculatiions1!AM$13&amp;Calculatiions1!$AL25&amp;Calculatiions1!AM$14&amp;Calculatiions1!$AL$12,Data1!$B$4:$AT$4, 0))</f>
        <v>0</v>
      </c>
      <c r="AN25" s="89">
        <f>INDEX(Data1!$B$9:$AT$51,MATCH(Calculatiions1!$AL$11,Data1!$A$9:$A$51,0), MATCH(Calculatiions1!AN$13&amp;Calculatiions1!$AL25&amp;Calculatiions1!AN$14&amp;Calculatiions1!$AL$12,Data1!$B$4:$AT$4, 0))</f>
        <v>1969.8000000000002</v>
      </c>
      <c r="AO25" s="89">
        <f>INDEX(Data1!$B$9:$AT$51,MATCH(Calculatiions1!$AL$11,Data1!$A$9:$A$51,0), MATCH(Calculatiions1!AO$13&amp;Calculatiions1!$AL25&amp;Calculatiions1!AO$14&amp;Calculatiions1!$AL$12,Data1!$B$4:$AT$4, 0))</f>
        <v>2087.4</v>
      </c>
      <c r="AP25" s="2" t="str">
        <f t="shared" si="18"/>
        <v>Nov</v>
      </c>
      <c r="AQ25" s="2" t="e">
        <f>IF(MATCH(curr_month,$AL$15:$AL$26,0)&gt;=ROWS($AL$15:AL25),AM25,NA())</f>
        <v>#N/A</v>
      </c>
      <c r="AR25" s="90">
        <f t="shared" si="19"/>
        <v>1969.8000000000002</v>
      </c>
      <c r="AS25" s="90">
        <f t="shared" si="20"/>
        <v>2087.4</v>
      </c>
      <c r="AT25" s="2" t="e">
        <f t="shared" si="3"/>
        <v>#N/A</v>
      </c>
    </row>
    <row r="26" spans="2:46" x14ac:dyDescent="0.25">
      <c r="B26" s="2" t="s">
        <v>14</v>
      </c>
      <c r="C26" s="17"/>
      <c r="G26" s="32" t="s">
        <v>30</v>
      </c>
      <c r="H26" s="18" t="s">
        <v>46</v>
      </c>
      <c r="I26" s="30" t="s">
        <v>59</v>
      </c>
      <c r="L26" s="23">
        <f>IF(M26&gt;"",ROW(A16), "")</f>
        <v>16</v>
      </c>
      <c r="M26" s="23" t="str">
        <f t="shared" si="5"/>
        <v>deRamblr</v>
      </c>
      <c r="N26" s="47">
        <f>IF($M26&lt;&gt;"", INDEX(Data1!$B$9:$J$51,MATCH($M26,Data1!$A$9:$A$51,0),MATCH(N$9,Data1!$B$4:$AT$4,0)),"")</f>
        <v>5272</v>
      </c>
      <c r="O26" s="47">
        <f>IF($M26&lt;&gt;"", INDEX(Data1!$B$9:$J$51,MATCH($M26,Data1!$A$9:$A$51,0),MATCH(O$9,Data1!$B$4:$AT$4,0)),"")</f>
        <v>316</v>
      </c>
      <c r="P26" s="47">
        <f>IF($M26&lt;&gt;"", INDEX(Data1!$B$9:$J$51,MATCH($M26,Data1!$A$9:$A$51,0),MATCH(P$9,Data1!$B$4:$AT$4,0)),"")</f>
        <v>1207</v>
      </c>
      <c r="Q26" s="47">
        <f>IF($M26&lt;&gt;"", INDEX(Data1!$B$9:$J$51,MATCH($M26,Data1!$A$9:$A$51,0),MATCH(Q$9,Data1!$B$4:$AT$4,0)),"")</f>
        <v>4934</v>
      </c>
      <c r="R26" s="47">
        <f>IF($M26&lt;&gt;"", INDEX(Data1!$B$9:$J$51,MATCH($M26,Data1!$A$9:$A$51,0),MATCH(R$9,Data1!$B$4:$AT$4,0)),"")</f>
        <v>233</v>
      </c>
      <c r="S26" s="47">
        <f>IF($M26&lt;&gt;"", INDEX(Data1!$B$9:$J$51,MATCH($M26,Data1!$A$9:$A$51,0),MATCH(S$9,Data1!$B$4:$AT$4,0)),"")</f>
        <v>1485</v>
      </c>
      <c r="T26" s="47">
        <f>IF($M26&lt;&gt;"", INDEX(Data1!$B$9:$J$51,MATCH($M26,Data1!$A$9:$A$51,0),MATCH(T$9,Data1!$B$4:$AT$4,0)),"")</f>
        <v>4789</v>
      </c>
      <c r="U26" s="47">
        <f>IF($M26&lt;&gt;"", INDEX(Data1!$B$9:$J$51,MATCH($M26,Data1!$A$9:$A$51,0),MATCH(U$9,Data1!$B$4:$AT$4,0)),"")</f>
        <v>215</v>
      </c>
      <c r="V26" s="47">
        <f>IF($M26&lt;&gt;"", INDEX(Data1!$B$9:$J$51,MATCH($M26,Data1!$A$9:$A$51,0),MATCH(V$9,Data1!$B$4:$AT$4,0)),"")</f>
        <v>1936</v>
      </c>
      <c r="W26" s="44">
        <f t="shared" si="6"/>
        <v>6.8504256181597084E-2</v>
      </c>
      <c r="X26" s="44">
        <f t="shared" si="7"/>
        <v>0.35622317596566522</v>
      </c>
      <c r="Y26" s="44">
        <f t="shared" si="8"/>
        <v>-0.18720538720538721</v>
      </c>
      <c r="Z26" s="44">
        <f t="shared" si="9"/>
        <v>0.10085612862810607</v>
      </c>
      <c r="AA26" s="44">
        <f t="shared" si="10"/>
        <v>0.4697674418604651</v>
      </c>
      <c r="AB26" s="44">
        <f t="shared" si="11"/>
        <v>-0.37654958677685951</v>
      </c>
      <c r="AD26" s="23" t="str">
        <f t="shared" si="12"/>
        <v>deRamblr</v>
      </c>
      <c r="AE26" s="48">
        <f t="shared" si="13"/>
        <v>-0.37654958651685949</v>
      </c>
      <c r="AF26" s="59"/>
      <c r="AG26" s="48"/>
      <c r="AH26" s="47"/>
      <c r="AL26" s="2" t="s">
        <v>15</v>
      </c>
      <c r="AM26" s="89">
        <f>INDEX(Data1!$B$9:$AT$51,MATCH(Calculatiions1!$AL$11,Data1!$A$9:$A$51,0), MATCH(Calculatiions1!AM$13&amp;Calculatiions1!$AL26&amp;Calculatiions1!AM$14&amp;Calculatiions1!$AL$12,Data1!$B$4:$AT$4, 0))</f>
        <v>0</v>
      </c>
      <c r="AN26" s="89">
        <f>INDEX(Data1!$B$9:$AT$51,MATCH(Calculatiions1!$AL$11,Data1!$A$9:$A$51,0), MATCH(Calculatiions1!AN$13&amp;Calculatiions1!$AL26&amp;Calculatiions1!AN$14&amp;Calculatiions1!$AL$12,Data1!$B$4:$AT$4, 0))</f>
        <v>2158.8000000000002</v>
      </c>
      <c r="AO26" s="89">
        <f>INDEX(Data1!$B$9:$AT$51,MATCH(Calculatiions1!$AL$11,Data1!$A$9:$A$51,0), MATCH(Calculatiions1!AO$13&amp;Calculatiions1!$AL26&amp;Calculatiions1!AO$14&amp;Calculatiions1!$AL$12,Data1!$B$4:$AT$4, 0))</f>
        <v>1955.1000000000001</v>
      </c>
      <c r="AP26" s="2" t="str">
        <f t="shared" si="18"/>
        <v>Dec</v>
      </c>
      <c r="AQ26" s="2" t="e">
        <f>IF(MATCH(curr_month,$AL$15:$AL$26,0)&gt;=ROWS($AL$15:AL26),AM26,NA())</f>
        <v>#N/A</v>
      </c>
      <c r="AR26" s="90">
        <f t="shared" si="19"/>
        <v>2158.8000000000002</v>
      </c>
      <c r="AS26" s="90">
        <f t="shared" si="20"/>
        <v>1955.1000000000001</v>
      </c>
      <c r="AT26" s="2" t="e">
        <f t="shared" si="3"/>
        <v>#N/A</v>
      </c>
    </row>
    <row r="27" spans="2:46" x14ac:dyDescent="0.25">
      <c r="B27" s="2" t="s">
        <v>15</v>
      </c>
      <c r="C27" s="2"/>
      <c r="G27" s="29" t="s">
        <v>31</v>
      </c>
      <c r="H27" s="18" t="s">
        <v>47</v>
      </c>
      <c r="I27" s="30" t="s">
        <v>60</v>
      </c>
      <c r="L27" s="23">
        <f t="shared" ref="L27:L35" si="22">IF(M27&gt;"",ROW(A14), "")</f>
        <v>14</v>
      </c>
      <c r="M27" s="23" t="str">
        <f t="shared" si="5"/>
        <v>Arcade</v>
      </c>
      <c r="N27" s="47">
        <f>IF($M27&lt;&gt;"", INDEX(Data1!$B$9:$J$51,MATCH($M27,Data1!$A$9:$A$51,0),MATCH(N$9,Data1!$B$4:$AT$4,0)),"")</f>
        <v>6375</v>
      </c>
      <c r="O27" s="47">
        <f>IF($M27&lt;&gt;"", INDEX(Data1!$B$9:$J$51,MATCH($M27,Data1!$A$9:$A$51,0),MATCH(O$9,Data1!$B$4:$AT$4,0)),"")</f>
        <v>192</v>
      </c>
      <c r="P27" s="47">
        <f>IF($M27&lt;&gt;"", INDEX(Data1!$B$9:$J$51,MATCH($M27,Data1!$A$9:$A$51,0),MATCH(P$9,Data1!$B$4:$AT$4,0)),"")</f>
        <v>4741</v>
      </c>
      <c r="Q27" s="47">
        <f>IF($M27&lt;&gt;"", INDEX(Data1!$B$9:$J$51,MATCH($M27,Data1!$A$9:$A$51,0),MATCH(Q$9,Data1!$B$4:$AT$4,0)),"")</f>
        <v>6945</v>
      </c>
      <c r="R27" s="47">
        <f>IF($M27&lt;&gt;"", INDEX(Data1!$B$9:$J$51,MATCH($M27,Data1!$A$9:$A$51,0),MATCH(R$9,Data1!$B$4:$AT$4,0)),"")</f>
        <v>309</v>
      </c>
      <c r="S27" s="47">
        <f>IF($M27&lt;&gt;"", INDEX(Data1!$B$9:$J$51,MATCH($M27,Data1!$A$9:$A$51,0),MATCH(S$9,Data1!$B$4:$AT$4,0)),"")</f>
        <v>5006</v>
      </c>
      <c r="T27" s="47">
        <f>IF($M27&lt;&gt;"", INDEX(Data1!$B$9:$J$51,MATCH($M27,Data1!$A$9:$A$51,0),MATCH(T$9,Data1!$B$4:$AT$4,0)),"")</f>
        <v>5774</v>
      </c>
      <c r="U27" s="47">
        <f>IF($M27&lt;&gt;"", INDEX(Data1!$B$9:$J$51,MATCH($M27,Data1!$A$9:$A$51,0),MATCH(U$9,Data1!$B$4:$AT$4,0)),"")</f>
        <v>350</v>
      </c>
      <c r="V27" s="47">
        <f>IF($M27&lt;&gt;"", INDEX(Data1!$B$9:$J$51,MATCH($M27,Data1!$A$9:$A$51,0),MATCH(V$9,Data1!$B$4:$AT$4,0)),"")</f>
        <v>4447</v>
      </c>
      <c r="W27" s="44">
        <f t="shared" si="6"/>
        <v>-8.2073434125269976E-2</v>
      </c>
      <c r="X27" s="44">
        <f t="shared" si="7"/>
        <v>-0.37864077669902912</v>
      </c>
      <c r="Y27" s="44">
        <f t="shared" si="8"/>
        <v>-5.2936476228525771E-2</v>
      </c>
      <c r="Z27" s="44">
        <f t="shared" si="9"/>
        <v>0.10408728784205057</v>
      </c>
      <c r="AA27" s="44">
        <f t="shared" si="10"/>
        <v>-0.4514285714285714</v>
      </c>
      <c r="AB27" s="44">
        <f t="shared" si="11"/>
        <v>6.6111985608275248E-2</v>
      </c>
      <c r="AD27" s="23" t="str">
        <f t="shared" si="12"/>
        <v>Arcade</v>
      </c>
      <c r="AE27" s="48">
        <f t="shared" si="13"/>
        <v>6.6111985878275242E-2</v>
      </c>
      <c r="AF27" s="59"/>
      <c r="AG27" s="48"/>
      <c r="AH27" s="47"/>
    </row>
    <row r="28" spans="2:46" x14ac:dyDescent="0.25">
      <c r="C28" s="17"/>
      <c r="G28" s="29" t="s">
        <v>32</v>
      </c>
      <c r="H28" s="18"/>
      <c r="I28" s="30" t="s">
        <v>61</v>
      </c>
      <c r="L28" s="23" t="str">
        <f t="shared" si="22"/>
        <v/>
      </c>
      <c r="M28" s="23" t="str">
        <f t="shared" si="5"/>
        <v/>
      </c>
      <c r="N28" s="47" t="str">
        <f>IF($M28&lt;&gt;"", INDEX(Data1!$B$9:$J$51,MATCH($M28,Data1!$A$9:$A$51,0),MATCH(N$9,Data1!$B$4:$AT$4,0)),"")</f>
        <v/>
      </c>
      <c r="O28" s="47" t="str">
        <f>IF($M28&lt;&gt;"", INDEX(Data1!$B$9:$J$51,MATCH($M28,Data1!$A$9:$A$51,0),MATCH(O$9,Data1!$B$4:$AT$4,0)),"")</f>
        <v/>
      </c>
      <c r="P28" s="47" t="str">
        <f>IF($M28&lt;&gt;"", INDEX(Data1!$B$9:$J$51,MATCH($M28,Data1!$A$9:$A$51,0),MATCH(P$9,Data1!$B$4:$AT$4,0)),"")</f>
        <v/>
      </c>
      <c r="Q28" s="47" t="str">
        <f>IF($M28&lt;&gt;"", INDEX(Data1!$B$9:$J$51,MATCH($M28,Data1!$A$9:$A$51,0),MATCH(Q$9,Data1!$B$4:$AT$4,0)),"")</f>
        <v/>
      </c>
      <c r="R28" s="47" t="str">
        <f>IF($M28&lt;&gt;"", INDEX(Data1!$B$9:$J$51,MATCH($M28,Data1!$A$9:$A$51,0),MATCH(R$9,Data1!$B$4:$AT$4,0)),"")</f>
        <v/>
      </c>
      <c r="S28" s="47" t="str">
        <f>IF($M28&lt;&gt;"", INDEX(Data1!$B$9:$J$51,MATCH($M28,Data1!$A$9:$A$51,0),MATCH(S$9,Data1!$B$4:$AT$4,0)),"")</f>
        <v/>
      </c>
      <c r="T28" s="47" t="str">
        <f>IF($M28&lt;&gt;"", INDEX(Data1!$B$9:$J$51,MATCH($M28,Data1!$A$9:$A$51,0),MATCH(T$9,Data1!$B$4:$AT$4,0)),"")</f>
        <v/>
      </c>
      <c r="U28" s="47" t="str">
        <f>IF($M28&lt;&gt;"", INDEX(Data1!$B$9:$J$51,MATCH($M28,Data1!$A$9:$A$51,0),MATCH(U$9,Data1!$B$4:$AT$4,0)),"")</f>
        <v/>
      </c>
      <c r="V28" s="47" t="str">
        <f>IF($M28&lt;&gt;"", INDEX(Data1!$B$9:$J$51,MATCH($M28,Data1!$A$9:$A$51,0),MATCH(V$9,Data1!$B$4:$AT$4,0)),"")</f>
        <v/>
      </c>
      <c r="W28" s="44" t="str">
        <f t="shared" si="6"/>
        <v/>
      </c>
      <c r="X28" s="44" t="str">
        <f t="shared" si="7"/>
        <v/>
      </c>
      <c r="Y28" s="44" t="str">
        <f t="shared" si="8"/>
        <v/>
      </c>
      <c r="Z28" s="44" t="str">
        <f t="shared" si="9"/>
        <v/>
      </c>
      <c r="AA28" s="44" t="str">
        <f t="shared" si="10"/>
        <v/>
      </c>
      <c r="AB28" s="44" t="str">
        <f t="shared" si="11"/>
        <v/>
      </c>
      <c r="AD28" s="23" t="str">
        <f t="shared" si="12"/>
        <v/>
      </c>
      <c r="AE28" s="48" t="str">
        <f t="shared" si="13"/>
        <v/>
      </c>
      <c r="AF28" s="59"/>
      <c r="AG28" s="48"/>
      <c r="AH28" s="47"/>
    </row>
    <row r="29" spans="2:46" x14ac:dyDescent="0.25">
      <c r="C29" s="17"/>
      <c r="G29" s="29" t="s">
        <v>33</v>
      </c>
      <c r="H29" s="18"/>
      <c r="I29" s="31"/>
      <c r="L29" s="23" t="str">
        <f t="shared" si="22"/>
        <v/>
      </c>
      <c r="M29" s="23" t="str">
        <f t="shared" si="5"/>
        <v/>
      </c>
      <c r="N29" s="47" t="str">
        <f>IF($M29&lt;&gt;"", INDEX(Data1!$B$9:$J$51,MATCH($M29,Data1!$A$9:$A$51,0),MATCH(N$9,Data1!$B$4:$AT$4,0)),"")</f>
        <v/>
      </c>
      <c r="O29" s="47" t="str">
        <f>IF($M29&lt;&gt;"", INDEX(Data1!$B$9:$J$51,MATCH($M29,Data1!$A$9:$A$51,0),MATCH(O$9,Data1!$B$4:$AT$4,0)),"")</f>
        <v/>
      </c>
      <c r="P29" s="47" t="str">
        <f>IF($M29&lt;&gt;"", INDEX(Data1!$B$9:$J$51,MATCH($M29,Data1!$A$9:$A$51,0),MATCH(P$9,Data1!$B$4:$AT$4,0)),"")</f>
        <v/>
      </c>
      <c r="Q29" s="47" t="str">
        <f>IF($M29&lt;&gt;"", INDEX(Data1!$B$9:$J$51,MATCH($M29,Data1!$A$9:$A$51,0),MATCH(Q$9,Data1!$B$4:$AT$4,0)),"")</f>
        <v/>
      </c>
      <c r="R29" s="47" t="str">
        <f>IF($M29&lt;&gt;"", INDEX(Data1!$B$9:$J$51,MATCH($M29,Data1!$A$9:$A$51,0),MATCH(R$9,Data1!$B$4:$AT$4,0)),"")</f>
        <v/>
      </c>
      <c r="S29" s="47" t="str">
        <f>IF($M29&lt;&gt;"", INDEX(Data1!$B$9:$J$51,MATCH($M29,Data1!$A$9:$A$51,0),MATCH(S$9,Data1!$B$4:$AT$4,0)),"")</f>
        <v/>
      </c>
      <c r="T29" s="47" t="str">
        <f>IF($M29&lt;&gt;"", INDEX(Data1!$B$9:$J$51,MATCH($M29,Data1!$A$9:$A$51,0),MATCH(T$9,Data1!$B$4:$AT$4,0)),"")</f>
        <v/>
      </c>
      <c r="U29" s="47" t="str">
        <f>IF($M29&lt;&gt;"", INDEX(Data1!$B$9:$J$51,MATCH($M29,Data1!$A$9:$A$51,0),MATCH(U$9,Data1!$B$4:$AT$4,0)),"")</f>
        <v/>
      </c>
      <c r="V29" s="47" t="str">
        <f>IF($M29&lt;&gt;"", INDEX(Data1!$B$9:$J$51,MATCH($M29,Data1!$A$9:$A$51,0),MATCH(V$9,Data1!$B$4:$AT$4,0)),"")</f>
        <v/>
      </c>
      <c r="W29" s="44" t="str">
        <f t="shared" si="6"/>
        <v/>
      </c>
      <c r="X29" s="44" t="str">
        <f t="shared" si="7"/>
        <v/>
      </c>
      <c r="Y29" s="44" t="str">
        <f t="shared" si="8"/>
        <v/>
      </c>
      <c r="Z29" s="44" t="str">
        <f t="shared" si="9"/>
        <v/>
      </c>
      <c r="AA29" s="44" t="str">
        <f t="shared" si="10"/>
        <v/>
      </c>
      <c r="AB29" s="44" t="str">
        <f t="shared" si="11"/>
        <v/>
      </c>
      <c r="AD29" s="23" t="str">
        <f t="shared" si="12"/>
        <v/>
      </c>
      <c r="AE29" s="48" t="str">
        <f t="shared" si="13"/>
        <v/>
      </c>
      <c r="AF29" s="59"/>
      <c r="AG29" s="48"/>
      <c r="AH29" s="47"/>
    </row>
    <row r="30" spans="2:46" x14ac:dyDescent="0.25">
      <c r="C30" s="17"/>
      <c r="G30" s="29" t="s">
        <v>34</v>
      </c>
      <c r="H30" s="18"/>
      <c r="I30" s="31"/>
      <c r="L30" s="23" t="str">
        <f t="shared" si="22"/>
        <v/>
      </c>
      <c r="M30" s="23" t="str">
        <f t="shared" si="5"/>
        <v/>
      </c>
      <c r="N30" s="47" t="str">
        <f>IF($M30&lt;&gt;"", INDEX(Data1!$B$9:$J$51,MATCH($M30,Data1!$A$9:$A$51,0),MATCH(N$9,Data1!$B$4:$AT$4,0)),"")</f>
        <v/>
      </c>
      <c r="O30" s="47" t="str">
        <f>IF($M30&lt;&gt;"", INDEX(Data1!$B$9:$J$51,MATCH($M30,Data1!$A$9:$A$51,0),MATCH(O$9,Data1!$B$4:$AT$4,0)),"")</f>
        <v/>
      </c>
      <c r="P30" s="47" t="str">
        <f>IF($M30&lt;&gt;"", INDEX(Data1!$B$9:$J$51,MATCH($M30,Data1!$A$9:$A$51,0),MATCH(P$9,Data1!$B$4:$AT$4,0)),"")</f>
        <v/>
      </c>
      <c r="Q30" s="47" t="str">
        <f>IF($M30&lt;&gt;"", INDEX(Data1!$B$9:$J$51,MATCH($M30,Data1!$A$9:$A$51,0),MATCH(Q$9,Data1!$B$4:$AT$4,0)),"")</f>
        <v/>
      </c>
      <c r="R30" s="47" t="str">
        <f>IF($M30&lt;&gt;"", INDEX(Data1!$B$9:$J$51,MATCH($M30,Data1!$A$9:$A$51,0),MATCH(R$9,Data1!$B$4:$AT$4,0)),"")</f>
        <v/>
      </c>
      <c r="S30" s="47" t="str">
        <f>IF($M30&lt;&gt;"", INDEX(Data1!$B$9:$J$51,MATCH($M30,Data1!$A$9:$A$51,0),MATCH(S$9,Data1!$B$4:$AT$4,0)),"")</f>
        <v/>
      </c>
      <c r="T30" s="47" t="str">
        <f>IF($M30&lt;&gt;"", INDEX(Data1!$B$9:$J$51,MATCH($M30,Data1!$A$9:$A$51,0),MATCH(T$9,Data1!$B$4:$AT$4,0)),"")</f>
        <v/>
      </c>
      <c r="U30" s="47" t="str">
        <f>IF($M30&lt;&gt;"", INDEX(Data1!$B$9:$J$51,MATCH($M30,Data1!$A$9:$A$51,0),MATCH(U$9,Data1!$B$4:$AT$4,0)),"")</f>
        <v/>
      </c>
      <c r="V30" s="47" t="str">
        <f>IF($M30&lt;&gt;"", INDEX(Data1!$B$9:$J$51,MATCH($M30,Data1!$A$9:$A$51,0),MATCH(V$9,Data1!$B$4:$AT$4,0)),"")</f>
        <v/>
      </c>
      <c r="W30" s="44" t="str">
        <f t="shared" si="6"/>
        <v/>
      </c>
      <c r="X30" s="44" t="str">
        <f t="shared" si="7"/>
        <v/>
      </c>
      <c r="Y30" s="44" t="str">
        <f t="shared" si="8"/>
        <v/>
      </c>
      <c r="Z30" s="44" t="str">
        <f t="shared" si="9"/>
        <v/>
      </c>
      <c r="AA30" s="44" t="str">
        <f t="shared" si="10"/>
        <v/>
      </c>
      <c r="AB30" s="44" t="str">
        <f t="shared" si="11"/>
        <v/>
      </c>
      <c r="AD30" s="23" t="str">
        <f t="shared" si="12"/>
        <v/>
      </c>
      <c r="AE30" s="48" t="str">
        <f t="shared" si="13"/>
        <v/>
      </c>
      <c r="AF30" s="59"/>
      <c r="AG30" s="48"/>
      <c r="AH30" s="47"/>
    </row>
    <row r="31" spans="2:46" x14ac:dyDescent="0.25">
      <c r="C31" s="17"/>
      <c r="G31" s="32"/>
      <c r="H31" s="18"/>
      <c r="I31" s="31"/>
      <c r="L31" s="23" t="str">
        <f t="shared" si="22"/>
        <v/>
      </c>
      <c r="M31" s="23" t="str">
        <f t="shared" si="5"/>
        <v/>
      </c>
      <c r="N31" s="47" t="str">
        <f>IF($M31&lt;&gt;"", INDEX(Data1!$B$9:$J$51,MATCH($M31,Data1!$A$9:$A$51,0),MATCH(N$9,Data1!$B$4:$AT$4,0)),"")</f>
        <v/>
      </c>
      <c r="O31" s="47" t="str">
        <f>IF($M31&lt;&gt;"", INDEX(Data1!$B$9:$J$51,MATCH($M31,Data1!$A$9:$A$51,0),MATCH(O$9,Data1!$B$4:$AT$4,0)),"")</f>
        <v/>
      </c>
      <c r="P31" s="47" t="str">
        <f>IF($M31&lt;&gt;"", INDEX(Data1!$B$9:$J$51,MATCH($M31,Data1!$A$9:$A$51,0),MATCH(P$9,Data1!$B$4:$AT$4,0)),"")</f>
        <v/>
      </c>
      <c r="Q31" s="47" t="str">
        <f>IF($M31&lt;&gt;"", INDEX(Data1!$B$9:$J$51,MATCH($M31,Data1!$A$9:$A$51,0),MATCH(Q$9,Data1!$B$4:$AT$4,0)),"")</f>
        <v/>
      </c>
      <c r="R31" s="47" t="str">
        <f>IF($M31&lt;&gt;"", INDEX(Data1!$B$9:$J$51,MATCH($M31,Data1!$A$9:$A$51,0),MATCH(R$9,Data1!$B$4:$AT$4,0)),"")</f>
        <v/>
      </c>
      <c r="S31" s="47" t="str">
        <f>IF($M31&lt;&gt;"", INDEX(Data1!$B$9:$J$51,MATCH($M31,Data1!$A$9:$A$51,0),MATCH(S$9,Data1!$B$4:$AT$4,0)),"")</f>
        <v/>
      </c>
      <c r="T31" s="47" t="str">
        <f>IF($M31&lt;&gt;"", INDEX(Data1!$B$9:$J$51,MATCH($M31,Data1!$A$9:$A$51,0),MATCH(T$9,Data1!$B$4:$AT$4,0)),"")</f>
        <v/>
      </c>
      <c r="U31" s="47" t="str">
        <f>IF($M31&lt;&gt;"", INDEX(Data1!$B$9:$J$51,MATCH($M31,Data1!$A$9:$A$51,0),MATCH(U$9,Data1!$B$4:$AT$4,0)),"")</f>
        <v/>
      </c>
      <c r="V31" s="47" t="str">
        <f>IF($M31&lt;&gt;"", INDEX(Data1!$B$9:$J$51,MATCH($M31,Data1!$A$9:$A$51,0),MATCH(V$9,Data1!$B$4:$AT$4,0)),"")</f>
        <v/>
      </c>
      <c r="W31" s="44" t="str">
        <f t="shared" si="6"/>
        <v/>
      </c>
      <c r="X31" s="44" t="str">
        <f t="shared" si="7"/>
        <v/>
      </c>
      <c r="Y31" s="44" t="str">
        <f t="shared" si="8"/>
        <v/>
      </c>
      <c r="Z31" s="44" t="str">
        <f t="shared" si="9"/>
        <v/>
      </c>
      <c r="AA31" s="44" t="str">
        <f t="shared" si="10"/>
        <v/>
      </c>
      <c r="AB31" s="44" t="str">
        <f t="shared" si="11"/>
        <v/>
      </c>
      <c r="AD31" s="23" t="str">
        <f t="shared" si="12"/>
        <v/>
      </c>
      <c r="AE31" s="48" t="str">
        <f t="shared" si="13"/>
        <v/>
      </c>
      <c r="AF31" s="59"/>
      <c r="AG31" s="48"/>
      <c r="AH31" s="47"/>
    </row>
    <row r="32" spans="2:46" x14ac:dyDescent="0.25">
      <c r="C32" s="2"/>
      <c r="G32" s="32"/>
      <c r="H32" s="18"/>
      <c r="I32" s="31"/>
      <c r="L32" s="23" t="str">
        <f t="shared" si="22"/>
        <v/>
      </c>
      <c r="M32" s="23" t="str">
        <f t="shared" si="5"/>
        <v/>
      </c>
      <c r="N32" s="47" t="str">
        <f>IF($M32&lt;&gt;"", INDEX(Data1!$B$9:$J$51,MATCH($M32,Data1!$A$9:$A$51,0),MATCH(N$9,Data1!$B$4:$AT$4,0)),"")</f>
        <v/>
      </c>
      <c r="O32" s="47" t="str">
        <f>IF($M32&lt;&gt;"", INDEX(Data1!$B$9:$J$51,MATCH($M32,Data1!$A$9:$A$51,0),MATCH(O$9,Data1!$B$4:$AT$4,0)),"")</f>
        <v/>
      </c>
      <c r="P32" s="47" t="str">
        <f>IF($M32&lt;&gt;"", INDEX(Data1!$B$9:$J$51,MATCH($M32,Data1!$A$9:$A$51,0),MATCH(P$9,Data1!$B$4:$AT$4,0)),"")</f>
        <v/>
      </c>
      <c r="Q32" s="47" t="str">
        <f>IF($M32&lt;&gt;"", INDEX(Data1!$B$9:$J$51,MATCH($M32,Data1!$A$9:$A$51,0),MATCH(Q$9,Data1!$B$4:$AT$4,0)),"")</f>
        <v/>
      </c>
      <c r="R32" s="47" t="str">
        <f>IF($M32&lt;&gt;"", INDEX(Data1!$B$9:$J$51,MATCH($M32,Data1!$A$9:$A$51,0),MATCH(R$9,Data1!$B$4:$AT$4,0)),"")</f>
        <v/>
      </c>
      <c r="S32" s="47" t="str">
        <f>IF($M32&lt;&gt;"", INDEX(Data1!$B$9:$J$51,MATCH($M32,Data1!$A$9:$A$51,0),MATCH(S$9,Data1!$B$4:$AT$4,0)),"")</f>
        <v/>
      </c>
      <c r="T32" s="47" t="str">
        <f>IF($M32&lt;&gt;"", INDEX(Data1!$B$9:$J$51,MATCH($M32,Data1!$A$9:$A$51,0),MATCH(T$9,Data1!$B$4:$AT$4,0)),"")</f>
        <v/>
      </c>
      <c r="U32" s="47" t="str">
        <f>IF($M32&lt;&gt;"", INDEX(Data1!$B$9:$J$51,MATCH($M32,Data1!$A$9:$A$51,0),MATCH(U$9,Data1!$B$4:$AT$4,0)),"")</f>
        <v/>
      </c>
      <c r="V32" s="47" t="str">
        <f>IF($M32&lt;&gt;"", INDEX(Data1!$B$9:$J$51,MATCH($M32,Data1!$A$9:$A$51,0),MATCH(V$9,Data1!$B$4:$AT$4,0)),"")</f>
        <v/>
      </c>
      <c r="W32" s="44" t="str">
        <f t="shared" si="6"/>
        <v/>
      </c>
      <c r="X32" s="44" t="str">
        <f t="shared" si="7"/>
        <v/>
      </c>
      <c r="Y32" s="44" t="str">
        <f t="shared" si="8"/>
        <v/>
      </c>
      <c r="Z32" s="44" t="str">
        <f t="shared" si="9"/>
        <v/>
      </c>
      <c r="AA32" s="44" t="str">
        <f t="shared" si="10"/>
        <v/>
      </c>
      <c r="AB32" s="44" t="str">
        <f t="shared" si="11"/>
        <v/>
      </c>
      <c r="AD32" s="23" t="str">
        <f t="shared" si="12"/>
        <v/>
      </c>
      <c r="AE32" s="48" t="str">
        <f t="shared" si="13"/>
        <v/>
      </c>
      <c r="AF32" s="59"/>
      <c r="AG32" s="48"/>
      <c r="AH32" s="47"/>
    </row>
    <row r="33" spans="1:34" x14ac:dyDescent="0.25">
      <c r="C33" s="18"/>
      <c r="G33" s="32"/>
      <c r="H33" s="18"/>
      <c r="I33" s="31"/>
      <c r="L33" s="23" t="str">
        <f t="shared" si="22"/>
        <v/>
      </c>
      <c r="M33" s="23" t="str">
        <f t="shared" si="5"/>
        <v/>
      </c>
      <c r="N33" s="47" t="str">
        <f>IF($M33&lt;&gt;"", INDEX(Data1!$B$9:$J$51,MATCH($M33,Data1!$A$9:$A$51,0),MATCH(N$9,Data1!$B$4:$AT$4,0)),"")</f>
        <v/>
      </c>
      <c r="O33" s="47" t="str">
        <f>IF($M33&lt;&gt;"", INDEX(Data1!$B$9:$J$51,MATCH($M33,Data1!$A$9:$A$51,0),MATCH(O$9,Data1!$B$4:$AT$4,0)),"")</f>
        <v/>
      </c>
      <c r="P33" s="47" t="str">
        <f>IF($M33&lt;&gt;"", INDEX(Data1!$B$9:$J$51,MATCH($M33,Data1!$A$9:$A$51,0),MATCH(P$9,Data1!$B$4:$AT$4,0)),"")</f>
        <v/>
      </c>
      <c r="Q33" s="47" t="str">
        <f>IF($M33&lt;&gt;"", INDEX(Data1!$B$9:$J$51,MATCH($M33,Data1!$A$9:$A$51,0),MATCH(Q$9,Data1!$B$4:$AT$4,0)),"")</f>
        <v/>
      </c>
      <c r="R33" s="47" t="str">
        <f>IF($M33&lt;&gt;"", INDEX(Data1!$B$9:$J$51,MATCH($M33,Data1!$A$9:$A$51,0),MATCH(R$9,Data1!$B$4:$AT$4,0)),"")</f>
        <v/>
      </c>
      <c r="S33" s="47" t="str">
        <f>IF($M33&lt;&gt;"", INDEX(Data1!$B$9:$J$51,MATCH($M33,Data1!$A$9:$A$51,0),MATCH(S$9,Data1!$B$4:$AT$4,0)),"")</f>
        <v/>
      </c>
      <c r="T33" s="47" t="str">
        <f>IF($M33&lt;&gt;"", INDEX(Data1!$B$9:$J$51,MATCH($M33,Data1!$A$9:$A$51,0),MATCH(T$9,Data1!$B$4:$AT$4,0)),"")</f>
        <v/>
      </c>
      <c r="U33" s="47" t="str">
        <f>IF($M33&lt;&gt;"", INDEX(Data1!$B$9:$J$51,MATCH($M33,Data1!$A$9:$A$51,0),MATCH(U$9,Data1!$B$4:$AT$4,0)),"")</f>
        <v/>
      </c>
      <c r="V33" s="47" t="str">
        <f>IF($M33&lt;&gt;"", INDEX(Data1!$B$9:$J$51,MATCH($M33,Data1!$A$9:$A$51,0),MATCH(V$9,Data1!$B$4:$AT$4,0)),"")</f>
        <v/>
      </c>
      <c r="W33" s="44" t="str">
        <f t="shared" si="6"/>
        <v/>
      </c>
      <c r="X33" s="44" t="str">
        <f t="shared" si="7"/>
        <v/>
      </c>
      <c r="Y33" s="44" t="str">
        <f t="shared" si="8"/>
        <v/>
      </c>
      <c r="Z33" s="44" t="str">
        <f t="shared" si="9"/>
        <v/>
      </c>
      <c r="AA33" s="44" t="str">
        <f t="shared" si="10"/>
        <v/>
      </c>
      <c r="AB33" s="44" t="str">
        <f t="shared" si="11"/>
        <v/>
      </c>
      <c r="AD33" s="23" t="str">
        <f t="shared" si="12"/>
        <v/>
      </c>
      <c r="AE33" s="48" t="str">
        <f t="shared" si="13"/>
        <v/>
      </c>
      <c r="AF33" s="59"/>
      <c r="AG33" s="48"/>
      <c r="AH33" s="47"/>
    </row>
    <row r="34" spans="1:34" x14ac:dyDescent="0.25">
      <c r="C34" s="18"/>
      <c r="G34" s="32"/>
      <c r="H34" s="18"/>
      <c r="I34" s="31"/>
      <c r="L34" s="23" t="str">
        <f t="shared" si="22"/>
        <v/>
      </c>
      <c r="M34" s="23" t="str">
        <f t="shared" si="5"/>
        <v/>
      </c>
      <c r="N34" s="47" t="str">
        <f>IF($M34&lt;&gt;"", INDEX(Data1!$B$9:$J$51,MATCH($M34,Data1!$A$9:$A$51,0),MATCH(N$9,Data1!$B$4:$AT$4,0)),"")</f>
        <v/>
      </c>
      <c r="O34" s="47" t="str">
        <f>IF($M34&lt;&gt;"", INDEX(Data1!$B$9:$J$51,MATCH($M34,Data1!$A$9:$A$51,0),MATCH(O$9,Data1!$B$4:$AT$4,0)),"")</f>
        <v/>
      </c>
      <c r="P34" s="47" t="str">
        <f>IF($M34&lt;&gt;"", INDEX(Data1!$B$9:$J$51,MATCH($M34,Data1!$A$9:$A$51,0),MATCH(P$9,Data1!$B$4:$AT$4,0)),"")</f>
        <v/>
      </c>
      <c r="Q34" s="47" t="str">
        <f>IF($M34&lt;&gt;"", INDEX(Data1!$B$9:$J$51,MATCH($M34,Data1!$A$9:$A$51,0),MATCH(Q$9,Data1!$B$4:$AT$4,0)),"")</f>
        <v/>
      </c>
      <c r="R34" s="47" t="str">
        <f>IF($M34&lt;&gt;"", INDEX(Data1!$B$9:$J$51,MATCH($M34,Data1!$A$9:$A$51,0),MATCH(R$9,Data1!$B$4:$AT$4,0)),"")</f>
        <v/>
      </c>
      <c r="S34" s="47" t="str">
        <f>IF($M34&lt;&gt;"", INDEX(Data1!$B$9:$J$51,MATCH($M34,Data1!$A$9:$A$51,0),MATCH(S$9,Data1!$B$4:$AT$4,0)),"")</f>
        <v/>
      </c>
      <c r="T34" s="47" t="str">
        <f>IF($M34&lt;&gt;"", INDEX(Data1!$B$9:$J$51,MATCH($M34,Data1!$A$9:$A$51,0),MATCH(T$9,Data1!$B$4:$AT$4,0)),"")</f>
        <v/>
      </c>
      <c r="U34" s="47" t="str">
        <f>IF($M34&lt;&gt;"", INDEX(Data1!$B$9:$J$51,MATCH($M34,Data1!$A$9:$A$51,0),MATCH(U$9,Data1!$B$4:$AT$4,0)),"")</f>
        <v/>
      </c>
      <c r="V34" s="47" t="str">
        <f>IF($M34&lt;&gt;"", INDEX(Data1!$B$9:$J$51,MATCH($M34,Data1!$A$9:$A$51,0),MATCH(V$9,Data1!$B$4:$AT$4,0)),"")</f>
        <v/>
      </c>
      <c r="W34" s="44" t="str">
        <f t="shared" si="6"/>
        <v/>
      </c>
      <c r="X34" s="44" t="str">
        <f t="shared" si="7"/>
        <v/>
      </c>
      <c r="Y34" s="44" t="str">
        <f t="shared" si="8"/>
        <v/>
      </c>
      <c r="Z34" s="44" t="str">
        <f t="shared" si="9"/>
        <v/>
      </c>
      <c r="AA34" s="44" t="str">
        <f t="shared" si="10"/>
        <v/>
      </c>
      <c r="AB34" s="44" t="str">
        <f t="shared" si="11"/>
        <v/>
      </c>
      <c r="AD34" s="23" t="str">
        <f t="shared" si="12"/>
        <v/>
      </c>
      <c r="AE34" s="48" t="str">
        <f t="shared" si="13"/>
        <v/>
      </c>
      <c r="AF34" s="59"/>
      <c r="AG34" s="48"/>
      <c r="AH34" s="47"/>
    </row>
    <row r="35" spans="1:34" x14ac:dyDescent="0.25">
      <c r="C35" s="18"/>
      <c r="G35" s="33"/>
      <c r="H35" s="10"/>
      <c r="I35" s="34"/>
      <c r="L35" s="23" t="str">
        <f t="shared" si="22"/>
        <v/>
      </c>
      <c r="M35" s="23" t="str">
        <f t="shared" si="5"/>
        <v/>
      </c>
      <c r="N35" s="47" t="str">
        <f>IF($M35&lt;&gt;"", INDEX(Data1!$B$9:$J$51,MATCH($M35,Data1!$A$9:$A$51,0),MATCH(N$9,Data1!$B$4:$AT$4,0)),"")</f>
        <v/>
      </c>
      <c r="O35" s="47" t="str">
        <f>IF($M35&lt;&gt;"", INDEX(Data1!$B$9:$J$51,MATCH($M35,Data1!$A$9:$A$51,0),MATCH(O$9,Data1!$B$4:$AT$4,0)),"")</f>
        <v/>
      </c>
      <c r="P35" s="47" t="str">
        <f>IF($M35&lt;&gt;"", INDEX(Data1!$B$9:$J$51,MATCH($M35,Data1!$A$9:$A$51,0),MATCH(P$9,Data1!$B$4:$AT$4,0)),"")</f>
        <v/>
      </c>
      <c r="Q35" s="47" t="str">
        <f>IF($M35&lt;&gt;"", INDEX(Data1!$B$9:$J$51,MATCH($M35,Data1!$A$9:$A$51,0),MATCH(Q$9,Data1!$B$4:$AT$4,0)),"")</f>
        <v/>
      </c>
      <c r="R35" s="47" t="str">
        <f>IF($M35&lt;&gt;"", INDEX(Data1!$B$9:$J$51,MATCH($M35,Data1!$A$9:$A$51,0),MATCH(R$9,Data1!$B$4:$AT$4,0)),"")</f>
        <v/>
      </c>
      <c r="S35" s="47" t="str">
        <f>IF($M35&lt;&gt;"", INDEX(Data1!$B$9:$J$51,MATCH($M35,Data1!$A$9:$A$51,0),MATCH(S$9,Data1!$B$4:$AT$4,0)),"")</f>
        <v/>
      </c>
      <c r="T35" s="47" t="str">
        <f>IF($M35&lt;&gt;"", INDEX(Data1!$B$9:$J$51,MATCH($M35,Data1!$A$9:$A$51,0),MATCH(T$9,Data1!$B$4:$AT$4,0)),"")</f>
        <v/>
      </c>
      <c r="U35" s="47" t="str">
        <f>IF($M35&lt;&gt;"", INDEX(Data1!$B$9:$J$51,MATCH($M35,Data1!$A$9:$A$51,0),MATCH(U$9,Data1!$B$4:$AT$4,0)),"")</f>
        <v/>
      </c>
      <c r="V35" s="47" t="str">
        <f>IF($M35&lt;&gt;"", INDEX(Data1!$B$9:$J$51,MATCH($M35,Data1!$A$9:$A$51,0),MATCH(V$9,Data1!$B$4:$AT$4,0)),"")</f>
        <v/>
      </c>
      <c r="W35" s="44" t="str">
        <f t="shared" si="6"/>
        <v/>
      </c>
      <c r="X35" s="44" t="str">
        <f t="shared" si="7"/>
        <v/>
      </c>
      <c r="Y35" s="44" t="str">
        <f t="shared" si="8"/>
        <v/>
      </c>
      <c r="Z35" s="44" t="str">
        <f t="shared" si="9"/>
        <v/>
      </c>
      <c r="AA35" s="44" t="str">
        <f t="shared" si="10"/>
        <v/>
      </c>
      <c r="AB35" s="44" t="str">
        <f t="shared" si="11"/>
        <v/>
      </c>
      <c r="AD35" s="23" t="str">
        <f t="shared" si="12"/>
        <v/>
      </c>
      <c r="AE35" s="48" t="str">
        <f t="shared" si="13"/>
        <v/>
      </c>
      <c r="AF35" s="59"/>
      <c r="AG35" s="48"/>
      <c r="AH35" s="47"/>
    </row>
    <row r="36" spans="1:34" x14ac:dyDescent="0.25">
      <c r="C36" s="18"/>
    </row>
    <row r="37" spans="1:34" x14ac:dyDescent="0.25">
      <c r="C37" s="18"/>
      <c r="M37" s="23" t="str">
        <f>INDEX(G15:I15,D5)</f>
        <v>Game Apps</v>
      </c>
      <c r="N37" s="57">
        <f>IF($M37&lt;&gt;"", INDEX(Data1!$B$9:$J$51,MATCH($M37,Data1!$A$9:$A$51,0),MATCH(N$9,Data1!$B$4:$AT$4,0)),"")</f>
        <v>210616</v>
      </c>
      <c r="O37" s="57">
        <f>IF($M37&lt;&gt;"", INDEX(Data1!$B$9:$J$51,MATCH($M37,Data1!$A$9:$A$51,0),MATCH(O$9,Data1!$B$4:$AT$4,0)),"")</f>
        <v>12324.3</v>
      </c>
      <c r="P37" s="57">
        <f>IF($M37&lt;&gt;"", INDEX(Data1!$B$9:$J$51,MATCH($M37,Data1!$A$9:$A$51,0),MATCH(P$9,Data1!$B$4:$AT$4,0)),"")</f>
        <v>95902.1</v>
      </c>
      <c r="Q37" s="57">
        <f>IF($M37&lt;&gt;"", INDEX(Data1!$B$9:$J$51,MATCH($M37,Data1!$A$9:$A$51,0),MATCH(Q$9,Data1!$B$4:$AT$4,0)),"")</f>
        <v>199893.6</v>
      </c>
      <c r="R37" s="57">
        <f>IF($M37&lt;&gt;"", INDEX(Data1!$B$9:$J$51,MATCH($M37,Data1!$A$9:$A$51,0),MATCH(R$9,Data1!$B$4:$AT$4,0)),"")</f>
        <v>9835.9000000000015</v>
      </c>
      <c r="S37" s="57">
        <f>IF($M37&lt;&gt;"", INDEX(Data1!$B$9:$J$51,MATCH($M37,Data1!$A$9:$A$51,0),MATCH(S$9,Data1!$B$4:$AT$4,0)),"")</f>
        <v>101383.6</v>
      </c>
      <c r="T37" s="57">
        <f>IF($M37&lt;&gt;"", INDEX(Data1!$B$9:$J$51,MATCH($M37,Data1!$A$9:$A$51,0),MATCH(T$9,Data1!$B$4:$AT$4,0)),"")</f>
        <v>198526.40000000002</v>
      </c>
      <c r="U37" s="57">
        <f>IF($M37&lt;&gt;"", INDEX(Data1!$B$9:$J$51,MATCH($M37,Data1!$A$9:$A$51,0),MATCH(U$9,Data1!$B$4:$AT$4,0)),"")</f>
        <v>11343.8</v>
      </c>
      <c r="V37" s="57">
        <f>IF($M37&lt;&gt;"", INDEX(Data1!$B$9:$J$51,MATCH($M37,Data1!$A$9:$A$51,0),MATCH(V$9,Data1!$B$4:$AT$4,0)),"")</f>
        <v>100022.6</v>
      </c>
      <c r="W37" s="44">
        <f>IF($M37&lt;&gt;"",(N37-Q37)/Q37,"")</f>
        <v>5.3640536765559244E-2</v>
      </c>
      <c r="X37" s="44">
        <f>IF($M37&lt;&gt;"",(O37-R37)/R37,"")</f>
        <v>0.25299159202513216</v>
      </c>
      <c r="Y37" s="44">
        <f>IF($M37&lt;&gt;"",(P37-S37)/S37,"")</f>
        <v>-5.4066929957113374E-2</v>
      </c>
      <c r="Z37" s="44">
        <f>IF($M37&lt;&gt;"",(N37-T37)/T37,"")</f>
        <v>6.0896686788255744E-2</v>
      </c>
      <c r="AA37" s="44">
        <f>IF($M37&lt;&gt;"",(O37-U37)/U37,"")</f>
        <v>8.6434880727798452E-2</v>
      </c>
      <c r="AB37" s="44">
        <f>IF($M37&lt;&gt;"",(P37-V37)/V37,"")</f>
        <v>-4.1195689774111047E-2</v>
      </c>
    </row>
    <row r="39" spans="1:34" x14ac:dyDescent="0.25">
      <c r="C39" s="18"/>
      <c r="L39" s="25" t="s">
        <v>77</v>
      </c>
      <c r="M39" s="24"/>
      <c r="N39" s="24"/>
      <c r="O39" s="24"/>
    </row>
    <row r="40" spans="1:34" x14ac:dyDescent="0.25">
      <c r="B40" s="2"/>
      <c r="C40" s="18"/>
      <c r="D40" s="2"/>
      <c r="E40" s="2"/>
      <c r="F40" s="2"/>
      <c r="G40" s="2"/>
      <c r="H40" s="2"/>
      <c r="I40" s="2"/>
      <c r="J40" s="2"/>
      <c r="L40" s="2"/>
      <c r="M40" s="2"/>
      <c r="N40" s="2"/>
      <c r="O40" s="2"/>
      <c r="P40" s="2"/>
      <c r="Q40" s="2"/>
      <c r="R40" s="2"/>
      <c r="S40" s="2"/>
      <c r="T40" s="2"/>
      <c r="U40" s="2"/>
      <c r="V40" s="2"/>
      <c r="W40" s="2"/>
      <c r="X40" s="2"/>
      <c r="Y40" s="2"/>
      <c r="Z40" s="2"/>
      <c r="AA40" s="2"/>
      <c r="AB40" s="2"/>
    </row>
    <row r="41" spans="1:34" x14ac:dyDescent="0.25">
      <c r="C41" s="18"/>
      <c r="O41" s="38" t="s">
        <v>78</v>
      </c>
      <c r="P41" s="38" t="s">
        <v>79</v>
      </c>
      <c r="Q41" s="38" t="s">
        <v>80</v>
      </c>
      <c r="R41" s="21" t="s">
        <v>81</v>
      </c>
      <c r="S41" s="21" t="s">
        <v>82</v>
      </c>
      <c r="T41" s="21" t="s">
        <v>83</v>
      </c>
    </row>
    <row r="42" spans="1:34" x14ac:dyDescent="0.25">
      <c r="C42" s="18"/>
      <c r="M42" t="s">
        <v>84</v>
      </c>
      <c r="O42" s="48">
        <f t="shared" ref="O42:T42" si="23">MIN(W16:W35)</f>
        <v>-0.10811107452529908</v>
      </c>
      <c r="P42" s="48">
        <f t="shared" si="23"/>
        <v>-0.43386243386243384</v>
      </c>
      <c r="Q42" s="48">
        <f t="shared" si="23"/>
        <v>-0.18720538720538721</v>
      </c>
      <c r="R42" s="48">
        <f t="shared" si="23"/>
        <v>-5.9708400833140475E-2</v>
      </c>
      <c r="S42" s="48">
        <f t="shared" si="23"/>
        <v>-0.4514285714285714</v>
      </c>
      <c r="T42" s="48">
        <f t="shared" si="23"/>
        <v>-0.37654958677685951</v>
      </c>
    </row>
    <row r="43" spans="1:34" x14ac:dyDescent="0.25">
      <c r="C43" s="18"/>
      <c r="M43" t="s">
        <v>85</v>
      </c>
      <c r="O43" s="48">
        <f>MAX(W16:W36)</f>
        <v>0.44281138119464858</v>
      </c>
      <c r="P43" s="48">
        <f t="shared" ref="P43:Q43" si="24">MAX(X16:X36)</f>
        <v>0.62352941176470589</v>
      </c>
      <c r="Q43" s="48">
        <f t="shared" si="24"/>
        <v>0.13651804670912951</v>
      </c>
      <c r="R43" s="48">
        <f>MAX(Z16:Z36)</f>
        <v>0.20424403183023873</v>
      </c>
      <c r="S43" s="48">
        <f t="shared" ref="S43" si="25">MAX(AA16:AA36)</f>
        <v>0.54189944134078216</v>
      </c>
      <c r="T43" s="48">
        <f t="shared" ref="T43" si="26">MAX(AB16:AB36)</f>
        <v>6.6111985608275248E-2</v>
      </c>
    </row>
    <row r="44" spans="1:34" s="2" customFormat="1" x14ac:dyDescent="0.25">
      <c r="A44"/>
      <c r="B44"/>
      <c r="C44" s="18"/>
      <c r="D44"/>
      <c r="E44"/>
      <c r="F44"/>
      <c r="G44"/>
      <c r="H44"/>
      <c r="I44"/>
      <c r="J44"/>
      <c r="L44"/>
      <c r="M44"/>
      <c r="N44"/>
      <c r="O44"/>
      <c r="P44"/>
      <c r="Q44"/>
      <c r="R44"/>
      <c r="S44"/>
      <c r="T44"/>
      <c r="U44"/>
      <c r="V44"/>
      <c r="W44"/>
      <c r="X44"/>
      <c r="Y44"/>
      <c r="Z44"/>
      <c r="AA44"/>
      <c r="AB44"/>
    </row>
    <row r="45" spans="1:34" x14ac:dyDescent="0.25">
      <c r="A45" s="2"/>
      <c r="C45" s="18"/>
    </row>
    <row r="46" spans="1:34" x14ac:dyDescent="0.25">
      <c r="C46" s="2"/>
      <c r="L46" s="25" t="s">
        <v>86</v>
      </c>
      <c r="M46" s="24"/>
      <c r="N46" s="24"/>
      <c r="O46" s="24"/>
    </row>
    <row r="47" spans="1:34" x14ac:dyDescent="0.25">
      <c r="C47" s="17"/>
      <c r="L47" s="23" t="s">
        <v>87</v>
      </c>
      <c r="M47" s="57">
        <f>+N37-T37</f>
        <v>12089.599999999977</v>
      </c>
      <c r="N47" s="23" t="str">
        <f>IF(M47&gt;0,"Over Budget",IF(M47=0,"On Budget","Under Budget"))</f>
        <v>Over Budget</v>
      </c>
    </row>
    <row r="48" spans="1:34" x14ac:dyDescent="0.25">
      <c r="C48" s="17"/>
      <c r="L48" s="23" t="s">
        <v>88</v>
      </c>
      <c r="M48" s="57">
        <f>+O37-U37</f>
        <v>980.5</v>
      </c>
      <c r="N48" s="23" t="str">
        <f t="shared" ref="N48:N49" si="27">IF(M48&gt;0,"Over Budget",IF(M48=0,"On Budget","Under Budget"))</f>
        <v>Over Budget</v>
      </c>
    </row>
    <row r="49" spans="3:14" x14ac:dyDescent="0.25">
      <c r="C49" s="17"/>
      <c r="L49" s="23" t="s">
        <v>89</v>
      </c>
      <c r="M49" s="57">
        <f>+P37-V37</f>
        <v>-4120.5</v>
      </c>
      <c r="N49" s="23" t="str">
        <f t="shared" si="27"/>
        <v>Under Budget</v>
      </c>
    </row>
    <row r="50" spans="3:14" x14ac:dyDescent="0.25">
      <c r="C50" s="17"/>
    </row>
    <row r="51" spans="3:14" x14ac:dyDescent="0.25">
      <c r="C51" s="17"/>
    </row>
    <row r="52" spans="3:14" x14ac:dyDescent="0.25">
      <c r="C52" s="17"/>
    </row>
    <row r="53" spans="3:14" x14ac:dyDescent="0.25">
      <c r="C53" s="2"/>
    </row>
    <row r="54" spans="3:14" x14ac:dyDescent="0.25">
      <c r="C54" s="17"/>
    </row>
    <row r="55" spans="3:14" x14ac:dyDescent="0.25">
      <c r="C55" s="17"/>
    </row>
    <row r="56" spans="3:14" x14ac:dyDescent="0.25">
      <c r="C56" s="17"/>
    </row>
    <row r="57" spans="3:14" x14ac:dyDescent="0.25">
      <c r="C57" s="17"/>
    </row>
    <row r="58" spans="3:14" x14ac:dyDescent="0.25">
      <c r="C58" s="17"/>
    </row>
    <row r="59" spans="3:14" x14ac:dyDescent="0.25">
      <c r="C59" s="17"/>
    </row>
  </sheetData>
  <conditionalFormatting sqref="AT15:AT26">
    <cfRule type="duplicateValues" dxfId="3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0568-3303-465D-8B65-1C2B2274FE27}">
  <sheetPr codeName="Sheet5"/>
  <dimension ref="A1:G31"/>
  <sheetViews>
    <sheetView showGridLines="0" topLeftCell="A2" workbookViewId="0">
      <selection activeCell="D4" sqref="D4"/>
    </sheetView>
  </sheetViews>
  <sheetFormatPr defaultRowHeight="13.8" x14ac:dyDescent="0.25"/>
  <cols>
    <col min="1" max="1" width="8.796875" style="2"/>
    <col min="2" max="2" width="14.3984375" style="2" customWidth="1"/>
    <col min="3" max="3" width="11" style="2" bestFit="1" customWidth="1"/>
    <col min="4" max="16384" width="8.796875" style="2"/>
  </cols>
  <sheetData>
    <row r="1" spans="1:7" x14ac:dyDescent="0.25">
      <c r="A1" s="91" t="s">
        <v>62</v>
      </c>
      <c r="B1" s="91" t="s">
        <v>64</v>
      </c>
      <c r="C1" s="91" t="s">
        <v>113</v>
      </c>
      <c r="D1" s="91" t="s">
        <v>16</v>
      </c>
    </row>
    <row r="2" spans="1:7" x14ac:dyDescent="0.25">
      <c r="A2" s="2" t="s">
        <v>114</v>
      </c>
      <c r="B2" s="2" t="s">
        <v>115</v>
      </c>
      <c r="C2" s="2" t="s">
        <v>116</v>
      </c>
      <c r="D2" s="2">
        <v>44196</v>
      </c>
    </row>
    <row r="3" spans="1:7" x14ac:dyDescent="0.25">
      <c r="A3" s="2" t="s">
        <v>114</v>
      </c>
      <c r="B3" s="2" t="s">
        <v>115</v>
      </c>
      <c r="C3" s="2" t="s">
        <v>117</v>
      </c>
      <c r="D3" s="2">
        <v>20898</v>
      </c>
    </row>
    <row r="4" spans="1:7" x14ac:dyDescent="0.25">
      <c r="A4" s="2" t="s">
        <v>114</v>
      </c>
      <c r="B4" s="2" t="s">
        <v>115</v>
      </c>
      <c r="C4" s="2" t="s">
        <v>118</v>
      </c>
      <c r="D4" s="2">
        <v>46994</v>
      </c>
    </row>
    <row r="5" spans="1:7" x14ac:dyDescent="0.25">
      <c r="A5" s="2" t="s">
        <v>114</v>
      </c>
      <c r="B5" s="2" t="s">
        <v>115</v>
      </c>
      <c r="C5" s="2" t="s">
        <v>119</v>
      </c>
      <c r="D5" s="2">
        <v>43695</v>
      </c>
    </row>
    <row r="6" spans="1:7" x14ac:dyDescent="0.25">
      <c r="A6" s="2" t="s">
        <v>114</v>
      </c>
      <c r="B6" s="2" t="s">
        <v>115</v>
      </c>
      <c r="C6" s="2" t="s">
        <v>120</v>
      </c>
      <c r="D6" s="2">
        <v>34196</v>
      </c>
    </row>
    <row r="7" spans="1:7" x14ac:dyDescent="0.25">
      <c r="A7" s="2" t="s">
        <v>114</v>
      </c>
      <c r="B7" s="2" t="s">
        <v>121</v>
      </c>
      <c r="C7" s="2" t="s">
        <v>116</v>
      </c>
      <c r="D7" s="2">
        <v>34155</v>
      </c>
      <c r="G7" s="93"/>
    </row>
    <row r="8" spans="1:7" x14ac:dyDescent="0.25">
      <c r="A8" s="2" t="s">
        <v>114</v>
      </c>
      <c r="B8" s="2" t="s">
        <v>121</v>
      </c>
      <c r="C8" s="2" t="s">
        <v>117</v>
      </c>
      <c r="D8" s="2">
        <v>24396</v>
      </c>
      <c r="G8"/>
    </row>
    <row r="9" spans="1:7" x14ac:dyDescent="0.25">
      <c r="A9" s="2" t="s">
        <v>114</v>
      </c>
      <c r="B9" s="2" t="s">
        <v>121</v>
      </c>
      <c r="C9" s="2" t="s">
        <v>118</v>
      </c>
      <c r="D9" s="2">
        <v>29276</v>
      </c>
      <c r="G9"/>
    </row>
    <row r="10" spans="1:7" x14ac:dyDescent="0.25">
      <c r="A10" s="2" t="s">
        <v>114</v>
      </c>
      <c r="B10" s="2" t="s">
        <v>121</v>
      </c>
      <c r="C10" s="2" t="s">
        <v>119</v>
      </c>
      <c r="D10" s="2">
        <v>45540</v>
      </c>
      <c r="G10"/>
    </row>
    <row r="11" spans="1:7" x14ac:dyDescent="0.25">
      <c r="A11" s="2" t="s">
        <v>114</v>
      </c>
      <c r="B11" s="2" t="s">
        <v>121</v>
      </c>
      <c r="C11" s="2" t="s">
        <v>120</v>
      </c>
      <c r="D11" s="2">
        <v>29277</v>
      </c>
      <c r="G11"/>
    </row>
    <row r="12" spans="1:7" x14ac:dyDescent="0.25">
      <c r="A12" s="2" t="s">
        <v>114</v>
      </c>
      <c r="B12" s="2" t="s">
        <v>122</v>
      </c>
      <c r="C12" s="2" t="s">
        <v>116</v>
      </c>
      <c r="D12" s="2">
        <v>44675</v>
      </c>
      <c r="G12"/>
    </row>
    <row r="13" spans="1:7" x14ac:dyDescent="0.25">
      <c r="A13" s="2" t="s">
        <v>114</v>
      </c>
      <c r="B13" s="2" t="s">
        <v>122</v>
      </c>
      <c r="C13" s="2" t="s">
        <v>117</v>
      </c>
      <c r="D13" s="2">
        <v>42569</v>
      </c>
      <c r="G13"/>
    </row>
    <row r="14" spans="1:7" x14ac:dyDescent="0.25">
      <c r="A14" s="2" t="s">
        <v>114</v>
      </c>
      <c r="B14" s="2" t="s">
        <v>122</v>
      </c>
      <c r="C14" s="2" t="s">
        <v>118</v>
      </c>
      <c r="D14" s="2">
        <v>43784</v>
      </c>
      <c r="G14"/>
    </row>
    <row r="15" spans="1:7" x14ac:dyDescent="0.25">
      <c r="A15" s="2" t="s">
        <v>114</v>
      </c>
      <c r="B15" s="2" t="s">
        <v>122</v>
      </c>
      <c r="C15" s="2" t="s">
        <v>119</v>
      </c>
      <c r="D15" s="2">
        <v>46336</v>
      </c>
      <c r="G15"/>
    </row>
    <row r="16" spans="1:7" x14ac:dyDescent="0.25">
      <c r="A16" s="2" t="s">
        <v>114</v>
      </c>
      <c r="B16" s="2" t="s">
        <v>122</v>
      </c>
      <c r="C16" s="2" t="s">
        <v>120</v>
      </c>
      <c r="D16" s="2">
        <v>49656</v>
      </c>
      <c r="G16"/>
    </row>
    <row r="17" spans="1:7" x14ac:dyDescent="0.25">
      <c r="A17" s="2" t="s">
        <v>106</v>
      </c>
      <c r="B17" s="2" t="s">
        <v>115</v>
      </c>
      <c r="C17" s="2" t="s">
        <v>116</v>
      </c>
      <c r="D17" s="2">
        <v>24325</v>
      </c>
      <c r="G17"/>
    </row>
    <row r="18" spans="1:7" x14ac:dyDescent="0.25">
      <c r="A18" s="2" t="s">
        <v>106</v>
      </c>
      <c r="B18" s="2" t="s">
        <v>115</v>
      </c>
      <c r="C18" s="2" t="s">
        <v>117</v>
      </c>
      <c r="D18" s="2">
        <v>33681</v>
      </c>
      <c r="G18"/>
    </row>
    <row r="19" spans="1:7" x14ac:dyDescent="0.25">
      <c r="A19" s="2" t="s">
        <v>106</v>
      </c>
      <c r="B19" s="2" t="s">
        <v>115</v>
      </c>
      <c r="C19" s="2" t="s">
        <v>118</v>
      </c>
      <c r="D19" s="2">
        <v>39295</v>
      </c>
      <c r="G19"/>
    </row>
    <row r="20" spans="1:7" x14ac:dyDescent="0.25">
      <c r="A20" s="2" t="s">
        <v>106</v>
      </c>
      <c r="B20" s="2" t="s">
        <v>115</v>
      </c>
      <c r="C20" s="2" t="s">
        <v>119</v>
      </c>
      <c r="D20" s="2">
        <v>59878</v>
      </c>
      <c r="G20"/>
    </row>
    <row r="21" spans="1:7" x14ac:dyDescent="0.25">
      <c r="A21" s="2" t="s">
        <v>106</v>
      </c>
      <c r="B21" s="2" t="s">
        <v>115</v>
      </c>
      <c r="C21" s="2" t="s">
        <v>120</v>
      </c>
      <c r="D21" s="2">
        <v>29938</v>
      </c>
      <c r="G21"/>
    </row>
    <row r="22" spans="1:7" x14ac:dyDescent="0.25">
      <c r="A22" s="2" t="s">
        <v>106</v>
      </c>
      <c r="B22" s="2" t="s">
        <v>121</v>
      </c>
      <c r="C22" s="2" t="s">
        <v>116</v>
      </c>
      <c r="D22" s="2">
        <v>52311</v>
      </c>
      <c r="G22"/>
    </row>
    <row r="23" spans="1:7" x14ac:dyDescent="0.25">
      <c r="A23" s="2" t="s">
        <v>106</v>
      </c>
      <c r="B23" s="2" t="s">
        <v>121</v>
      </c>
      <c r="C23" s="2" t="s">
        <v>117</v>
      </c>
      <c r="D23" s="2">
        <v>31955</v>
      </c>
      <c r="G23"/>
    </row>
    <row r="24" spans="1:7" x14ac:dyDescent="0.25">
      <c r="A24" s="2" t="s">
        <v>106</v>
      </c>
      <c r="B24" s="2" t="s">
        <v>121</v>
      </c>
      <c r="C24" s="2" t="s">
        <v>118</v>
      </c>
      <c r="D24" s="2">
        <v>31955</v>
      </c>
      <c r="G24"/>
    </row>
    <row r="25" spans="1:7" x14ac:dyDescent="0.25">
      <c r="A25" s="2" t="s">
        <v>106</v>
      </c>
      <c r="B25" s="2" t="s">
        <v>121</v>
      </c>
      <c r="C25" s="2" t="s">
        <v>119</v>
      </c>
      <c r="D25" s="2">
        <v>31955</v>
      </c>
      <c r="G25"/>
    </row>
    <row r="26" spans="1:7" x14ac:dyDescent="0.25">
      <c r="A26" s="2" t="s">
        <v>106</v>
      </c>
      <c r="B26" s="2" t="s">
        <v>121</v>
      </c>
      <c r="C26" s="2" t="s">
        <v>120</v>
      </c>
      <c r="D26" s="2">
        <v>11598</v>
      </c>
      <c r="G26"/>
    </row>
    <row r="27" spans="1:7" x14ac:dyDescent="0.25">
      <c r="A27" s="2" t="s">
        <v>106</v>
      </c>
      <c r="B27" s="2" t="s">
        <v>122</v>
      </c>
      <c r="C27" s="2" t="s">
        <v>116</v>
      </c>
      <c r="D27" s="2">
        <v>53963</v>
      </c>
      <c r="G27"/>
    </row>
    <row r="28" spans="1:7" x14ac:dyDescent="0.25">
      <c r="A28" s="2" t="s">
        <v>106</v>
      </c>
      <c r="B28" s="2" t="s">
        <v>122</v>
      </c>
      <c r="C28" s="2" t="s">
        <v>117</v>
      </c>
      <c r="D28" s="2">
        <v>65965</v>
      </c>
      <c r="G28"/>
    </row>
    <row r="29" spans="1:7" x14ac:dyDescent="0.25">
      <c r="A29" s="2" t="s">
        <v>106</v>
      </c>
      <c r="B29" s="2" t="s">
        <v>122</v>
      </c>
      <c r="C29" s="2" t="s">
        <v>118</v>
      </c>
      <c r="D29" s="2">
        <v>19989</v>
      </c>
      <c r="G29"/>
    </row>
    <row r="30" spans="1:7" x14ac:dyDescent="0.25">
      <c r="A30" s="2" t="s">
        <v>106</v>
      </c>
      <c r="B30" s="2" t="s">
        <v>122</v>
      </c>
      <c r="C30" s="2" t="s">
        <v>119</v>
      </c>
      <c r="D30" s="2">
        <v>39979</v>
      </c>
      <c r="G30"/>
    </row>
    <row r="31" spans="1:7" x14ac:dyDescent="0.25">
      <c r="A31" s="2" t="s">
        <v>106</v>
      </c>
      <c r="B31" s="2" t="s">
        <v>122</v>
      </c>
      <c r="C31" s="2" t="s">
        <v>120</v>
      </c>
      <c r="D31" s="2">
        <v>19998</v>
      </c>
      <c r="G3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B3420-5FD0-4F60-8CB4-F0CB0A83BDFC}">
  <sheetPr codeName="Sheet6"/>
  <dimension ref="B3:Q26"/>
  <sheetViews>
    <sheetView topLeftCell="B1" workbookViewId="0">
      <selection activeCell="C31" sqref="C31"/>
    </sheetView>
  </sheetViews>
  <sheetFormatPr defaultRowHeight="13.8" x14ac:dyDescent="0.25"/>
  <cols>
    <col min="2" max="2" width="11.296875" customWidth="1"/>
    <col min="3" max="3" width="12.09765625" customWidth="1"/>
    <col min="4" max="4" width="9.8984375" customWidth="1"/>
    <col min="5" max="5" width="4.796875" customWidth="1"/>
    <col min="8" max="8" width="13.09765625" customWidth="1"/>
    <col min="9" max="9" width="10.09765625" bestFit="1" customWidth="1"/>
    <col min="14" max="14" width="11.3984375" customWidth="1"/>
  </cols>
  <sheetData>
    <row r="3" spans="2:17" x14ac:dyDescent="0.25">
      <c r="B3" s="25" t="s">
        <v>129</v>
      </c>
      <c r="C3" s="24"/>
      <c r="D3" s="24"/>
      <c r="E3" s="24"/>
      <c r="H3" s="25" t="s">
        <v>123</v>
      </c>
      <c r="I3" s="24"/>
      <c r="J3" s="24"/>
      <c r="K3" s="24"/>
      <c r="N3" s="25" t="s">
        <v>124</v>
      </c>
      <c r="O3" s="24"/>
      <c r="P3" s="24"/>
      <c r="Q3" s="24"/>
    </row>
    <row r="4" spans="2:17" x14ac:dyDescent="0.25">
      <c r="H4" t="str">
        <f>"Revenues for "&amp;B6 &amp;" Division by Region"</f>
        <v>Revenues for Productivity Division by Region</v>
      </c>
    </row>
    <row r="5" spans="2:17" x14ac:dyDescent="0.25">
      <c r="B5" s="94" t="s">
        <v>64</v>
      </c>
      <c r="C5" t="s">
        <v>62</v>
      </c>
      <c r="I5" t="s">
        <v>16</v>
      </c>
      <c r="J5" t="s">
        <v>126</v>
      </c>
      <c r="K5" t="s">
        <v>127</v>
      </c>
      <c r="N5" s="97">
        <f>SUM(I6:I10)</f>
        <v>162644</v>
      </c>
      <c r="O5" t="str">
        <f>B6&amp; " Apps Sold"</f>
        <v>Productivity Apps Sold</v>
      </c>
    </row>
    <row r="6" spans="2:17" x14ac:dyDescent="0.25">
      <c r="B6" s="2" t="s">
        <v>121</v>
      </c>
      <c r="C6" t="s">
        <v>114</v>
      </c>
      <c r="H6" s="92" t="s">
        <v>116</v>
      </c>
      <c r="I6" s="95">
        <f>SUMIFS(RawData[Revenue], RawData[Year],Calculations2!$C$6, RawData[Division],Calculations2!$B$6,RawData[Region],Calculations2!$H6)</f>
        <v>34155</v>
      </c>
      <c r="J6" t="e">
        <f>IF($I6=MAX($I$6:$I$10),$I6,NA())</f>
        <v>#N/A</v>
      </c>
      <c r="K6" s="96">
        <f>AVERAGE($I$6:$I$10)</f>
        <v>32528.799999999999</v>
      </c>
      <c r="N6" t="str">
        <f>INDEX($H$6:$H$10,MATCH(MAX($I$6:$I$10),$I$6:$I$10,0))&amp;" sold the most "&amp;$B$6&amp;" Apps"</f>
        <v>Europe sold the most Productivity Apps</v>
      </c>
    </row>
    <row r="7" spans="2:17" x14ac:dyDescent="0.25">
      <c r="H7" s="93" t="s">
        <v>117</v>
      </c>
      <c r="I7" s="95">
        <f>SUMIFS(RawData[Revenue], RawData[Year],Calculations2!$C$6, RawData[Division],Calculations2!$B$6,RawData[Region],Calculations2!$H7)</f>
        <v>24396</v>
      </c>
      <c r="J7" s="2" t="e">
        <f t="shared" ref="J7:J10" si="0">IF($I7=MAX($I$6:$I$10),$I7,NA())</f>
        <v>#N/A</v>
      </c>
      <c r="K7" s="96">
        <f>AVERAGE($I$6:$I$10)</f>
        <v>32528.799999999999</v>
      </c>
      <c r="N7" s="2" t="str">
        <f>INDEX($H$6:$H$10,MATCH(MIN($I$6:$I$10),$I$6:$I$10,0))&amp;" sold the least "&amp;$B$6&amp;" Apps"</f>
        <v>South America sold the least Productivity Apps</v>
      </c>
    </row>
    <row r="8" spans="2:17" x14ac:dyDescent="0.25">
      <c r="H8" s="92" t="s">
        <v>118</v>
      </c>
      <c r="I8" s="95">
        <f>SUMIFS(RawData[Revenue], RawData[Year],Calculations2!$C$6, RawData[Division],Calculations2!$B$6,RawData[Region],Calculations2!$H8)</f>
        <v>29276</v>
      </c>
      <c r="J8" s="2" t="e">
        <f t="shared" si="0"/>
        <v>#N/A</v>
      </c>
      <c r="K8" s="96">
        <f>AVERAGE($I$6:$I$10)</f>
        <v>32528.799999999999</v>
      </c>
    </row>
    <row r="9" spans="2:17" x14ac:dyDescent="0.25">
      <c r="H9" s="93" t="s">
        <v>119</v>
      </c>
      <c r="I9" s="95">
        <f>SUMIFS(RawData[Revenue], RawData[Year],Calculations2!$C$6, RawData[Division],Calculations2!$B$6,RawData[Region],Calculations2!$H9)</f>
        <v>45540</v>
      </c>
      <c r="J9" s="2">
        <f t="shared" si="0"/>
        <v>45540</v>
      </c>
      <c r="K9" s="96">
        <f>AVERAGE($I$6:$I$10)</f>
        <v>32528.799999999999</v>
      </c>
    </row>
    <row r="10" spans="2:17" x14ac:dyDescent="0.25">
      <c r="H10" s="92" t="s">
        <v>120</v>
      </c>
      <c r="I10" s="95">
        <f>SUMIFS(RawData[Revenue], RawData[Year],Calculations2!$C$6, RawData[Division],Calculations2!$B$6,RawData[Region],Calculations2!$H10)</f>
        <v>29277</v>
      </c>
      <c r="J10" s="2" t="e">
        <f t="shared" si="0"/>
        <v>#N/A</v>
      </c>
      <c r="K10" s="96">
        <f>AVERAGE($I$6:$I$10)</f>
        <v>32528.799999999999</v>
      </c>
    </row>
    <row r="15" spans="2:17" x14ac:dyDescent="0.25">
      <c r="H15" s="2"/>
      <c r="I15" s="2"/>
      <c r="J15" s="2"/>
      <c r="K15" s="2"/>
    </row>
    <row r="16" spans="2:17" x14ac:dyDescent="0.25">
      <c r="B16" s="25" t="s">
        <v>128</v>
      </c>
      <c r="C16" s="24"/>
      <c r="D16" s="24"/>
      <c r="E16" s="24"/>
      <c r="H16" s="2"/>
      <c r="I16" s="2"/>
      <c r="J16" s="2"/>
      <c r="K16" s="2"/>
      <c r="N16" s="25" t="s">
        <v>125</v>
      </c>
      <c r="O16" s="24"/>
      <c r="P16" s="24"/>
      <c r="Q16" s="24"/>
    </row>
    <row r="17" spans="2:15" x14ac:dyDescent="0.25">
      <c r="H17" s="2"/>
      <c r="I17" s="2"/>
      <c r="J17" s="2"/>
      <c r="K17" s="2"/>
    </row>
    <row r="18" spans="2:15" x14ac:dyDescent="0.25">
      <c r="I18" s="94"/>
      <c r="J18" s="94"/>
      <c r="K18" s="94"/>
      <c r="N18" s="106" t="s">
        <v>62</v>
      </c>
      <c r="O18" s="99" t="s">
        <v>114</v>
      </c>
    </row>
    <row r="19" spans="2:15" x14ac:dyDescent="0.25">
      <c r="I19" s="94"/>
      <c r="J19" s="94"/>
      <c r="K19" s="94"/>
    </row>
    <row r="20" spans="2:15" x14ac:dyDescent="0.25">
      <c r="B20" s="103"/>
      <c r="C20" s="103" t="s">
        <v>114</v>
      </c>
      <c r="D20" s="103"/>
      <c r="E20" s="103"/>
      <c r="F20" s="103" t="s">
        <v>106</v>
      </c>
      <c r="G20" s="103"/>
      <c r="H20" s="103"/>
      <c r="N20" s="98"/>
      <c r="O20" s="98" t="s">
        <v>130</v>
      </c>
    </row>
    <row r="21" spans="2:15" x14ac:dyDescent="0.25">
      <c r="B21" s="103"/>
      <c r="C21" s="103" t="s">
        <v>130</v>
      </c>
      <c r="D21" s="103" t="s">
        <v>131</v>
      </c>
      <c r="E21" s="103" t="s">
        <v>133</v>
      </c>
      <c r="F21" s="103" t="s">
        <v>130</v>
      </c>
      <c r="G21" s="103" t="s">
        <v>131</v>
      </c>
      <c r="H21" s="103" t="s">
        <v>133</v>
      </c>
      <c r="N21" s="100" t="s">
        <v>122</v>
      </c>
      <c r="O21" s="101">
        <v>46336</v>
      </c>
    </row>
    <row r="22" spans="2:15" x14ac:dyDescent="0.25">
      <c r="B22" s="100" t="s">
        <v>122</v>
      </c>
      <c r="C22" s="101">
        <v>46336</v>
      </c>
      <c r="D22" s="102">
        <v>0.15900847945171215</v>
      </c>
      <c r="E22" s="105">
        <v>0.15900847945171215</v>
      </c>
      <c r="F22" s="101">
        <v>39979</v>
      </c>
      <c r="G22" s="110"/>
      <c r="H22" s="110"/>
      <c r="N22" s="100" t="s">
        <v>121</v>
      </c>
      <c r="O22" s="101">
        <v>45540</v>
      </c>
    </row>
    <row r="23" spans="2:15" x14ac:dyDescent="0.25">
      <c r="B23" s="100" t="s">
        <v>121</v>
      </c>
      <c r="C23" s="101">
        <v>45540</v>
      </c>
      <c r="D23" s="102">
        <v>0.42512908777969016</v>
      </c>
      <c r="E23" s="105">
        <v>0.42512908777969016</v>
      </c>
      <c r="F23" s="101">
        <v>31955</v>
      </c>
      <c r="G23" s="110"/>
      <c r="H23" s="110"/>
      <c r="N23" s="100" t="s">
        <v>115</v>
      </c>
      <c r="O23" s="101">
        <v>43695</v>
      </c>
    </row>
    <row r="24" spans="2:15" x14ac:dyDescent="0.25">
      <c r="B24" s="100" t="s">
        <v>115</v>
      </c>
      <c r="C24" s="101">
        <v>43695</v>
      </c>
      <c r="D24" s="102">
        <v>-0.27026620795617756</v>
      </c>
      <c r="E24" s="105">
        <v>-0.27026620795617756</v>
      </c>
      <c r="F24" s="101">
        <v>59878</v>
      </c>
      <c r="G24" s="110"/>
      <c r="H24" s="110"/>
      <c r="N24" s="104" t="s">
        <v>132</v>
      </c>
      <c r="O24" s="101">
        <v>135571</v>
      </c>
    </row>
    <row r="25" spans="2:15" x14ac:dyDescent="0.25">
      <c r="B25" s="103" t="s">
        <v>132</v>
      </c>
      <c r="C25" s="107">
        <v>135571</v>
      </c>
      <c r="D25" s="108">
        <v>2.8517889114799865E-2</v>
      </c>
      <c r="E25" s="109">
        <v>2.8517889114799865E-2</v>
      </c>
      <c r="F25" s="107">
        <v>131812</v>
      </c>
      <c r="G25" s="110"/>
      <c r="H25" s="110"/>
    </row>
    <row r="26" spans="2:15" x14ac:dyDescent="0.25">
      <c r="C26" s="94"/>
      <c r="D26" s="94"/>
      <c r="E26" s="94"/>
      <c r="F26" s="94"/>
      <c r="G26" s="94"/>
      <c r="H26" s="94"/>
      <c r="I26" s="94"/>
      <c r="J26" s="94"/>
      <c r="K26" s="94"/>
    </row>
  </sheetData>
  <conditionalFormatting sqref="J6:J10">
    <cfRule type="duplicateValues" dxfId="33" priority="7"/>
  </conditionalFormatting>
  <pageMargins left="0.7" right="0.7" top="0.75" bottom="0.75" header="0.3" footer="0.3"/>
  <pageSetup paperSize="9" orientation="portrait" horizontalDpi="4294967293" verticalDpi="0" r:id="rId4"/>
  <extLst>
    <ext xmlns:x14="http://schemas.microsoft.com/office/spreadsheetml/2009/9/main" uri="{78C0D931-6437-407d-A8EE-F0AAD7539E65}">
      <x14:conditionalFormattings>
        <x14:conditionalFormatting xmlns:xm="http://schemas.microsoft.com/office/excel/2006/main" pivot="1">
          <x14:cfRule type="iconSet" priority="1" id="{63272A93-1FDE-4126-92B1-668F5DFE54A1}">
            <x14:iconSet iconSet="3Triangles" showValue="0" custom="1">
              <x14:cfvo type="percent">
                <xm:f>0</xm:f>
              </x14:cfvo>
              <x14:cfvo type="num">
                <xm:f>-0.05</xm:f>
              </x14:cfvo>
              <x14:cfvo type="num">
                <xm:f>0.05</xm:f>
              </x14:cfvo>
              <x14:cfIcon iconSet="3Triangles" iconId="0"/>
              <x14:cfIcon iconSet="NoIcons" iconId="0"/>
              <x14:cfIcon iconSet="3Triangles" iconId="2"/>
            </x14:iconSet>
          </x14:cfRule>
          <xm:sqref>E22:E25 H22:H25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Dashboard1</vt:lpstr>
      <vt:lpstr>Dashboard2</vt:lpstr>
      <vt:lpstr>Data1</vt:lpstr>
      <vt:lpstr>Calculatiions1</vt:lpstr>
      <vt:lpstr>Data2</vt:lpstr>
      <vt:lpstr>Calculations2</vt:lpstr>
      <vt:lpstr>curr_month</vt:lpstr>
      <vt:lpstr>curr_year</vt:lpstr>
      <vt:lpstr>month</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Eszter</dc:creator>
  <cp:lastModifiedBy>Eszter</cp:lastModifiedBy>
  <dcterms:created xsi:type="dcterms:W3CDTF">2019-05-04T15:14:46Z</dcterms:created>
  <dcterms:modified xsi:type="dcterms:W3CDTF">2019-06-11T06:16:27Z</dcterms:modified>
</cp:coreProperties>
</file>