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BuÇalışmaKitabı" defaultThemeVersion="124226"/>
  <mc:AlternateContent xmlns:mc="http://schemas.openxmlformats.org/markup-compatibility/2006">
    <mc:Choice Requires="x15">
      <x15ac:absPath xmlns:x15ac="http://schemas.microsoft.com/office/spreadsheetml/2010/11/ac" url="C:\Users\proje\Yunus Tufan\"/>
    </mc:Choice>
  </mc:AlternateContent>
  <xr:revisionPtr revIDLastSave="0" documentId="13_ncr:1_{74C55C04-C35E-4A9A-A2D5-9729A5E55623}" xr6:coauthVersionLast="47" xr6:coauthVersionMax="47" xr10:uidLastSave="{00000000-0000-0000-0000-000000000000}"/>
  <bookViews>
    <workbookView xWindow="-120" yWindow="-120" windowWidth="29040" windowHeight="15720" tabRatio="827" firstSheet="10" activeTab="18" xr2:uid="{00000000-000D-0000-FFFF-FFFF00000000}"/>
  </bookViews>
  <sheets>
    <sheet name="Lavabo Montaj Ölçüleri " sheetId="84" r:id="rId1"/>
    <sheet name="Banyo Montaj Ölçüleri " sheetId="83" r:id="rId2"/>
    <sheet name="Duş &amp; Küvet Montaj Ölçüleri" sheetId="82" r:id="rId3"/>
    <sheet name="Klozet Montaj Ölçüleri" sheetId="81" r:id="rId4"/>
    <sheet name="mimarlık" sheetId="79" r:id="rId5"/>
    <sheet name="YnS Ana Say" sheetId="95" r:id="rId6"/>
    <sheet name="peysaj ve sulama" sheetId="108" r:id="rId7"/>
    <sheet name="Soğutma" sheetId="103" r:id="rId8"/>
    <sheet name="Isı Pompası" sheetId="101" r:id="rId9"/>
    <sheet name="YAĞMUR" sheetId="107" r:id="rId10"/>
    <sheet name="İNŞAAT" sheetId="106" r:id="rId11"/>
    <sheet name="Doğalgaz" sheetId="104" r:id="rId12"/>
    <sheet name="Teknik Kütüphane" sheetId="110" r:id="rId13"/>
    <sheet name="Tesisat" sheetId="109" r:id="rId14"/>
    <sheet name="Havuz Eşanjör" sheetId="99" r:id="rId15"/>
    <sheet name="Havalandırma" sheetId="105" r:id="rId16"/>
    <sheet name="Yerden Isıtma" sheetId="100" r:id="rId17"/>
    <sheet name="ISITMA" sheetId="97" r:id="rId18"/>
    <sheet name="Yns ANA SAYFA" sheetId="94" r:id="rId19"/>
    <sheet name="Nem Alma Cihaz Hesabı" sheetId="91" r:id="rId20"/>
    <sheet name="Sarnıç Hesabı" sheetId="92" r:id="rId21"/>
    <sheet name="Islak Hacim İşçilik H" sheetId="90" r:id="rId22"/>
    <sheet name="Yerden Isıtma Hesabı" sheetId="4" r:id="rId23"/>
    <sheet name="pratik yerden ısıtma hesabı" sheetId="74" r:id="rId24"/>
    <sheet name="Modülasyon ve yerden ısıtma hes" sheetId="89" r:id="rId25"/>
    <sheet name="Yerden Isıtma Malzeme Rehau Hes" sheetId="8" r:id="rId26"/>
    <sheet name="Boru Çapı Hesabı" sheetId="5" r:id="rId27"/>
    <sheet name="boru çap hesabı(soğuk su tes.)" sheetId="68" r:id="rId28"/>
    <sheet name="Somunlu Kelepçe" sheetId="55" r:id="rId29"/>
    <sheet name="Buhar Odası Buh.Jenertör Hesabı" sheetId="71" r:id="rId30"/>
    <sheet name="AĞIR YÜK SOMUNLU KELEPÇE" sheetId="60" r:id="rId31"/>
    <sheet name="AĞIR YÜK KAFALI KELEPÇE" sheetId="61" r:id="rId32"/>
    <sheet name="KLASİK TİP SPRİNKLER KELEPÇE" sheetId="62" r:id="rId33"/>
    <sheet name="Rot ve Tij Ölçüleri" sheetId="65" r:id="rId34"/>
    <sheet name="U BOLT Ölçüleri" sheetId="66" r:id="rId35"/>
    <sheet name="UZUN TİP SPRİNKLER KELEPÇE" sheetId="64" r:id="rId36"/>
    <sheet name="KLASİK TRİFONLU KELEPÇE" sheetId="58" r:id="rId37"/>
    <sheet name="UZUN TRİFONLU KELEPÇE" sheetId="59" r:id="rId38"/>
    <sheet name="KOMBİ SOMUNLU KELEPÇE" sheetId="57" r:id="rId39"/>
    <sheet name="BORU TESİSAT YALITIM ÖLÇÜLERİ" sheetId="67" r:id="rId40"/>
    <sheet name="Kelepçeler" sheetId="56" r:id="rId41"/>
    <sheet name="Tesisat sembolleri" sheetId="53" r:id="rId42"/>
    <sheet name="Boyler genleşme Tankı Seçimi" sheetId="51" r:id="rId43"/>
    <sheet name="Rögar Akar Kod ve Künk" sheetId="50" r:id="rId44"/>
    <sheet name="İnşaat Hafriyat Hesabı" sheetId="48" r:id="rId45"/>
    <sheet name="Birim Dönüştür" sheetId="49" r:id="rId46"/>
    <sheet name="Kazan dairesi hesabı YNS-2023" sheetId="44" r:id="rId47"/>
    <sheet name="Kazan Dairesi Denge Kabı" sheetId="47" state="hidden" r:id="rId48"/>
    <sheet name="Kazan Dairesi Genleşme Tankı He" sheetId="46" state="hidden" r:id="rId49"/>
    <sheet name="Kazan Dairesi Boru Çapı Hesabı" sheetId="45" state="hidden" r:id="rId50"/>
    <sheet name="Sayfa1" sheetId="43" state="hidden" r:id="rId51"/>
    <sheet name="Isı Pompası Hesabı-2" sheetId="52" r:id="rId52"/>
    <sheet name="Radyatör Hesabı" sheetId="31" r:id="rId53"/>
    <sheet name="Boyler Hesabı  " sheetId="76" r:id="rId54"/>
    <sheet name="Havuz Denge Depo Hesabı" sheetId="87" r:id="rId55"/>
    <sheet name="Havuz Eşanjör Hesabı-1" sheetId="6" r:id="rId56"/>
    <sheet name="Havuz Eşanjör Kapasite Hesabı" sheetId="41" r:id="rId57"/>
    <sheet name="Merkezi Toz Emme Hesabı" sheetId="40" r:id="rId58"/>
    <sheet name="Davlumbaz Hesabı" sheetId="36" r:id="rId59"/>
    <sheet name="Isı Pompası Hesabı" sheetId="37" r:id="rId60"/>
    <sheet name="Kapalı Havuz Nem Alma Hesabı" sheetId="35" r:id="rId61"/>
    <sheet name="PomPa ve Genleşme Tk Hesbı" sheetId="11" r:id="rId62"/>
    <sheet name="hidrolik karıştırıcı-denge kabı" sheetId="13" r:id="rId63"/>
    <sheet name="Re-Sirkülasyon Pompa seçimi" sheetId="24" r:id="rId64"/>
    <sheet name="3 yollu karışım vana seçimi" sheetId="22" r:id="rId65"/>
    <sheet name="Isıtma Hattı Genleşme Tankı seç" sheetId="28" r:id="rId66"/>
    <sheet name="Temiz Su Genleşme Tankı Seçimi" sheetId="29" r:id="rId67"/>
    <sheet name="Güneş Kollektör Hesapı" sheetId="2" r:id="rId68"/>
    <sheet name="Güneş Pompa Ve Boru Çapı Seçimi" sheetId="3" r:id="rId69"/>
    <sheet name="Boru Çapı Hesabı-2" sheetId="32" r:id="rId70"/>
    <sheet name="Rehau ile vitrifiye temiz su" sheetId="26" r:id="rId71"/>
    <sheet name="Atık su kelepçe adet hesabı" sheetId="21" r:id="rId72"/>
    <sheet name="soğuk su- sıcak su-pis su hesap" sheetId="9" r:id="rId73"/>
    <sheet name="Doğalgaz Menfez Hesabı-Sayaç" sheetId="30" r:id="rId74"/>
    <sheet name="Doğlz.Regülatör Malzeme Hesabı" sheetId="72" r:id="rId75"/>
    <sheet name="Doğlz Regülatör Malzeme Listesi" sheetId="73" r:id="rId76"/>
    <sheet name="Kazan Baca Çapı Hesabı" sheetId="34" r:id="rId77"/>
    <sheet name="WC Fan basınç kaybı Hesabı" sheetId="20" r:id="rId78"/>
    <sheet name="kanal hesap" sheetId="54" state="hidden" r:id="rId79"/>
    <sheet name="ISI GERİ KAZANIM CİHAZI HESABI" sheetId="42" r:id="rId80"/>
    <sheet name="Kanal Kesit Hesabı" sheetId="27" r:id="rId81"/>
    <sheet name="Şönt Pompa seçimi" sheetId="23" r:id="rId82"/>
    <sheet name="HİDROFOR Hesabı" sheetId="78" r:id="rId83"/>
    <sheet name="Bahçe Sulama Hesabı" sheetId="7" r:id="rId84"/>
    <sheet name="Soğutma Katsayısı" sheetId="86" r:id="rId85"/>
    <sheet name="Drenaj Kanal Hesabı" sheetId="88" r:id="rId86"/>
    <sheet name="Klima Hesabı " sheetId="85" r:id="rId87"/>
    <sheet name="Klima Hesabı" sheetId="16" state="hidden" r:id="rId88"/>
    <sheet name="Yağmur suyu hesabı" sheetId="17" r:id="rId89"/>
    <sheet name="Yağmur Suyu Hesabı-2" sheetId="19" r:id="rId90"/>
    <sheet name="Balkon Ve Teras Süzgeç Hesabı" sheetId="39" r:id="rId91"/>
    <sheet name="C-kollektör Hesabı" sheetId="10" r:id="rId92"/>
    <sheet name="arıtma cihazı çalışma prensibi" sheetId="12" r:id="rId93"/>
  </sheets>
  <definedNames>
    <definedName name="_xlnm._FilterDatabase" localSheetId="65" hidden="1">'Isıtma Hattı Genleşme Tankı seç'!$B$6:$F$69</definedName>
    <definedName name="_xlnm._FilterDatabase" localSheetId="66" hidden="1">'Temiz Su Genleşme Tankı Seçimi'!$B$6:$L$13</definedName>
    <definedName name="_xlnm.Print_Area" localSheetId="61">'PomPa ve Genleşme Tk Hesbı'!$C$3:$O$29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85" l="1"/>
  <c r="I27" i="85" s="1"/>
  <c r="E28" i="85" s="1"/>
  <c r="D25" i="6"/>
  <c r="D31" i="6"/>
  <c r="D30" i="6"/>
  <c r="D24" i="6"/>
  <c r="P25" i="6"/>
  <c r="P31" i="6"/>
  <c r="P24" i="6"/>
  <c r="P26" i="6" s="1"/>
  <c r="Q27" i="6" s="1"/>
  <c r="P30" i="6"/>
  <c r="I25" i="85" a="1"/>
  <c r="I25" i="85" s="1"/>
  <c r="E25" i="85" s="1"/>
  <c r="D18" i="92"/>
  <c r="D19" i="92" s="1"/>
  <c r="D20" i="92" s="1"/>
  <c r="C14" i="91"/>
  <c r="D12" i="91"/>
  <c r="D11" i="91"/>
  <c r="C17" i="91" s="1"/>
  <c r="C10" i="91"/>
  <c r="C15" i="91" s="1"/>
  <c r="N5" i="90"/>
  <c r="N6" i="90"/>
  <c r="H62" i="90" s="1"/>
  <c r="J62" i="90" s="1"/>
  <c r="K62" i="90" s="1"/>
  <c r="G86" i="90"/>
  <c r="G85" i="90"/>
  <c r="G84" i="90"/>
  <c r="G83" i="90"/>
  <c r="G82" i="90"/>
  <c r="G70" i="90"/>
  <c r="G59" i="90"/>
  <c r="G60" i="90"/>
  <c r="G61" i="90"/>
  <c r="G62" i="90"/>
  <c r="G63" i="90"/>
  <c r="G64" i="90"/>
  <c r="G65" i="90"/>
  <c r="G66" i="90"/>
  <c r="G67" i="90"/>
  <c r="G68" i="90"/>
  <c r="G46" i="90"/>
  <c r="G47" i="90"/>
  <c r="G48" i="90"/>
  <c r="G49" i="90"/>
  <c r="G50" i="90"/>
  <c r="G51" i="90"/>
  <c r="G52" i="90"/>
  <c r="G53" i="90"/>
  <c r="G54" i="90"/>
  <c r="G55" i="90"/>
  <c r="G56" i="90"/>
  <c r="G57" i="90"/>
  <c r="G45" i="90"/>
  <c r="G35" i="90"/>
  <c r="G7" i="90"/>
  <c r="G8" i="90"/>
  <c r="G9" i="90"/>
  <c r="G10" i="90"/>
  <c r="G11" i="90"/>
  <c r="G12" i="90"/>
  <c r="G27" i="90"/>
  <c r="G28" i="90"/>
  <c r="G29" i="90"/>
  <c r="G30" i="90"/>
  <c r="G31" i="90"/>
  <c r="G32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81" i="90"/>
  <c r="E79" i="90"/>
  <c r="E78" i="90"/>
  <c r="E77" i="90"/>
  <c r="G77" i="90" s="1"/>
  <c r="E76" i="90"/>
  <c r="E75" i="90"/>
  <c r="E74" i="90"/>
  <c r="G74" i="90" s="1"/>
  <c r="E73" i="90"/>
  <c r="E72" i="90"/>
  <c r="E71" i="90"/>
  <c r="G71" i="90" s="1"/>
  <c r="G43" i="90"/>
  <c r="G42" i="90"/>
  <c r="G41" i="90"/>
  <c r="G40" i="90"/>
  <c r="G39" i="90"/>
  <c r="G38" i="90"/>
  <c r="G37" i="90"/>
  <c r="G36" i="90"/>
  <c r="F4" i="4"/>
  <c r="K6" i="4" s="1"/>
  <c r="AG24" i="89"/>
  <c r="P8" i="89"/>
  <c r="AE24" i="89"/>
  <c r="O6" i="4"/>
  <c r="F6" i="4"/>
  <c r="U20" i="89"/>
  <c r="W20" i="89" s="1"/>
  <c r="AG20" i="89" s="1"/>
  <c r="U22" i="89"/>
  <c r="W22" i="89" s="1"/>
  <c r="AE22" i="89" s="1"/>
  <c r="U18" i="89"/>
  <c r="W18" i="89" s="1"/>
  <c r="AG18" i="89" s="1"/>
  <c r="U16" i="89"/>
  <c r="W16" i="89" s="1"/>
  <c r="AE16" i="89" s="1"/>
  <c r="U14" i="89"/>
  <c r="W14" i="89" s="1"/>
  <c r="AE14" i="89" s="1"/>
  <c r="E26" i="31"/>
  <c r="G26" i="31" s="1"/>
  <c r="F32" i="52"/>
  <c r="E37" i="52"/>
  <c r="G27" i="52"/>
  <c r="N31" i="88"/>
  <c r="P29" i="88"/>
  <c r="P28" i="88"/>
  <c r="N27" i="88"/>
  <c r="M16" i="88"/>
  <c r="P19" i="88" s="1"/>
  <c r="M14" i="88"/>
  <c r="O14" i="88" s="1"/>
  <c r="M13" i="88"/>
  <c r="O13" i="88" s="1"/>
  <c r="K8" i="88"/>
  <c r="K9" i="88" s="1"/>
  <c r="Q23" i="88" s="1"/>
  <c r="Q21" i="87"/>
  <c r="Q20" i="87"/>
  <c r="E6" i="87"/>
  <c r="G21" i="85" a="1"/>
  <c r="G21" i="85" s="1"/>
  <c r="F23" i="85" s="1"/>
  <c r="H16" i="85" a="1"/>
  <c r="H16" i="85" s="1"/>
  <c r="E19" i="85" s="1"/>
  <c r="R21" i="85"/>
  <c r="R19" i="85"/>
  <c r="R17" i="85"/>
  <c r="R15" i="85"/>
  <c r="Q9" i="85"/>
  <c r="U9" i="85" s="1"/>
  <c r="E9" i="85"/>
  <c r="E10" i="85" s="1"/>
  <c r="Q21" i="78"/>
  <c r="T11" i="78"/>
  <c r="J8" i="78"/>
  <c r="R10" i="78"/>
  <c r="O10" i="78" s="1"/>
  <c r="O14" i="78" s="1"/>
  <c r="E8" i="78"/>
  <c r="E10" i="78" s="1"/>
  <c r="R8" i="78"/>
  <c r="R7" i="78"/>
  <c r="R6" i="78"/>
  <c r="R5" i="78"/>
  <c r="E7" i="78"/>
  <c r="E6" i="78" s="1"/>
  <c r="E21" i="78"/>
  <c r="U36" i="8"/>
  <c r="U35" i="8"/>
  <c r="H36" i="8"/>
  <c r="H35" i="8"/>
  <c r="H34" i="8"/>
  <c r="J50" i="74"/>
  <c r="H19" i="74"/>
  <c r="T29" i="74" s="1"/>
  <c r="T44" i="74" s="1"/>
  <c r="E30" i="85" l="1"/>
  <c r="E31" i="85" s="1"/>
  <c r="D26" i="6"/>
  <c r="E27" i="6" s="1"/>
  <c r="C18" i="91"/>
  <c r="C16" i="91"/>
  <c r="H16" i="90"/>
  <c r="J16" i="90" s="1"/>
  <c r="K16" i="90" s="1"/>
  <c r="H9" i="90"/>
  <c r="I9" i="90" s="1"/>
  <c r="H65" i="90"/>
  <c r="I65" i="90" s="1"/>
  <c r="H64" i="90"/>
  <c r="I64" i="90" s="1"/>
  <c r="H26" i="90"/>
  <c r="J26" i="90" s="1"/>
  <c r="K26" i="90" s="1"/>
  <c r="H57" i="90"/>
  <c r="I57" i="90" s="1"/>
  <c r="H47" i="90"/>
  <c r="I47" i="90" s="1"/>
  <c r="H54" i="90"/>
  <c r="J54" i="90" s="1"/>
  <c r="K54" i="90" s="1"/>
  <c r="H81" i="90"/>
  <c r="J81" i="90" s="1"/>
  <c r="K81" i="90" s="1"/>
  <c r="H20" i="90"/>
  <c r="J20" i="90" s="1"/>
  <c r="K20" i="90" s="1"/>
  <c r="H29" i="90"/>
  <c r="J29" i="90" s="1"/>
  <c r="K29" i="90" s="1"/>
  <c r="H28" i="90"/>
  <c r="I28" i="90" s="1"/>
  <c r="H35" i="90"/>
  <c r="J35" i="90" s="1"/>
  <c r="K35" i="90" s="1"/>
  <c r="H73" i="90"/>
  <c r="I73" i="90" s="1"/>
  <c r="H85" i="90"/>
  <c r="I85" i="90" s="1"/>
  <c r="H72" i="90"/>
  <c r="I72" i="90" s="1"/>
  <c r="H17" i="90"/>
  <c r="J17" i="90" s="1"/>
  <c r="K17" i="90" s="1"/>
  <c r="H27" i="90"/>
  <c r="J27" i="90" s="1"/>
  <c r="K27" i="90" s="1"/>
  <c r="H45" i="90"/>
  <c r="J45" i="90" s="1"/>
  <c r="K45" i="90" s="1"/>
  <c r="H48" i="90"/>
  <c r="I48" i="90" s="1"/>
  <c r="H23" i="90"/>
  <c r="J23" i="90" s="1"/>
  <c r="K23" i="90" s="1"/>
  <c r="H12" i="90"/>
  <c r="I12" i="90" s="1"/>
  <c r="H40" i="90"/>
  <c r="J40" i="90" s="1"/>
  <c r="K40" i="90" s="1"/>
  <c r="H59" i="90"/>
  <c r="I59" i="90" s="1"/>
  <c r="H15" i="90"/>
  <c r="J15" i="90" s="1"/>
  <c r="K15" i="90" s="1"/>
  <c r="H38" i="90"/>
  <c r="I38" i="90" s="1"/>
  <c r="H52" i="90"/>
  <c r="J52" i="90" s="1"/>
  <c r="K52" i="90" s="1"/>
  <c r="H68" i="90"/>
  <c r="I68" i="90" s="1"/>
  <c r="H86" i="90"/>
  <c r="I86" i="90" s="1"/>
  <c r="H22" i="90"/>
  <c r="J22" i="90" s="1"/>
  <c r="K22" i="90" s="1"/>
  <c r="H37" i="90"/>
  <c r="I37" i="90" s="1"/>
  <c r="H60" i="90"/>
  <c r="I60" i="90" s="1"/>
  <c r="H76" i="90"/>
  <c r="I76" i="90" s="1"/>
  <c r="H10" i="90"/>
  <c r="I10" i="90" s="1"/>
  <c r="H36" i="90"/>
  <c r="I36" i="90" s="1"/>
  <c r="H51" i="90"/>
  <c r="J51" i="90" s="1"/>
  <c r="K51" i="90" s="1"/>
  <c r="H75" i="90"/>
  <c r="I75" i="90" s="1"/>
  <c r="H66" i="90"/>
  <c r="I66" i="90" s="1"/>
  <c r="H71" i="90"/>
  <c r="I71" i="90" s="1"/>
  <c r="H8" i="90"/>
  <c r="I8" i="90" s="1"/>
  <c r="H7" i="90"/>
  <c r="H82" i="90"/>
  <c r="J82" i="90" s="1"/>
  <c r="K82" i="90" s="1"/>
  <c r="H77" i="90"/>
  <c r="I77" i="90" s="1"/>
  <c r="H70" i="90"/>
  <c r="J70" i="90" s="1"/>
  <c r="K70" i="90" s="1"/>
  <c r="H74" i="90"/>
  <c r="I74" i="90" s="1"/>
  <c r="H21" i="90"/>
  <c r="J21" i="90" s="1"/>
  <c r="K21" i="90" s="1"/>
  <c r="H32" i="90"/>
  <c r="J32" i="90" s="1"/>
  <c r="K32" i="90" s="1"/>
  <c r="H39" i="90"/>
  <c r="I39" i="90" s="1"/>
  <c r="H53" i="90"/>
  <c r="I53" i="90" s="1"/>
  <c r="H46" i="90"/>
  <c r="I46" i="90" s="1"/>
  <c r="H63" i="90"/>
  <c r="I63" i="90" s="1"/>
  <c r="H84" i="90"/>
  <c r="J84" i="90" s="1"/>
  <c r="K84" i="90" s="1"/>
  <c r="H25" i="90"/>
  <c r="J25" i="90" s="1"/>
  <c r="K25" i="90" s="1"/>
  <c r="H19" i="90"/>
  <c r="J19" i="90" s="1"/>
  <c r="K19" i="90" s="1"/>
  <c r="H31" i="90"/>
  <c r="J31" i="90" s="1"/>
  <c r="K31" i="90" s="1"/>
  <c r="H43" i="90"/>
  <c r="J43" i="90" s="1"/>
  <c r="K43" i="90" s="1"/>
  <c r="H56" i="90"/>
  <c r="J56" i="90" s="1"/>
  <c r="K56" i="90" s="1"/>
  <c r="H50" i="90"/>
  <c r="I50" i="90" s="1"/>
  <c r="H83" i="90"/>
  <c r="J83" i="90" s="1"/>
  <c r="K83" i="90" s="1"/>
  <c r="H79" i="90"/>
  <c r="I79" i="90" s="1"/>
  <c r="H11" i="90"/>
  <c r="I11" i="90" s="1"/>
  <c r="H42" i="90"/>
  <c r="I42" i="90" s="1"/>
  <c r="H67" i="90"/>
  <c r="J67" i="90" s="1"/>
  <c r="K67" i="90" s="1"/>
  <c r="H61" i="90"/>
  <c r="I61" i="90" s="1"/>
  <c r="H78" i="90"/>
  <c r="I78" i="90" s="1"/>
  <c r="H24" i="90"/>
  <c r="J24" i="90" s="1"/>
  <c r="K24" i="90" s="1"/>
  <c r="H18" i="90"/>
  <c r="J18" i="90" s="1"/>
  <c r="K18" i="90" s="1"/>
  <c r="H30" i="90"/>
  <c r="J30" i="90" s="1"/>
  <c r="K30" i="90" s="1"/>
  <c r="H41" i="90"/>
  <c r="J41" i="90" s="1"/>
  <c r="K41" i="90" s="1"/>
  <c r="H55" i="90"/>
  <c r="J55" i="90" s="1"/>
  <c r="K55" i="90" s="1"/>
  <c r="H49" i="90"/>
  <c r="J49" i="90" s="1"/>
  <c r="K49" i="90" s="1"/>
  <c r="G87" i="90"/>
  <c r="J85" i="90"/>
  <c r="J72" i="90"/>
  <c r="K72" i="90" s="1"/>
  <c r="J71" i="90"/>
  <c r="K71" i="90" s="1"/>
  <c r="G69" i="90"/>
  <c r="J65" i="90"/>
  <c r="K65" i="90" s="1"/>
  <c r="J47" i="90"/>
  <c r="K47" i="90" s="1"/>
  <c r="I62" i="90"/>
  <c r="G58" i="90"/>
  <c r="J64" i="90"/>
  <c r="K64" i="90" s="1"/>
  <c r="J57" i="90"/>
  <c r="K57" i="90" s="1"/>
  <c r="I54" i="90"/>
  <c r="I45" i="90"/>
  <c r="G44" i="90"/>
  <c r="G34" i="90"/>
  <c r="G14" i="90"/>
  <c r="I27" i="90"/>
  <c r="I26" i="90"/>
  <c r="I20" i="90"/>
  <c r="I29" i="90"/>
  <c r="I17" i="90"/>
  <c r="G79" i="90"/>
  <c r="G76" i="90"/>
  <c r="G73" i="90"/>
  <c r="G72" i="90"/>
  <c r="G78" i="90"/>
  <c r="G75" i="90"/>
  <c r="AE18" i="89"/>
  <c r="AG22" i="89"/>
  <c r="AA16" i="89"/>
  <c r="AC16" i="89" s="1"/>
  <c r="X24" i="74"/>
  <c r="T24" i="74" s="1"/>
  <c r="AG14" i="89"/>
  <c r="AG16" i="89"/>
  <c r="AA20" i="89"/>
  <c r="AC20" i="89" s="1"/>
  <c r="AA14" i="89"/>
  <c r="AC14" i="89" s="1"/>
  <c r="AA24" i="89"/>
  <c r="AC24" i="89" s="1"/>
  <c r="AA18" i="89"/>
  <c r="AC18" i="89" s="1"/>
  <c r="AA22" i="89"/>
  <c r="AC22" i="89" s="1"/>
  <c r="AE20" i="89"/>
  <c r="W27" i="89"/>
  <c r="P30" i="88"/>
  <c r="P31" i="88" s="1"/>
  <c r="P16" i="88"/>
  <c r="P15" i="88"/>
  <c r="E8" i="87"/>
  <c r="S9" i="85"/>
  <c r="G8" i="78"/>
  <c r="H8" i="78" s="1"/>
  <c r="I8" i="78" s="1"/>
  <c r="E13" i="78" s="1"/>
  <c r="E9" i="78"/>
  <c r="R9" i="78"/>
  <c r="T9" i="78" s="1"/>
  <c r="O11" i="78" s="1"/>
  <c r="O9" i="78"/>
  <c r="E11" i="78"/>
  <c r="C19" i="91" l="1"/>
  <c r="C20" i="91" s="1"/>
  <c r="C21" i="91" s="1"/>
  <c r="J9" i="90"/>
  <c r="K9" i="90" s="1"/>
  <c r="I16" i="90"/>
  <c r="I35" i="90"/>
  <c r="I81" i="90"/>
  <c r="J28" i="90"/>
  <c r="K28" i="90" s="1"/>
  <c r="J73" i="90"/>
  <c r="K73" i="90" s="1"/>
  <c r="J7" i="90"/>
  <c r="K7" i="90" s="1"/>
  <c r="I7" i="90"/>
  <c r="J48" i="90"/>
  <c r="K48" i="90" s="1"/>
  <c r="J59" i="90"/>
  <c r="K59" i="90" s="1"/>
  <c r="J10" i="90"/>
  <c r="K10" i="90" s="1"/>
  <c r="J12" i="90"/>
  <c r="K12" i="90" s="1"/>
  <c r="J76" i="90"/>
  <c r="K76" i="90" s="1"/>
  <c r="I23" i="90"/>
  <c r="J37" i="90"/>
  <c r="K37" i="90" s="1"/>
  <c r="I51" i="90"/>
  <c r="I22" i="90"/>
  <c r="J38" i="90"/>
  <c r="K38" i="90" s="1"/>
  <c r="J36" i="90"/>
  <c r="K36" i="90" s="1"/>
  <c r="J46" i="90"/>
  <c r="K46" i="90" s="1"/>
  <c r="J75" i="90"/>
  <c r="K75" i="90" s="1"/>
  <c r="J63" i="90"/>
  <c r="K63" i="90" s="1"/>
  <c r="J86" i="90"/>
  <c r="K86" i="90" s="1"/>
  <c r="J8" i="90"/>
  <c r="K8" i="90" s="1"/>
  <c r="I40" i="90"/>
  <c r="J60" i="90"/>
  <c r="I52" i="90"/>
  <c r="I32" i="90"/>
  <c r="J68" i="90"/>
  <c r="K68" i="90" s="1"/>
  <c r="I15" i="90"/>
  <c r="J66" i="90"/>
  <c r="K66" i="90" s="1"/>
  <c r="I82" i="90"/>
  <c r="J77" i="90"/>
  <c r="K77" i="90" s="1"/>
  <c r="I30" i="90"/>
  <c r="J39" i="90"/>
  <c r="K39" i="90" s="1"/>
  <c r="I21" i="90"/>
  <c r="J53" i="90"/>
  <c r="K53" i="90" s="1"/>
  <c r="I24" i="90"/>
  <c r="I70" i="90"/>
  <c r="I43" i="90"/>
  <c r="J74" i="90"/>
  <c r="K74" i="90" s="1"/>
  <c r="I84" i="90"/>
  <c r="I83" i="90"/>
  <c r="I19" i="90"/>
  <c r="I31" i="90"/>
  <c r="I25" i="90"/>
  <c r="J78" i="90"/>
  <c r="K78" i="90" s="1"/>
  <c r="I49" i="90"/>
  <c r="J11" i="90"/>
  <c r="K11" i="90" s="1"/>
  <c r="I18" i="90"/>
  <c r="J61" i="90"/>
  <c r="J42" i="90"/>
  <c r="K42" i="90" s="1"/>
  <c r="J50" i="90"/>
  <c r="K50" i="90" s="1"/>
  <c r="I41" i="90"/>
  <c r="K33" i="90"/>
  <c r="K34" i="90" s="1"/>
  <c r="I55" i="90"/>
  <c r="I67" i="90"/>
  <c r="J79" i="90"/>
  <c r="K79" i="90" s="1"/>
  <c r="I56" i="90"/>
  <c r="K85" i="90"/>
  <c r="G80" i="90"/>
  <c r="G92" i="90" s="1"/>
  <c r="K60" i="90"/>
  <c r="T25" i="74"/>
  <c r="AE27" i="89"/>
  <c r="V30" i="89"/>
  <c r="AA27" i="89"/>
  <c r="AC27" i="89" s="1"/>
  <c r="K33" i="88"/>
  <c r="Q33" i="88"/>
  <c r="Q34" i="88" s="1"/>
  <c r="K35" i="88" s="1"/>
  <c r="Q30" i="88"/>
  <c r="Q31" i="88" s="1"/>
  <c r="I33" i="88" s="1"/>
  <c r="P17" i="88"/>
  <c r="P18" i="88" s="1"/>
  <c r="E19" i="87"/>
  <c r="Q22" i="87"/>
  <c r="Q23" i="87" s="1"/>
  <c r="AB18" i="87" s="1"/>
  <c r="O12" i="78"/>
  <c r="O13" i="78"/>
  <c r="Q11" i="78"/>
  <c r="R11" i="78" s="1"/>
  <c r="S11" i="78" s="1"/>
  <c r="O16" i="78" s="1"/>
  <c r="H22" i="74"/>
  <c r="E17" i="76"/>
  <c r="F17" i="76" s="1"/>
  <c r="C17" i="76"/>
  <c r="E21" i="76"/>
  <c r="F21" i="76" s="1"/>
  <c r="E20" i="76"/>
  <c r="F20" i="76" s="1"/>
  <c r="E19" i="76"/>
  <c r="F19" i="76" s="1"/>
  <c r="E18" i="76"/>
  <c r="F18" i="76" s="1"/>
  <c r="E16" i="76"/>
  <c r="F16" i="76" s="1"/>
  <c r="E15" i="76"/>
  <c r="F15" i="76" s="1"/>
  <c r="T45" i="74"/>
  <c r="E27" i="73"/>
  <c r="E28" i="73"/>
  <c r="E29" i="73"/>
  <c r="E30" i="73"/>
  <c r="E31" i="73"/>
  <c r="E32" i="73"/>
  <c r="E33" i="73"/>
  <c r="E34" i="73"/>
  <c r="E26" i="73"/>
  <c r="E23" i="73"/>
  <c r="E24" i="73"/>
  <c r="E22" i="73"/>
  <c r="W33" i="72"/>
  <c r="W34" i="72"/>
  <c r="W35" i="72"/>
  <c r="W36" i="72"/>
  <c r="W37" i="72"/>
  <c r="W38" i="72"/>
  <c r="W39" i="72"/>
  <c r="W40" i="72"/>
  <c r="W32" i="72"/>
  <c r="W27" i="72"/>
  <c r="W28" i="72"/>
  <c r="W26" i="72"/>
  <c r="D27" i="73"/>
  <c r="D28" i="73"/>
  <c r="D29" i="73"/>
  <c r="D30" i="73"/>
  <c r="D31" i="73"/>
  <c r="D32" i="73"/>
  <c r="D33" i="73"/>
  <c r="D34" i="73"/>
  <c r="D26" i="73"/>
  <c r="D25" i="73"/>
  <c r="D23" i="73"/>
  <c r="D24" i="73"/>
  <c r="D22" i="73"/>
  <c r="E14" i="73"/>
  <c r="E15" i="73"/>
  <c r="E16" i="73"/>
  <c r="E17" i="73"/>
  <c r="E18" i="73"/>
  <c r="E19" i="73"/>
  <c r="E20" i="73"/>
  <c r="E21" i="73"/>
  <c r="E13" i="73"/>
  <c r="E10" i="73"/>
  <c r="E11" i="73"/>
  <c r="E9" i="73"/>
  <c r="H33" i="72"/>
  <c r="H34" i="72"/>
  <c r="H35" i="72"/>
  <c r="H36" i="72"/>
  <c r="H37" i="72"/>
  <c r="H38" i="72"/>
  <c r="H39" i="72"/>
  <c r="H40" i="72"/>
  <c r="H32" i="72"/>
  <c r="H27" i="72"/>
  <c r="H28" i="72"/>
  <c r="H26" i="72"/>
  <c r="D14" i="73"/>
  <c r="D15" i="73"/>
  <c r="D16" i="73"/>
  <c r="D17" i="73"/>
  <c r="D18" i="73"/>
  <c r="D19" i="73"/>
  <c r="D20" i="73"/>
  <c r="D21" i="73"/>
  <c r="D13" i="73"/>
  <c r="F12" i="73"/>
  <c r="D10" i="73"/>
  <c r="D11" i="73"/>
  <c r="D9" i="73"/>
  <c r="U29" i="72"/>
  <c r="F25" i="73" s="1"/>
  <c r="F29" i="72"/>
  <c r="D29" i="72"/>
  <c r="H29" i="72" s="1"/>
  <c r="I13" i="72"/>
  <c r="Q13" i="72"/>
  <c r="S32" i="72"/>
  <c r="S27" i="72"/>
  <c r="V23" i="72"/>
  <c r="S28" i="72" s="1"/>
  <c r="D32" i="72"/>
  <c r="D27" i="72"/>
  <c r="D23" i="72"/>
  <c r="D26" i="72" s="1"/>
  <c r="E23" i="31"/>
  <c r="F12" i="49"/>
  <c r="L8" i="49"/>
  <c r="V10" i="49"/>
  <c r="AB8" i="49"/>
  <c r="S8" i="49"/>
  <c r="I30" i="49"/>
  <c r="L26" i="49"/>
  <c r="L12" i="49"/>
  <c r="I10" i="49"/>
  <c r="F10" i="49"/>
  <c r="F8" i="49"/>
  <c r="Y43" i="49"/>
  <c r="V43" i="49"/>
  <c r="S43" i="49"/>
  <c r="V37" i="49"/>
  <c r="Y37" i="49" s="1"/>
  <c r="V41" i="49"/>
  <c r="S41" i="49" s="1"/>
  <c r="S37" i="49"/>
  <c r="Y39" i="49"/>
  <c r="S39" i="49"/>
  <c r="V39" i="49" s="1"/>
  <c r="P30" i="5"/>
  <c r="AC53" i="44"/>
  <c r="AC51" i="44"/>
  <c r="E12" i="71"/>
  <c r="K17" i="71" s="1"/>
  <c r="K18" i="71" s="1"/>
  <c r="F37" i="31"/>
  <c r="G30" i="31"/>
  <c r="F29" i="68"/>
  <c r="J29" i="68" s="1"/>
  <c r="J23" i="68"/>
  <c r="H23" i="68" s="1"/>
  <c r="F23" i="68" s="1"/>
  <c r="M23" i="68" s="1"/>
  <c r="J21" i="68"/>
  <c r="F21" i="68"/>
  <c r="M21" i="68" s="1"/>
  <c r="O21" i="68" s="1"/>
  <c r="H19" i="68"/>
  <c r="F19" i="68"/>
  <c r="M19" i="68" s="1"/>
  <c r="O19" i="68" s="1"/>
  <c r="F17" i="68"/>
  <c r="H17" i="68" s="1"/>
  <c r="J17" i="68" s="1"/>
  <c r="M17" i="68"/>
  <c r="O17" i="68" s="1"/>
  <c r="D35" i="19"/>
  <c r="D33" i="19"/>
  <c r="E8" i="19"/>
  <c r="AI26" i="5"/>
  <c r="AK26" i="5" s="1"/>
  <c r="AI25" i="5"/>
  <c r="AK25" i="5" s="1"/>
  <c r="AO24" i="5"/>
  <c r="AQ24" i="5" s="1"/>
  <c r="AI24" i="5"/>
  <c r="AK24" i="5" s="1"/>
  <c r="AO23" i="5"/>
  <c r="AQ23" i="5" s="1"/>
  <c r="AI23" i="5"/>
  <c r="AK23" i="5" s="1"/>
  <c r="AO22" i="5"/>
  <c r="AQ22" i="5" s="1"/>
  <c r="AI22" i="5"/>
  <c r="AK22" i="5" s="1"/>
  <c r="AO21" i="5"/>
  <c r="AQ21" i="5" s="1"/>
  <c r="AI21" i="5"/>
  <c r="AK21" i="5" s="1"/>
  <c r="AO20" i="5"/>
  <c r="AQ20" i="5" s="1"/>
  <c r="AI20" i="5"/>
  <c r="AK20" i="5" s="1"/>
  <c r="AO19" i="5"/>
  <c r="AQ19" i="5" s="1"/>
  <c r="AI19" i="5"/>
  <c r="AK19" i="5" s="1"/>
  <c r="AO18" i="5"/>
  <c r="AQ18" i="5" s="1"/>
  <c r="AI18" i="5"/>
  <c r="AK18" i="5" s="1"/>
  <c r="AO17" i="5"/>
  <c r="AQ17" i="5" s="1"/>
  <c r="AI17" i="5"/>
  <c r="AK17" i="5" s="1"/>
  <c r="AO16" i="5"/>
  <c r="AQ16" i="5" s="1"/>
  <c r="AI16" i="5"/>
  <c r="AK16" i="5" s="1"/>
  <c r="AO15" i="5"/>
  <c r="AQ15" i="5" s="1"/>
  <c r="AI15" i="5"/>
  <c r="AK15" i="5" s="1"/>
  <c r="AO14" i="5"/>
  <c r="AQ14" i="5" s="1"/>
  <c r="AI14" i="5"/>
  <c r="AK14" i="5" s="1"/>
  <c r="AO13" i="5"/>
  <c r="AQ13" i="5" s="1"/>
  <c r="AI13" i="5"/>
  <c r="AK13" i="5" s="1"/>
  <c r="AO12" i="5"/>
  <c r="AQ12" i="5" s="1"/>
  <c r="AI12" i="5"/>
  <c r="AK12" i="5" s="1"/>
  <c r="AO11" i="5"/>
  <c r="AQ11" i="5" s="1"/>
  <c r="AI11" i="5"/>
  <c r="AK11" i="5" s="1"/>
  <c r="AO10" i="5"/>
  <c r="AQ10" i="5" s="1"/>
  <c r="AI10" i="5"/>
  <c r="AK10" i="5" s="1"/>
  <c r="J33" i="90" l="1"/>
  <c r="J34" i="90" s="1"/>
  <c r="J87" i="90"/>
  <c r="K87" i="90"/>
  <c r="J69" i="90"/>
  <c r="K13" i="90"/>
  <c r="K14" i="90" s="1"/>
  <c r="K44" i="90"/>
  <c r="J44" i="90"/>
  <c r="K58" i="90"/>
  <c r="J13" i="90"/>
  <c r="J14" i="90" s="1"/>
  <c r="K61" i="90"/>
  <c r="K69" i="90" s="1"/>
  <c r="J80" i="90"/>
  <c r="J58" i="90"/>
  <c r="K80" i="90"/>
  <c r="P20" i="88"/>
  <c r="F23" i="76"/>
  <c r="T46" i="74"/>
  <c r="T18" i="74"/>
  <c r="T22" i="74" s="1"/>
  <c r="D12" i="73"/>
  <c r="S29" i="72"/>
  <c r="W29" i="72" s="1"/>
  <c r="V29" i="72" s="1"/>
  <c r="X29" i="72" s="1"/>
  <c r="G25" i="73" s="1"/>
  <c r="D28" i="72"/>
  <c r="S26" i="72"/>
  <c r="E15" i="71"/>
  <c r="E17" i="71" s="1"/>
  <c r="L29" i="68"/>
  <c r="N29" i="68" s="1"/>
  <c r="P29" i="68" s="1"/>
  <c r="H21" i="68"/>
  <c r="O23" i="68"/>
  <c r="J19" i="68"/>
  <c r="J8" i="54"/>
  <c r="O8" i="54"/>
  <c r="H8" i="54"/>
  <c r="E8" i="54"/>
  <c r="W34" i="54"/>
  <c r="G34" i="54"/>
  <c r="I34" i="54" s="1"/>
  <c r="E34" i="54"/>
  <c r="W33" i="54"/>
  <c r="G33" i="54"/>
  <c r="I33" i="54" s="1"/>
  <c r="E33" i="54"/>
  <c r="W32" i="54"/>
  <c r="G32" i="54"/>
  <c r="I32" i="54" s="1"/>
  <c r="E32" i="54"/>
  <c r="W31" i="54"/>
  <c r="G31" i="54"/>
  <c r="I31" i="54" s="1"/>
  <c r="E31" i="54"/>
  <c r="W30" i="54"/>
  <c r="G30" i="54"/>
  <c r="I30" i="54" s="1"/>
  <c r="E30" i="54"/>
  <c r="W29" i="54"/>
  <c r="I29" i="54"/>
  <c r="H29" i="54"/>
  <c r="X29" i="54" s="1"/>
  <c r="G29" i="54"/>
  <c r="E29" i="54"/>
  <c r="W28" i="54"/>
  <c r="I28" i="54"/>
  <c r="G28" i="54"/>
  <c r="H28" i="54" s="1"/>
  <c r="E28" i="54"/>
  <c r="W27" i="54"/>
  <c r="G27" i="54"/>
  <c r="I27" i="54" s="1"/>
  <c r="E27" i="54"/>
  <c r="W26" i="54"/>
  <c r="G26" i="54"/>
  <c r="H26" i="54" s="1"/>
  <c r="E26" i="54"/>
  <c r="W25" i="54"/>
  <c r="I25" i="54"/>
  <c r="H25" i="54"/>
  <c r="X25" i="54" s="1"/>
  <c r="G25" i="54"/>
  <c r="E25" i="54"/>
  <c r="W24" i="54"/>
  <c r="I24" i="54"/>
  <c r="G24" i="54"/>
  <c r="H24" i="54" s="1"/>
  <c r="E24" i="54"/>
  <c r="W23" i="54"/>
  <c r="G23" i="54"/>
  <c r="I23" i="54" s="1"/>
  <c r="E23" i="54"/>
  <c r="W22" i="54"/>
  <c r="G22" i="54"/>
  <c r="H22" i="54" s="1"/>
  <c r="E22" i="54"/>
  <c r="W21" i="54"/>
  <c r="I21" i="54"/>
  <c r="H21" i="54"/>
  <c r="X21" i="54" s="1"/>
  <c r="G21" i="54"/>
  <c r="E21" i="54"/>
  <c r="W20" i="54"/>
  <c r="I20" i="54"/>
  <c r="G20" i="54"/>
  <c r="H20" i="54" s="1"/>
  <c r="E20" i="54"/>
  <c r="W19" i="54"/>
  <c r="G19" i="54"/>
  <c r="I19" i="54" s="1"/>
  <c r="E19" i="54"/>
  <c r="W18" i="54"/>
  <c r="G18" i="54"/>
  <c r="H18" i="54" s="1"/>
  <c r="E18" i="54"/>
  <c r="W17" i="54"/>
  <c r="I17" i="54"/>
  <c r="H17" i="54"/>
  <c r="X17" i="54" s="1"/>
  <c r="G17" i="54"/>
  <c r="E17" i="54"/>
  <c r="W16" i="54"/>
  <c r="I16" i="54"/>
  <c r="G16" i="54"/>
  <c r="H16" i="54" s="1"/>
  <c r="E16" i="54"/>
  <c r="W15" i="54"/>
  <c r="G15" i="54"/>
  <c r="I15" i="54" s="1"/>
  <c r="E15" i="54"/>
  <c r="W14" i="54"/>
  <c r="G14" i="54"/>
  <c r="I14" i="54" s="1"/>
  <c r="E14" i="54"/>
  <c r="W13" i="54"/>
  <c r="I13" i="54"/>
  <c r="H13" i="54"/>
  <c r="X13" i="54" s="1"/>
  <c r="G13" i="54"/>
  <c r="E13" i="54"/>
  <c r="W12" i="54"/>
  <c r="I12" i="54"/>
  <c r="G12" i="54"/>
  <c r="H12" i="54" s="1"/>
  <c r="E12" i="54"/>
  <c r="W11" i="54"/>
  <c r="G11" i="54"/>
  <c r="I11" i="54" s="1"/>
  <c r="E11" i="54"/>
  <c r="W10" i="54"/>
  <c r="G10" i="54"/>
  <c r="I10" i="54" s="1"/>
  <c r="E10" i="54"/>
  <c r="W9" i="54"/>
  <c r="I9" i="54"/>
  <c r="H9" i="54"/>
  <c r="X9" i="54" s="1"/>
  <c r="G9" i="54"/>
  <c r="E9" i="54"/>
  <c r="W8" i="54"/>
  <c r="G8" i="54"/>
  <c r="I8" i="54" s="1"/>
  <c r="AQ39" i="4"/>
  <c r="G25" i="52"/>
  <c r="G23" i="52"/>
  <c r="G15" i="52"/>
  <c r="G17" i="52" s="1"/>
  <c r="G9" i="52"/>
  <c r="M33" i="52" s="1"/>
  <c r="F9" i="51"/>
  <c r="F14" i="51" s="1"/>
  <c r="BB11" i="5"/>
  <c r="BB12" i="5"/>
  <c r="BB13" i="5"/>
  <c r="BB14" i="5"/>
  <c r="BB15" i="5"/>
  <c r="BB10" i="5"/>
  <c r="AX24" i="5"/>
  <c r="AX23" i="5"/>
  <c r="AX22" i="5"/>
  <c r="AX21" i="5"/>
  <c r="AX20" i="5"/>
  <c r="AX19" i="5"/>
  <c r="AX18" i="5"/>
  <c r="AX17" i="5"/>
  <c r="AX16" i="5"/>
  <c r="AX14" i="5"/>
  <c r="AX13" i="5"/>
  <c r="AX12" i="5"/>
  <c r="AX11" i="5"/>
  <c r="AX10" i="5"/>
  <c r="AT16" i="5"/>
  <c r="AT15" i="5"/>
  <c r="AT14" i="5"/>
  <c r="AT13" i="5"/>
  <c r="AT12" i="5"/>
  <c r="AT11" i="5"/>
  <c r="AT10" i="5"/>
  <c r="AF18" i="5"/>
  <c r="AF17" i="5"/>
  <c r="AF16" i="5"/>
  <c r="AF15" i="5"/>
  <c r="AF14" i="5"/>
  <c r="AF13" i="5"/>
  <c r="AF12" i="5"/>
  <c r="AF11" i="5"/>
  <c r="AF10" i="5"/>
  <c r="AA25" i="5"/>
  <c r="X25" i="5"/>
  <c r="AA24" i="5"/>
  <c r="X24" i="5"/>
  <c r="AA23" i="5"/>
  <c r="X23" i="5"/>
  <c r="AA22" i="5"/>
  <c r="X22" i="5"/>
  <c r="AA21" i="5"/>
  <c r="X21" i="5"/>
  <c r="AA20" i="5"/>
  <c r="X20" i="5"/>
  <c r="AA19" i="5"/>
  <c r="X19" i="5"/>
  <c r="AA18" i="5"/>
  <c r="X18" i="5"/>
  <c r="AA17" i="5"/>
  <c r="X17" i="5"/>
  <c r="AA16" i="5"/>
  <c r="X16" i="5"/>
  <c r="AA15" i="5"/>
  <c r="X15" i="5"/>
  <c r="AA14" i="5"/>
  <c r="X14" i="5"/>
  <c r="AA13" i="5"/>
  <c r="X13" i="5"/>
  <c r="AA12" i="5"/>
  <c r="X12" i="5"/>
  <c r="AA11" i="5"/>
  <c r="X11" i="5"/>
  <c r="AA10" i="5"/>
  <c r="X10" i="5"/>
  <c r="O41" i="5"/>
  <c r="M45" i="5"/>
  <c r="M47" i="5" s="1"/>
  <c r="Q28" i="50"/>
  <c r="P28" i="50" s="1"/>
  <c r="L30" i="50"/>
  <c r="A13" i="50"/>
  <c r="H25" i="50" s="1"/>
  <c r="AP42" i="4"/>
  <c r="L23" i="4"/>
  <c r="I12" i="49"/>
  <c r="L10" i="49"/>
  <c r="I6" i="49"/>
  <c r="L6" i="49"/>
  <c r="Y41" i="49"/>
  <c r="I93" i="90" l="1"/>
  <c r="I92" i="90"/>
  <c r="K20" i="88"/>
  <c r="Q25" i="88"/>
  <c r="Q26" i="88" s="1"/>
  <c r="K22" i="88" s="1"/>
  <c r="P21" i="88"/>
  <c r="I20" i="88" s="1"/>
  <c r="X8" i="54"/>
  <c r="Y8" i="54" s="1"/>
  <c r="X26" i="54"/>
  <c r="L26" i="54"/>
  <c r="M26" i="54" s="1"/>
  <c r="N26" i="54" s="1"/>
  <c r="P26" i="54" s="1"/>
  <c r="X24" i="54"/>
  <c r="Y24" i="54" s="1"/>
  <c r="L24" i="54"/>
  <c r="M24" i="54" s="1"/>
  <c r="N24" i="54" s="1"/>
  <c r="P24" i="54" s="1"/>
  <c r="X12" i="54"/>
  <c r="Y12" i="54" s="1"/>
  <c r="L12" i="54"/>
  <c r="M12" i="54" s="1"/>
  <c r="N12" i="54" s="1"/>
  <c r="P12" i="54" s="1"/>
  <c r="X18" i="54"/>
  <c r="L18" i="54"/>
  <c r="M18" i="54" s="1"/>
  <c r="N18" i="54" s="1"/>
  <c r="P18" i="54" s="1"/>
  <c r="X28" i="54"/>
  <c r="Y28" i="54" s="1"/>
  <c r="L28" i="54"/>
  <c r="M28" i="54" s="1"/>
  <c r="N28" i="54" s="1"/>
  <c r="P28" i="54" s="1"/>
  <c r="X16" i="54"/>
  <c r="L16" i="54"/>
  <c r="M16" i="54" s="1"/>
  <c r="N16" i="54" s="1"/>
  <c r="P16" i="54" s="1"/>
  <c r="X22" i="54"/>
  <c r="Y22" i="54" s="1"/>
  <c r="L22" i="54"/>
  <c r="M22" i="54" s="1"/>
  <c r="N22" i="54" s="1"/>
  <c r="P22" i="54" s="1"/>
  <c r="X20" i="54"/>
  <c r="L20" i="54"/>
  <c r="M20" i="54" s="1"/>
  <c r="N20" i="54" s="1"/>
  <c r="P20" i="54" s="1"/>
  <c r="L9" i="54"/>
  <c r="M9" i="54" s="1"/>
  <c r="N9" i="54" s="1"/>
  <c r="P9" i="54" s="1"/>
  <c r="Z9" i="54" s="1"/>
  <c r="L13" i="54"/>
  <c r="M13" i="54" s="1"/>
  <c r="N13" i="54" s="1"/>
  <c r="P13" i="54" s="1"/>
  <c r="Z13" i="54" s="1"/>
  <c r="L17" i="54"/>
  <c r="M17" i="54" s="1"/>
  <c r="N17" i="54" s="1"/>
  <c r="P17" i="54" s="1"/>
  <c r="Z17" i="54" s="1"/>
  <c r="L21" i="54"/>
  <c r="M21" i="54" s="1"/>
  <c r="N21" i="54" s="1"/>
  <c r="P21" i="54" s="1"/>
  <c r="L25" i="54"/>
  <c r="M25" i="54" s="1"/>
  <c r="N25" i="54" s="1"/>
  <c r="P25" i="54" s="1"/>
  <c r="L29" i="54"/>
  <c r="M29" i="54" s="1"/>
  <c r="N29" i="54" s="1"/>
  <c r="P29" i="54" s="1"/>
  <c r="H32" i="54"/>
  <c r="Y18" i="54"/>
  <c r="Y26" i="54"/>
  <c r="H31" i="54"/>
  <c r="H11" i="54"/>
  <c r="Y13" i="54"/>
  <c r="Y17" i="54"/>
  <c r="H23" i="54"/>
  <c r="Y25" i="54"/>
  <c r="H34" i="54"/>
  <c r="H10" i="54"/>
  <c r="H14" i="54"/>
  <c r="Y16" i="54"/>
  <c r="Y20" i="54"/>
  <c r="H30" i="54"/>
  <c r="I18" i="54"/>
  <c r="I22" i="54"/>
  <c r="I26" i="54"/>
  <c r="H33" i="54"/>
  <c r="Y9" i="54"/>
  <c r="H15" i="54"/>
  <c r="H19" i="54"/>
  <c r="Y21" i="54"/>
  <c r="H27" i="54"/>
  <c r="Y29" i="54"/>
  <c r="G10" i="52"/>
  <c r="O8" i="52"/>
  <c r="L21" i="52"/>
  <c r="L26" i="52"/>
  <c r="L29" i="52"/>
  <c r="N33" i="52"/>
  <c r="M35" i="52"/>
  <c r="N35" i="52"/>
  <c r="N11" i="52"/>
  <c r="L16" i="52"/>
  <c r="O26" i="52"/>
  <c r="M34" i="52"/>
  <c r="N16" i="52"/>
  <c r="N21" i="52"/>
  <c r="N26" i="52"/>
  <c r="N29" i="52"/>
  <c r="L34" i="52"/>
  <c r="M9" i="52"/>
  <c r="O16" i="52"/>
  <c r="O21" i="52"/>
  <c r="O29" i="52"/>
  <c r="N9" i="52"/>
  <c r="L14" i="52"/>
  <c r="L17" i="52"/>
  <c r="L22" i="52"/>
  <c r="L27" i="52"/>
  <c r="N34" i="52"/>
  <c r="O9" i="52"/>
  <c r="M14" i="52"/>
  <c r="M17" i="52"/>
  <c r="M22" i="52"/>
  <c r="M27" i="52"/>
  <c r="O34" i="52"/>
  <c r="M16" i="52"/>
  <c r="M21" i="52"/>
  <c r="M26" i="52"/>
  <c r="L10" i="52"/>
  <c r="N14" i="52"/>
  <c r="N17" i="52"/>
  <c r="N22" i="52"/>
  <c r="N27" i="52"/>
  <c r="L32" i="52"/>
  <c r="L35" i="52"/>
  <c r="O11" i="52"/>
  <c r="M29" i="52"/>
  <c r="L9" i="52"/>
  <c r="O14" i="52"/>
  <c r="O22" i="52"/>
  <c r="M32" i="52"/>
  <c r="L15" i="52"/>
  <c r="L23" i="52"/>
  <c r="L28" i="52"/>
  <c r="O10" i="52"/>
  <c r="M15" i="52"/>
  <c r="M23" i="52"/>
  <c r="O32" i="52"/>
  <c r="M8" i="52"/>
  <c r="L11" i="52"/>
  <c r="N15" i="52"/>
  <c r="N20" i="52"/>
  <c r="N23" i="52"/>
  <c r="N28" i="52"/>
  <c r="L33" i="52"/>
  <c r="O35" i="52"/>
  <c r="O33" i="52"/>
  <c r="M10" i="52"/>
  <c r="O17" i="52"/>
  <c r="O27" i="52"/>
  <c r="N10" i="52"/>
  <c r="L20" i="52"/>
  <c r="N32" i="52"/>
  <c r="L8" i="52"/>
  <c r="M20" i="52"/>
  <c r="M28" i="52"/>
  <c r="N8" i="52"/>
  <c r="M11" i="52"/>
  <c r="O15" i="52"/>
  <c r="O20" i="52"/>
  <c r="O23" i="52"/>
  <c r="O28" i="52"/>
  <c r="P27" i="50"/>
  <c r="W15" i="50" s="1"/>
  <c r="U17" i="50" s="1"/>
  <c r="AP40" i="4"/>
  <c r="AP41" i="4"/>
  <c r="AP43" i="4"/>
  <c r="Y33" i="49"/>
  <c r="V33" i="49"/>
  <c r="S33" i="49"/>
  <c r="Y31" i="49"/>
  <c r="V31" i="49"/>
  <c r="S31" i="49"/>
  <c r="Y29" i="49"/>
  <c r="V29" i="49"/>
  <c r="S29" i="49"/>
  <c r="Y27" i="49"/>
  <c r="V27" i="49"/>
  <c r="S27" i="49"/>
  <c r="Y23" i="49"/>
  <c r="V23" i="49"/>
  <c r="S23" i="49"/>
  <c r="Y21" i="49"/>
  <c r="V21" i="49"/>
  <c r="S21" i="49"/>
  <c r="Y19" i="49"/>
  <c r="V19" i="49"/>
  <c r="S19" i="49"/>
  <c r="Y17" i="49"/>
  <c r="V17" i="49"/>
  <c r="S17" i="49"/>
  <c r="AB14" i="49"/>
  <c r="Y14" i="49"/>
  <c r="V14" i="49"/>
  <c r="S14" i="49"/>
  <c r="AB12" i="49"/>
  <c r="Y12" i="49"/>
  <c r="V12" i="49"/>
  <c r="S12" i="49"/>
  <c r="AB10" i="49"/>
  <c r="Y10" i="49"/>
  <c r="S10" i="49"/>
  <c r="Y8" i="49"/>
  <c r="V8" i="49"/>
  <c r="AB6" i="49"/>
  <c r="Y6" i="49"/>
  <c r="V6" i="49"/>
  <c r="S6" i="49"/>
  <c r="L34" i="49"/>
  <c r="I34" i="49"/>
  <c r="F34" i="49"/>
  <c r="L32" i="49"/>
  <c r="I32" i="49"/>
  <c r="F32" i="49"/>
  <c r="L30" i="49"/>
  <c r="F30" i="49"/>
  <c r="L28" i="49"/>
  <c r="I28" i="49"/>
  <c r="F28" i="49"/>
  <c r="I26" i="49"/>
  <c r="F26" i="49"/>
  <c r="L24" i="49"/>
  <c r="I24" i="49"/>
  <c r="F24" i="49"/>
  <c r="I20" i="49"/>
  <c r="F20" i="49"/>
  <c r="I18" i="49"/>
  <c r="F18" i="49"/>
  <c r="I8" i="49"/>
  <c r="F6" i="49"/>
  <c r="F16" i="49"/>
  <c r="I16" i="49" s="1"/>
  <c r="L8" i="54" l="1"/>
  <c r="M8" i="54" s="1"/>
  <c r="N8" i="54" s="1"/>
  <c r="P8" i="54" s="1"/>
  <c r="X27" i="54"/>
  <c r="Y27" i="54" s="1"/>
  <c r="L27" i="54"/>
  <c r="M27" i="54" s="1"/>
  <c r="N27" i="54" s="1"/>
  <c r="P27" i="54" s="1"/>
  <c r="Z27" i="54" s="1"/>
  <c r="X14" i="54"/>
  <c r="Y14" i="54" s="1"/>
  <c r="L14" i="54"/>
  <c r="M14" i="54" s="1"/>
  <c r="N14" i="54" s="1"/>
  <c r="P14" i="54" s="1"/>
  <c r="Z14" i="54" s="1"/>
  <c r="Z18" i="54"/>
  <c r="X19" i="54"/>
  <c r="Y19" i="54" s="1"/>
  <c r="L19" i="54"/>
  <c r="M19" i="54" s="1"/>
  <c r="N19" i="54" s="1"/>
  <c r="P19" i="54" s="1"/>
  <c r="Z19" i="54" s="1"/>
  <c r="X10" i="54"/>
  <c r="Y10" i="54" s="1"/>
  <c r="L10" i="54"/>
  <c r="M10" i="54" s="1"/>
  <c r="N10" i="54" s="1"/>
  <c r="P10" i="54" s="1"/>
  <c r="Z28" i="54"/>
  <c r="X15" i="54"/>
  <c r="Y15" i="54" s="1"/>
  <c r="L15" i="54"/>
  <c r="M15" i="54" s="1"/>
  <c r="N15" i="54" s="1"/>
  <c r="P15" i="54" s="1"/>
  <c r="Z15" i="54" s="1"/>
  <c r="X34" i="54"/>
  <c r="Y34" i="54" s="1"/>
  <c r="L34" i="54"/>
  <c r="M34" i="54" s="1"/>
  <c r="N34" i="54" s="1"/>
  <c r="P34" i="54" s="1"/>
  <c r="Z34" i="54" s="1"/>
  <c r="Z20" i="54"/>
  <c r="X23" i="54"/>
  <c r="Y23" i="54" s="1"/>
  <c r="L23" i="54"/>
  <c r="M23" i="54" s="1"/>
  <c r="N23" i="54" s="1"/>
  <c r="P23" i="54" s="1"/>
  <c r="Z23" i="54" s="1"/>
  <c r="Z22" i="54"/>
  <c r="Z25" i="54"/>
  <c r="Z12" i="54"/>
  <c r="Z24" i="54"/>
  <c r="X33" i="54"/>
  <c r="Y33" i="54" s="1"/>
  <c r="L33" i="54"/>
  <c r="M33" i="54" s="1"/>
  <c r="N33" i="54" s="1"/>
  <c r="P33" i="54" s="1"/>
  <c r="Z33" i="54" s="1"/>
  <c r="X32" i="54"/>
  <c r="Y32" i="54" s="1"/>
  <c r="L32" i="54"/>
  <c r="M32" i="54" s="1"/>
  <c r="N32" i="54" s="1"/>
  <c r="P32" i="54" s="1"/>
  <c r="Z29" i="54"/>
  <c r="X11" i="54"/>
  <c r="Y11" i="54" s="1"/>
  <c r="L11" i="54"/>
  <c r="M11" i="54" s="1"/>
  <c r="N11" i="54" s="1"/>
  <c r="P11" i="54" s="1"/>
  <c r="Z11" i="54" s="1"/>
  <c r="Z16" i="54"/>
  <c r="Z26" i="54"/>
  <c r="X30" i="54"/>
  <c r="Y30" i="54" s="1"/>
  <c r="L30" i="54"/>
  <c r="M30" i="54" s="1"/>
  <c r="N30" i="54" s="1"/>
  <c r="P30" i="54" s="1"/>
  <c r="X31" i="54"/>
  <c r="Y31" i="54" s="1"/>
  <c r="L31" i="54"/>
  <c r="M31" i="54" s="1"/>
  <c r="N31" i="54" s="1"/>
  <c r="P31" i="54" s="1"/>
  <c r="Z31" i="54" s="1"/>
  <c r="Z21" i="54"/>
  <c r="U19" i="11"/>
  <c r="K17" i="11"/>
  <c r="D9" i="48"/>
  <c r="L18" i="48" s="1"/>
  <c r="K18" i="48" s="1"/>
  <c r="J18" i="48" s="1"/>
  <c r="Z8" i="54" l="1"/>
  <c r="E12" i="20"/>
  <c r="Z30" i="54"/>
  <c r="Z10" i="54"/>
  <c r="Z32" i="54"/>
  <c r="L29" i="48"/>
  <c r="K29" i="48" s="1"/>
  <c r="J29" i="48" s="1"/>
  <c r="L17" i="48"/>
  <c r="K17" i="48" s="1"/>
  <c r="J17" i="48" s="1"/>
  <c r="L28" i="48"/>
  <c r="K28" i="48" s="1"/>
  <c r="J28" i="48" s="1"/>
  <c r="L16" i="48"/>
  <c r="K16" i="48" s="1"/>
  <c r="J16" i="48" s="1"/>
  <c r="L12" i="48"/>
  <c r="K12" i="48" s="1"/>
  <c r="J12" i="48" s="1"/>
  <c r="L27" i="48"/>
  <c r="K27" i="48" s="1"/>
  <c r="J27" i="48" s="1"/>
  <c r="L15" i="48"/>
  <c r="K15" i="48" s="1"/>
  <c r="J15" i="48" s="1"/>
  <c r="L38" i="48"/>
  <c r="K38" i="48" s="1"/>
  <c r="J38" i="48" s="1"/>
  <c r="L26" i="48"/>
  <c r="K26" i="48" s="1"/>
  <c r="J26" i="48" s="1"/>
  <c r="L14" i="48"/>
  <c r="K14" i="48" s="1"/>
  <c r="J14" i="48" s="1"/>
  <c r="L37" i="48"/>
  <c r="K37" i="48" s="1"/>
  <c r="J37" i="48" s="1"/>
  <c r="L25" i="48"/>
  <c r="K25" i="48" s="1"/>
  <c r="J25" i="48" s="1"/>
  <c r="L13" i="48"/>
  <c r="K13" i="48" s="1"/>
  <c r="J13" i="48" s="1"/>
  <c r="L36" i="48"/>
  <c r="K36" i="48" s="1"/>
  <c r="J36" i="48" s="1"/>
  <c r="L24" i="48"/>
  <c r="K24" i="48" s="1"/>
  <c r="J24" i="48" s="1"/>
  <c r="L35" i="48"/>
  <c r="K35" i="48" s="1"/>
  <c r="J35" i="48" s="1"/>
  <c r="L23" i="48"/>
  <c r="K23" i="48" s="1"/>
  <c r="J23" i="48" s="1"/>
  <c r="L34" i="48"/>
  <c r="K34" i="48" s="1"/>
  <c r="J34" i="48" s="1"/>
  <c r="L22" i="48"/>
  <c r="K22" i="48" s="1"/>
  <c r="J22" i="48" s="1"/>
  <c r="L33" i="48"/>
  <c r="K33" i="48" s="1"/>
  <c r="J33" i="48" s="1"/>
  <c r="L21" i="48"/>
  <c r="K21" i="48" s="1"/>
  <c r="J21" i="48" s="1"/>
  <c r="L32" i="48"/>
  <c r="K32" i="48" s="1"/>
  <c r="J32" i="48" s="1"/>
  <c r="L20" i="48"/>
  <c r="K20" i="48" s="1"/>
  <c r="J20" i="48" s="1"/>
  <c r="L31" i="48"/>
  <c r="K31" i="48" s="1"/>
  <c r="J31" i="48" s="1"/>
  <c r="L19" i="48"/>
  <c r="K19" i="48" s="1"/>
  <c r="J19" i="48" s="1"/>
  <c r="L30" i="48"/>
  <c r="K30" i="48" s="1"/>
  <c r="J30" i="48" s="1"/>
  <c r="W18" i="48"/>
  <c r="W19" i="48"/>
  <c r="W20" i="48"/>
  <c r="W21" i="48"/>
  <c r="W22" i="48"/>
  <c r="W17" i="48"/>
  <c r="T12" i="48"/>
  <c r="I10" i="44"/>
  <c r="I14" i="45"/>
  <c r="I8" i="45"/>
  <c r="N12" i="46"/>
  <c r="U19" i="46" s="1"/>
  <c r="K12" i="46"/>
  <c r="H12" i="46"/>
  <c r="AH16" i="46"/>
  <c r="AH15" i="46"/>
  <c r="U13" i="46"/>
  <c r="T8" i="46"/>
  <c r="AA7" i="46"/>
  <c r="AI5" i="46"/>
  <c r="AG7" i="46" s="1"/>
  <c r="AH5" i="46"/>
  <c r="AA5" i="46"/>
  <c r="I44" i="45"/>
  <c r="I42" i="45"/>
  <c r="E42" i="45"/>
  <c r="I38" i="45"/>
  <c r="I36" i="45"/>
  <c r="E36" i="45"/>
  <c r="E38" i="45" s="1"/>
  <c r="I32" i="45"/>
  <c r="I30" i="45"/>
  <c r="E30" i="45"/>
  <c r="E32" i="45" s="1"/>
  <c r="I26" i="45"/>
  <c r="I24" i="45"/>
  <c r="E24" i="45"/>
  <c r="E26" i="45" s="1"/>
  <c r="I20" i="45"/>
  <c r="I18" i="45"/>
  <c r="E18" i="45"/>
  <c r="E20" i="45" s="1"/>
  <c r="I12" i="45"/>
  <c r="E12" i="45"/>
  <c r="I6" i="45"/>
  <c r="E6" i="45"/>
  <c r="AT27" i="44"/>
  <c r="AO27" i="44"/>
  <c r="AJ27" i="44"/>
  <c r="AE27" i="44"/>
  <c r="Z27" i="44"/>
  <c r="U27" i="44"/>
  <c r="P27" i="44"/>
  <c r="J47" i="44" l="1"/>
  <c r="Z36" i="54"/>
  <c r="Z38" i="54" s="1"/>
  <c r="I14" i="44"/>
  <c r="B32" i="44" s="1"/>
  <c r="V18" i="48"/>
  <c r="V17" i="48"/>
  <c r="V22" i="48"/>
  <c r="V21" i="48"/>
  <c r="V20" i="48"/>
  <c r="V19" i="48"/>
  <c r="V6" i="45"/>
  <c r="K17" i="46"/>
  <c r="U17" i="46"/>
  <c r="K21" i="46" s="1"/>
  <c r="BH32" i="44" s="1"/>
  <c r="E44" i="45"/>
  <c r="L42" i="45"/>
  <c r="L44" i="45" s="1"/>
  <c r="E14" i="45"/>
  <c r="L12" i="45"/>
  <c r="L14" i="45" s="1"/>
  <c r="L6" i="45"/>
  <c r="L8" i="45" s="1"/>
  <c r="E8" i="45"/>
  <c r="L24" i="45"/>
  <c r="L26" i="45" s="1"/>
  <c r="P24" i="45" s="1"/>
  <c r="L36" i="45"/>
  <c r="L38" i="45" s="1"/>
  <c r="L18" i="45"/>
  <c r="L20" i="45" s="1"/>
  <c r="L30" i="45"/>
  <c r="L32" i="45" s="1"/>
  <c r="C3" i="47" l="1"/>
  <c r="C6" i="47" s="1"/>
  <c r="C9" i="47" s="1"/>
  <c r="C11" i="47" s="1"/>
  <c r="J10" i="47" s="1"/>
  <c r="I31" i="44" s="1"/>
  <c r="I17" i="44"/>
  <c r="G5" i="46"/>
  <c r="G6" i="46" s="1"/>
  <c r="P42" i="45"/>
  <c r="AU23" i="44" s="1"/>
  <c r="P36" i="45"/>
  <c r="AP23" i="44" s="1"/>
  <c r="P6" i="45"/>
  <c r="Q23" i="44" s="1"/>
  <c r="P12" i="45"/>
  <c r="V23" i="44" s="1"/>
  <c r="P18" i="45"/>
  <c r="AA23" i="44" s="1"/>
  <c r="AF23" i="44"/>
  <c r="P30" i="45"/>
  <c r="AK23" i="44" s="1"/>
  <c r="U18" i="46"/>
  <c r="F21" i="46" s="1"/>
  <c r="BH30" i="44" s="1"/>
  <c r="N11" i="47" l="1"/>
  <c r="N31" i="44" s="1"/>
  <c r="C13" i="47"/>
  <c r="C19" i="47" s="1"/>
  <c r="F15" i="47" s="1"/>
  <c r="N19" i="47"/>
  <c r="U11" i="46"/>
  <c r="F17" i="46" s="1"/>
  <c r="C17" i="46"/>
  <c r="U14" i="46" s="1"/>
  <c r="T11" i="46"/>
  <c r="J22" i="47"/>
  <c r="C15" i="47" l="1"/>
  <c r="O15" i="47" s="1"/>
  <c r="N29" i="47"/>
  <c r="K40" i="44" s="1"/>
  <c r="C17" i="47"/>
  <c r="H15" i="47" s="1"/>
  <c r="U15" i="46"/>
  <c r="U16" i="46"/>
  <c r="U20" i="46" l="1"/>
  <c r="C21" i="46" s="1"/>
  <c r="BD12" i="44" s="1"/>
  <c r="AG6" i="45"/>
  <c r="AF40" i="44" s="1"/>
  <c r="V8" i="45" l="1"/>
  <c r="AC6" i="45" s="1"/>
  <c r="AC8" i="45" s="1"/>
  <c r="F8" i="43" l="1"/>
  <c r="J9" i="4"/>
  <c r="J10" i="4"/>
  <c r="J11" i="4"/>
  <c r="J12" i="4"/>
  <c r="K74" i="21"/>
  <c r="K73" i="21"/>
  <c r="K72" i="21"/>
  <c r="K71" i="21"/>
  <c r="K70" i="21"/>
  <c r="K69" i="21"/>
  <c r="K65" i="21"/>
  <c r="K64" i="21"/>
  <c r="K63" i="21"/>
  <c r="K62" i="21"/>
  <c r="K61" i="21"/>
  <c r="K60" i="21"/>
  <c r="K56" i="21"/>
  <c r="K55" i="21"/>
  <c r="K53" i="21"/>
  <c r="K54" i="21"/>
  <c r="K52" i="21"/>
  <c r="K51" i="21"/>
  <c r="G74" i="21"/>
  <c r="G73" i="21"/>
  <c r="G72" i="21"/>
  <c r="G71" i="21"/>
  <c r="G70" i="21"/>
  <c r="G69" i="21"/>
  <c r="G65" i="21"/>
  <c r="G64" i="21"/>
  <c r="G63" i="21"/>
  <c r="G62" i="21"/>
  <c r="G61" i="21"/>
  <c r="G60" i="21"/>
  <c r="G56" i="21"/>
  <c r="G55" i="21"/>
  <c r="G54" i="21"/>
  <c r="G53" i="21"/>
  <c r="G52" i="21"/>
  <c r="G51" i="21"/>
  <c r="V30" i="30"/>
  <c r="Y30" i="30"/>
  <c r="Y32" i="30" s="1"/>
  <c r="V32" i="30"/>
  <c r="R30" i="30"/>
  <c r="R32" i="30" s="1"/>
  <c r="E30" i="42"/>
  <c r="D14" i="42"/>
  <c r="D19" i="42" s="1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L65" i="21" l="1"/>
  <c r="H56" i="21"/>
  <c r="L74" i="21"/>
  <c r="L56" i="21"/>
  <c r="K77" i="21" s="1"/>
  <c r="H65" i="21"/>
  <c r="H74" i="21"/>
  <c r="F122" i="42"/>
  <c r="E11" i="41"/>
  <c r="E24" i="41" s="1"/>
  <c r="E10" i="41"/>
  <c r="E20" i="41" s="1"/>
  <c r="E13" i="40"/>
  <c r="E12" i="40"/>
  <c r="E14" i="40" s="1"/>
  <c r="E15" i="40" s="1"/>
  <c r="E11" i="40"/>
  <c r="S21" i="4"/>
  <c r="N8" i="39"/>
  <c r="N12" i="39" s="1"/>
  <c r="G14" i="31"/>
  <c r="G12" i="31"/>
  <c r="G9" i="31"/>
  <c r="L10" i="31" s="1"/>
  <c r="G8" i="37"/>
  <c r="L29" i="36"/>
  <c r="D16" i="36"/>
  <c r="T16" i="36" s="1"/>
  <c r="M6" i="36"/>
  <c r="M7" i="36" s="1"/>
  <c r="X19" i="36"/>
  <c r="X18" i="36"/>
  <c r="X17" i="36"/>
  <c r="X16" i="36"/>
  <c r="J16" i="36"/>
  <c r="I16" i="36"/>
  <c r="P35" i="35"/>
  <c r="P32" i="35"/>
  <c r="D30" i="35"/>
  <c r="S17" i="35"/>
  <c r="P20" i="35" s="1"/>
  <c r="W21" i="35" s="1"/>
  <c r="Q20" i="35" s="1"/>
  <c r="S16" i="35"/>
  <c r="P17" i="35" s="1"/>
  <c r="G16" i="35"/>
  <c r="J19" i="35" s="1"/>
  <c r="E18" i="35" s="1"/>
  <c r="G14" i="35"/>
  <c r="D15" i="35" s="1"/>
  <c r="T58" i="26"/>
  <c r="T59" i="26"/>
  <c r="T60" i="26"/>
  <c r="T61" i="26"/>
  <c r="T57" i="26"/>
  <c r="S62" i="26"/>
  <c r="T62" i="26" s="1"/>
  <c r="T34" i="26"/>
  <c r="T35" i="26"/>
  <c r="T36" i="26"/>
  <c r="T33" i="26"/>
  <c r="S37" i="26"/>
  <c r="T37" i="26" s="1"/>
  <c r="T9" i="26"/>
  <c r="T10" i="26"/>
  <c r="T11" i="26"/>
  <c r="T8" i="26"/>
  <c r="S12" i="26"/>
  <c r="T12" i="26" s="1"/>
  <c r="U34" i="8"/>
  <c r="U32" i="8"/>
  <c r="H32" i="8"/>
  <c r="T13" i="8"/>
  <c r="G13" i="8"/>
  <c r="G6" i="34"/>
  <c r="N4" i="34"/>
  <c r="C7" i="34" s="1"/>
  <c r="C8" i="34" s="1"/>
  <c r="C9" i="34" s="1"/>
  <c r="G19" i="17"/>
  <c r="AL38" i="31" l="1"/>
  <c r="AL39" i="31" s="1"/>
  <c r="AJ41" i="31"/>
  <c r="E26" i="41"/>
  <c r="E27" i="41" s="1"/>
  <c r="D18" i="35"/>
  <c r="G19" i="35" s="1"/>
  <c r="E86" i="21"/>
  <c r="E84" i="21"/>
  <c r="E81" i="21"/>
  <c r="E82" i="21"/>
  <c r="E87" i="21"/>
  <c r="E78" i="21"/>
  <c r="E83" i="21"/>
  <c r="E85" i="21"/>
  <c r="E79" i="21"/>
  <c r="E88" i="21"/>
  <c r="E80" i="21"/>
  <c r="M15" i="31"/>
  <c r="I8" i="37"/>
  <c r="E16" i="36"/>
  <c r="F16" i="36" s="1"/>
  <c r="L16" i="36" s="1"/>
  <c r="N22" i="36" s="1"/>
  <c r="M16" i="36"/>
  <c r="Q16" i="36"/>
  <c r="W25" i="35"/>
  <c r="W26" i="35"/>
  <c r="Q26" i="35" s="1"/>
  <c r="V4" i="4"/>
  <c r="X4" i="4" s="1"/>
  <c r="X3" i="4"/>
  <c r="V3" i="4"/>
  <c r="V2" i="4"/>
  <c r="Y2" i="4" s="1"/>
  <c r="D23" i="35" l="1"/>
  <c r="H23" i="35" s="1"/>
  <c r="H19" i="35"/>
  <c r="E23" i="35" s="1"/>
  <c r="I19" i="35"/>
  <c r="E24" i="35" s="1"/>
  <c r="K8" i="37"/>
  <c r="K11" i="37" s="1"/>
  <c r="K13" i="37"/>
  <c r="N16" i="36"/>
  <c r="P16" i="36" s="1"/>
  <c r="R16" i="36"/>
  <c r="P25" i="35"/>
  <c r="Q25" i="35"/>
  <c r="D24" i="16"/>
  <c r="D25" i="16" s="1"/>
  <c r="Q17" i="16"/>
  <c r="Q15" i="16"/>
  <c r="Q13" i="16"/>
  <c r="Q11" i="16"/>
  <c r="M8" i="16"/>
  <c r="O8" i="16" s="1"/>
  <c r="D24" i="35" l="1"/>
  <c r="H24" i="35" s="1"/>
  <c r="H25" i="35" s="1"/>
  <c r="H30" i="35" s="1"/>
  <c r="D27" i="35"/>
  <c r="Q38" i="36"/>
  <c r="Q41" i="36" s="1"/>
  <c r="Q42" i="36" s="1"/>
  <c r="U25" i="35"/>
  <c r="P26" i="35"/>
  <c r="U26" i="35" s="1"/>
  <c r="P29" i="35"/>
  <c r="Q8" i="16"/>
  <c r="F35" i="4"/>
  <c r="H35" i="4"/>
  <c r="J33" i="4"/>
  <c r="N33" i="4" s="1"/>
  <c r="L33" i="4" s="1"/>
  <c r="J34" i="4"/>
  <c r="N34" i="4" s="1"/>
  <c r="L34" i="4" s="1"/>
  <c r="U27" i="35" l="1"/>
  <c r="T32" i="35" s="1"/>
  <c r="D36" i="19"/>
  <c r="L11" i="3"/>
  <c r="L12" i="3" s="1"/>
  <c r="L15" i="3" s="1"/>
  <c r="L16" i="3" s="1"/>
  <c r="L17" i="3" s="1"/>
  <c r="D30" i="2"/>
  <c r="F29" i="2"/>
  <c r="F28" i="2"/>
  <c r="F27" i="2"/>
  <c r="D12" i="2"/>
  <c r="D14" i="2" s="1"/>
  <c r="D10" i="2"/>
  <c r="N8" i="2" s="1"/>
  <c r="M34" i="24"/>
  <c r="M33" i="24"/>
  <c r="M35" i="24" s="1"/>
  <c r="M36" i="24" s="1"/>
  <c r="M37" i="24" s="1"/>
  <c r="C7" i="13"/>
  <c r="C10" i="13" s="1"/>
  <c r="C12" i="13" s="1"/>
  <c r="U17" i="11"/>
  <c r="K21" i="11" s="1"/>
  <c r="AH15" i="11"/>
  <c r="AH16" i="11" s="1"/>
  <c r="U13" i="11"/>
  <c r="T8" i="11"/>
  <c r="AA7" i="11"/>
  <c r="G6" i="11"/>
  <c r="U11" i="11" s="1"/>
  <c r="AI5" i="11"/>
  <c r="AG7" i="11" s="1"/>
  <c r="AH5" i="11"/>
  <c r="AA5" i="11"/>
  <c r="P32" i="5"/>
  <c r="P34" i="5" s="1"/>
  <c r="E26" i="5"/>
  <c r="L24" i="5" s="1"/>
  <c r="L26" i="5" s="1"/>
  <c r="P24" i="5"/>
  <c r="E20" i="5"/>
  <c r="P18" i="5" s="1"/>
  <c r="L18" i="5"/>
  <c r="L20" i="5" s="1"/>
  <c r="E14" i="5"/>
  <c r="L12" i="5" s="1"/>
  <c r="L14" i="5" s="1"/>
  <c r="P12" i="5" s="1"/>
  <c r="E8" i="5"/>
  <c r="L6" i="5"/>
  <c r="L8" i="5" s="1"/>
  <c r="P6" i="5" s="1"/>
  <c r="E15" i="6"/>
  <c r="E6" i="6"/>
  <c r="D37" i="6" s="1"/>
  <c r="Z32" i="4"/>
  <c r="J32" i="4"/>
  <c r="N32" i="4" s="1"/>
  <c r="L32" i="4" s="1"/>
  <c r="Z31" i="4"/>
  <c r="J31" i="4"/>
  <c r="Z30" i="4"/>
  <c r="J30" i="4"/>
  <c r="N30" i="4" s="1"/>
  <c r="L30" i="4" s="1"/>
  <c r="Z29" i="4"/>
  <c r="J29" i="4"/>
  <c r="N29" i="4" s="1"/>
  <c r="L29" i="4" s="1"/>
  <c r="J28" i="4"/>
  <c r="N28" i="4" s="1"/>
  <c r="L28" i="4" s="1"/>
  <c r="J27" i="4"/>
  <c r="H23" i="4"/>
  <c r="J23" i="4" s="1"/>
  <c r="S20" i="4"/>
  <c r="V19" i="4"/>
  <c r="V21" i="4" s="1"/>
  <c r="S19" i="4"/>
  <c r="D18" i="4"/>
  <c r="Z13" i="4"/>
  <c r="I13" i="4"/>
  <c r="I18" i="4" s="1"/>
  <c r="D13" i="4"/>
  <c r="F12" i="4"/>
  <c r="F11" i="4"/>
  <c r="Y10" i="4"/>
  <c r="AA10" i="4" s="1"/>
  <c r="F10" i="4"/>
  <c r="Y9" i="4"/>
  <c r="F9" i="4"/>
  <c r="H9" i="4" s="1"/>
  <c r="F8" i="4"/>
  <c r="F7" i="4"/>
  <c r="L30" i="5" l="1"/>
  <c r="L32" i="5" s="1"/>
  <c r="H6" i="4"/>
  <c r="J6" i="4" s="1"/>
  <c r="H7" i="4"/>
  <c r="J7" i="4" s="1"/>
  <c r="O7" i="4"/>
  <c r="H10" i="4"/>
  <c r="O10" i="4"/>
  <c r="K11" i="4"/>
  <c r="M11" i="4" s="1"/>
  <c r="H11" i="4"/>
  <c r="O11" i="4"/>
  <c r="K8" i="4"/>
  <c r="M8" i="4" s="1"/>
  <c r="H8" i="4"/>
  <c r="J8" i="4" s="1"/>
  <c r="O8" i="4"/>
  <c r="H12" i="4"/>
  <c r="O12" i="4"/>
  <c r="Z33" i="4"/>
  <c r="AF29" i="4" s="1"/>
  <c r="AF32" i="4" s="1"/>
  <c r="M6" i="4"/>
  <c r="K9" i="4"/>
  <c r="M9" i="4" s="1"/>
  <c r="O9" i="4"/>
  <c r="AA9" i="4"/>
  <c r="AD17" i="4"/>
  <c r="AD21" i="4" s="1"/>
  <c r="AC13" i="4"/>
  <c r="V20" i="4"/>
  <c r="K12" i="4"/>
  <c r="M12" i="4" s="1"/>
  <c r="M35" i="31"/>
  <c r="O15" i="31"/>
  <c r="N15" i="31"/>
  <c r="M22" i="31"/>
  <c r="M10" i="31"/>
  <c r="M26" i="31"/>
  <c r="N10" i="31"/>
  <c r="L28" i="31"/>
  <c r="L14" i="31"/>
  <c r="M28" i="31"/>
  <c r="M14" i="31"/>
  <c r="O29" i="31"/>
  <c r="O17" i="31"/>
  <c r="O33" i="31"/>
  <c r="L20" i="31"/>
  <c r="L34" i="31"/>
  <c r="M8" i="31"/>
  <c r="M20" i="31"/>
  <c r="N35" i="31"/>
  <c r="N8" i="31"/>
  <c r="O21" i="31"/>
  <c r="O35" i="31"/>
  <c r="O8" i="31"/>
  <c r="L22" i="31"/>
  <c r="O27" i="31"/>
  <c r="D32" i="2"/>
  <c r="D33" i="2" s="1"/>
  <c r="D31" i="2"/>
  <c r="L16" i="31"/>
  <c r="O23" i="31"/>
  <c r="L32" i="31"/>
  <c r="N7" i="2"/>
  <c r="M16" i="31"/>
  <c r="L26" i="31"/>
  <c r="N33" i="31"/>
  <c r="J35" i="4"/>
  <c r="N35" i="4" s="1"/>
  <c r="L35" i="4" s="1"/>
  <c r="N31" i="4"/>
  <c r="L31" i="4" s="1"/>
  <c r="D19" i="2"/>
  <c r="D21" i="2"/>
  <c r="D22" i="2" s="1"/>
  <c r="D17" i="2"/>
  <c r="D18" i="2" s="1"/>
  <c r="C14" i="13"/>
  <c r="J11" i="13"/>
  <c r="U18" i="11"/>
  <c r="F21" i="11" s="1"/>
  <c r="T11" i="11"/>
  <c r="F17" i="11" s="1"/>
  <c r="C17" i="11"/>
  <c r="U14" i="11" s="1"/>
  <c r="D43" i="6"/>
  <c r="P37" i="6"/>
  <c r="P43" i="6"/>
  <c r="E8" i="6"/>
  <c r="O10" i="31"/>
  <c r="N14" i="31"/>
  <c r="N16" i="31"/>
  <c r="N20" i="31"/>
  <c r="N22" i="31"/>
  <c r="N26" i="31"/>
  <c r="N28" i="31"/>
  <c r="M32" i="31"/>
  <c r="M34" i="31"/>
  <c r="L9" i="31"/>
  <c r="L11" i="31"/>
  <c r="O14" i="31"/>
  <c r="O16" i="31"/>
  <c r="O20" i="31"/>
  <c r="O22" i="31"/>
  <c r="O26" i="31"/>
  <c r="O28" i="31"/>
  <c r="N32" i="31"/>
  <c r="N34" i="31"/>
  <c r="M9" i="31"/>
  <c r="M11" i="31"/>
  <c r="L15" i="31"/>
  <c r="L17" i="31"/>
  <c r="L21" i="31"/>
  <c r="L23" i="31"/>
  <c r="L27" i="31"/>
  <c r="L29" i="31"/>
  <c r="O32" i="31"/>
  <c r="O34" i="31"/>
  <c r="N9" i="31"/>
  <c r="N11" i="31"/>
  <c r="M17" i="31"/>
  <c r="M21" i="31"/>
  <c r="M23" i="31"/>
  <c r="M27" i="31"/>
  <c r="M29" i="31"/>
  <c r="L33" i="31"/>
  <c r="L35" i="31"/>
  <c r="L8" i="31"/>
  <c r="O9" i="31"/>
  <c r="O11" i="31"/>
  <c r="N17" i="31"/>
  <c r="N21" i="31"/>
  <c r="N23" i="31"/>
  <c r="N27" i="31"/>
  <c r="N29" i="31"/>
  <c r="M33" i="31"/>
  <c r="F13" i="4"/>
  <c r="K10" i="4"/>
  <c r="M10" i="4" s="1"/>
  <c r="N27" i="4"/>
  <c r="L27" i="4" s="1"/>
  <c r="K7" i="4"/>
  <c r="M7" i="4" s="1"/>
  <c r="F18" i="4"/>
  <c r="G13" i="32"/>
  <c r="G15" i="32" s="1"/>
  <c r="AH29" i="4" l="1"/>
  <c r="AG33" i="4" s="1"/>
  <c r="O13" i="4"/>
  <c r="AD20" i="4"/>
  <c r="AD19" i="4"/>
  <c r="AD18" i="4"/>
  <c r="C20" i="13"/>
  <c r="F16" i="13" s="1"/>
  <c r="N30" i="13"/>
  <c r="C16" i="13"/>
  <c r="O16" i="13" s="1"/>
  <c r="C18" i="13"/>
  <c r="H16" i="13" s="1"/>
  <c r="N20" i="13"/>
  <c r="N12" i="13"/>
  <c r="J23" i="13"/>
  <c r="U16" i="11"/>
  <c r="U15" i="11"/>
  <c r="P36" i="6"/>
  <c r="P38" i="6" s="1"/>
  <c r="Q39" i="6" s="1"/>
  <c r="D36" i="6"/>
  <c r="D38" i="6" s="1"/>
  <c r="E39" i="6" s="1"/>
  <c r="P42" i="6"/>
  <c r="P44" i="6" s="1"/>
  <c r="Q45" i="6" s="1"/>
  <c r="P32" i="6"/>
  <c r="Q33" i="6" s="1"/>
  <c r="D42" i="6"/>
  <c r="D44" i="6" s="1"/>
  <c r="E45" i="6" s="1"/>
  <c r="D32" i="6"/>
  <c r="E33" i="6" s="1"/>
  <c r="K18" i="4"/>
  <c r="H13" i="4"/>
  <c r="H18" i="4" s="1"/>
  <c r="K13" i="4"/>
  <c r="M18" i="4"/>
  <c r="M13" i="4"/>
  <c r="U20" i="11" l="1"/>
  <c r="C21" i="11" s="1"/>
  <c r="J13" i="4"/>
  <c r="J18" i="4"/>
  <c r="D32" i="30"/>
  <c r="D33" i="30" s="1"/>
  <c r="D28" i="30"/>
  <c r="D29" i="30" s="1"/>
  <c r="I29" i="30" s="1"/>
  <c r="J29" i="30" s="1"/>
  <c r="I28" i="30" l="1"/>
  <c r="J28" i="30" s="1"/>
  <c r="I33" i="30"/>
  <c r="J33" i="30" s="1"/>
  <c r="I32" i="30"/>
  <c r="M28" i="30" l="1"/>
  <c r="M32" i="30"/>
  <c r="J32" i="30"/>
  <c r="E11" i="30"/>
  <c r="I10" i="30" l="1"/>
  <c r="J10" i="30" s="1"/>
  <c r="E17" i="30"/>
  <c r="I11" i="30"/>
  <c r="J11" i="30" s="1"/>
  <c r="U37" i="8"/>
  <c r="U33" i="8"/>
  <c r="U31" i="8"/>
  <c r="U30" i="8"/>
  <c r="T25" i="8"/>
  <c r="T24" i="8"/>
  <c r="T23" i="8"/>
  <c r="T22" i="8"/>
  <c r="T21" i="8"/>
  <c r="T20" i="8"/>
  <c r="T19" i="8"/>
  <c r="T18" i="8"/>
  <c r="T17" i="8"/>
  <c r="T16" i="8"/>
  <c r="T15" i="8"/>
  <c r="T14" i="8"/>
  <c r="H37" i="8"/>
  <c r="H33" i="8"/>
  <c r="H30" i="8"/>
  <c r="G24" i="8"/>
  <c r="G25" i="8"/>
  <c r="U26" i="8" l="1"/>
  <c r="U27" i="8" s="1"/>
  <c r="U28" i="8" s="1"/>
  <c r="M10" i="30"/>
  <c r="I16" i="30"/>
  <c r="J16" i="30" s="1"/>
  <c r="I17" i="30"/>
  <c r="J17" i="30" s="1"/>
  <c r="R3" i="8"/>
  <c r="U11" i="8"/>
  <c r="W11" i="8" s="1"/>
  <c r="M16" i="30" l="1"/>
  <c r="U29" i="8"/>
  <c r="U10" i="8"/>
  <c r="U5" i="8"/>
  <c r="U7" i="8" l="1"/>
  <c r="U8" i="8"/>
  <c r="U9" i="8"/>
  <c r="U6" i="8"/>
  <c r="E9" i="9" l="1"/>
  <c r="E40" i="9"/>
  <c r="E39" i="9"/>
  <c r="S74" i="27" l="1"/>
  <c r="N73" i="27"/>
  <c r="N71" i="27"/>
  <c r="G7" i="27"/>
  <c r="G6" i="27"/>
  <c r="G4" i="27"/>
  <c r="N72" i="27" l="1"/>
  <c r="S75" i="27" s="1"/>
  <c r="G5" i="27"/>
  <c r="L94" i="26"/>
  <c r="L93" i="26"/>
  <c r="L76" i="26"/>
  <c r="L75" i="26"/>
  <c r="K62" i="26"/>
  <c r="L62" i="26"/>
  <c r="L58" i="26"/>
  <c r="L59" i="26"/>
  <c r="L60" i="26"/>
  <c r="L61" i="26"/>
  <c r="L57" i="26"/>
  <c r="K37" i="26"/>
  <c r="L37" i="26"/>
  <c r="L34" i="26"/>
  <c r="L35" i="26"/>
  <c r="L36" i="26"/>
  <c r="L33" i="26"/>
  <c r="L12" i="26"/>
  <c r="K12" i="26"/>
  <c r="L9" i="26"/>
  <c r="L10" i="26"/>
  <c r="L11" i="26"/>
  <c r="L8" i="26"/>
  <c r="S77" i="27" l="1"/>
  <c r="U75" i="27"/>
  <c r="V75" i="27" s="1"/>
  <c r="W75" i="27" s="1"/>
  <c r="K8" i="27"/>
  <c r="G21" i="27"/>
  <c r="W77" i="27" l="1"/>
  <c r="W76" i="27"/>
  <c r="S85" i="27" s="1"/>
  <c r="S81" i="27"/>
  <c r="U83" i="27" s="1"/>
  <c r="S79" i="27"/>
  <c r="S78" i="27"/>
  <c r="S84" i="27" s="1"/>
  <c r="U84" i="27" s="1"/>
  <c r="M8" i="27"/>
  <c r="N8" i="27" s="1"/>
  <c r="O8" i="27" s="1"/>
  <c r="K10" i="27"/>
  <c r="H123" i="20"/>
  <c r="H122" i="20"/>
  <c r="H121" i="20"/>
  <c r="H120" i="20"/>
  <c r="H119" i="20"/>
  <c r="H118" i="20"/>
  <c r="H117" i="20"/>
  <c r="H116" i="20"/>
  <c r="H115" i="20"/>
  <c r="H114" i="20"/>
  <c r="H113" i="20"/>
  <c r="H112" i="20"/>
  <c r="H111" i="20"/>
  <c r="H110" i="20"/>
  <c r="H109" i="20"/>
  <c r="H108" i="20"/>
  <c r="H107" i="20"/>
  <c r="H106" i="20"/>
  <c r="H105" i="20"/>
  <c r="H104" i="20"/>
  <c r="H103" i="20"/>
  <c r="H102" i="20"/>
  <c r="H101" i="20"/>
  <c r="H100" i="20"/>
  <c r="H99" i="20"/>
  <c r="H98" i="20"/>
  <c r="H97" i="20"/>
  <c r="H96" i="20"/>
  <c r="H95" i="20"/>
  <c r="H94" i="20"/>
  <c r="H93" i="20"/>
  <c r="H92" i="20"/>
  <c r="H91" i="20"/>
  <c r="H90" i="20"/>
  <c r="H89" i="20"/>
  <c r="H88" i="20"/>
  <c r="H87" i="20"/>
  <c r="H86" i="20"/>
  <c r="H85" i="20"/>
  <c r="H84" i="20"/>
  <c r="H83" i="20"/>
  <c r="H82" i="20"/>
  <c r="H81" i="20"/>
  <c r="H80" i="20"/>
  <c r="H79" i="20"/>
  <c r="H78" i="20"/>
  <c r="H77" i="20"/>
  <c r="H76" i="20"/>
  <c r="H75" i="20"/>
  <c r="H74" i="20"/>
  <c r="H73" i="20"/>
  <c r="H72" i="20"/>
  <c r="H71" i="20"/>
  <c r="H70" i="20"/>
  <c r="H69" i="20"/>
  <c r="H68" i="20"/>
  <c r="H67" i="20"/>
  <c r="H66" i="20"/>
  <c r="H65" i="20"/>
  <c r="H64" i="20"/>
  <c r="H63" i="20"/>
  <c r="H62" i="20"/>
  <c r="H61" i="20"/>
  <c r="H60" i="20"/>
  <c r="H59" i="20"/>
  <c r="H58" i="20"/>
  <c r="H57" i="20"/>
  <c r="H56" i="20"/>
  <c r="H55" i="20"/>
  <c r="H124" i="20" l="1"/>
  <c r="K12" i="27"/>
  <c r="K14" i="27"/>
  <c r="M19" i="27" s="1"/>
  <c r="K11" i="27"/>
  <c r="K20" i="27" s="1"/>
  <c r="M20" i="27" s="1"/>
  <c r="O9" i="27"/>
  <c r="K21" i="27" s="1"/>
  <c r="O10" i="27"/>
  <c r="L6" i="21"/>
  <c r="L7" i="21"/>
  <c r="L5" i="21"/>
  <c r="K6" i="21"/>
  <c r="K5" i="21"/>
  <c r="K7" i="21"/>
  <c r="K8" i="21"/>
  <c r="J6" i="21"/>
  <c r="J7" i="21"/>
  <c r="J8" i="21"/>
  <c r="J9" i="21"/>
  <c r="J10" i="21"/>
  <c r="J5" i="21"/>
  <c r="I6" i="21"/>
  <c r="I7" i="21"/>
  <c r="I8" i="21"/>
  <c r="I9" i="21"/>
  <c r="I10" i="21"/>
  <c r="I11" i="21"/>
  <c r="I12" i="21"/>
  <c r="I5" i="21"/>
  <c r="H6" i="21"/>
  <c r="H7" i="21"/>
  <c r="H8" i="21"/>
  <c r="H9" i="21"/>
  <c r="H10" i="21"/>
  <c r="H11" i="21"/>
  <c r="H12" i="21"/>
  <c r="H5" i="21"/>
  <c r="G6" i="21"/>
  <c r="G7" i="21"/>
  <c r="G8" i="21"/>
  <c r="G9" i="21"/>
  <c r="G10" i="21"/>
  <c r="G11" i="21"/>
  <c r="G12" i="21"/>
  <c r="G5" i="21"/>
  <c r="J3" i="21" l="1"/>
  <c r="M24" i="21" s="1"/>
  <c r="L3" i="21"/>
  <c r="M26" i="21" s="1"/>
  <c r="G3" i="21"/>
  <c r="M21" i="21" s="1"/>
  <c r="K3" i="21"/>
  <c r="M25" i="21" s="1"/>
  <c r="I3" i="21"/>
  <c r="M23" i="21" s="1"/>
  <c r="H3" i="21"/>
  <c r="M22" i="21" s="1"/>
  <c r="H4" i="8"/>
  <c r="E29" i="20" l="1"/>
  <c r="E25" i="20"/>
  <c r="E21" i="20"/>
  <c r="E17" i="20"/>
  <c r="E32" i="20" l="1"/>
  <c r="D34" i="19"/>
  <c r="D32" i="19"/>
  <c r="E10" i="19"/>
  <c r="D30" i="19"/>
  <c r="I27" i="19" l="1"/>
  <c r="E11" i="19"/>
  <c r="E13" i="19" s="1"/>
  <c r="G18" i="19" s="1"/>
  <c r="D29" i="19"/>
  <c r="R6" i="17" l="1"/>
  <c r="E13" i="17" l="1"/>
  <c r="R5" i="17" l="1"/>
  <c r="N10" i="17"/>
  <c r="N11" i="17" s="1"/>
  <c r="N12" i="17" s="1"/>
  <c r="N14" i="17" s="1"/>
  <c r="N16" i="17" l="1"/>
  <c r="L22" i="17" s="1"/>
  <c r="M25" i="17" s="1"/>
  <c r="F22" i="17"/>
  <c r="F25" i="17" s="1"/>
  <c r="C29" i="17" l="1"/>
  <c r="F26" i="17"/>
  <c r="M26" i="17"/>
  <c r="I29" i="17"/>
  <c r="D8" i="16"/>
  <c r="D9" i="16" s="1"/>
  <c r="J28" i="17" l="1"/>
  <c r="M28" i="17"/>
  <c r="F28" i="17"/>
  <c r="C28" i="17"/>
  <c r="D10" i="10"/>
  <c r="D14" i="10" s="1"/>
  <c r="D15" i="10" s="1"/>
  <c r="D18" i="10" l="1"/>
  <c r="D17" i="10"/>
  <c r="D16" i="10"/>
  <c r="E44" i="9" l="1"/>
  <c r="E43" i="9"/>
  <c r="E42" i="9"/>
  <c r="E41" i="9"/>
  <c r="E38" i="9"/>
  <c r="E37" i="9"/>
  <c r="E36" i="9"/>
  <c r="E35" i="9"/>
  <c r="E25" i="9"/>
  <c r="E24" i="9"/>
  <c r="E23" i="9"/>
  <c r="E22" i="9"/>
  <c r="E21" i="9"/>
  <c r="E20" i="9"/>
  <c r="E14" i="9"/>
  <c r="E13" i="9"/>
  <c r="E12" i="9"/>
  <c r="E11" i="9"/>
  <c r="E10" i="9"/>
  <c r="E8" i="9"/>
  <c r="E7" i="9"/>
  <c r="E6" i="9"/>
  <c r="E5" i="9"/>
  <c r="E29" i="9" l="1"/>
  <c r="E46" i="9"/>
  <c r="E15" i="9"/>
  <c r="E3" i="8"/>
  <c r="H31" i="8"/>
  <c r="G23" i="8"/>
  <c r="G22" i="8"/>
  <c r="G21" i="8"/>
  <c r="G20" i="8"/>
  <c r="G19" i="8"/>
  <c r="G18" i="8"/>
  <c r="G17" i="8"/>
  <c r="G16" i="8"/>
  <c r="G15" i="8"/>
  <c r="G14" i="8"/>
  <c r="H11" i="8"/>
  <c r="J11" i="8" s="1"/>
  <c r="H10" i="8"/>
  <c r="H9" i="8"/>
  <c r="H8" i="8"/>
  <c r="H7" i="8"/>
  <c r="H6" i="8"/>
  <c r="H5" i="8"/>
  <c r="H26" i="8" l="1"/>
  <c r="H29" i="8" s="1"/>
  <c r="J15" i="7"/>
  <c r="J11" i="7"/>
  <c r="J9" i="7"/>
  <c r="J7" i="7"/>
  <c r="H27" i="8" l="1"/>
  <c r="H28" i="8" s="1"/>
  <c r="J13" i="7"/>
  <c r="N15" i="7" s="1"/>
  <c r="N16" i="7" l="1"/>
  <c r="G29" i="72"/>
  <c r="I29" i="72" s="1"/>
  <c r="G12" i="73" s="1"/>
  <c r="F30" i="76"/>
  <c r="F32" i="76" l="1"/>
  <c r="F33" i="76" s="1"/>
  <c r="F34" i="76" s="1"/>
  <c r="F37" i="76"/>
  <c r="P40" i="76"/>
  <c r="P44" i="7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<sst xmlns="http://schemas.openxmlformats.org/spreadsheetml/2006/main" count="6402" uniqueCount="2457">
  <si>
    <t>litre/hm2</t>
  </si>
  <si>
    <t>litre/h</t>
  </si>
  <si>
    <t>m3/h</t>
  </si>
  <si>
    <t>m2</t>
  </si>
  <si>
    <t>D</t>
  </si>
  <si>
    <t>mm</t>
  </si>
  <si>
    <t>Minimum olması gerekli Boru İç Çapı</t>
  </si>
  <si>
    <t>Gerekli toplam debi</t>
  </si>
  <si>
    <t xml:space="preserve"> Gerekli toplam debi</t>
  </si>
  <si>
    <t>Toplam kollektör m2  =</t>
  </si>
  <si>
    <t>High Low saatte 1m2 den geçmesi gereken akışkan miktarı =</t>
  </si>
  <si>
    <t>3-4 katlı binalarda max 3-4 mss</t>
  </si>
  <si>
    <t>10 kata kadar max 4-5 mss</t>
  </si>
  <si>
    <t>10 kattan fazla binalarda 6 mss - …</t>
  </si>
  <si>
    <t>Güneş Paneli Toplam m2 ye göre Pompa ve Boru Çapı Hesabı</t>
  </si>
  <si>
    <t>Dikkat!!!</t>
  </si>
  <si>
    <t xml:space="preserve">  </t>
  </si>
  <si>
    <t xml:space="preserve">            yunustufan71@hotmail.com</t>
  </si>
  <si>
    <t xml:space="preserve"> [kcal/m²gün]</t>
  </si>
  <si>
    <t>°C</t>
  </si>
  <si>
    <t>İstanbul</t>
  </si>
  <si>
    <t>%</t>
  </si>
  <si>
    <t>Kullanılacak Kollektör verimi %</t>
  </si>
  <si>
    <t>Hesaplamanın Yapıldığı İl</t>
  </si>
  <si>
    <t>Boyler kapasitesi</t>
  </si>
  <si>
    <t>[kcal/h]</t>
  </si>
  <si>
    <t>BOYLER  HESABI</t>
  </si>
  <si>
    <t>S.NO.</t>
  </si>
  <si>
    <t xml:space="preserve">KULLANMA YERİ </t>
  </si>
  <si>
    <t>MİKTARI  ( ADET)</t>
  </si>
  <si>
    <t>GEREKLİ DEBİ (LT/SAAT-ADET)</t>
  </si>
  <si>
    <t>GEREKLİ DEBİ (LT/SAAT)</t>
  </si>
  <si>
    <t>DUŞ</t>
  </si>
  <si>
    <t>Mutfak EVİYESİ</t>
  </si>
  <si>
    <t>ÇAMAŞIR MAKİNASI</t>
  </si>
  <si>
    <t>BULAŞIK MAKİNASI</t>
  </si>
  <si>
    <t>lt/h</t>
  </si>
  <si>
    <t>Eş Zaman Kullanım Faktörü</t>
  </si>
  <si>
    <t>Konut Sayısı (Daire)</t>
  </si>
  <si>
    <t>Eş Zaman Faktörü</t>
  </si>
  <si>
    <r>
      <t>D</t>
    </r>
    <r>
      <rPr>
        <b/>
        <sz val="12"/>
        <rFont val="Tahoma"/>
        <family val="2"/>
        <charset val="162"/>
      </rPr>
      <t>t</t>
    </r>
    <r>
      <rPr>
        <b/>
        <sz val="10"/>
        <rFont val="Tahoma"/>
        <family val="2"/>
        <charset val="162"/>
      </rPr>
      <t xml:space="preserve"> (°C)</t>
    </r>
  </si>
  <si>
    <t>60°C - 10°C</t>
  </si>
  <si>
    <t>kcal/h</t>
  </si>
  <si>
    <t>tç-tg</t>
  </si>
  <si>
    <t>tç = Boylerden Çıkan Kullanım Suyu Sıcaklığı</t>
  </si>
  <si>
    <t>tg = Boyler'e Giren Kullanım Suyu Sıcaklığı</t>
  </si>
  <si>
    <t>45°C - 10°C</t>
  </si>
  <si>
    <r>
      <t xml:space="preserve">  </t>
    </r>
    <r>
      <rPr>
        <b/>
        <sz val="10"/>
        <color indexed="18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</t>
    </r>
    <r>
      <rPr>
        <sz val="10"/>
        <rFont val="Tahoma"/>
        <family val="2"/>
        <charset val="162"/>
      </rPr>
      <t xml:space="preserve">    </t>
    </r>
  </si>
  <si>
    <t>Apartman için</t>
  </si>
  <si>
    <t xml:space="preserve"> Eş Zaman Kullanım Faktörü</t>
  </si>
  <si>
    <t>Depolama Katsayısı</t>
  </si>
  <si>
    <t>alt tablodan</t>
  </si>
  <si>
    <t>Hastane</t>
  </si>
  <si>
    <t>Otel</t>
  </si>
  <si>
    <t>Fabrika</t>
  </si>
  <si>
    <t>Konut(Özel)</t>
  </si>
  <si>
    <t>Okul(Yatılı)</t>
  </si>
  <si>
    <t>Genel Toplam</t>
  </si>
  <si>
    <t>Sıcak Su İhtiyacı</t>
  </si>
  <si>
    <t>Boyler Hacmi</t>
  </si>
  <si>
    <t>Isıtma Yükü</t>
  </si>
  <si>
    <t>lt</t>
  </si>
  <si>
    <t xml:space="preserve">Boyler çıkış kullanım suyu sıcaklığı </t>
  </si>
  <si>
    <r>
      <t>T</t>
    </r>
    <r>
      <rPr>
        <sz val="11"/>
        <color indexed="8"/>
        <rFont val="Calibri"/>
        <family val="2"/>
        <charset val="162"/>
      </rPr>
      <t>şebeke =</t>
    </r>
    <r>
      <rPr>
        <b/>
        <sz val="10"/>
        <rFont val="Arial Tur"/>
        <charset val="162"/>
      </rPr>
      <t xml:space="preserve"> T</t>
    </r>
    <r>
      <rPr>
        <sz val="11"/>
        <color indexed="8"/>
        <rFont val="Calibri"/>
        <family val="2"/>
        <charset val="162"/>
      </rPr>
      <t>toprak - 5°C</t>
    </r>
  </si>
  <si>
    <r>
      <t>m</t>
    </r>
    <r>
      <rPr>
        <sz val="11"/>
        <color indexed="8"/>
        <rFont val="Calibri"/>
        <family val="2"/>
        <charset val="162"/>
      </rPr>
      <t xml:space="preserve"> x </t>
    </r>
    <r>
      <rPr>
        <b/>
        <sz val="10"/>
        <rFont val="Arial Tur"/>
        <charset val="162"/>
      </rPr>
      <t>c</t>
    </r>
    <r>
      <rPr>
        <sz val="11"/>
        <color indexed="8"/>
        <rFont val="Calibri"/>
        <family val="2"/>
        <charset val="162"/>
      </rPr>
      <t xml:space="preserve"> x ( </t>
    </r>
    <r>
      <rPr>
        <b/>
        <sz val="10"/>
        <rFont val="Arial Tur"/>
        <charset val="162"/>
      </rPr>
      <t>T</t>
    </r>
    <r>
      <rPr>
        <sz val="11"/>
        <color indexed="8"/>
        <rFont val="Calibri"/>
        <family val="2"/>
        <charset val="162"/>
      </rPr>
      <t xml:space="preserve">boyler - </t>
    </r>
    <r>
      <rPr>
        <b/>
        <sz val="10"/>
        <rFont val="Arial Tur"/>
        <charset val="162"/>
      </rPr>
      <t>T</t>
    </r>
    <r>
      <rPr>
        <sz val="11"/>
        <color indexed="8"/>
        <rFont val="Calibri"/>
        <family val="2"/>
        <charset val="162"/>
      </rPr>
      <t>şebeke ) [kcal/h]</t>
    </r>
  </si>
  <si>
    <r>
      <t>Q</t>
    </r>
    <r>
      <rPr>
        <sz val="11"/>
        <color indexed="8"/>
        <rFont val="Calibri"/>
        <family val="2"/>
        <charset val="162"/>
      </rPr>
      <t>gerekli =</t>
    </r>
  </si>
  <si>
    <r>
      <t>T</t>
    </r>
    <r>
      <rPr>
        <sz val="11"/>
        <color indexed="8"/>
        <rFont val="Calibri"/>
        <family val="2"/>
        <charset val="162"/>
      </rPr>
      <t>toprak = 23,7°C    İstanbul için Yaz'a göre</t>
    </r>
  </si>
  <si>
    <t>( Tboyler - Tşebeke )</t>
  </si>
  <si>
    <t xml:space="preserve">60°C </t>
  </si>
  <si>
    <t>45°C</t>
  </si>
  <si>
    <t>Boylerden dolayı gerekli ısıl kapasitesi</t>
  </si>
  <si>
    <t>Yaz'a göre Güneş Kollektörün Kapasitesi</t>
  </si>
  <si>
    <t>LAVABO</t>
  </si>
  <si>
    <t>kullanılacak olan kollektörün bir adetinin yüzeyi</t>
  </si>
  <si>
    <t>m²</t>
  </si>
  <si>
    <t>Yerden Isıtma +Hamam+Havuz için istenen sistemin karşılama oranı</t>
  </si>
  <si>
    <t>Güneş Kollektörlerinin Sistemi Karşılama Oranı</t>
  </si>
  <si>
    <t>Kw</t>
  </si>
  <si>
    <r>
      <t xml:space="preserve">Kullanılacak </t>
    </r>
    <r>
      <rPr>
        <b/>
        <sz val="11"/>
        <color indexed="8"/>
        <rFont val="Calibri"/>
        <family val="2"/>
        <charset val="162"/>
      </rPr>
      <t>Boyler Kapasitesi</t>
    </r>
  </si>
  <si>
    <r>
      <t xml:space="preserve">Kullanılacak </t>
    </r>
    <r>
      <rPr>
        <b/>
        <sz val="11"/>
        <color indexed="8"/>
        <rFont val="Calibri"/>
        <family val="2"/>
        <charset val="162"/>
      </rPr>
      <t>Yerden Isıtma Kapasitesi</t>
    </r>
  </si>
  <si>
    <r>
      <t xml:space="preserve">Kullanılacak </t>
    </r>
    <r>
      <rPr>
        <b/>
        <sz val="11"/>
        <color indexed="8"/>
        <rFont val="Calibri"/>
        <family val="2"/>
        <charset val="162"/>
      </rPr>
      <t>Havuz Kapasitesi</t>
    </r>
  </si>
  <si>
    <r>
      <t xml:space="preserve">Kullanılacak </t>
    </r>
    <r>
      <rPr>
        <b/>
        <sz val="11"/>
        <color indexed="8"/>
        <rFont val="Calibri"/>
        <family val="2"/>
        <charset val="162"/>
      </rPr>
      <t>Hamam Kapasitesi</t>
    </r>
  </si>
  <si>
    <t>karşılama</t>
  </si>
  <si>
    <t>ihtiyaç olan toplam ısıl kapasitesi</t>
  </si>
  <si>
    <t>1-Sadece Isıtma Suyu Desteği (Boyler) İçin Güneş Kollektör Hesabı</t>
  </si>
  <si>
    <t>2-Yerden Isıtma +Boyler(ısıtma suyu)+ Hamam+ Havuz Desteği içinGüneş Kollektör Hesabı</t>
  </si>
  <si>
    <t>Daha önce hesapladığımız boyler kapasitesini giriyoruz</t>
  </si>
  <si>
    <r>
      <t xml:space="preserve">****  </t>
    </r>
    <r>
      <rPr>
        <u/>
        <sz val="10"/>
        <color indexed="8"/>
        <rFont val="Tahoma"/>
        <family val="2"/>
        <charset val="162"/>
      </rPr>
      <t xml:space="preserve">Güneş Kollektör Hesabı yapabilmeniz için sarı olan sütunlara değer giriniz  </t>
    </r>
    <r>
      <rPr>
        <sz val="10"/>
        <color indexed="8"/>
        <rFont val="Tahoma"/>
        <family val="2"/>
        <charset val="162"/>
      </rPr>
      <t>****</t>
    </r>
  </si>
  <si>
    <t>adet</t>
  </si>
  <si>
    <r>
      <t>ihtiyaç olan</t>
    </r>
    <r>
      <rPr>
        <b/>
        <sz val="11"/>
        <color indexed="8"/>
        <rFont val="Calibri"/>
        <family val="2"/>
        <charset val="162"/>
      </rPr>
      <t xml:space="preserve"> toplam kollektör yüzey alanı</t>
    </r>
  </si>
  <si>
    <r>
      <t>ihtiyaç olan</t>
    </r>
    <r>
      <rPr>
        <b/>
        <sz val="11"/>
        <color indexed="8"/>
        <rFont val="Calibri"/>
        <family val="2"/>
        <charset val="162"/>
      </rPr>
      <t xml:space="preserve"> toplam kollektör adedi</t>
    </r>
  </si>
  <si>
    <t>Qdebi</t>
  </si>
  <si>
    <r>
      <t>D</t>
    </r>
    <r>
      <rPr>
        <b/>
        <sz val="11"/>
        <color indexed="8"/>
        <rFont val="Tahoma"/>
        <family val="2"/>
        <charset val="162"/>
      </rPr>
      <t>t (°C)</t>
    </r>
  </si>
  <si>
    <t>1)</t>
  </si>
  <si>
    <t>HESAPLANAN</t>
  </si>
  <si>
    <t>Kapasite</t>
  </si>
  <si>
    <t>2)</t>
  </si>
  <si>
    <t>3)</t>
  </si>
  <si>
    <t>4)</t>
  </si>
  <si>
    <t>Boru İç Çapı</t>
  </si>
  <si>
    <t>15 Nisan - 15 Mayıs arasında 3 (üç) günde 1 (bir)</t>
  </si>
  <si>
    <t xml:space="preserve">15 Mayıs - 15 Eylül arası her gün </t>
  </si>
  <si>
    <t>15 Eylül - 30 Ekim arasında 3 (üç) günde 1 (bir)</t>
  </si>
  <si>
    <t>Sulama İSTANBUL 'da mevsim ortalaması nedeniyle 15 Nisan - 30 Ekim arasında aşağıdaki şekilde yapılmalıdır.</t>
  </si>
  <si>
    <t>Ağaç ve Süs Bitkilerinin(Çalı)Sulanması 15 Mayıs -15 Eylül arasında yapılmalıdır.</t>
  </si>
  <si>
    <t>Sulanacak alan m2</t>
  </si>
  <si>
    <t>Çim</t>
  </si>
  <si>
    <t>Çiçek veya süs bitkisi</t>
  </si>
  <si>
    <t>Sulanacak alandaki ağaç sayısı</t>
  </si>
  <si>
    <t>litre/gün</t>
  </si>
  <si>
    <t>Sulama İçin Gerekli Günlük Su Miktarı</t>
  </si>
  <si>
    <t>Ağaç</t>
  </si>
  <si>
    <t>BAHÇE SULAMA HESABI</t>
  </si>
  <si>
    <t>Günlük Sulama için Toplam Gerekli Olan Su Miktarı</t>
  </si>
  <si>
    <r>
      <t>Sulama</t>
    </r>
    <r>
      <rPr>
        <u/>
        <sz val="11"/>
        <color indexed="8"/>
        <rFont val="Calibri"/>
        <family val="2"/>
        <charset val="162"/>
      </rPr>
      <t xml:space="preserve"> 1Haziran -30 Ağustos arasında saat 17:00 ile ertesi gün 10:00 arasında yapılmalıdır</t>
    </r>
    <r>
      <rPr>
        <sz val="11"/>
        <color indexed="8"/>
        <rFont val="Calibri"/>
        <family val="2"/>
        <charset val="162"/>
      </rPr>
      <t>.</t>
    </r>
  </si>
  <si>
    <t xml:space="preserve">Bina Temiz Su ihtiyacı </t>
  </si>
  <si>
    <t>BİNA TOPLAM SU DEPOSU İHTİYACI</t>
  </si>
  <si>
    <t>TON</t>
  </si>
  <si>
    <t>LİTRE</t>
  </si>
  <si>
    <t>Ağaçlar haftada 2 sefer sulanmalıdır.</t>
  </si>
  <si>
    <t>V= 0,4m/s alınmıştır</t>
  </si>
  <si>
    <t xml:space="preserve">V =  </t>
  </si>
  <si>
    <t>m/s</t>
  </si>
  <si>
    <t>V (m/s) akışkan hızını değiştirmek isteniyorsa</t>
  </si>
  <si>
    <t xml:space="preserve">Akışkan hızı </t>
  </si>
  <si>
    <t>5)</t>
  </si>
  <si>
    <t xml:space="preserve">Havuz Eşanjör Hesabı </t>
  </si>
  <si>
    <t xml:space="preserve">Açık Havuz için eşanjör hesabı </t>
  </si>
  <si>
    <t>ısı kaybı 375 Kcal/h</t>
  </si>
  <si>
    <t>Havuz Suyu Son sıcaklığı</t>
  </si>
  <si>
    <t>Havuz Suyunun ilk sıcaklığı</t>
  </si>
  <si>
    <t>1-Havuzun rejime girmesi istenen süresi</t>
  </si>
  <si>
    <t>saate göre eşanjör hesabı</t>
  </si>
  <si>
    <t>m3</t>
  </si>
  <si>
    <t xml:space="preserve">Havuz Su Yüzeyi </t>
  </si>
  <si>
    <t xml:space="preserve">Havuz Su Hacmi </t>
  </si>
  <si>
    <t>Havuz Eşanjör Kapasitesi</t>
  </si>
  <si>
    <t>2-Havuzun rejime girmesi istenen süresi</t>
  </si>
  <si>
    <t>3-Havuzun rejime girmesi istenen süresi</t>
  </si>
  <si>
    <t xml:space="preserve">Kapalı Havuz için eşanjör hesabı </t>
  </si>
  <si>
    <t>ısı kaybı 104 Kcal/h</t>
  </si>
  <si>
    <r>
      <t xml:space="preserve">                    </t>
    </r>
    <r>
      <rPr>
        <b/>
        <sz val="10"/>
        <color indexed="18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</t>
    </r>
    <r>
      <rPr>
        <sz val="10"/>
        <rFont val="Tahoma"/>
        <family val="2"/>
        <charset val="162"/>
      </rPr>
      <t xml:space="preserve">    </t>
    </r>
  </si>
  <si>
    <r>
      <t xml:space="preserve">toplam </t>
    </r>
    <r>
      <rPr>
        <b/>
        <sz val="11"/>
        <color rgb="FF642523"/>
        <rFont val="Calibri"/>
        <family val="2"/>
        <charset val="162"/>
      </rPr>
      <t>kollektör adedine</t>
    </r>
    <r>
      <rPr>
        <sz val="11"/>
        <color indexed="8"/>
        <rFont val="Calibri"/>
        <family val="2"/>
        <charset val="162"/>
      </rPr>
      <t xml:space="preserve"> göre </t>
    </r>
  </si>
  <si>
    <r>
      <t xml:space="preserve">toplam </t>
    </r>
    <r>
      <rPr>
        <b/>
        <sz val="11"/>
        <color rgb="FF642523"/>
        <rFont val="Calibri"/>
        <family val="2"/>
        <charset val="162"/>
      </rPr>
      <t>kollektör m2 'ye</t>
    </r>
    <r>
      <rPr>
        <sz val="11"/>
        <color indexed="8"/>
        <rFont val="Calibri"/>
        <family val="2"/>
        <charset val="162"/>
      </rPr>
      <t xml:space="preserve"> göre </t>
    </r>
  </si>
  <si>
    <r>
      <t xml:space="preserve">                      Kollektör mevcutsa</t>
    </r>
    <r>
      <rPr>
        <b/>
        <i/>
        <sz val="11"/>
        <color rgb="FF642523"/>
        <rFont val="Calibri"/>
        <family val="2"/>
        <charset val="162"/>
      </rPr>
      <t xml:space="preserve"> toplam güneş kollektör güç hesabı</t>
    </r>
  </si>
  <si>
    <t>1 metre boru</t>
  </si>
  <si>
    <t>3.KAT</t>
  </si>
  <si>
    <t>2.KAT</t>
  </si>
  <si>
    <t>1.KAT</t>
  </si>
  <si>
    <t>ZEMİN KAT</t>
  </si>
  <si>
    <t>BODRUM KAT</t>
  </si>
  <si>
    <t>2.BODRUM KAT</t>
  </si>
  <si>
    <t>ÇATI KAT</t>
  </si>
  <si>
    <t>KATLAR</t>
  </si>
  <si>
    <t>m2/sarım</t>
  </si>
  <si>
    <t>boru  metrajı</t>
  </si>
  <si>
    <t>m</t>
  </si>
  <si>
    <t>TOPLAM</t>
  </si>
  <si>
    <r>
      <t xml:space="preserve">   </t>
    </r>
    <r>
      <rPr>
        <b/>
        <sz val="10"/>
        <color indexed="18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</t>
    </r>
    <r>
      <rPr>
        <sz val="10"/>
        <rFont val="Tahoma"/>
        <family val="2"/>
        <charset val="162"/>
      </rPr>
      <t xml:space="preserve">    </t>
    </r>
  </si>
  <si>
    <t xml:space="preserve">Toplam  boru </t>
  </si>
  <si>
    <t>W</t>
  </si>
  <si>
    <r>
      <t xml:space="preserve">Toplam </t>
    </r>
    <r>
      <rPr>
        <b/>
        <i/>
        <sz val="11"/>
        <color rgb="FF002060"/>
        <rFont val="Calibri"/>
        <family val="2"/>
        <charset val="162"/>
      </rPr>
      <t>Kw</t>
    </r>
  </si>
  <si>
    <r>
      <t xml:space="preserve"> Toplam </t>
    </r>
    <r>
      <rPr>
        <b/>
        <i/>
        <sz val="11"/>
        <color rgb="FF002060"/>
        <rFont val="Calibri"/>
        <family val="2"/>
        <charset val="162"/>
      </rPr>
      <t>kcal/h</t>
    </r>
  </si>
  <si>
    <t>metre</t>
  </si>
  <si>
    <t>HIZLI HESAPLAMA</t>
  </si>
  <si>
    <r>
      <rPr>
        <b/>
        <sz val="14"/>
        <color indexed="12"/>
        <rFont val="Arial Tur"/>
        <charset val="162"/>
      </rPr>
      <t>Zemin Kat</t>
    </r>
    <r>
      <rPr>
        <b/>
        <sz val="11"/>
        <color indexed="12"/>
        <rFont val="Arial Tur"/>
        <charset val="162"/>
      </rPr>
      <t xml:space="preserve">              </t>
    </r>
    <r>
      <rPr>
        <b/>
        <u/>
        <sz val="11"/>
        <color indexed="10"/>
        <rFont val="Arial Tur"/>
        <charset val="162"/>
      </rPr>
      <t>Yerden Isıtma Sistemi ( Rehau )</t>
    </r>
  </si>
  <si>
    <t>REHAU - RAUBASIC PE-Xa Boru 17*2</t>
  </si>
  <si>
    <t>REHAU-Sabitleyici Çengel</t>
  </si>
  <si>
    <t>REHAU- PE Folyo (Polietilen Şilte)</t>
  </si>
  <si>
    <t>3 cm Sert Strafor</t>
  </si>
  <si>
    <r>
      <t xml:space="preserve">REHAU Noppenplatte </t>
    </r>
    <r>
      <rPr>
        <b/>
        <sz val="9"/>
        <rFont val="Arial Tur"/>
        <charset val="162"/>
      </rPr>
      <t>40</t>
    </r>
    <r>
      <rPr>
        <sz val="9"/>
        <rFont val="Arial Tur"/>
        <charset val="162"/>
      </rPr>
      <t xml:space="preserve"> dansite</t>
    </r>
  </si>
  <si>
    <t>REHAU-Kenar Izolasyon Bandı Kendinden Yapışkanlı</t>
  </si>
  <si>
    <t>Aluminyum folyo bant</t>
  </si>
  <si>
    <t>Sipral kılıf yerli</t>
  </si>
  <si>
    <t>REHAU Debi Göstergeli                           Paslanmaz Çelik Kolektör</t>
  </si>
  <si>
    <t>lü</t>
  </si>
  <si>
    <t>Vana adaptörü VA91</t>
  </si>
  <si>
    <t>REHAU-Boru Bağlantı Rakoru, çap 17</t>
  </si>
  <si>
    <t>REHAU-Kavis Dirsek Çelik</t>
  </si>
  <si>
    <t>REHAU-Termostatik Vana (230 V)</t>
  </si>
  <si>
    <t>Kontrol Paneli Nea H (Isıtma) – Pompa kontrol fonk. hariç 230 V</t>
  </si>
  <si>
    <t>REHAU-Oda Termostatı Nea H 230 V</t>
  </si>
  <si>
    <t>Küresel vana, DN 25, 1” disi dis x 1”erkek dis</t>
  </si>
  <si>
    <t>Otomatik Prujör (Flonco)</t>
  </si>
  <si>
    <t>İstenen Oda Termostatı sayısı</t>
  </si>
  <si>
    <t>litre</t>
  </si>
  <si>
    <r>
      <t>REHAU-</t>
    </r>
    <r>
      <rPr>
        <b/>
        <sz val="9"/>
        <color rgb="FFFF0000"/>
        <rFont val="Arial Tur"/>
        <charset val="162"/>
      </rPr>
      <t>Şap Katkı Maddesi</t>
    </r>
    <r>
      <rPr>
        <sz val="9"/>
        <rFont val="Arial Tur"/>
        <charset val="162"/>
      </rPr>
      <t xml:space="preserve">                   </t>
    </r>
  </si>
  <si>
    <t>adet Bidon Şap Katkı Malzemesi</t>
  </si>
  <si>
    <t>SOĞUK SU TESİSATI</t>
  </si>
  <si>
    <t>YÜK BİRİMİ</t>
  </si>
  <si>
    <t>ADET</t>
  </si>
  <si>
    <t>TOPLAM YÜK BİRİMİ</t>
  </si>
  <si>
    <t>KOLON ÇAPI</t>
  </si>
  <si>
    <t>TEMİZ SU Y. B. GÖRE BORU ÇAPLARI</t>
  </si>
  <si>
    <t>0 - 1,5</t>
  </si>
  <si>
    <t>1/2"</t>
  </si>
  <si>
    <t>EVYE</t>
  </si>
  <si>
    <t>2 - 6</t>
  </si>
  <si>
    <t>3/4"</t>
  </si>
  <si>
    <t>TERMOSİFON</t>
  </si>
  <si>
    <t>6,5 - 15</t>
  </si>
  <si>
    <t>1"</t>
  </si>
  <si>
    <t>ÇAM. MUSLUĞU</t>
  </si>
  <si>
    <t>15,5 - 41</t>
  </si>
  <si>
    <t>1 1/4"</t>
  </si>
  <si>
    <t>41,5 - 150</t>
  </si>
  <si>
    <t>1 1/2"</t>
  </si>
  <si>
    <t>BİDE</t>
  </si>
  <si>
    <t>150,5 - 250</t>
  </si>
  <si>
    <t>2"</t>
  </si>
  <si>
    <t>PİSUAR</t>
  </si>
  <si>
    <t>250,5 - 800</t>
  </si>
  <si>
    <t>2 1/2"</t>
  </si>
  <si>
    <t>KLOZET</t>
  </si>
  <si>
    <t>KURNA</t>
  </si>
  <si>
    <r>
      <t xml:space="preserve">SIHHİ TESİSAT BORU ÇAPI HESAP CETVELİ - </t>
    </r>
    <r>
      <rPr>
        <b/>
        <i/>
        <sz val="12"/>
        <rFont val="Arial Tur"/>
        <family val="2"/>
        <charset val="162"/>
      </rPr>
      <t>SOĞUK SU</t>
    </r>
  </si>
  <si>
    <t>SICAK SU TESİSATI</t>
  </si>
  <si>
    <t>SICAK SU Y. B. GÖRE BORU ÇAPLARI</t>
  </si>
  <si>
    <t>2,0 - 4,5</t>
  </si>
  <si>
    <t>5,0 - 12,0</t>
  </si>
  <si>
    <t>12,5 - 25,0</t>
  </si>
  <si>
    <t>25,5 - 40,0</t>
  </si>
  <si>
    <t>40,5 - 50,0</t>
  </si>
  <si>
    <t>50,5 - 100,0</t>
  </si>
  <si>
    <t>100 - 500</t>
  </si>
  <si>
    <t>3"</t>
  </si>
  <si>
    <t>PİS SU TESİSATI</t>
  </si>
  <si>
    <t>PİS SU Y. B. GÖRE BORU ÇAPLARI</t>
  </si>
  <si>
    <t>ÇAP</t>
  </si>
  <si>
    <t>DÜŞEY</t>
  </si>
  <si>
    <t>YATAY</t>
  </si>
  <si>
    <t>HELA</t>
  </si>
  <si>
    <t>Ø 50</t>
  </si>
  <si>
    <t>-</t>
  </si>
  <si>
    <t>Ø 70</t>
  </si>
  <si>
    <t>Ø 100</t>
  </si>
  <si>
    <t>YER SÜZGECİ</t>
  </si>
  <si>
    <t>Ø 125</t>
  </si>
  <si>
    <t>Ø 150</t>
  </si>
  <si>
    <r>
      <t xml:space="preserve">SIHHİ TESİSAT BORU ÇAPI HESAP CETVELİ - </t>
    </r>
    <r>
      <rPr>
        <b/>
        <i/>
        <sz val="12"/>
        <rFont val="Arial Tur"/>
        <family val="2"/>
        <charset val="162"/>
      </rPr>
      <t>PİS SU</t>
    </r>
  </si>
  <si>
    <r>
      <t xml:space="preserve">SIHHİ TESİSAT BORU ÇAPI HESAP CETVELİ - </t>
    </r>
    <r>
      <rPr>
        <b/>
        <i/>
        <sz val="12"/>
        <rFont val="Arial Tur"/>
        <family val="2"/>
        <charset val="162"/>
      </rPr>
      <t>SICAK SU</t>
    </r>
  </si>
  <si>
    <t>C- KOLLEKTÖR HESABI</t>
  </si>
  <si>
    <t>Kazan Kapasitesi Q =</t>
  </si>
  <si>
    <r>
      <rPr>
        <sz val="16"/>
        <color theme="1"/>
        <rFont val="Symbol"/>
        <family val="1"/>
        <charset val="2"/>
      </rPr>
      <t>D</t>
    </r>
    <r>
      <rPr>
        <sz val="16"/>
        <color theme="1"/>
        <rFont val="Calibri"/>
        <family val="2"/>
        <charset val="162"/>
        <scheme val="minor"/>
      </rPr>
      <t>T(Sıcaklık Farkı) =</t>
    </r>
  </si>
  <si>
    <t>Su Debisi (m) =</t>
  </si>
  <si>
    <t>m3/s</t>
  </si>
  <si>
    <t xml:space="preserve">suyun yoğunluğu (30 -50°C)  q = </t>
  </si>
  <si>
    <t>kg/m3</t>
  </si>
  <si>
    <t xml:space="preserve">suyun özgül ısısı (30 -50°C) cp = </t>
  </si>
  <si>
    <t>kj/kg°C</t>
  </si>
  <si>
    <t xml:space="preserve">suyun akış hızı V = </t>
  </si>
  <si>
    <t xml:space="preserve">          </t>
  </si>
  <si>
    <t>D1 (Çap) =</t>
  </si>
  <si>
    <t>D2 (Çap) =</t>
  </si>
  <si>
    <t>A1 =</t>
  </si>
  <si>
    <t>cm</t>
  </si>
  <si>
    <t>A2 =</t>
  </si>
  <si>
    <t xml:space="preserve">                       </t>
  </si>
  <si>
    <t>A3 =</t>
  </si>
  <si>
    <t>suyun yoğunluğu (30 -50°C 'de) q= 992,1 kg/m3</t>
  </si>
  <si>
    <t>suyun özgül ısısı (30 -50 °C 'de) cp= 4,179 kj/kg°C</t>
  </si>
  <si>
    <t>suyun akış hızı  V= 0,7 m/s</t>
  </si>
  <si>
    <r>
      <t xml:space="preserve">yerden ısıtma ( </t>
    </r>
    <r>
      <rPr>
        <sz val="11"/>
        <color theme="1"/>
        <rFont val="Symbol"/>
        <family val="1"/>
        <charset val="2"/>
      </rPr>
      <t>D</t>
    </r>
    <r>
      <rPr>
        <sz val="11"/>
        <rFont val="Calibri"/>
        <family val="2"/>
        <charset val="162"/>
      </rPr>
      <t xml:space="preserve">T sıcaklık farkı) 10°C =     30 - 40°C </t>
    </r>
  </si>
  <si>
    <r>
      <t xml:space="preserve">boyler ( </t>
    </r>
    <r>
      <rPr>
        <sz val="11"/>
        <color theme="1"/>
        <rFont val="Symbol"/>
        <family val="1"/>
        <charset val="2"/>
      </rPr>
      <t>D</t>
    </r>
    <r>
      <rPr>
        <sz val="11"/>
        <rFont val="Calibri"/>
        <family val="2"/>
        <charset val="162"/>
      </rPr>
      <t>T sıcaklık farkı) 15°C =                   45 - 60°C</t>
    </r>
  </si>
  <si>
    <r>
      <t xml:space="preserve">hamam ( </t>
    </r>
    <r>
      <rPr>
        <sz val="11"/>
        <color theme="1"/>
        <rFont val="Symbol"/>
        <family val="1"/>
        <charset val="2"/>
      </rPr>
      <t>D</t>
    </r>
    <r>
      <rPr>
        <sz val="11"/>
        <rFont val="Calibri"/>
        <family val="2"/>
        <charset val="162"/>
      </rPr>
      <t>T sıcaklık farkı) 10°C =                 50 - 60°C</t>
    </r>
  </si>
  <si>
    <r>
      <t xml:space="preserve">havuz ( </t>
    </r>
    <r>
      <rPr>
        <sz val="11"/>
        <color theme="1"/>
        <rFont val="Symbol"/>
        <family val="1"/>
        <charset val="2"/>
      </rPr>
      <t>D</t>
    </r>
    <r>
      <rPr>
        <sz val="11"/>
        <rFont val="Calibri"/>
        <family val="2"/>
        <charset val="162"/>
      </rPr>
      <t>T sıcaklık farkı) 15°C =                    45 - 60°C (eşanjör tarafı)</t>
    </r>
  </si>
  <si>
    <r>
      <t xml:space="preserve">Prog.Hazırlayan: </t>
    </r>
    <r>
      <rPr>
        <b/>
        <sz val="8"/>
        <color rgb="FF800000"/>
        <rFont val="Arial"/>
        <family val="2"/>
        <charset val="162"/>
      </rPr>
      <t xml:space="preserve">Yunus TUFAN </t>
    </r>
    <r>
      <rPr>
        <b/>
        <sz val="8"/>
        <color rgb="FF003366"/>
        <rFont val="Arial"/>
        <family val="2"/>
        <charset val="162"/>
      </rPr>
      <t xml:space="preserve">   </t>
    </r>
    <r>
      <rPr>
        <b/>
        <sz val="8"/>
        <color rgb="FF99CC00"/>
        <rFont val="Arial"/>
        <family val="2"/>
        <charset val="162"/>
      </rPr>
      <t xml:space="preserve"> </t>
    </r>
  </si>
  <si>
    <r>
      <t xml:space="preserve">           </t>
    </r>
    <r>
      <rPr>
        <b/>
        <sz val="8"/>
        <color rgb="FF800000"/>
        <rFont val="Arial"/>
        <family val="2"/>
        <charset val="162"/>
      </rPr>
      <t xml:space="preserve"> yunustufan71@hotmail.com</t>
    </r>
    <r>
      <rPr>
        <b/>
        <sz val="8"/>
        <color rgb="FF003366"/>
        <rFont val="Arial"/>
        <family val="2"/>
        <charset val="162"/>
      </rPr>
      <t xml:space="preserve"> </t>
    </r>
  </si>
  <si>
    <t xml:space="preserve">KAZAN KAPASİTESİNİ GİRİNİZ   </t>
  </si>
  <si>
    <t>(kcal/h)</t>
  </si>
  <si>
    <t>ISITMA TİPİNİ SEÇİNİZ</t>
  </si>
  <si>
    <t>YERDEN ISITMA</t>
  </si>
  <si>
    <t>PANEL RADYATÖR</t>
  </si>
  <si>
    <t>EN</t>
  </si>
  <si>
    <t>BOY</t>
  </si>
  <si>
    <t>YÜKSEKLİK</t>
  </si>
  <si>
    <t>ÇELİK RADYATÖR</t>
  </si>
  <si>
    <t>DÖKÜM RADYATÖR</t>
  </si>
  <si>
    <t>BİNA ÖLÇÜLERİNİ GİRİNİZ (m)</t>
  </si>
  <si>
    <t>TESİSATIN SU HACMİ</t>
  </si>
  <si>
    <t>GENLEŞEN SU HACMİ</t>
  </si>
  <si>
    <t>KAZAN KAPASİTESİ (kW)</t>
  </si>
  <si>
    <r>
      <t>POMPA DEBİSİ (m</t>
    </r>
    <r>
      <rPr>
        <b/>
        <sz val="10"/>
        <rFont val="Arial"/>
        <family val="2"/>
        <charset val="162"/>
      </rPr>
      <t>³</t>
    </r>
    <r>
      <rPr>
        <b/>
        <sz val="10"/>
        <rFont val="Times New Roman"/>
        <family val="1"/>
        <charset val="162"/>
      </rPr>
      <t>/h</t>
    </r>
    <r>
      <rPr>
        <b/>
        <sz val="10"/>
        <rFont val="Arial"/>
        <family val="2"/>
        <charset val="162"/>
      </rPr>
      <t>)</t>
    </r>
  </si>
  <si>
    <t>BASMA YÜKSEKLİĞİ (mSS)</t>
  </si>
  <si>
    <t>SİSTEM SOĞUKKEN SU HACMİ</t>
  </si>
  <si>
    <t>P AÇMA</t>
  </si>
  <si>
    <t>NOT:</t>
  </si>
  <si>
    <t>3-4 KATLI BİNALARDA MAKS. 3 - 4 mSS</t>
  </si>
  <si>
    <t>P EMNİYET</t>
  </si>
  <si>
    <t>10 KATA KADAR MAKS. 4 - 5 mSS</t>
  </si>
  <si>
    <t>KAPALI GENLEŞME TANKI</t>
  </si>
  <si>
    <t>P STATİK</t>
  </si>
  <si>
    <t>10 KATTAN YÜKSEK 6 - ~~~</t>
  </si>
  <si>
    <t>TANK HACMİ</t>
  </si>
  <si>
    <t>EMNİYET BASINCI</t>
  </si>
  <si>
    <t>AÇMA BASINCI</t>
  </si>
  <si>
    <t>GENLEŞME TANKI HACMİ</t>
  </si>
  <si>
    <t>Düşük Kayıplı Denge Kabı Hesabı</t>
  </si>
  <si>
    <t xml:space="preserve"> Kapasite</t>
  </si>
  <si>
    <t>kW</t>
  </si>
  <si>
    <t xml:space="preserve"> Delta T Flow and Return standard 20 K</t>
  </si>
  <si>
    <t xml:space="preserve"> heat coefficient water</t>
  </si>
  <si>
    <t>kJ / kg.K</t>
  </si>
  <si>
    <t xml:space="preserve"> Su akışı</t>
  </si>
  <si>
    <t>kg / s</t>
  </si>
  <si>
    <t xml:space="preserve"> Maximum akış hızı D2 &lt; 1 m/s</t>
  </si>
  <si>
    <t>m / s</t>
  </si>
  <si>
    <t xml:space="preserve"> Surface</t>
  </si>
  <si>
    <r>
      <t>mm</t>
    </r>
    <r>
      <rPr>
        <vertAlign val="superscript"/>
        <sz val="10"/>
        <rFont val="Arial"/>
        <family val="2"/>
      </rPr>
      <t>2</t>
    </r>
  </si>
  <si>
    <t>HİDROLİK SEPARETÖR</t>
  </si>
  <si>
    <t xml:space="preserve"> Denge kabı boyu</t>
  </si>
  <si>
    <t>PRİMER(KAZAN TARAFI)</t>
  </si>
  <si>
    <t>SEKONDER (ISITMA TESİSATI TARAFI)</t>
  </si>
  <si>
    <t xml:space="preserve"> Denge kabı çapı</t>
  </si>
  <si>
    <t>kollektör çapı</t>
  </si>
  <si>
    <t xml:space="preserve"> PRİMER(Kazan Tarafı aks ölçüsü)</t>
  </si>
  <si>
    <t>SEKONDER (Isıtma Tesisatı Tarafı aks ölçüsü)</t>
  </si>
  <si>
    <r>
      <t>m</t>
    </r>
    <r>
      <rPr>
        <vertAlign val="superscript"/>
        <sz val="10"/>
        <rFont val="Trebuchet MS"/>
        <family val="2"/>
        <charset val="162"/>
      </rPr>
      <t>2</t>
    </r>
  </si>
  <si>
    <t>Btu/h</t>
  </si>
  <si>
    <t>yunustufan71@hotmail.com</t>
  </si>
  <si>
    <t>Soğutulacak alan:</t>
  </si>
  <si>
    <t>Soğutma ihtiyacı:</t>
  </si>
  <si>
    <t>Doğu Anadolu</t>
  </si>
  <si>
    <t>Ege</t>
  </si>
  <si>
    <t>Güneydoğu Anadolu</t>
  </si>
  <si>
    <t>İç Anadolu</t>
  </si>
  <si>
    <t>Karadeniz</t>
  </si>
  <si>
    <t>Bölge Katsayısı :</t>
  </si>
  <si>
    <t xml:space="preserve">Marmara </t>
  </si>
  <si>
    <t xml:space="preserve">Akdeniz  </t>
  </si>
  <si>
    <t>Bölge Katsayıları</t>
  </si>
  <si>
    <t>Kişi Sayısı :</t>
  </si>
  <si>
    <t>Aydınlatma 500W üzeri FAZLALIK :</t>
  </si>
  <si>
    <t>m2 'ye düşen yağmur miktarı</t>
  </si>
  <si>
    <t>(kg/m2)</t>
  </si>
  <si>
    <t>Q = A x V</t>
  </si>
  <si>
    <t>Boru Çapı</t>
  </si>
  <si>
    <t>Ø</t>
  </si>
  <si>
    <t>Q=Debi ( m3/sn )</t>
  </si>
  <si>
    <t>A=Alan ( m2 )</t>
  </si>
  <si>
    <t>V= Su akış hızı (m/sn)</t>
  </si>
  <si>
    <t>günlük toplamda düşen yağmur miktarı</t>
  </si>
  <si>
    <t>V (m/sn)</t>
  </si>
  <si>
    <t>min 0,6 m/sn</t>
  </si>
  <si>
    <t>max 3,5 m/sn</t>
  </si>
  <si>
    <t>Boru doluluğu</t>
  </si>
  <si>
    <t>açık balkon varsa yağmur gören alanlara eklenir</t>
  </si>
  <si>
    <t>Yağmur gören çatı alan toplamı</t>
  </si>
  <si>
    <t>A =</t>
  </si>
  <si>
    <t>(m2)</t>
  </si>
  <si>
    <t>boru iç alanı</t>
  </si>
  <si>
    <t>m3/sn</t>
  </si>
  <si>
    <t>lt/sn</t>
  </si>
  <si>
    <r>
      <rPr>
        <sz val="11"/>
        <rFont val="Calibri"/>
        <family val="2"/>
        <charset val="162"/>
      </rPr>
      <t>Boru Doluluk yüzdesine göre Debi</t>
    </r>
    <r>
      <rPr>
        <b/>
        <sz val="11"/>
        <rFont val="Calibri"/>
        <family val="2"/>
        <charset val="162"/>
      </rPr>
      <t xml:space="preserve">  Q =</t>
    </r>
  </si>
  <si>
    <t>Q =</t>
  </si>
  <si>
    <r>
      <t xml:space="preserve">1 Saat te borudan geçebilecek </t>
    </r>
    <r>
      <rPr>
        <sz val="11"/>
        <rFont val="Calibri"/>
        <family val="2"/>
        <charset val="162"/>
      </rPr>
      <t xml:space="preserve"> Debi</t>
    </r>
    <r>
      <rPr>
        <b/>
        <sz val="11"/>
        <rFont val="Calibri"/>
        <family val="2"/>
        <charset val="162"/>
      </rPr>
      <t xml:space="preserve">  Q =</t>
    </r>
  </si>
  <si>
    <t>Çatı Alanına toplam düşen yağmur miktarı</t>
  </si>
  <si>
    <t>kg</t>
  </si>
  <si>
    <t>Hesaplanan</t>
  </si>
  <si>
    <t>YAĞMUR SUYU HESABI</t>
  </si>
  <si>
    <t>(düşey boru)</t>
  </si>
  <si>
    <t>(yatay boru)</t>
  </si>
  <si>
    <t xml:space="preserve">İhtiyacımız olan Boru yüzey alanı </t>
  </si>
  <si>
    <t>PP-R</t>
  </si>
  <si>
    <t>PE</t>
  </si>
  <si>
    <t>Ø 20</t>
  </si>
  <si>
    <t>Ø 16</t>
  </si>
  <si>
    <t>Ø 25</t>
  </si>
  <si>
    <t>Ø 32</t>
  </si>
  <si>
    <t>Ø 40</t>
  </si>
  <si>
    <t>Ø 63</t>
  </si>
  <si>
    <t>Ø 75</t>
  </si>
  <si>
    <t>Ø 90</t>
  </si>
  <si>
    <t>maksimum Yük Birimi</t>
  </si>
  <si>
    <t>Q=AxV</t>
  </si>
  <si>
    <t>Q(m3/h)</t>
  </si>
  <si>
    <t>A(m2)</t>
  </si>
  <si>
    <t>V(m/s)</t>
  </si>
  <si>
    <t>h=SAAT</t>
  </si>
  <si>
    <t>s=saniye</t>
  </si>
  <si>
    <t>DEBİ</t>
  </si>
  <si>
    <t>ALAN</t>
  </si>
  <si>
    <t>HIZ</t>
  </si>
  <si>
    <t>Formül</t>
  </si>
  <si>
    <t>Q(Debi)</t>
  </si>
  <si>
    <t>Alan</t>
  </si>
  <si>
    <t>hız max 7-8 m/sn</t>
  </si>
  <si>
    <t>400Pa</t>
  </si>
  <si>
    <t>Kanal Kesit Hesabı</t>
  </si>
  <si>
    <t>menfez efektif alan %</t>
  </si>
  <si>
    <t>menfez efektif alan %55-70</t>
  </si>
  <si>
    <t>Kutuya giriş adedi</t>
  </si>
  <si>
    <t>Kutu Debisi</t>
  </si>
  <si>
    <t>çap</t>
  </si>
  <si>
    <t>kare Bir Kenarı</t>
  </si>
  <si>
    <t>1 kutunun giriş alanı</t>
  </si>
  <si>
    <t>daire</t>
  </si>
  <si>
    <t>CM</t>
  </si>
  <si>
    <t>WC FAN için Kanal veya spiro Basınç Kaybı Hesabı (Pa)</t>
  </si>
  <si>
    <t>Toplam</t>
  </si>
  <si>
    <t>l/s</t>
  </si>
  <si>
    <t>litre/sn</t>
  </si>
  <si>
    <t>di =</t>
  </si>
  <si>
    <t>doluluk oranı %20 - %33</t>
  </si>
  <si>
    <t>boru pürüzlülük</t>
  </si>
  <si>
    <t>f =</t>
  </si>
  <si>
    <t xml:space="preserve">kb = </t>
  </si>
  <si>
    <t xml:space="preserve">m2 </t>
  </si>
  <si>
    <t xml:space="preserve"> l /sxha</t>
  </si>
  <si>
    <t xml:space="preserve"> l/s</t>
  </si>
  <si>
    <t>Çatı Alanı (A) =</t>
  </si>
  <si>
    <t>Yağış şiddeti (Tablo2 den bak) (r) =</t>
  </si>
  <si>
    <t>Yağış Miktarı (Qr) =</t>
  </si>
  <si>
    <t>Yağmur Boru adedi (iniş sayısı) =</t>
  </si>
  <si>
    <t>bir adet yağmur boru kapasitesi =</t>
  </si>
  <si>
    <t xml:space="preserve">Hesaplanan Yağmur Borusu iç çapı (di) = </t>
  </si>
  <si>
    <t>Boru Çapına göre debi hesabı</t>
  </si>
  <si>
    <t>Debiye göre Boru çapı hesabı</t>
  </si>
  <si>
    <t>L (metre) =</t>
  </si>
  <si>
    <t>Düz Boru için Basınç Farkı</t>
  </si>
  <si>
    <t>l =</t>
  </si>
  <si>
    <r>
      <t>D</t>
    </r>
    <r>
      <rPr>
        <b/>
        <sz val="14"/>
        <rFont val="Calibri"/>
        <family val="2"/>
        <charset val="162"/>
        <scheme val="minor"/>
      </rPr>
      <t>P</t>
    </r>
    <r>
      <rPr>
        <b/>
        <sz val="14"/>
        <rFont val="Symbol"/>
        <family val="1"/>
        <charset val="2"/>
      </rPr>
      <t xml:space="preserve"> =</t>
    </r>
  </si>
  <si>
    <r>
      <t>( D</t>
    </r>
    <r>
      <rPr>
        <b/>
        <sz val="14"/>
        <rFont val="Calibri"/>
        <family val="2"/>
        <charset val="162"/>
        <scheme val="minor"/>
      </rPr>
      <t>P )</t>
    </r>
    <r>
      <rPr>
        <b/>
        <sz val="14"/>
        <rFont val="Symbol"/>
        <family val="1"/>
        <charset val="2"/>
      </rPr>
      <t xml:space="preserve"> </t>
    </r>
  </si>
  <si>
    <t>d ( Çap Metre) =</t>
  </si>
  <si>
    <t>V (m/s) =</t>
  </si>
  <si>
    <t>Pa</t>
  </si>
  <si>
    <t>Dirsek,Te,Vb. Basınç Farkı</t>
  </si>
  <si>
    <t>k =</t>
  </si>
  <si>
    <t>1,2kg/m3</t>
  </si>
  <si>
    <t>r =</t>
  </si>
  <si>
    <r>
      <t>D</t>
    </r>
    <r>
      <rPr>
        <b/>
        <sz val="14"/>
        <rFont val="Calibri"/>
        <family val="2"/>
        <charset val="162"/>
        <scheme val="minor"/>
      </rPr>
      <t>P</t>
    </r>
    <r>
      <rPr>
        <b/>
        <sz val="11"/>
        <rFont val="Calibri"/>
        <family val="2"/>
        <charset val="162"/>
        <scheme val="minor"/>
      </rPr>
      <t>1</t>
    </r>
    <r>
      <rPr>
        <b/>
        <sz val="14"/>
        <rFont val="Symbol"/>
        <family val="1"/>
        <charset val="2"/>
      </rPr>
      <t xml:space="preserve"> =</t>
    </r>
  </si>
  <si>
    <t>Örnek Pantolon paça k = 0,15</t>
  </si>
  <si>
    <t>Örnek k =dirsek 90° =0.9</t>
  </si>
  <si>
    <r>
      <t>D</t>
    </r>
    <r>
      <rPr>
        <b/>
        <sz val="14"/>
        <rFont val="Calibri"/>
        <family val="2"/>
        <charset val="162"/>
        <scheme val="minor"/>
      </rPr>
      <t>P2</t>
    </r>
    <r>
      <rPr>
        <b/>
        <sz val="14"/>
        <rFont val="Symbol"/>
        <family val="1"/>
        <charset val="2"/>
      </rPr>
      <t xml:space="preserve"> =</t>
    </r>
  </si>
  <si>
    <r>
      <t>D</t>
    </r>
    <r>
      <rPr>
        <b/>
        <sz val="14"/>
        <rFont val="Calibri"/>
        <family val="2"/>
        <charset val="162"/>
        <scheme val="minor"/>
      </rPr>
      <t>P3</t>
    </r>
    <r>
      <rPr>
        <b/>
        <sz val="14"/>
        <rFont val="Symbol"/>
        <family val="1"/>
        <charset val="2"/>
      </rPr>
      <t xml:space="preserve"> =</t>
    </r>
  </si>
  <si>
    <r>
      <t>D</t>
    </r>
    <r>
      <rPr>
        <b/>
        <sz val="14"/>
        <rFont val="Calibri"/>
        <family val="2"/>
        <charset val="162"/>
        <scheme val="minor"/>
      </rPr>
      <t>P4</t>
    </r>
    <r>
      <rPr>
        <b/>
        <sz val="14"/>
        <rFont val="Symbol"/>
        <family val="1"/>
        <charset val="2"/>
      </rPr>
      <t xml:space="preserve"> =</t>
    </r>
  </si>
  <si>
    <r>
      <t>D</t>
    </r>
    <r>
      <rPr>
        <b/>
        <sz val="14"/>
        <rFont val="Calibri"/>
        <family val="2"/>
        <charset val="162"/>
        <scheme val="minor"/>
      </rPr>
      <t>P</t>
    </r>
    <r>
      <rPr>
        <b/>
        <sz val="10"/>
        <rFont val="Calibri"/>
        <family val="2"/>
        <charset val="162"/>
        <scheme val="minor"/>
      </rPr>
      <t>Toplam</t>
    </r>
    <r>
      <rPr>
        <b/>
        <sz val="14"/>
        <rFont val="Symbol"/>
        <family val="1"/>
        <charset val="2"/>
      </rPr>
      <t xml:space="preserve"> =</t>
    </r>
  </si>
  <si>
    <t>Art. No</t>
  </si>
  <si>
    <t>Rehau Atık Su Malzeme Listesi</t>
  </si>
  <si>
    <t>Birim</t>
  </si>
  <si>
    <t>Sipariş Listesi</t>
  </si>
  <si>
    <t>120094-005</t>
  </si>
  <si>
    <t>RAUPIANO Plus-Muflu Sessiz Atık Su Borusu  50 * 150</t>
  </si>
  <si>
    <t>Adet</t>
  </si>
  <si>
    <t>120104-005</t>
  </si>
  <si>
    <t>RAUPIANO Plus-Muflu Sessiz Atık Su Borusu  50 * 250</t>
  </si>
  <si>
    <t>120114-005</t>
  </si>
  <si>
    <t>RAUPIANO Plus-Muflu Sessiz Atık Su Borusu  50 * 500</t>
  </si>
  <si>
    <t>120124-006</t>
  </si>
  <si>
    <t>RAUPIANO Plus-Muflu Sessiz Atık Su Borusu  50 * 750</t>
  </si>
  <si>
    <t>120134-200</t>
  </si>
  <si>
    <t>RAUPIANO Plus-Muflu Sessiz Atık Su Borusu  50 * 1000</t>
  </si>
  <si>
    <t>120144-200</t>
  </si>
  <si>
    <t>RAUPIANO Plus-Muflu Sessiz Atık Su Borusu  50 * 1500</t>
  </si>
  <si>
    <t>120154-200</t>
  </si>
  <si>
    <t>RAUPIANO Plus-Muflu Sessiz Atık Su Borusu  50 * 2000</t>
  </si>
  <si>
    <t>120934-200</t>
  </si>
  <si>
    <t>RAUPIANO Plus-Muflu Sessiz Atık Su Borusu  50 * 3000</t>
  </si>
  <si>
    <t>120174-005</t>
  </si>
  <si>
    <t>RAUPIANO Plus-Muflu Sessiz Atık Su Borusu  75 * 150</t>
  </si>
  <si>
    <t>120184-005</t>
  </si>
  <si>
    <t>RAUPIANO Plus-Muflu Sessiz Atık Su Borusu  75 * 250</t>
  </si>
  <si>
    <t>120194-004</t>
  </si>
  <si>
    <t>RAUPIANO Plus-Muflu Sessiz Atık Su Borusu  75 * 500</t>
  </si>
  <si>
    <t>120204-006</t>
  </si>
  <si>
    <t>RAUPIANO Plus-Muflu Sessiz Atık Su Borusu  75 * 750</t>
  </si>
  <si>
    <t>120214-200</t>
  </si>
  <si>
    <t>RAUPIANO Plus-Muflu Sessiz Atık Su Borusu  75 * 1000</t>
  </si>
  <si>
    <t>120224-200</t>
  </si>
  <si>
    <t>RAUPIANO Plus-Muflu Sessiz Atık Su Borusu  75 * 1500</t>
  </si>
  <si>
    <t>120234-600</t>
  </si>
  <si>
    <t>RAUPIANO Plus-Muflu Sessiz Atık Su Borusu  75 * 2000</t>
  </si>
  <si>
    <t>120944-200</t>
  </si>
  <si>
    <t>RAUPIANO Plus-Muflu Sessiz Atık Su Borusu  75 * 3000</t>
  </si>
  <si>
    <t>120254-003</t>
  </si>
  <si>
    <t>RAUPIANO Plus-Muflu Sessiz Atık Su Borusu  110 * 150</t>
  </si>
  <si>
    <t>120264-003</t>
  </si>
  <si>
    <t>RAUPIANO Plus-Muflu Sessiz Atık Su Borusu  110 * 250</t>
  </si>
  <si>
    <t>120274-005</t>
  </si>
  <si>
    <t>RAUPIANO Plus-Muflu Sessiz Atık Su Borusu  110 * 500</t>
  </si>
  <si>
    <t>120284-006</t>
  </si>
  <si>
    <t>RAUPIANO Plus-Muflu Sessiz Atık Su Borusu  110 * 750</t>
  </si>
  <si>
    <t>120294-200</t>
  </si>
  <si>
    <t>RAUPIANO Plus-Muflu Sessiz Atık Su Borusu  110 * 1000</t>
  </si>
  <si>
    <t>120304-200</t>
  </si>
  <si>
    <t>RAUPIANO Plus-Muflu Sessiz Atık Su Borusu  110 * 1500</t>
  </si>
  <si>
    <t>120314-200</t>
  </si>
  <si>
    <t>RAUPIANO Plus-Muflu Sessiz Atık Su Borusu  110 * 2000</t>
  </si>
  <si>
    <t>120324-600</t>
  </si>
  <si>
    <t>RAUPIANO Plus-Muflu Sessiz Atık Su Borusu  110 * 3000</t>
  </si>
  <si>
    <t>120664-001</t>
  </si>
  <si>
    <t>RAUPIANO Plus-Muflu Sessiz Atık Su Borusu  125 * 250</t>
  </si>
  <si>
    <t>120674-005</t>
  </si>
  <si>
    <t>RAUPIANO Plus-Muflu Sessiz Atık Su Borusu  125 * 500</t>
  </si>
  <si>
    <t>120694-200</t>
  </si>
  <si>
    <t>RAUPIANO Plus-Muflu Sessiz Atık Su Borusu  125 * 1000</t>
  </si>
  <si>
    <t>120704-200</t>
  </si>
  <si>
    <t>RAUPIANO Plus-Muflu Sessiz Atık Su Borusu  125 * 1500</t>
  </si>
  <si>
    <t>120714-200</t>
  </si>
  <si>
    <t>RAUPIANO Plus-Muflu Sessiz Atık Su Borusu  125 * 2000</t>
  </si>
  <si>
    <t>120724-200</t>
  </si>
  <si>
    <t>RAUPIANO Plus-Muflu Sessiz Atık Su Borusu  125 * 3000</t>
  </si>
  <si>
    <t>122954-004</t>
  </si>
  <si>
    <t>RAUPIANO Plus-Muflu Sessiz Atık Su Borusu  160 * 500</t>
  </si>
  <si>
    <t>121664-005</t>
  </si>
  <si>
    <t>RAUPIANO Plus-Muflu Sessiz Atık Su Borusu  160 * 1000</t>
  </si>
  <si>
    <t>121674-005</t>
  </si>
  <si>
    <t>RAUPIANO Plus-Muflu Sessiz Atık Su Borusu  160 * 2000</t>
  </si>
  <si>
    <t>121684-005</t>
  </si>
  <si>
    <t>RAUPIANO Plus-Muflu Sessiz Atık Su Borusu  160 * 3000</t>
  </si>
  <si>
    <t>123015-400</t>
  </si>
  <si>
    <t>RAUPIANO Plus-Muflu Sessiz Atık Su Borusu  200 * 1000</t>
  </si>
  <si>
    <t>123025-400</t>
  </si>
  <si>
    <t>RAUPIANO Plus-Muflu Sessiz Atık Su Borusu  200 * 2000</t>
  </si>
  <si>
    <t>123035-400</t>
  </si>
  <si>
    <t>RAUPIANO Plus-Muflu Sessiz Atık Su Borusu  200 * 3000</t>
  </si>
  <si>
    <t>Ø75</t>
  </si>
  <si>
    <t>METRE</t>
  </si>
  <si>
    <t xml:space="preserve">Ø50 </t>
  </si>
  <si>
    <t xml:space="preserve">Ø110 </t>
  </si>
  <si>
    <t xml:space="preserve">Ø125 </t>
  </si>
  <si>
    <t xml:space="preserve">Ø160 </t>
  </si>
  <si>
    <t xml:space="preserve">Ø200 </t>
  </si>
  <si>
    <r>
      <rPr>
        <b/>
        <sz val="11"/>
        <rFont val="Calibri"/>
        <family val="2"/>
        <charset val="162"/>
      </rPr>
      <t>11/2'' Somunlu Kelepçe</t>
    </r>
    <r>
      <rPr>
        <sz val="11"/>
        <rFont val="Calibri"/>
        <family val="2"/>
        <charset val="162"/>
      </rPr>
      <t xml:space="preserve"> </t>
    </r>
    <r>
      <rPr>
        <b/>
        <sz val="11"/>
        <color rgb="FFFF0000"/>
        <rFont val="Calibri"/>
        <family val="2"/>
        <charset val="162"/>
      </rPr>
      <t xml:space="preserve"> 50 Atık Su Boruları</t>
    </r>
    <r>
      <rPr>
        <sz val="11"/>
        <rFont val="Calibri"/>
        <family val="2"/>
        <charset val="162"/>
      </rPr>
      <t xml:space="preserve">      48 - 53  mm,  M8</t>
    </r>
  </si>
  <si>
    <r>
      <rPr>
        <b/>
        <sz val="11"/>
        <rFont val="Calibri"/>
        <family val="2"/>
        <charset val="162"/>
      </rPr>
      <t>5'' Somunlu Kelepçe</t>
    </r>
    <r>
      <rPr>
        <sz val="11"/>
        <rFont val="Calibri"/>
        <family val="2"/>
        <charset val="162"/>
      </rPr>
      <t xml:space="preserve">  </t>
    </r>
    <r>
      <rPr>
        <b/>
        <sz val="11"/>
        <color rgb="FFFF0000"/>
        <rFont val="Calibri"/>
        <family val="2"/>
        <charset val="162"/>
      </rPr>
      <t>125 Atık Su Boruları</t>
    </r>
    <r>
      <rPr>
        <sz val="11"/>
        <rFont val="Calibri"/>
        <family val="2"/>
        <charset val="162"/>
      </rPr>
      <t xml:space="preserve">    135 - 143  mm,  M8</t>
    </r>
  </si>
  <si>
    <r>
      <t xml:space="preserve">Ortalama Hesaba göre İhtiyaç olan </t>
    </r>
    <r>
      <rPr>
        <b/>
        <sz val="16"/>
        <color theme="9" tint="-0.249977111117893"/>
        <rFont val="Calibri"/>
        <family val="2"/>
        <charset val="162"/>
      </rPr>
      <t>Atık SU</t>
    </r>
    <r>
      <rPr>
        <b/>
        <sz val="16"/>
        <rFont val="Calibri"/>
        <family val="2"/>
        <charset val="162"/>
      </rPr>
      <t xml:space="preserve"> Tesisat Kelepçe Adetleri</t>
    </r>
  </si>
  <si>
    <r>
      <rPr>
        <b/>
        <sz val="11"/>
        <rFont val="Calibri"/>
        <family val="2"/>
        <charset val="162"/>
      </rPr>
      <t>6" Somunlu Kelepçe</t>
    </r>
    <r>
      <rPr>
        <sz val="11"/>
        <rFont val="Calibri"/>
        <family val="2"/>
        <charset val="162"/>
      </rPr>
      <t xml:space="preserve">  </t>
    </r>
    <r>
      <rPr>
        <b/>
        <sz val="11"/>
        <color rgb="FFFF0000"/>
        <rFont val="Calibri"/>
        <family val="2"/>
        <charset val="162"/>
      </rPr>
      <t>160 Atık Su Boruları</t>
    </r>
    <r>
      <rPr>
        <sz val="11"/>
        <rFont val="Calibri"/>
        <family val="2"/>
        <charset val="162"/>
      </rPr>
      <t xml:space="preserve">    157 - 170  mm,  M10</t>
    </r>
  </si>
  <si>
    <t>Hilti</t>
  </si>
  <si>
    <r>
      <rPr>
        <b/>
        <sz val="11"/>
        <rFont val="Calibri"/>
        <family val="2"/>
        <charset val="162"/>
      </rPr>
      <t>8'' Somunlu Kelepçe</t>
    </r>
    <r>
      <rPr>
        <sz val="11"/>
        <rFont val="Calibri"/>
        <family val="2"/>
        <charset val="162"/>
      </rPr>
      <t xml:space="preserve">  </t>
    </r>
    <r>
      <rPr>
        <b/>
        <sz val="11"/>
        <color rgb="FFFF0000"/>
        <rFont val="Calibri"/>
        <family val="2"/>
        <charset val="162"/>
      </rPr>
      <t>200 Atık Su Boruları</t>
    </r>
    <r>
      <rPr>
        <sz val="11"/>
        <rFont val="Calibri"/>
        <family val="2"/>
        <charset val="162"/>
      </rPr>
      <t xml:space="preserve">    218 - 226  mm,  M10</t>
    </r>
  </si>
  <si>
    <t>Boyler Isıtma Pompası      (ihtiyaç debi)   Q=</t>
  </si>
  <si>
    <t>HAVA DEĞİŞİM KATSAYILARI</t>
  </si>
  <si>
    <t>HAVALANDIRILACAK
MAHAL ADI</t>
  </si>
  <si>
    <t>*ALAN</t>
  </si>
  <si>
    <t>Katsayı</t>
  </si>
  <si>
    <t>Debi</t>
  </si>
  <si>
    <t>Havalan
dırma
Yöntemi</t>
  </si>
  <si>
    <t>(m3/h/m2)</t>
  </si>
  <si>
    <t>(m3/h)</t>
  </si>
  <si>
    <t>LOKANTA/KAFETERYA</t>
  </si>
  <si>
    <t>Egzost
+Besleme</t>
  </si>
  <si>
    <t>LOK/KIZARTMA ALANI</t>
  </si>
  <si>
    <t>Egzost</t>
  </si>
  <si>
    <t>HUZUR/TATİL EVİ</t>
  </si>
  <si>
    <t>DUŞLAR</t>
  </si>
  <si>
    <t>SİGARA ODASI</t>
  </si>
  <si>
    <t>DÜKKAN</t>
  </si>
  <si>
    <t>FIRIN</t>
  </si>
  <si>
    <t>KAFE</t>
  </si>
  <si>
    <t>GAZİNO-KANTİN</t>
  </si>
  <si>
    <t>SİNEMA</t>
  </si>
  <si>
    <t>KUAFÖR</t>
  </si>
  <si>
    <t>KÜTÜPHANE</t>
  </si>
  <si>
    <t>TOPLANTI SALONU</t>
  </si>
  <si>
    <t>B.MAĞAZALAR</t>
  </si>
  <si>
    <t>OKULLAR</t>
  </si>
  <si>
    <t>OKUL-ODİTORYUM</t>
  </si>
  <si>
    <t>ÖZEL HAVUZ</t>
  </si>
  <si>
    <t>KAPALI YÜZME HAVUZU</t>
  </si>
  <si>
    <t>Egzost+
Isıt.Bes
leme</t>
  </si>
  <si>
    <t>OTELLER</t>
  </si>
  <si>
    <t>HAST.KORİDOR</t>
  </si>
  <si>
    <t>HAST.AMELİYATHANE</t>
  </si>
  <si>
    <t>HAST.BULAŞ HASKOĞ</t>
  </si>
  <si>
    <t>HAST.DOĞUMAHANE</t>
  </si>
  <si>
    <t>HAST.SALG HASKOĞ</t>
  </si>
  <si>
    <t>HAST.ÇOCUK HASTKO</t>
  </si>
  <si>
    <t>HAST.DİŞ BÖLÜMÜ</t>
  </si>
  <si>
    <t>HAST.BANYO</t>
  </si>
  <si>
    <t>HAST.BEKL ODASI</t>
  </si>
  <si>
    <t>HAMAM</t>
  </si>
  <si>
    <t>HAMAM Y.HAVUZU</t>
  </si>
  <si>
    <t>HAMAM.KÜV.BANYO</t>
  </si>
  <si>
    <t>HAMAM.BUHAR ODA</t>
  </si>
  <si>
    <t>HAMAM.SICAK HAVAO</t>
  </si>
  <si>
    <t>HAMAM.DUŞLAR</t>
  </si>
  <si>
    <t>ÖZEL BÜRO</t>
  </si>
  <si>
    <t>GENEL BÜRO</t>
  </si>
  <si>
    <t>BEKLEME SALONU</t>
  </si>
  <si>
    <t>MONTAJ ATÖLYESİ</t>
  </si>
  <si>
    <t>GENEL ATÖLYE</t>
  </si>
  <si>
    <t>ELLE VERNİK ATÖLYE</t>
  </si>
  <si>
    <t>TABANC VERNİK ATÖL</t>
  </si>
  <si>
    <t>LABORATUAR-DİGES</t>
  </si>
  <si>
    <t>MAK DAİ-KUV SANT</t>
  </si>
  <si>
    <t>AKÜ ODASI</t>
  </si>
  <si>
    <t>ÖLÇ-KONT ODASI</t>
  </si>
  <si>
    <t>RADYOEV-PROG SALO</t>
  </si>
  <si>
    <t>RADYOEV-KONUŞ OD</t>
  </si>
  <si>
    <t>FİLM ATÖLYESİ</t>
  </si>
  <si>
    <t>ÇH.ÇAMAŞIR YIKAMA</t>
  </si>
  <si>
    <t>ÇH.ÜTÜLEME ODASI</t>
  </si>
  <si>
    <t>ÇH.KURU TEMİZLEME</t>
  </si>
  <si>
    <t>BOYAHANE-ELLE</t>
  </si>
  <si>
    <t>SİS ALMA TESİS</t>
  </si>
  <si>
    <t>OZALİTHANE</t>
  </si>
  <si>
    <t>BÜYÜK GARAJ</t>
  </si>
  <si>
    <t>KÜÇÜK GARAJ</t>
  </si>
  <si>
    <t>DÜKÜMHANE</t>
  </si>
  <si>
    <t>ÇELİK ISIL İŞL.ATÖL.</t>
  </si>
  <si>
    <t>KAYNAK ATÖLYESİ</t>
  </si>
  <si>
    <t>ASANSÖR</t>
  </si>
  <si>
    <t>GENEL WC</t>
  </si>
  <si>
    <t>TRENLER</t>
  </si>
  <si>
    <t>KASA DAİRELERİ</t>
  </si>
  <si>
    <t>HAYVAN BARINAĞI(KÜMES)</t>
  </si>
  <si>
    <t>AHIRLAR</t>
  </si>
  <si>
    <t>SERA</t>
  </si>
  <si>
    <t>Yang.Merd.Basınçland</t>
  </si>
  <si>
    <t>TOPL H.DEBİSİ(m3/h)</t>
  </si>
  <si>
    <t>1 m³/h = 3600 m³/s</t>
  </si>
  <si>
    <t>HAVA DEBİSİ (Q)</t>
  </si>
  <si>
    <t>1 C.F.M. = 1,7 m³/h</t>
  </si>
  <si>
    <t>BASINÇ (P)</t>
  </si>
  <si>
    <t>1 Pa = 1N/m²</t>
  </si>
  <si>
    <t>1 mmSS = 9,8 Pa</t>
  </si>
  <si>
    <t>SAATTE HAVA DEĞİŞİM SAYISI</t>
  </si>
  <si>
    <t>10 - 15</t>
  </si>
  <si>
    <t>10- 15</t>
  </si>
  <si>
    <t>8- 12</t>
  </si>
  <si>
    <t>10</t>
  </si>
  <si>
    <t>3- 6</t>
  </si>
  <si>
    <t>2- 4</t>
  </si>
  <si>
    <t>8- 9</t>
  </si>
  <si>
    <t>Ev Tuvaletleri </t>
  </si>
  <si>
    <t>Ev MUTFAKLARI </t>
  </si>
  <si>
    <t xml:space="preserve">Giyinme Odaları    </t>
  </si>
  <si>
    <t>Oturma Odaları</t>
  </si>
  <si>
    <t>Yatak Odaları </t>
  </si>
  <si>
    <t xml:space="preserve">Lavabolar           </t>
  </si>
  <si>
    <t xml:space="preserve">Konut Çamaşırhane    </t>
  </si>
  <si>
    <t xml:space="preserve">Kilerler              </t>
  </si>
  <si>
    <t>7- 8</t>
  </si>
  <si>
    <t>20- 30</t>
  </si>
  <si>
    <t xml:space="preserve">Kazan daireleri </t>
  </si>
  <si>
    <t>Konut Bodrum</t>
  </si>
  <si>
    <t>3- 4</t>
  </si>
  <si>
    <t xml:space="preserve">Bodrum Otopark </t>
  </si>
  <si>
    <t>15- 30</t>
  </si>
  <si>
    <t>KONUT</t>
  </si>
  <si>
    <t>*Toplam kat adedi</t>
  </si>
  <si>
    <t>*Daire sayısı</t>
  </si>
  <si>
    <t>Hidrofor Üst Basıncı (Pü)=</t>
  </si>
  <si>
    <t>bar</t>
  </si>
  <si>
    <t>Hidrofor Alt Basıncı (Pa)=</t>
  </si>
  <si>
    <t>Hidrofor Pompa Debisi (Qmax)=</t>
  </si>
  <si>
    <t>Pompa Motor Gücü(Pm)=</t>
  </si>
  <si>
    <t>Hidrofor Tank Hacmi (Vt)=</t>
  </si>
  <si>
    <t>STANDART BORU ÇAPLARI</t>
  </si>
  <si>
    <t>DN(15,20,25,32,40,50,65,80,100,125,150)</t>
  </si>
  <si>
    <t>KONUT-BİNA SU DEPOSU  HESABI</t>
  </si>
  <si>
    <t>Daire Sayısı</t>
  </si>
  <si>
    <t>Bina Su
Deposu
Hacmi-m3</t>
  </si>
  <si>
    <t>HİDROFOR HESABI</t>
  </si>
  <si>
    <t>İŞYERİ</t>
  </si>
  <si>
    <t>*Lavabo sayısı</t>
  </si>
  <si>
    <t>*WC sayısı</t>
  </si>
  <si>
    <t>*Duş Sayısı</t>
  </si>
  <si>
    <t>*Eviye sayısı</t>
  </si>
  <si>
    <t>Watt</t>
  </si>
  <si>
    <t>İŞYERİ-BİNA SU DEPOSU  HESABI</t>
  </si>
  <si>
    <t xml:space="preserve">Kişi Sayısı
</t>
  </si>
  <si>
    <t>Kiş Başı 
Su Debisi
lt/gün-kişi</t>
  </si>
  <si>
    <t>Not: sarı renkler giriş değerleridir.</t>
  </si>
  <si>
    <r>
      <rPr>
        <b/>
        <sz val="9"/>
        <rFont val="Arial Tur"/>
        <charset val="162"/>
      </rPr>
      <t>Depolama</t>
    </r>
    <r>
      <rPr>
        <b/>
        <sz val="10"/>
        <rFont val="Arial Tur"/>
        <charset val="162"/>
      </rPr>
      <t xml:space="preserve">
Gün Adedi</t>
    </r>
  </si>
  <si>
    <t>DUŞ (Hans -Grohe)</t>
  </si>
  <si>
    <t>Malzeme No</t>
  </si>
  <si>
    <t>malzeme Tanımı</t>
  </si>
  <si>
    <t>456359-001</t>
  </si>
  <si>
    <t>RAUTITAN RX+,dış dişli dirsek      20 - R 3/4"</t>
  </si>
  <si>
    <t xml:space="preserve">RAUTITAN RX+ İç Dişli Duvar Dirseği Kulaklı Kısa   20 - Rp 1/2" </t>
  </si>
  <si>
    <t>456315-001</t>
  </si>
  <si>
    <t>RAUTITAN RX+ Dış Dişli Geçiş Parçası   20 - 3/4''</t>
  </si>
  <si>
    <t>138891-002</t>
  </si>
  <si>
    <t>RAUTITAN - Kavis Yaylı Dirsek 90°    20 Lik</t>
  </si>
  <si>
    <t>130380-100</t>
  </si>
  <si>
    <t>RAUTITAN flex Temiz Su Borusu Kangal     100 Metre    20 x 2,8 mm</t>
  </si>
  <si>
    <t>Standart Klozet (GEBERİT)</t>
  </si>
  <si>
    <t>RAUTITAN RX+ İç Dişli Geçiş T Parçası   16 - 1/2'' - 16</t>
  </si>
  <si>
    <t>456291-001</t>
  </si>
  <si>
    <t>456311-001</t>
  </si>
  <si>
    <t>RAUTITAN RX+ Dış Dişli Geçiş Parçası   16 - 1/2''</t>
  </si>
  <si>
    <t>456353-001</t>
  </si>
  <si>
    <t>RAUTITAN RX+ İç Dişli Kulaksız Dirsek-kısa   16 - 1/2''</t>
  </si>
  <si>
    <t>138881-002</t>
  </si>
  <si>
    <t>RAUTITAN - Kavis Yaylı Dirsek 90°    16 Lik</t>
  </si>
  <si>
    <t>130370-100</t>
  </si>
  <si>
    <t>RAUTITAN flex Temiz Su Borusu Kangal     100 Metre   16 x 2,2 mm</t>
  </si>
  <si>
    <t>Standart Lavabo (Dolaplı)</t>
  </si>
  <si>
    <t>160031-001</t>
  </si>
  <si>
    <t>RAUTITAN PX T-Parçası    16 - 16 - 16</t>
  </si>
  <si>
    <t>105529-008</t>
  </si>
  <si>
    <t>Tutucu 0 75/150 çift bağlantı için</t>
  </si>
  <si>
    <t>137345-001</t>
  </si>
  <si>
    <t>REHAU-Sabitleme Elemanı Dirsek Sabitlemek İçin</t>
  </si>
  <si>
    <t>Çamaşır Makinası</t>
  </si>
  <si>
    <t>105532-008</t>
  </si>
  <si>
    <t>Tutucu Z30, tekli bağlantı için</t>
  </si>
  <si>
    <t>456358-001</t>
  </si>
  <si>
    <t>RAUTITAN RX+ İç Dişli Duvar Dirseği Kulaklı Kısa   16 - 1/2''</t>
  </si>
  <si>
    <t>****Lavaboya yakın montaj olduğu için boru metrajı ilave edilmedi</t>
  </si>
  <si>
    <t>Bulaşık Makinası</t>
  </si>
  <si>
    <t>İhtiyaç</t>
  </si>
  <si>
    <t>1 Adet DUŞ için tahmini Kullanılacak Boru Metrajı</t>
  </si>
  <si>
    <t>1 Adet Klozet için tahmini Kullanılacak Boru Metrajı</t>
  </si>
  <si>
    <t>Daire (Çap)</t>
  </si>
  <si>
    <t>DİKDÖRTGEN (AxB)</t>
  </si>
  <si>
    <t>KARE  (AxA)</t>
  </si>
  <si>
    <t>SAAT</t>
  </si>
  <si>
    <t>saniye</t>
  </si>
  <si>
    <t>h</t>
  </si>
  <si>
    <t>s</t>
  </si>
  <si>
    <t>Örnek Kanal Tesisatı</t>
  </si>
  <si>
    <t>KANAL KESİT HESABI</t>
  </si>
  <si>
    <r>
      <rPr>
        <b/>
        <sz val="11"/>
        <rFont val="Calibri"/>
        <family val="2"/>
        <charset val="162"/>
      </rPr>
      <t>Bodrum Kat</t>
    </r>
    <r>
      <rPr>
        <sz val="11"/>
        <rFont val="Calibri"/>
        <family val="2"/>
        <charset val="162"/>
      </rPr>
      <t xml:space="preserve"> </t>
    </r>
    <r>
      <rPr>
        <b/>
        <sz val="11"/>
        <color rgb="FFFF0000"/>
        <rFont val="Calibri"/>
        <family val="2"/>
        <charset val="162"/>
      </rPr>
      <t>Sıcak su ve  Re- Sirkülasyon</t>
    </r>
    <r>
      <rPr>
        <sz val="11"/>
        <rFont val="Calibri"/>
        <family val="2"/>
        <charset val="162"/>
      </rPr>
      <t xml:space="preserve"> </t>
    </r>
    <r>
      <rPr>
        <b/>
        <sz val="11"/>
        <rFont val="Calibri"/>
        <family val="2"/>
        <charset val="162"/>
      </rPr>
      <t>boru hatının toplam uzunluğu =</t>
    </r>
  </si>
  <si>
    <r>
      <rPr>
        <b/>
        <sz val="11"/>
        <rFont val="Calibri"/>
        <family val="2"/>
        <charset val="162"/>
      </rPr>
      <t>Diğer katlardaki</t>
    </r>
    <r>
      <rPr>
        <sz val="11"/>
        <rFont val="Calibri"/>
        <family val="2"/>
        <charset val="162"/>
      </rPr>
      <t xml:space="preserve"> </t>
    </r>
    <r>
      <rPr>
        <b/>
        <sz val="11"/>
        <color rgb="FFFF0000"/>
        <rFont val="Calibri"/>
        <family val="2"/>
        <charset val="162"/>
      </rPr>
      <t>Sıcak su ve  Re- Sirkülasyon</t>
    </r>
    <r>
      <rPr>
        <sz val="11"/>
        <rFont val="Calibri"/>
        <family val="2"/>
        <charset val="162"/>
      </rPr>
      <t xml:space="preserve"> </t>
    </r>
    <r>
      <rPr>
        <b/>
        <sz val="11"/>
        <rFont val="Calibri"/>
        <family val="2"/>
        <charset val="162"/>
      </rPr>
      <t>boru hatının toplam uzunluğu =</t>
    </r>
  </si>
  <si>
    <t>Q (Watt)</t>
  </si>
  <si>
    <t>l/h</t>
  </si>
  <si>
    <t>Hesaplanan Re- Sirkülasyon pompa debisi</t>
  </si>
  <si>
    <t>Pompa basma yüksekliği</t>
  </si>
  <si>
    <t>Boyler Serpantin Yüzey Miktarı</t>
  </si>
  <si>
    <r>
      <rPr>
        <b/>
        <sz val="12"/>
        <rFont val="Symbol"/>
        <family val="1"/>
        <charset val="2"/>
      </rPr>
      <t>D</t>
    </r>
    <r>
      <rPr>
        <b/>
        <sz val="12"/>
        <rFont val="Tahoma"/>
        <family val="2"/>
        <charset val="162"/>
      </rPr>
      <t>t (°C) =</t>
    </r>
  </si>
  <si>
    <t>Re- Sirkülasyon sisteminin saatte istenen devri</t>
  </si>
  <si>
    <t>kere</t>
  </si>
  <si>
    <t>Re- Sirkülasyon Pompa debisi      Q=</t>
  </si>
  <si>
    <t>m2'ye    metre 
sarım</t>
  </si>
  <si>
    <t>kw</t>
  </si>
  <si>
    <t>emniyet ventili</t>
  </si>
  <si>
    <t>0,5bar</t>
  </si>
  <si>
    <t>1bar</t>
  </si>
  <si>
    <t>1,5bar</t>
  </si>
  <si>
    <t>0-5 metre</t>
  </si>
  <si>
    <t>5-10 metre</t>
  </si>
  <si>
    <t>10-15 metre</t>
  </si>
  <si>
    <t>basınç</t>
  </si>
  <si>
    <r>
      <t xml:space="preserve"> </t>
    </r>
    <r>
      <rPr>
        <sz val="12"/>
        <rFont val="Calibri"/>
        <family val="2"/>
        <charset val="162"/>
      </rPr>
      <t>S</t>
    </r>
    <r>
      <rPr>
        <sz val="11"/>
        <rFont val="Calibri"/>
        <family val="2"/>
        <charset val="162"/>
      </rPr>
      <t xml:space="preserve"> 1 1/4"</t>
    </r>
  </si>
  <si>
    <t>Kazan</t>
  </si>
  <si>
    <t>Istma Hattı için Kapalı Genleşme Tankı Seçimi</t>
  </si>
  <si>
    <t xml:space="preserve">statik  </t>
  </si>
  <si>
    <t>yükseklik -H</t>
  </si>
  <si>
    <t xml:space="preserve">Prog.Hazırlayan: Mak.Müh.Yunus TUFAN  </t>
  </si>
  <si>
    <t>Temiz Su Hattı için Kapalı Genleşme Tankı Seçimi</t>
  </si>
  <si>
    <t>Boyler</t>
  </si>
  <si>
    <r>
      <t xml:space="preserve">genleşme </t>
    </r>
    <r>
      <rPr>
        <b/>
        <sz val="11"/>
        <rFont val="Calibri"/>
        <family val="2"/>
        <charset val="162"/>
      </rPr>
      <t>(Litre)</t>
    </r>
  </si>
  <si>
    <t xml:space="preserve">       Kapalı</t>
  </si>
  <si>
    <t>(3,0 bar)</t>
  </si>
  <si>
    <t>(6-10 bar)</t>
  </si>
  <si>
    <r>
      <t xml:space="preserve">Not:  </t>
    </r>
    <r>
      <rPr>
        <b/>
        <u/>
        <sz val="11"/>
        <color rgb="FFC00000"/>
        <rFont val="Calibri"/>
        <family val="2"/>
        <charset val="162"/>
      </rPr>
      <t>Basınç Düşürücü 4 Bar olarak ayarlanmalı</t>
    </r>
  </si>
  <si>
    <r>
      <t xml:space="preserve">genleşme </t>
    </r>
    <r>
      <rPr>
        <b/>
        <sz val="14"/>
        <color rgb="FFFF0000"/>
        <rFont val="Calibri"/>
        <family val="2"/>
        <charset val="162"/>
      </rPr>
      <t>10 Bar</t>
    </r>
    <r>
      <rPr>
        <b/>
        <sz val="14"/>
        <rFont val="Calibri"/>
        <family val="2"/>
        <charset val="162"/>
      </rPr>
      <t xml:space="preserve"> </t>
    </r>
    <r>
      <rPr>
        <b/>
        <sz val="11"/>
        <rFont val="Calibri"/>
        <family val="2"/>
        <charset val="162"/>
      </rPr>
      <t>(</t>
    </r>
    <r>
      <rPr>
        <b/>
        <sz val="14"/>
        <rFont val="Calibri"/>
        <family val="2"/>
        <charset val="162"/>
      </rPr>
      <t>Litre</t>
    </r>
    <r>
      <rPr>
        <b/>
        <sz val="11"/>
        <rFont val="Calibri"/>
        <family val="2"/>
        <charset val="162"/>
      </rPr>
      <t>)</t>
    </r>
  </si>
  <si>
    <r>
      <t xml:space="preserve">genleşme </t>
    </r>
    <r>
      <rPr>
        <b/>
        <sz val="14"/>
        <color rgb="FFFF0000"/>
        <rFont val="Calibri"/>
        <family val="2"/>
        <charset val="162"/>
      </rPr>
      <t>8 Bar</t>
    </r>
    <r>
      <rPr>
        <b/>
        <sz val="14"/>
        <rFont val="Calibri"/>
        <family val="2"/>
        <charset val="162"/>
      </rPr>
      <t xml:space="preserve"> </t>
    </r>
    <r>
      <rPr>
        <b/>
        <sz val="11"/>
        <rFont val="Calibri"/>
        <family val="2"/>
        <charset val="162"/>
      </rPr>
      <t>(</t>
    </r>
    <r>
      <rPr>
        <b/>
        <sz val="14"/>
        <rFont val="Calibri"/>
        <family val="2"/>
        <charset val="162"/>
      </rPr>
      <t>Litre</t>
    </r>
    <r>
      <rPr>
        <b/>
        <sz val="11"/>
        <rFont val="Calibri"/>
        <family val="2"/>
        <charset val="162"/>
      </rPr>
      <t>)</t>
    </r>
  </si>
  <si>
    <r>
      <t xml:space="preserve">genleşme </t>
    </r>
    <r>
      <rPr>
        <b/>
        <sz val="14"/>
        <color rgb="FFFF0000"/>
        <rFont val="Calibri"/>
        <family val="2"/>
        <charset val="162"/>
      </rPr>
      <t>6 Bar</t>
    </r>
    <r>
      <rPr>
        <b/>
        <sz val="14"/>
        <rFont val="Calibri"/>
        <family val="2"/>
        <charset val="162"/>
      </rPr>
      <t xml:space="preserve"> </t>
    </r>
    <r>
      <rPr>
        <b/>
        <sz val="11"/>
        <rFont val="Calibri"/>
        <family val="2"/>
        <charset val="162"/>
      </rPr>
      <t>(</t>
    </r>
    <r>
      <rPr>
        <b/>
        <sz val="14"/>
        <rFont val="Calibri"/>
        <family val="2"/>
        <charset val="162"/>
      </rPr>
      <t>Litre</t>
    </r>
    <r>
      <rPr>
        <b/>
        <sz val="11"/>
        <rFont val="Calibri"/>
        <family val="2"/>
        <charset val="162"/>
      </rPr>
      <t>)</t>
    </r>
  </si>
  <si>
    <t>Çamaşır Makinesi</t>
  </si>
  <si>
    <t>Bulaşık Makinesi</t>
  </si>
  <si>
    <t>Ø17mm yerden ısıtma borusu için</t>
  </si>
  <si>
    <t>Ø16mm yerden ısıtma borusu için</t>
  </si>
  <si>
    <t>Boru Metrajı</t>
  </si>
  <si>
    <t>Litre</t>
  </si>
  <si>
    <t>Boru içindeki toplam su miktarı</t>
  </si>
  <si>
    <t>Şap dökülecek alan</t>
  </si>
  <si>
    <t>Şap kalınlığı</t>
  </si>
  <si>
    <t>Beton</t>
  </si>
  <si>
    <t>1m3 beton</t>
  </si>
  <si>
    <t>KUM</t>
  </si>
  <si>
    <t>Çimento</t>
  </si>
  <si>
    <t>Su</t>
  </si>
  <si>
    <t>Şap Katkı</t>
  </si>
  <si>
    <t>Kg</t>
  </si>
  <si>
    <t>Lt</t>
  </si>
  <si>
    <t>*    1 Torba çimento 50 Kg</t>
  </si>
  <si>
    <t>*    250Kg Kum 40 Kürek</t>
  </si>
  <si>
    <t>m3 beton</t>
  </si>
  <si>
    <t>Şap alanına göre Hesaplanan</t>
  </si>
  <si>
    <t>1.</t>
  </si>
  <si>
    <t>2.</t>
  </si>
  <si>
    <t>3.</t>
  </si>
  <si>
    <t>4.</t>
  </si>
  <si>
    <t>5.</t>
  </si>
  <si>
    <t>6.</t>
  </si>
  <si>
    <t>Hamam Yerden Isıtma Hesabı</t>
  </si>
  <si>
    <t>Hamam Duvar Ölçüsü</t>
  </si>
  <si>
    <t>Hamam Duvar Alanı</t>
  </si>
  <si>
    <t>Göbek Taşı Üst Alanı</t>
  </si>
  <si>
    <t>M2</t>
  </si>
  <si>
    <t>Toplam Boru</t>
  </si>
  <si>
    <t xml:space="preserve"> tek ağız için istenen max metraj</t>
  </si>
  <si>
    <t>*    Göbek taşından yukarıya 180cm kadar hamam duvarına genellikle boru döşenir</t>
  </si>
  <si>
    <t>*    Göbek taşı yüksekliği 50cm düşünülebilir</t>
  </si>
  <si>
    <t>m2'ye boru sarım metrajı</t>
  </si>
  <si>
    <t>M2 'ye</t>
  </si>
  <si>
    <t>(Kw)</t>
  </si>
  <si>
    <t>RADYATÖRLÜ ISITMA</t>
  </si>
  <si>
    <r>
      <t>D</t>
    </r>
    <r>
      <rPr>
        <b/>
        <sz val="12"/>
        <rFont val="Tahoma"/>
        <family val="2"/>
        <charset val="162"/>
      </rPr>
      <t>t</t>
    </r>
    <r>
      <rPr>
        <b/>
        <sz val="10"/>
        <rFont val="Tahoma"/>
        <family val="2"/>
        <charset val="162"/>
      </rPr>
      <t xml:space="preserve"> (°C) </t>
    </r>
  </si>
  <si>
    <t xml:space="preserve"> 35°C - 45°C =</t>
  </si>
  <si>
    <t xml:space="preserve">YERDEN ISITMA </t>
  </si>
  <si>
    <t xml:space="preserve"> 70°C - 90°C =</t>
  </si>
  <si>
    <t>Pompa (ihtiyaç debi)   Q (m3/h)=</t>
  </si>
  <si>
    <t>Isıtma Kapasitesi</t>
  </si>
  <si>
    <t>Birim Dönüştürme</t>
  </si>
  <si>
    <t>Yerden Isıtma Boru Metrajı</t>
  </si>
  <si>
    <t>1 metre yerden ısıtma borusunun verdiği ısı</t>
  </si>
  <si>
    <t>Hesaplanan ısı kapasitesi</t>
  </si>
  <si>
    <t>POMPA HESABI</t>
  </si>
  <si>
    <t>Yerden Isıtma Boru Metrajına göre Isı Kapasite Hesabı</t>
  </si>
  <si>
    <t>m2 ye göre yerden ısıtma hesabı</t>
  </si>
  <si>
    <t>Boru metrajına göre yerden ısıtma hesabı</t>
  </si>
  <si>
    <r>
      <t xml:space="preserve"> </t>
    </r>
    <r>
      <rPr>
        <b/>
        <sz val="11"/>
        <color rgb="FF002060"/>
        <rFont val="Tahoma"/>
        <family val="2"/>
        <charset val="162"/>
      </rPr>
      <t>Prog.Hazırlayan:</t>
    </r>
    <r>
      <rPr>
        <b/>
        <sz val="11"/>
        <rFont val="Tahoma"/>
        <family val="2"/>
        <charset val="162"/>
      </rPr>
      <t xml:space="preserve"> Mak.Müh.Yunus TUFAN  </t>
    </r>
  </si>
  <si>
    <t>Cihaz Kapasitesi</t>
  </si>
  <si>
    <t>cm2</t>
  </si>
  <si>
    <t>Alt Havalandırma</t>
  </si>
  <si>
    <t>Sa =</t>
  </si>
  <si>
    <t>Üst Havalandırma</t>
  </si>
  <si>
    <t>Su =</t>
  </si>
  <si>
    <t>Kare</t>
  </si>
  <si>
    <t>Daire(çap )</t>
  </si>
  <si>
    <t>DOĞALGAZ Hesaplamaları</t>
  </si>
  <si>
    <t>Kazan Dairesi Menfez Hesabı</t>
  </si>
  <si>
    <t>Alt Havalandırma Menfezi</t>
  </si>
  <si>
    <t>Üst Havalandırma Menfezi</t>
  </si>
  <si>
    <t>x</t>
  </si>
  <si>
    <r>
      <t xml:space="preserve"> </t>
    </r>
    <r>
      <rPr>
        <b/>
        <sz val="10"/>
        <color rgb="FF002060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  </t>
    </r>
  </si>
  <si>
    <t>ağız sayısı</t>
  </si>
  <si>
    <t>uygulamada kullanılacak ağız sayısı</t>
  </si>
  <si>
    <t>Radyatör Hesabı</t>
  </si>
  <si>
    <t>Boy</t>
  </si>
  <si>
    <t>Yükseklik</t>
  </si>
  <si>
    <t>Tabi Havlandırma</t>
  </si>
  <si>
    <t>Cebri Havlandırma</t>
  </si>
  <si>
    <r>
      <rPr>
        <sz val="16"/>
        <rFont val="Calibri"/>
        <family val="2"/>
        <charset val="162"/>
      </rPr>
      <t>V</t>
    </r>
    <r>
      <rPr>
        <sz val="10"/>
        <rFont val="Calibri"/>
        <family val="2"/>
        <charset val="162"/>
      </rPr>
      <t>hava=</t>
    </r>
  </si>
  <si>
    <t>m/sn</t>
  </si>
  <si>
    <t>3 ~ 6 arasında seçilmelidir</t>
  </si>
  <si>
    <t xml:space="preserve">V (Kanal Hızı) </t>
  </si>
  <si>
    <r>
      <rPr>
        <sz val="16"/>
        <rFont val="Calibri"/>
        <family val="2"/>
        <charset val="162"/>
      </rPr>
      <t>V</t>
    </r>
    <r>
      <rPr>
        <sz val="10"/>
        <rFont val="Calibri"/>
        <family val="2"/>
        <charset val="162"/>
      </rPr>
      <t>egzost=</t>
    </r>
  </si>
  <si>
    <t>Sü =</t>
  </si>
  <si>
    <t>Oda Hacmi</t>
  </si>
  <si>
    <t>1. Bölge için</t>
  </si>
  <si>
    <t>İzolasyonlu Serbest</t>
  </si>
  <si>
    <t>İzolasyonlusuz Serbest</t>
  </si>
  <si>
    <t>Kcal/hm3</t>
  </si>
  <si>
    <t>Çatı Katı</t>
  </si>
  <si>
    <t>Ara Kat</t>
  </si>
  <si>
    <t>Bodrum Katı</t>
  </si>
  <si>
    <t>Ortalama</t>
  </si>
  <si>
    <t>İzolasyonlu Korunmalı</t>
  </si>
  <si>
    <t>İzolasyonlusuz Korunmalı</t>
  </si>
  <si>
    <t>2. Bölge için</t>
  </si>
  <si>
    <t>-3°C</t>
  </si>
  <si>
    <t>-6°C</t>
  </si>
  <si>
    <t>3. Bölge için</t>
  </si>
  <si>
    <t>-12°C</t>
  </si>
  <si>
    <t>-21°C</t>
  </si>
  <si>
    <t>4. Bölge için</t>
  </si>
  <si>
    <t>Kcal/h</t>
  </si>
  <si>
    <t>Hesaplanan Radyatör Metrajı</t>
  </si>
  <si>
    <t>Metre</t>
  </si>
  <si>
    <t xml:space="preserve">          Oda</t>
  </si>
  <si>
    <t>HIZ-DEBİ HESAPLARI</t>
  </si>
  <si>
    <t xml:space="preserve">KAZAN -KOMBİ -CHİLLER KAPASİTESİ        </t>
  </si>
  <si>
    <t>(Qcihaz = m x c x ∆T )</t>
  </si>
  <si>
    <t>Değer Gir</t>
  </si>
  <si>
    <t>ISITMA SİSTEMİ</t>
  </si>
  <si>
    <t>∆T</t>
  </si>
  <si>
    <t>ºC</t>
  </si>
  <si>
    <t xml:space="preserve">Radyatörlü Sistem ise (90-70)    </t>
  </si>
  <si>
    <t>∆T=20 ºC girilir.</t>
  </si>
  <si>
    <t xml:space="preserve">Yerden Isıtma Sistemi ise (55-45)   </t>
  </si>
  <si>
    <t>∆T=10 ºC girilir.</t>
  </si>
  <si>
    <t xml:space="preserve">Soğutma Sistemi ise (7-12)  </t>
  </si>
  <si>
    <t>∆T= 5 ºC girilir.</t>
  </si>
  <si>
    <t>11/4"</t>
  </si>
  <si>
    <t>11/2"</t>
  </si>
  <si>
    <t>21/2"</t>
  </si>
  <si>
    <t>4"</t>
  </si>
  <si>
    <t>5"</t>
  </si>
  <si>
    <t>6"</t>
  </si>
  <si>
    <t>8"</t>
  </si>
  <si>
    <t xml:space="preserve">SİSTEM DEBİSİ (m),                                                   </t>
  </si>
  <si>
    <t>(m = A x v)</t>
  </si>
  <si>
    <t>m³/h</t>
  </si>
  <si>
    <t>Sonuç</t>
  </si>
  <si>
    <t>BORU ÇAPI (DN)</t>
  </si>
  <si>
    <t>BORUDAKİ SU HIZI (v)</t>
  </si>
  <si>
    <t>BORU ÇAPLARI</t>
  </si>
  <si>
    <t>A. Çapı</t>
  </si>
  <si>
    <t>İç Çap</t>
  </si>
  <si>
    <t>Max. Hız</t>
  </si>
  <si>
    <t>10"</t>
  </si>
  <si>
    <t>∆T=20 °C girilir.</t>
  </si>
  <si>
    <t>∆T=10 °C girilir.</t>
  </si>
  <si>
    <t>*Radyatörlü Sistem ise (90-70)</t>
  </si>
  <si>
    <t xml:space="preserve">*Yerden Isıtma Sistemi ise (55-45)   </t>
  </si>
  <si>
    <t>*Soğutma Sistemi ise (7-12)</t>
  </si>
  <si>
    <t>∆T=5 °C girilir.</t>
  </si>
  <si>
    <t>Boru Çapı Hesabı (Hız Kontrolüne Göre)</t>
  </si>
  <si>
    <t>z</t>
  </si>
  <si>
    <t>Pratik Radyatör Hesabı</t>
  </si>
  <si>
    <t>radyatör metrajı</t>
  </si>
  <si>
    <t>Havuz Boyutu</t>
  </si>
  <si>
    <t>Derinlik</t>
  </si>
  <si>
    <t>POMPA VE GENLEŞME TANKI SEÇİMİ</t>
  </si>
  <si>
    <t xml:space="preserve"> POMPA Kapasitesi</t>
  </si>
  <si>
    <t xml:space="preserve">Çap Ø </t>
  </si>
  <si>
    <t>Güneş Kollektör Hesabı</t>
  </si>
  <si>
    <t>Güneş Kollektör Pompası ve Boru Çap Hesabı</t>
  </si>
  <si>
    <r>
      <t xml:space="preserve">  </t>
    </r>
    <r>
      <rPr>
        <b/>
        <sz val="12"/>
        <color indexed="18"/>
        <rFont val="Tahoma"/>
        <family val="2"/>
        <charset val="162"/>
      </rPr>
      <t>Prog.Hazırlayan:</t>
    </r>
    <r>
      <rPr>
        <b/>
        <sz val="12"/>
        <rFont val="Tahoma"/>
        <family val="2"/>
        <charset val="162"/>
      </rPr>
      <t xml:space="preserve"> Mak.Müh.Yunus TUFAN</t>
    </r>
    <r>
      <rPr>
        <sz val="12"/>
        <rFont val="Tahoma"/>
        <family val="2"/>
        <charset val="162"/>
      </rPr>
      <t xml:space="preserve">    </t>
    </r>
  </si>
  <si>
    <t>7.</t>
  </si>
  <si>
    <t>8.</t>
  </si>
  <si>
    <t>BİRİM DÖNÜŞTÜRME</t>
  </si>
  <si>
    <t>1 KİŞİ 600Btu/h</t>
  </si>
  <si>
    <t xml:space="preserve">1 kilowatt = 3412,14 btu </t>
  </si>
  <si>
    <r>
      <t xml:space="preserve">Kare </t>
    </r>
    <r>
      <rPr>
        <b/>
        <sz val="11"/>
        <color rgb="FFFF0000"/>
        <rFont val="Calibri"/>
        <family val="2"/>
        <charset val="162"/>
      </rPr>
      <t>oluk</t>
    </r>
  </si>
  <si>
    <t>Yatayda</t>
  </si>
  <si>
    <t>Seçilen boru çapına</t>
  </si>
  <si>
    <t>göre ihtiyaç olan düşeyde ve yatayda boru adedi hesabı</t>
  </si>
  <si>
    <t>Yatayda Hesaplanan Boru Adedi</t>
  </si>
  <si>
    <t>Düşeyde Hesaplanan Boru Adedi</t>
  </si>
  <si>
    <t>Çap</t>
  </si>
  <si>
    <r>
      <t xml:space="preserve"> q ( </t>
    </r>
    <r>
      <rPr>
        <b/>
        <sz val="14"/>
        <rFont val="Calibri"/>
        <family val="2"/>
        <charset val="162"/>
      </rPr>
      <t>lt/sn</t>
    </r>
    <r>
      <rPr>
        <sz val="14"/>
        <rFont val="Calibri"/>
        <family val="2"/>
        <charset val="162"/>
      </rPr>
      <t xml:space="preserve"> )</t>
    </r>
  </si>
  <si>
    <t>0-0,35</t>
  </si>
  <si>
    <t>0,35-0,75</t>
  </si>
  <si>
    <t>0,75-1,00</t>
  </si>
  <si>
    <t>1-1,5</t>
  </si>
  <si>
    <t>1,5-2,50</t>
  </si>
  <si>
    <t>2,50-4,00</t>
  </si>
  <si>
    <r>
      <t xml:space="preserve">Plastik Boru  </t>
    </r>
    <r>
      <rPr>
        <b/>
        <sz val="16"/>
        <color rgb="FFFFC000"/>
        <rFont val="Calibri"/>
        <family val="2"/>
        <charset val="162"/>
      </rPr>
      <t>PP-R</t>
    </r>
  </si>
  <si>
    <t xml:space="preserve">Hesaplanan Yağmur Borusu iç alanı  = </t>
  </si>
  <si>
    <t>Dikdörtgen şeklinde oluk hesaplama</t>
  </si>
  <si>
    <t>Tip-1</t>
  </si>
  <si>
    <t>Tip-2</t>
  </si>
  <si>
    <t>Tip-3</t>
  </si>
  <si>
    <t>yükseklik</t>
  </si>
  <si>
    <t>genişlik</t>
  </si>
  <si>
    <t>derinlik</t>
  </si>
  <si>
    <t>60cm</t>
  </si>
  <si>
    <t>80cm</t>
  </si>
  <si>
    <t>100cm</t>
  </si>
  <si>
    <t>12cm</t>
  </si>
  <si>
    <t>70cm</t>
  </si>
  <si>
    <t>Tip-4</t>
  </si>
  <si>
    <t>121cm</t>
  </si>
  <si>
    <t>*Tabloda Bölgenize göre  hesaplanan sonucu giriniz</t>
  </si>
  <si>
    <t>456349-001</t>
  </si>
  <si>
    <t>Kazan Yükü ( Qk )</t>
  </si>
  <si>
    <t>Doğalgaz</t>
  </si>
  <si>
    <t>kt</t>
  </si>
  <si>
    <t>Bina Yüksekliği  H: (metre)</t>
  </si>
  <si>
    <t>(metre)</t>
  </si>
  <si>
    <t>Katı Yakıt</t>
  </si>
  <si>
    <t>Kazan yakıt türü</t>
  </si>
  <si>
    <t>Sıvı Yakıt</t>
  </si>
  <si>
    <t>Baca Kesit Alanı (cm²)</t>
  </si>
  <si>
    <t>(cm²)</t>
  </si>
  <si>
    <t>Baca çapı (cm²)</t>
  </si>
  <si>
    <t>(cm)</t>
  </si>
  <si>
    <t>Qk= Kazan yükü (kcal/h)</t>
  </si>
  <si>
    <t>Fb=Baca Kesit Alanı (cm²)</t>
  </si>
  <si>
    <t>h= Bina Yüksekliği (metre)</t>
  </si>
  <si>
    <t>Fb= katsayı x Qk / √ h</t>
  </si>
  <si>
    <t>Doğalgaz yakıtlılarda kat sayı = 0,012</t>
  </si>
  <si>
    <t>Katı yakıtlılarda kat sayı = 0,03</t>
  </si>
  <si>
    <t>Sıvı yakıtlılarda kat sayı = 0,02</t>
  </si>
  <si>
    <t xml:space="preserve">REHAU Kolektör Dolabı/Sıva Altı  Tip 1            610 x 700 x 110mm </t>
  </si>
  <si>
    <t xml:space="preserve">REHAU Kolektör Dolabı/Sıva Altı  Tip 2            810 x 700 x 110mm </t>
  </si>
  <si>
    <t xml:space="preserve">REHAU Kolektör Dolabı/Sıva Altı  Tip 3          1010 x 700 x 110mm </t>
  </si>
  <si>
    <t>REHAU Kolektör Dolabı/Sıva Altı  Tip 4          1210 x 700 x 110mm</t>
  </si>
  <si>
    <t>li</t>
  </si>
  <si>
    <t xml:space="preserve">Boru Ø20 olursa </t>
  </si>
  <si>
    <t xml:space="preserve">Boru Ø25 olursa </t>
  </si>
  <si>
    <t>456318-001</t>
  </si>
  <si>
    <t>RAUTITAN RX+ Dış Dişli Geçiş Parçası   25 - 3/4''</t>
  </si>
  <si>
    <t>456327-001</t>
  </si>
  <si>
    <t>RAUTITAN RX+ İç Dişli Geçiş  Parçası   16 - Rp 1/2</t>
  </si>
  <si>
    <t>Gri Su Hattı varsa</t>
  </si>
  <si>
    <t xml:space="preserve">Boru Ø16 olursa </t>
  </si>
  <si>
    <t>160061-001</t>
  </si>
  <si>
    <t>RAUTITAN PX T-Parçası    20 - 16 - 20</t>
  </si>
  <si>
    <t>RAUTITAN - Kavis Yaylı Dirsek 90°    25 Lik</t>
  </si>
  <si>
    <t>RAUTITAN RX+ İç Dişli Kulaklı Dirsek-kısa   20 - 1/2''</t>
  </si>
  <si>
    <t>RAUTITAN flex Temiz Su Borusu Kangal     100 Metre   20 x 2,8 mm</t>
  </si>
  <si>
    <t>130390-050</t>
  </si>
  <si>
    <t>RAUTITAN flex Temiz Su Borusu Kangal     100 Metre    25 x 3,4 mm</t>
  </si>
  <si>
    <t>138351-002</t>
  </si>
  <si>
    <t>RAUTITAN RX+ İç Dişli Kulaklı Dirsek-kısa   16 - 1/2''</t>
  </si>
  <si>
    <t>_ 2-3-4-5- _</t>
  </si>
  <si>
    <t>1 Adet Standart Lavabo için tahmini Kullanılacak Boru Metrajı</t>
  </si>
  <si>
    <t xml:space="preserve">Kapalı Yüzme Havuzlarında Oluşan Nem Kazancının Hesaplanması </t>
  </si>
  <si>
    <t>ve Ortamın Konfor Şartlarında Tutulması için Gerekli Hava Debisinin Hesaplanması</t>
  </si>
  <si>
    <t>Berechnung der Verdunstungsmengen in Hallenbädern und der erforderlichen</t>
  </si>
  <si>
    <t>GEA hesaplamalarına göre</t>
  </si>
  <si>
    <t>Luftvolumenströme zur Entfeuchtung von Hallenbädern</t>
  </si>
  <si>
    <t>Yüzme mahalinin hesap dataları :</t>
  </si>
  <si>
    <t>Happel Belgium N.V. - S.A.</t>
  </si>
  <si>
    <t>nach VDI 2089 Bl.1 / 94</t>
  </si>
  <si>
    <t>Yüzme Havuzu :</t>
  </si>
  <si>
    <t xml:space="preserve"> </t>
  </si>
  <si>
    <t>Auslegungsdaten der Schwimmhalle:</t>
  </si>
  <si>
    <t>Mahal Hacmi :</t>
  </si>
  <si>
    <t xml:space="preserve">R ca. </t>
  </si>
  <si>
    <r>
      <t>m</t>
    </r>
    <r>
      <rPr>
        <vertAlign val="superscript"/>
        <sz val="9"/>
        <rFont val="Futura Lt BT"/>
        <family val="2"/>
      </rPr>
      <t>3</t>
    </r>
  </si>
  <si>
    <t>BV: Schwimmhalle von Grau -Hollogne</t>
  </si>
  <si>
    <t>Havuz Yüzey Alanı :</t>
  </si>
  <si>
    <t xml:space="preserve">A </t>
  </si>
  <si>
    <r>
      <t>m</t>
    </r>
    <r>
      <rPr>
        <vertAlign val="superscript"/>
        <sz val="9"/>
        <rFont val="Futura Lt BT"/>
        <family val="2"/>
      </rPr>
      <t>2</t>
    </r>
  </si>
  <si>
    <t>Schwimmbecken</t>
  </si>
  <si>
    <t>Havuz Suyu Sıcaklığı :</t>
  </si>
  <si>
    <t xml:space="preserve">tW </t>
  </si>
  <si>
    <t>Raumvolumen</t>
  </si>
  <si>
    <t>Buhar Basıncı :    Su 100% Bağıl Nem :</t>
  </si>
  <si>
    <t>Ps</t>
  </si>
  <si>
    <t xml:space="preserve">mbar   </t>
  </si>
  <si>
    <t>Beckenwasseroberfläche:</t>
  </si>
  <si>
    <t>Mahal Hava Sıcaklığı :</t>
  </si>
  <si>
    <t xml:space="preserve">tR </t>
  </si>
  <si>
    <t xml:space="preserve">°C  </t>
  </si>
  <si>
    <t>Beckenwassertemperatur:</t>
  </si>
  <si>
    <t>İstenen Bağıl Nem Yüzdesi :</t>
  </si>
  <si>
    <t>rel.F.</t>
  </si>
  <si>
    <t>g/kg (Soll X lt. VDI  14,3 g/kg)</t>
  </si>
  <si>
    <t>Dampfdruck:    Wasser 100% rel.F.</t>
  </si>
  <si>
    <t xml:space="preserve">Buhar Basıncı :     Hava </t>
  </si>
  <si>
    <t xml:space="preserve"> Pd </t>
  </si>
  <si>
    <t xml:space="preserve">mbar = X  Ist </t>
  </si>
  <si>
    <t>Hallenlufttemperatur:</t>
  </si>
  <si>
    <t>Kullanım Faktörü : Tam Kapasiteli Çalışma :</t>
  </si>
  <si>
    <t xml:space="preserve">Nf </t>
  </si>
  <si>
    <t>Gündüz  Çalışması</t>
  </si>
  <si>
    <t>Relative Luftfeuchtigkeit:</t>
  </si>
  <si>
    <t>Kullanım Faktörü : Akşam Çalışması :</t>
  </si>
  <si>
    <t>Gece Çalışması</t>
  </si>
  <si>
    <t xml:space="preserve">Dampfdruck:     Luft </t>
  </si>
  <si>
    <t>Nutzungsf. Vollbetrieb:</t>
  </si>
  <si>
    <t>Nem Kazancı Hesabı :</t>
  </si>
  <si>
    <t>Kullanım süresi :</t>
  </si>
  <si>
    <t>Std/d</t>
  </si>
  <si>
    <t xml:space="preserve">kg/h  W=  </t>
  </si>
  <si>
    <t>Nutzungsf. Ruhebtrieb:</t>
  </si>
  <si>
    <t>max. Yoğuşan Su Miktarı :</t>
  </si>
  <si>
    <t>W max =</t>
  </si>
  <si>
    <t>kg/d</t>
  </si>
  <si>
    <t>min. Yoğuşan Su Miktarı :</t>
  </si>
  <si>
    <t>W  min =</t>
  </si>
  <si>
    <r>
      <t xml:space="preserve"> kg/m</t>
    </r>
    <r>
      <rPr>
        <vertAlign val="superscript"/>
        <sz val="9"/>
        <rFont val="Futura Lt BT"/>
        <family val="2"/>
      </rPr>
      <t>2</t>
    </r>
    <r>
      <rPr>
        <sz val="9"/>
        <rFont val="Futura Lt BT"/>
        <family val="2"/>
      </rPr>
      <t>h   W max/d  =</t>
    </r>
  </si>
  <si>
    <t>Verdunstungsmengenberechnung :</t>
  </si>
  <si>
    <t>Benutzungszeit</t>
  </si>
  <si>
    <t>W mittl/d =</t>
  </si>
  <si>
    <t>kg/h</t>
  </si>
  <si>
    <t>max. Wasserverdunstungsmenge:</t>
  </si>
  <si>
    <r>
      <t xml:space="preserve"> kg/m</t>
    </r>
    <r>
      <rPr>
        <vertAlign val="superscript"/>
        <sz val="9"/>
        <rFont val="Futura Lt BT"/>
        <family val="2"/>
      </rPr>
      <t>2</t>
    </r>
    <r>
      <rPr>
        <sz val="9"/>
        <rFont val="Futura Lt BT"/>
        <family val="2"/>
      </rPr>
      <t>h     W max/d  =</t>
    </r>
  </si>
  <si>
    <t>Nem Kazancını karşılayacak Cihaz Hava Debisi :</t>
  </si>
  <si>
    <t>min. Wasserverdunstungsmenge:</t>
  </si>
  <si>
    <r>
      <t xml:space="preserve"> kg/m</t>
    </r>
    <r>
      <rPr>
        <vertAlign val="superscript"/>
        <sz val="9"/>
        <rFont val="Futura Lt BT"/>
        <family val="2"/>
      </rPr>
      <t>2</t>
    </r>
    <r>
      <rPr>
        <sz val="9"/>
        <rFont val="Futura Lt BT"/>
        <family val="2"/>
      </rPr>
      <t>h     W min/d  =</t>
    </r>
  </si>
  <si>
    <t>max. Hava Debisi</t>
  </si>
  <si>
    <t>max. VL =</t>
  </si>
  <si>
    <r>
      <t>m</t>
    </r>
    <r>
      <rPr>
        <vertAlign val="superscript"/>
        <sz val="9"/>
        <rFont val="Arial"/>
        <family val="2"/>
        <charset val="162"/>
      </rPr>
      <t>3</t>
    </r>
    <r>
      <rPr>
        <sz val="9"/>
        <rFont val="Arial"/>
        <family val="2"/>
        <charset val="162"/>
      </rPr>
      <t>/h  verilen değerlere göre ( Karışım havalı cihazlarda )</t>
    </r>
  </si>
  <si>
    <t>Geräteluftvolumenstrom zur Luftentfeuchtung:</t>
  </si>
  <si>
    <t>Seçilen Cihaz Tipi :</t>
  </si>
  <si>
    <t xml:space="preserve">max. Luftvolumenstrom: </t>
  </si>
  <si>
    <r>
      <t>m</t>
    </r>
    <r>
      <rPr>
        <vertAlign val="superscript"/>
        <sz val="9"/>
        <rFont val="Futura Lt BT"/>
        <family val="2"/>
      </rPr>
      <t>3</t>
    </r>
    <r>
      <rPr>
        <sz val="9"/>
        <rFont val="Futura Lt BT"/>
        <family val="2"/>
      </rPr>
      <t>/h</t>
    </r>
  </si>
  <si>
    <t>nach vorgegebenen Daten, bei Mischluftgeräten</t>
  </si>
  <si>
    <t>Hava Değişimi =</t>
  </si>
  <si>
    <t>adet/saat</t>
  </si>
  <si>
    <t>Ortalama Hava Debisi =</t>
  </si>
  <si>
    <r>
      <t>m</t>
    </r>
    <r>
      <rPr>
        <vertAlign val="superscript"/>
        <sz val="9"/>
        <rFont val="Arial"/>
        <family val="2"/>
        <charset val="162"/>
      </rPr>
      <t>3</t>
    </r>
    <r>
      <rPr>
        <sz val="9"/>
        <rFont val="Arial"/>
        <family val="2"/>
        <charset val="162"/>
      </rPr>
      <t>/h</t>
    </r>
  </si>
  <si>
    <t>Auswahl des Geräte - Typ:</t>
  </si>
  <si>
    <t>FAM 15000</t>
  </si>
  <si>
    <t>nach vorgegebenen Daten</t>
  </si>
  <si>
    <t>Luftwechsel =</t>
  </si>
  <si>
    <t>fach/Stunde</t>
  </si>
  <si>
    <t>VL mittl. =</t>
  </si>
  <si>
    <t>DAVLUMBAZ KANAL KESİTLERİ VE BASINÇ KAYIPLARI</t>
  </si>
  <si>
    <t>KANAL EBADI HESABI</t>
  </si>
  <si>
    <t>DÜZ KANALDA KAYIP</t>
  </si>
  <si>
    <t>ÖZEL PARÇALARDA KAYIP</t>
  </si>
  <si>
    <t>ÖZEL DİRENÇ KAYIPLARI HESABI</t>
  </si>
  <si>
    <t>NO</t>
  </si>
  <si>
    <t>A</t>
  </si>
  <si>
    <t>B</t>
  </si>
  <si>
    <t>A/B</t>
  </si>
  <si>
    <t>E. D. ÇAP</t>
  </si>
  <si>
    <t>R</t>
  </si>
  <si>
    <t>L</t>
  </si>
  <si>
    <t>R×L</t>
  </si>
  <si>
    <t>Adı</t>
  </si>
  <si>
    <t>MİKTAR</t>
  </si>
  <si>
    <t>ζ</t>
  </si>
  <si>
    <t>Ayrılma</t>
  </si>
  <si>
    <t>mt</t>
  </si>
  <si>
    <t>ORANI</t>
  </si>
  <si>
    <t>mt.</t>
  </si>
  <si>
    <t>LT/SN</t>
  </si>
  <si>
    <t>mmss/m</t>
  </si>
  <si>
    <t>mmss</t>
  </si>
  <si>
    <t xml:space="preserve"> ζ</t>
  </si>
  <si>
    <t>Daralma</t>
  </si>
  <si>
    <t>Dirsek 90°</t>
  </si>
  <si>
    <t>Dirsek 45°</t>
  </si>
  <si>
    <t>KRİTİK KANAL KESİTİ BASINÇ KAYBI HESAP SONUCU</t>
  </si>
  <si>
    <t>Yok</t>
  </si>
  <si>
    <t>Dirsek 90° (YÖN)</t>
  </si>
  <si>
    <t>Dirsekli çatal</t>
  </si>
  <si>
    <t>KANAL KAYBI (R×L+z) (mmSS):</t>
  </si>
  <si>
    <t>Flex dirsek 45°</t>
  </si>
  <si>
    <t>PANJUR KAYBI (mmSS):</t>
  </si>
  <si>
    <t>Flex dirsek 90°</t>
  </si>
  <si>
    <t>DAVLUMBAZ METAL FİLTRE  KAYBI (mmSS):</t>
  </si>
  <si>
    <t>Flexible kanal(1 mt=1ad.))</t>
  </si>
  <si>
    <t>NET KAYIP (mmSS):</t>
  </si>
  <si>
    <t>Genişleme</t>
  </si>
  <si>
    <t>TOPLAM KAYIP(EMNİYET FAKTÖRÜ İLE %20) (mmSS):</t>
  </si>
  <si>
    <t>Pantolon parçası</t>
  </si>
  <si>
    <r>
      <t xml:space="preserve">  30</t>
    </r>
    <r>
      <rPr>
        <vertAlign val="superscript"/>
        <sz val="10"/>
        <rFont val="Arial"/>
        <family val="2"/>
        <charset val="162"/>
      </rPr>
      <t>0</t>
    </r>
    <r>
      <rPr>
        <sz val="10"/>
        <rFont val="Arial"/>
        <family val="2"/>
        <charset val="162"/>
      </rPr>
      <t>…40</t>
    </r>
    <r>
      <rPr>
        <vertAlign val="superscript"/>
        <sz val="10"/>
        <rFont val="Arial"/>
        <family val="2"/>
        <charset val="162"/>
      </rPr>
      <t>0</t>
    </r>
  </si>
  <si>
    <t>Plenum kutu</t>
  </si>
  <si>
    <t>Debi=V=2.A.Ux.Vx  (m3/sn)</t>
  </si>
  <si>
    <t>"S" parcası</t>
  </si>
  <si>
    <r>
      <t>U</t>
    </r>
    <r>
      <rPr>
        <vertAlign val="subscript"/>
        <sz val="10"/>
        <rFont val="Arial"/>
        <family val="2"/>
        <charset val="204"/>
      </rPr>
      <t>x</t>
    </r>
    <r>
      <rPr>
        <sz val="10"/>
        <rFont val="Arial"/>
        <family val="2"/>
        <charset val="162"/>
      </rPr>
      <t>=</t>
    </r>
  </si>
  <si>
    <t>Davlumbazın Alın Çevresi (m)</t>
  </si>
  <si>
    <t>Q=</t>
  </si>
  <si>
    <r>
      <t>m</t>
    </r>
    <r>
      <rPr>
        <vertAlign val="superscript"/>
        <sz val="10"/>
        <rFont val="Arial Tur"/>
        <charset val="162"/>
      </rPr>
      <t>3</t>
    </r>
    <r>
      <rPr>
        <sz val="10"/>
        <rFont val="Arial Tur"/>
        <charset val="162"/>
      </rPr>
      <t>/sn</t>
    </r>
  </si>
  <si>
    <t>Taze hava girişi</t>
  </si>
  <si>
    <r>
      <t>V</t>
    </r>
    <r>
      <rPr>
        <vertAlign val="subscript"/>
        <sz val="10"/>
        <rFont val="Arial"/>
        <family val="2"/>
        <charset val="204"/>
      </rPr>
      <t>x</t>
    </r>
    <r>
      <rPr>
        <sz val="10"/>
        <rFont val="Arial"/>
        <family val="2"/>
        <charset val="162"/>
      </rPr>
      <t>=</t>
    </r>
  </si>
  <si>
    <t>Toplama  Hızı (m/Sn)</t>
  </si>
  <si>
    <r>
      <t>m</t>
    </r>
    <r>
      <rPr>
        <vertAlign val="superscript"/>
        <sz val="10"/>
        <rFont val="Arial Tur"/>
        <charset val="162"/>
      </rPr>
      <t>3</t>
    </r>
    <r>
      <rPr>
        <sz val="10"/>
        <rFont val="Arial Tur"/>
        <charset val="162"/>
      </rPr>
      <t>/h</t>
    </r>
  </si>
  <si>
    <t>0,3…0,4A</t>
  </si>
  <si>
    <t>Volüm Damperi</t>
  </si>
  <si>
    <t>A=</t>
  </si>
  <si>
    <t>Davlumbazın Masaya  olan  uzaklık (m)</t>
  </si>
  <si>
    <t>Seçilen Debi:</t>
  </si>
  <si>
    <r>
      <t>m</t>
    </r>
    <r>
      <rPr>
        <b/>
        <vertAlign val="superscript"/>
        <sz val="10"/>
        <rFont val="Arial Tur"/>
        <charset val="162"/>
      </rPr>
      <t>3</t>
    </r>
    <r>
      <rPr>
        <b/>
        <sz val="10"/>
        <rFont val="Arial Tur"/>
        <charset val="162"/>
      </rPr>
      <t>/h</t>
    </r>
  </si>
  <si>
    <t>Yangın Damperi</t>
  </si>
  <si>
    <t>***Aspiratör bu basınç kaybından fazla olacak şekilde seçilir</t>
  </si>
  <si>
    <t>DAVLUMBAZ HESABI</t>
  </si>
  <si>
    <t>Isı Pompası Kapasitesi</t>
  </si>
  <si>
    <t>Radyatör Metrajı</t>
  </si>
  <si>
    <t xml:space="preserve"> Isıtılacak        Mahal      m2</t>
  </si>
  <si>
    <r>
      <t xml:space="preserve">Hesaplanan </t>
    </r>
    <r>
      <rPr>
        <sz val="11"/>
        <color theme="1"/>
        <rFont val="Calibri"/>
        <family val="2"/>
        <charset val="162"/>
      </rPr>
      <t>standart 600 pkkp için</t>
    </r>
  </si>
  <si>
    <t>Oda M2</t>
  </si>
  <si>
    <t>watt</t>
  </si>
  <si>
    <t>Kullanılmak istenen Süzgeç Akış Kapasitesi</t>
  </si>
  <si>
    <t>BALKON VE TERAS SÜZGEÇ HESABI</t>
  </si>
  <si>
    <t xml:space="preserve">Yer Süzgecinin konulacağı alan </t>
  </si>
  <si>
    <t>Süzgeç konulacak Alan için Hesaplanan Süzgeç akış kapasitesi</t>
  </si>
  <si>
    <t>Hesaplanan Sügeç adedi</t>
  </si>
  <si>
    <t>l/(sx ha)</t>
  </si>
  <si>
    <t>Süzgeç Konulacak Şehir Yağış miktarı</t>
  </si>
  <si>
    <t xml:space="preserve"> ***Tablodan seçebilirsiniz</t>
  </si>
  <si>
    <r>
      <rPr>
        <b/>
        <u/>
        <sz val="16"/>
        <rFont val="Calibri"/>
        <family val="2"/>
        <charset val="162"/>
      </rPr>
      <t xml:space="preserve">      KULLANILAN MODÜLASYON ARALIKLARI</t>
    </r>
    <r>
      <rPr>
        <b/>
        <sz val="16"/>
        <rFont val="Calibri"/>
        <family val="2"/>
        <charset val="162"/>
      </rPr>
      <t xml:space="preserve">             </t>
    </r>
    <r>
      <rPr>
        <b/>
        <sz val="16"/>
        <color rgb="FFC00000"/>
        <rFont val="Calibri"/>
        <family val="2"/>
        <charset val="162"/>
      </rPr>
      <t>(7,5cm -15cm -22,5cm-30cm-37,5cm)</t>
    </r>
  </si>
  <si>
    <t>45° dirsek</t>
  </si>
  <si>
    <t>90° dirsek</t>
  </si>
  <si>
    <t>Çatal</t>
  </si>
  <si>
    <t>Egzoz Hattı</t>
  </si>
  <si>
    <t>Kritik Hat Uzunluğu</t>
  </si>
  <si>
    <t>Emiş Yüksekliği</t>
  </si>
  <si>
    <t xml:space="preserve">    Süpürge hortum mesafesi 7m olarak etkin yarıçap planlanmalıdır</t>
  </si>
  <si>
    <t>Tablodan 3-1</t>
  </si>
  <si>
    <t>Kritik Emiş Hattı</t>
  </si>
  <si>
    <t>Seçilen Cihaz Tipi</t>
  </si>
  <si>
    <t>MERKEZİ TOZ EMME HESABI</t>
  </si>
  <si>
    <r>
      <t xml:space="preserve">Prog.Hazırlayan: </t>
    </r>
    <r>
      <rPr>
        <b/>
        <sz val="8"/>
        <color rgb="FFC00000"/>
        <rFont val="Arial"/>
        <family val="2"/>
        <charset val="162"/>
      </rPr>
      <t>Mak.Müh.</t>
    </r>
    <r>
      <rPr>
        <b/>
        <sz val="10"/>
        <color rgb="FFC00000"/>
        <rFont val="Arial"/>
        <family val="2"/>
        <charset val="162"/>
      </rPr>
      <t xml:space="preserve">Yunus TUFAN </t>
    </r>
    <r>
      <rPr>
        <b/>
        <sz val="10"/>
        <color rgb="FF003366"/>
        <rFont val="Arial"/>
        <family val="2"/>
        <charset val="162"/>
      </rPr>
      <t xml:space="preserve">   </t>
    </r>
    <r>
      <rPr>
        <b/>
        <sz val="10"/>
        <color rgb="FF99CC00"/>
        <rFont val="Arial"/>
        <family val="2"/>
        <charset val="162"/>
      </rPr>
      <t xml:space="preserve"> </t>
    </r>
  </si>
  <si>
    <t xml:space="preserve">            yunustufan71@hotmail.com </t>
  </si>
  <si>
    <r>
      <t xml:space="preserve">           </t>
    </r>
    <r>
      <rPr>
        <b/>
        <sz val="8"/>
        <color theme="1" tint="4.9989318521683403E-2"/>
        <rFont val="Arial"/>
        <family val="2"/>
        <charset val="162"/>
      </rPr>
      <t xml:space="preserve"> yunustufan71@hotmail.com </t>
    </r>
  </si>
  <si>
    <r>
      <rPr>
        <sz val="10"/>
        <rFont val="Calibri"/>
        <family val="2"/>
        <charset val="162"/>
      </rPr>
      <t>Prog.Hazırlayan: Müh.Mak</t>
    </r>
    <r>
      <rPr>
        <sz val="11"/>
        <rFont val="Calibri"/>
        <family val="2"/>
        <charset val="162"/>
      </rPr>
      <t xml:space="preserve">. </t>
    </r>
    <r>
      <rPr>
        <b/>
        <sz val="11"/>
        <color rgb="FF800000"/>
        <rFont val="Arial"/>
        <family val="2"/>
        <charset val="162"/>
      </rPr>
      <t>Yunus TUFAN</t>
    </r>
    <r>
      <rPr>
        <b/>
        <sz val="8"/>
        <color rgb="FF800000"/>
        <rFont val="Arial"/>
        <family val="2"/>
        <charset val="162"/>
      </rPr>
      <t xml:space="preserve"> </t>
    </r>
    <r>
      <rPr>
        <b/>
        <sz val="8"/>
        <color rgb="FF003366"/>
        <rFont val="Arial"/>
        <family val="2"/>
        <charset val="162"/>
      </rPr>
      <t xml:space="preserve">   </t>
    </r>
    <r>
      <rPr>
        <b/>
        <sz val="8"/>
        <color rgb="FF99CC00"/>
        <rFont val="Arial"/>
        <family val="2"/>
        <charset val="162"/>
      </rPr>
      <t xml:space="preserve"> </t>
    </r>
  </si>
  <si>
    <r>
      <t xml:space="preserve">Prog.Hazırlayan:Mak.Müh. </t>
    </r>
    <r>
      <rPr>
        <b/>
        <sz val="8"/>
        <color rgb="FF800000"/>
        <rFont val="Arial"/>
        <family val="2"/>
        <charset val="162"/>
      </rPr>
      <t xml:space="preserve">Yunus TUFAN </t>
    </r>
    <r>
      <rPr>
        <b/>
        <sz val="8"/>
        <color rgb="FF003366"/>
        <rFont val="Arial"/>
        <family val="2"/>
        <charset val="162"/>
      </rPr>
      <t xml:space="preserve">   </t>
    </r>
    <r>
      <rPr>
        <b/>
        <sz val="8"/>
        <color rgb="FF99CC00"/>
        <rFont val="Arial"/>
        <family val="2"/>
        <charset val="162"/>
      </rPr>
      <t xml:space="preserve"> </t>
    </r>
  </si>
  <si>
    <t>Havuz Boyutları</t>
  </si>
  <si>
    <t>Birimler</t>
  </si>
  <si>
    <t xml:space="preserve">En </t>
  </si>
  <si>
    <t>HAVUZ HACMİ</t>
  </si>
  <si>
    <r>
      <t>m</t>
    </r>
    <r>
      <rPr>
        <vertAlign val="superscript"/>
        <sz val="10"/>
        <rFont val="Arial"/>
        <family val="2"/>
      </rPr>
      <t>3</t>
    </r>
  </si>
  <si>
    <t>HAVUZ ALANI</t>
  </si>
  <si>
    <r>
      <t>m</t>
    </r>
    <r>
      <rPr>
        <vertAlign val="superscript"/>
        <sz val="10"/>
        <rFont val="Arial"/>
        <family val="2"/>
      </rPr>
      <t>2</t>
    </r>
  </si>
  <si>
    <r>
      <t>Z</t>
    </r>
    <r>
      <rPr>
        <b/>
        <vertAlign val="subscript"/>
        <sz val="12"/>
        <rFont val="Arial"/>
        <family val="2"/>
      </rPr>
      <t>a</t>
    </r>
  </si>
  <si>
    <t>İlk Isınma Süresi</t>
  </si>
  <si>
    <t>saat</t>
  </si>
  <si>
    <r>
      <t>t</t>
    </r>
    <r>
      <rPr>
        <b/>
        <vertAlign val="subscript"/>
        <sz val="12"/>
        <rFont val="Arial"/>
        <family val="2"/>
      </rPr>
      <t>2</t>
    </r>
  </si>
  <si>
    <t>İstenen Havuz Suyu Sıcaklığı</t>
  </si>
  <si>
    <t>° C</t>
  </si>
  <si>
    <r>
      <t>t</t>
    </r>
    <r>
      <rPr>
        <b/>
        <vertAlign val="subscript"/>
        <sz val="12"/>
        <rFont val="Arial"/>
        <family val="2"/>
      </rPr>
      <t>1</t>
    </r>
  </si>
  <si>
    <t>Havuz suyu İlk Sıcaklığı</t>
  </si>
  <si>
    <r>
      <t>c</t>
    </r>
    <r>
      <rPr>
        <b/>
        <vertAlign val="subscript"/>
        <sz val="12"/>
        <rFont val="Arial"/>
        <family val="2"/>
      </rPr>
      <t>p</t>
    </r>
  </si>
  <si>
    <t>Suyun Özgül Isı Kapasitesi</t>
  </si>
  <si>
    <t>kcal/kg K</t>
  </si>
  <si>
    <r>
      <t>Z</t>
    </r>
    <r>
      <rPr>
        <b/>
        <vertAlign val="subscript"/>
        <sz val="12"/>
        <rFont val="Arial"/>
        <family val="2"/>
      </rPr>
      <t>ilk</t>
    </r>
  </si>
  <si>
    <t>Havuz Devreye Alma Isı Yükü İhtiyacı</t>
  </si>
  <si>
    <t>f</t>
  </si>
  <si>
    <r>
      <t>kcal/m</t>
    </r>
    <r>
      <rPr>
        <vertAlign val="superscript"/>
        <sz val="10"/>
        <rFont val="Arial"/>
        <family val="2"/>
      </rPr>
      <t>2</t>
    </r>
  </si>
  <si>
    <r>
      <t>Z</t>
    </r>
    <r>
      <rPr>
        <b/>
        <vertAlign val="subscript"/>
        <sz val="12"/>
        <rFont val="Arial"/>
        <family val="2"/>
      </rPr>
      <t>ek</t>
    </r>
  </si>
  <si>
    <t>Ek Isı gücü ihtiyacı</t>
  </si>
  <si>
    <t>Q</t>
  </si>
  <si>
    <t>Yapısal Isı Kaybı Sabiti (f)</t>
  </si>
  <si>
    <r>
      <t>W/m</t>
    </r>
    <r>
      <rPr>
        <vertAlign val="superscript"/>
        <sz val="10"/>
        <rFont val="Arial"/>
        <family val="2"/>
      </rPr>
      <t>2</t>
    </r>
  </si>
  <si>
    <t>Kapalı Havuz</t>
  </si>
  <si>
    <t>Açık Havuz</t>
  </si>
  <si>
    <t>Kısmen korunmuş kapalı havuz</t>
  </si>
  <si>
    <t>Kısmen korunmuş açık havuz</t>
  </si>
  <si>
    <t>Yapısal Isı Kaybı sabiti (tablodan)</t>
  </si>
  <si>
    <t>Hesaplanan Sürekli İşletmede ısı gücü ihtiyacı</t>
  </si>
  <si>
    <t>HAVUZ ISI HESABINA GÖRE EŞANJÖR KAPASİTE  HESABI</t>
  </si>
  <si>
    <t>Tablo</t>
  </si>
  <si>
    <t>Toplam Hava DEBİSİ(m3/h)</t>
  </si>
  <si>
    <t>ALAN m2</t>
  </si>
  <si>
    <t>ISI GERİ KAZANIM CİHAZ HESABI</t>
  </si>
  <si>
    <t>Saatte Hava Değişim Sayısı</t>
  </si>
  <si>
    <t>İhtiyaç olan hava debisi</t>
  </si>
  <si>
    <t>Seçilen Isı Geri Kazanım Cihazı</t>
  </si>
  <si>
    <t>Mahal Ölçüleri</t>
  </si>
  <si>
    <t>Genişlik</t>
  </si>
  <si>
    <t>Uzunluk</t>
  </si>
  <si>
    <t>Elektrikli Isıtıcıdan Geçen Hava Debisi</t>
  </si>
  <si>
    <t>Elektrikli Isıtıcı Kullanılacaksa Isıtıcı Kapasite Hesabı</t>
  </si>
  <si>
    <t xml:space="preserve">Elektrikli Isıtıcıdan sonra istenen taze hava sıcaklığı </t>
  </si>
  <si>
    <t xml:space="preserve">Elektrikli Isıtıcı öncesi taze hava sıcaklığı </t>
  </si>
  <si>
    <t>Hesaplanan Elektrikli Isıtıcı Kapasitesi</t>
  </si>
  <si>
    <t xml:space="preserve">  90°/70° Dt=20°C</t>
  </si>
  <si>
    <t xml:space="preserve">  80°/60° Dt=20°C</t>
  </si>
  <si>
    <t xml:space="preserve">Döşeme Tipi Konvektör Hesabı </t>
  </si>
  <si>
    <t xml:space="preserve">Sıcak Hava Aparey Hesabı </t>
  </si>
  <si>
    <t>Doğalgaz kullanım Debi hesabı m3/h</t>
  </si>
  <si>
    <t>kollektördeki 1 adet ağız max.Boru metrajı</t>
  </si>
  <si>
    <t>Kullanılacak yerden ısıtma boru çapı</t>
  </si>
  <si>
    <t>Silenta 3A Muflu Sessiz Atık Su Borusu  75 * 150</t>
  </si>
  <si>
    <t>Silenta 3A Muflu Sessiz Atık Su Borusu  75 * 250</t>
  </si>
  <si>
    <t>Silenta 3A Muflu Sessiz Atık Su Borusu  75 * 500</t>
  </si>
  <si>
    <t>Silenta 3A Muflu Sessiz Atık Su Borusu  75 * 1000</t>
  </si>
  <si>
    <t>Silenta 3A Muflu Sessiz Atık Su Borusu  75 * 2000</t>
  </si>
  <si>
    <t>Silenta 3A Muflu Sessiz Atık Su Borusu  75 * 3000</t>
  </si>
  <si>
    <t>Silenta 3A Muflu Sessiz Atık Su Borusu  110 * 150</t>
  </si>
  <si>
    <t>Silenta 3A Muflu Sessiz Atık Su Borusu  110 * 250</t>
  </si>
  <si>
    <t>Silenta 3A Muflu Sessiz Atık Su Borusu  110 * 500</t>
  </si>
  <si>
    <t>Silenta 3A Muflu Sessiz Atık Su Borusu  110 * 1000</t>
  </si>
  <si>
    <t>Silenta 3A Muflu Sessiz Atık Su Borusu  110 * 2000</t>
  </si>
  <si>
    <t>Silenta 3A Muflu Sessiz Atık Su Borusu  110 * 3000</t>
  </si>
  <si>
    <t>Silenta 3A Muflu Sessiz Atık Su Borusu  125 * 150</t>
  </si>
  <si>
    <t>Silenta 3A Muflu Sessiz Atık Su Borusu  125 * 250</t>
  </si>
  <si>
    <t>Silenta 3A Muflu Sessiz Atık Su Borusu  125 * 500</t>
  </si>
  <si>
    <t>Silenta 3A Muflu Sessiz Atık Su Borusu  125 * 1000</t>
  </si>
  <si>
    <t>Silenta 3A Muflu Sessiz Atık Su Borusu  125 * 2000</t>
  </si>
  <si>
    <t>Silenta 3A Muflu Sessiz Atık Su Borusu  125 * 3000</t>
  </si>
  <si>
    <t>Ø 100 METRAJ</t>
  </si>
  <si>
    <t>Ø 125 METRAJ</t>
  </si>
  <si>
    <t>Temel Altı Atık su Tesisatı için kelepçe ve Hilti konsol hesabı</t>
  </si>
  <si>
    <t>Modülasyon7,5cm</t>
  </si>
  <si>
    <t>1 Adet strafor</t>
  </si>
  <si>
    <t>1,06m x0,6m=0,63m2</t>
  </si>
  <si>
    <t>1 Adet straforda</t>
  </si>
  <si>
    <t>Boru=4m</t>
  </si>
  <si>
    <t>Modülasyon15cm</t>
  </si>
  <si>
    <t>Modülasyon22,5cm</t>
  </si>
  <si>
    <t>Modülasyon30cm</t>
  </si>
  <si>
    <t>Boru=7m</t>
  </si>
  <si>
    <t>Boru=3m</t>
  </si>
  <si>
    <t>Boru=2m</t>
  </si>
  <si>
    <t>Alan (m2)</t>
  </si>
  <si>
    <t>mod.7,5</t>
  </si>
  <si>
    <t>mod.15</t>
  </si>
  <si>
    <t>mod.22,5</t>
  </si>
  <si>
    <t>mod.30</t>
  </si>
  <si>
    <t>metre Boru</t>
  </si>
  <si>
    <t>KELEPÇE ADETİ</t>
  </si>
  <si>
    <t>Ø 125 lik kelepçe</t>
  </si>
  <si>
    <r>
      <t xml:space="preserve">Profil MT-40 42,5 x 42,5 x 6000mm  </t>
    </r>
    <r>
      <rPr>
        <b/>
        <sz val="11"/>
        <color indexed="8"/>
        <rFont val="Calibri"/>
        <family val="2"/>
        <charset val="162"/>
      </rPr>
      <t>41*41 Tekli</t>
    </r>
  </si>
  <si>
    <t>Taşıyıcı Mesnetler ( Yatay ve Dikey Taşıyıcılar )</t>
  </si>
  <si>
    <t>2-Delikli Tavan Plakası MT-B-T    41*41 Tekli Ayak</t>
  </si>
  <si>
    <t>Twist-Lock MT-TL M8 Kolay Kilit</t>
  </si>
  <si>
    <t>Twist-Lock MT-TL M10 Kolay Kilit</t>
  </si>
  <si>
    <t>Altıgen Civata MT-TLB M10x24</t>
  </si>
  <si>
    <r>
      <t xml:space="preserve">Plastik Kapak MT-EC-40/50   </t>
    </r>
    <r>
      <rPr>
        <b/>
        <sz val="11"/>
        <color indexed="8"/>
        <rFont val="Calibri"/>
        <family val="2"/>
        <charset val="162"/>
      </rPr>
      <t>41*41</t>
    </r>
  </si>
  <si>
    <t>Dairesel Pul MT-ZW M8 OC</t>
  </si>
  <si>
    <t>Dairesel Pul MT-ZW M10 OC</t>
  </si>
  <si>
    <t xml:space="preserve">M 8 Tij </t>
  </si>
  <si>
    <t>M 8 Somun</t>
  </si>
  <si>
    <t>M 10 Somun</t>
  </si>
  <si>
    <t>Toplam Kelepçe Adeti</t>
  </si>
  <si>
    <t>kaç ağızlı kollektöre göre hesap yapılacak?</t>
  </si>
  <si>
    <r>
      <t>Sprinkler yangın söndürme sistemleri arasında uygulama alanları </t>
    </r>
    <r>
      <rPr>
        <sz val="12"/>
        <color rgb="FF040C28"/>
        <rFont val="Arial"/>
        <family val="2"/>
        <charset val="162"/>
      </rPr>
      <t>12 m2'den oluşmaktadır</t>
    </r>
  </si>
  <si>
    <t>Branşman hatları üzerinden sprinkler arasında maksimum olan uzaklık 3 metre olması gerekmektedir.</t>
  </si>
  <si>
    <t>Toplam Sprinkler Sayısı=Uygulama alanı/Bir adet sprinklerin koruduğu alan</t>
  </si>
  <si>
    <t>Toplam Sprinkler Sayısı</t>
  </si>
  <si>
    <t>Sprink konulacak Alan</t>
  </si>
  <si>
    <t>6 kg'lık kuru kimyevî tozlu veya eşdeğeri gazlı yangın söndürme cihazları</t>
  </si>
  <si>
    <r>
      <t>Düşük tehlike sınıfında her 500 m</t>
    </r>
    <r>
      <rPr>
        <vertAlign val="superscript"/>
        <sz val="12"/>
        <color rgb="FF040C28"/>
        <rFont val="Arial"/>
        <family val="2"/>
        <charset val="162"/>
      </rPr>
      <t>2</t>
    </r>
    <r>
      <rPr>
        <sz val="12"/>
        <color rgb="FF040C28"/>
        <rFont val="Arial"/>
        <family val="2"/>
        <charset val="162"/>
      </rPr>
      <t>, orta tehlike ve yüksek tehlike sınıfında her 250 m² yapı inşaat alanı için 1 adet</t>
    </r>
    <r>
      <rPr>
        <sz val="12"/>
        <color rgb="FF4D5156"/>
        <rFont val="Arial"/>
        <family val="2"/>
        <charset val="162"/>
      </rPr>
      <t> olmak üzere, uygun tipte 6 kg'lık kuru kimyevî tozlu veya eşdeğeri gazlı yangın söndürme cihazları bulundurulması gerekir</t>
    </r>
  </si>
  <si>
    <r>
      <t>Sprinkler K faktörü, </t>
    </r>
    <r>
      <rPr>
        <sz val="12"/>
        <color rgb="FF040C28"/>
        <rFont val="Arial"/>
        <family val="2"/>
        <charset val="162"/>
      </rPr>
      <t>sprinkler başlıktan boşaltılacak suyun akış hızı ve basıncı hesaplamak için kullanılan bir değerdir</t>
    </r>
    <r>
      <rPr>
        <sz val="12"/>
        <color rgb="FF4D5156"/>
        <rFont val="Arial"/>
        <family val="2"/>
        <charset val="162"/>
      </rPr>
      <t>.</t>
    </r>
  </si>
  <si>
    <r>
      <t>Bir yangında sıcaklık, sprinkler çalışma sıcaklığına ulaşınca (genellikle </t>
    </r>
    <r>
      <rPr>
        <sz val="12"/>
        <color rgb="FF040C28"/>
        <rFont val="Arial"/>
        <family val="2"/>
        <charset val="162"/>
      </rPr>
      <t>186°F - 86°C</t>
    </r>
    <r>
      <rPr>
        <sz val="12"/>
        <color rgb="FF4D5156"/>
        <rFont val="Arial"/>
        <family val="2"/>
        <charset val="162"/>
      </rPr>
      <t>), sprinkler içindeki bağlantı malzemesi erir veya sıvı dolu bir ampul patlar ve sprinkleri açar, su açılır ve sesli alarm tetiklenir.</t>
    </r>
  </si>
  <si>
    <r>
      <t>NFPA 20 (Standard for the Installation of Centrifugal Fire Pumps), </t>
    </r>
    <r>
      <rPr>
        <sz val="12"/>
        <color rgb="FF040C28"/>
        <rFont val="Arial"/>
        <family val="2"/>
        <charset val="162"/>
      </rPr>
      <t>NFPA'in yangın pompaları ile ilgili standart'ı</t>
    </r>
    <r>
      <rPr>
        <sz val="12"/>
        <color rgb="FF4D5156"/>
        <rFont val="Arial"/>
        <family val="2"/>
        <charset val="162"/>
      </rPr>
      <t> olup; yangın pompaları ve pompa gruplarının, motor kumanda sistemlerinin ve kullanılması gereken yan elemanlarının özelliklerini, performanslarını ve montaj kurallarını, belirleyen standardıdır.</t>
    </r>
  </si>
  <si>
    <t xml:space="preserve">sıcak su hattının en son musluğa olan mesafesi ve bu noktadan boylere olan mesafesinin toplam uzunluğu tespit edilir. </t>
  </si>
  <si>
    <t xml:space="preserve"> Tespit edilen toplam boru uzunluğunun su hacmi bulunur. Bu hacmi saatte 3 veya 4 kez çevirecek pompa seçilir.</t>
  </si>
  <si>
    <t xml:space="preserve"> Basma Yüksekliği Max. 3 mSS seçilmelidir  </t>
  </si>
  <si>
    <t>1.Zon</t>
  </si>
  <si>
    <t>2.Zon</t>
  </si>
  <si>
    <t>3.Zon</t>
  </si>
  <si>
    <t>4.Zon</t>
  </si>
  <si>
    <t>5.Zon</t>
  </si>
  <si>
    <t>6.Zon</t>
  </si>
  <si>
    <t>7.Zon</t>
  </si>
  <si>
    <t>havuz ısıtma</t>
  </si>
  <si>
    <t>yerden ısıtma</t>
  </si>
  <si>
    <t>boyler</t>
  </si>
  <si>
    <t>radyatör</t>
  </si>
  <si>
    <t>klima santrali</t>
  </si>
  <si>
    <t>ısı geri kazanım</t>
  </si>
  <si>
    <t>Kazan Kapasitesi</t>
  </si>
  <si>
    <t>Kapalı Genleşme</t>
  </si>
  <si>
    <t>∆T=</t>
  </si>
  <si>
    <r>
      <t>°</t>
    </r>
    <r>
      <rPr>
        <sz val="28"/>
        <rFont val="Calibri"/>
        <family val="2"/>
        <charset val="162"/>
      </rPr>
      <t>c</t>
    </r>
  </si>
  <si>
    <t>&gt;</t>
  </si>
  <si>
    <t>KW</t>
  </si>
  <si>
    <t>Boru İÇ Çapı</t>
  </si>
  <si>
    <t>Kollektör Boru İÇ Çapı</t>
  </si>
  <si>
    <r>
      <t xml:space="preserve">  </t>
    </r>
    <r>
      <rPr>
        <b/>
        <sz val="26"/>
        <color indexed="18"/>
        <rFont val="Tahoma"/>
        <family val="2"/>
        <charset val="162"/>
      </rPr>
      <t>Prog.Hazırlayan:</t>
    </r>
    <r>
      <rPr>
        <b/>
        <sz val="26"/>
        <rFont val="Tahoma"/>
        <family val="2"/>
        <charset val="162"/>
      </rPr>
      <t xml:space="preserve"> Mak.Müh.Yunus TUFAN</t>
    </r>
    <r>
      <rPr>
        <sz val="26"/>
        <rFont val="Tahoma"/>
        <family val="2"/>
        <charset val="162"/>
      </rPr>
      <t xml:space="preserve">    </t>
    </r>
  </si>
  <si>
    <t>hamam ısıtma</t>
  </si>
  <si>
    <t>****</t>
  </si>
  <si>
    <t>Kazan Dairesi BORU ÇAPI HESABI</t>
  </si>
  <si>
    <t>kollektör</t>
  </si>
  <si>
    <t>6)</t>
  </si>
  <si>
    <t>7)</t>
  </si>
  <si>
    <t>SİRKÜLASYON POMPASI VE GENLEŞME TANKI SEÇİMİ</t>
  </si>
  <si>
    <t>SİRKÜLASYON POMPASI</t>
  </si>
  <si>
    <t>Bar</t>
  </si>
  <si>
    <t xml:space="preserve"> = </t>
  </si>
  <si>
    <t>Birim Dönüştürücü</t>
  </si>
  <si>
    <t>Kum, Çakıl, Kırmataş (mıcır)</t>
  </si>
  <si>
    <t>Ton</t>
  </si>
  <si>
    <t>TİP 1</t>
  </si>
  <si>
    <t>TİP 2</t>
  </si>
  <si>
    <t>TİP 3</t>
  </si>
  <si>
    <t>TİP 4</t>
  </si>
  <si>
    <t>TİP 5</t>
  </si>
  <si>
    <t>TİP 6</t>
  </si>
  <si>
    <t>YÜK TAŞIMA KAPASİTESİ</t>
  </si>
  <si>
    <t>Damperli Kamyonların Damper Kapasitelerine göre</t>
  </si>
  <si>
    <t>Kamyon Adet</t>
  </si>
  <si>
    <t>1 metreküp hafriyat ağırlığı</t>
  </si>
  <si>
    <t>Kum, çakıl (gevşek)</t>
  </si>
  <si>
    <t>Kum, çakıl (sıkışmış)</t>
  </si>
  <si>
    <t>Batak ve balçık</t>
  </si>
  <si>
    <t>Yumuşak toprak</t>
  </si>
  <si>
    <t>Sert toprak</t>
  </si>
  <si>
    <t>Yoğunluk</t>
  </si>
  <si>
    <t>Yumuşak küskülük</t>
  </si>
  <si>
    <t>Sert küskülük</t>
  </si>
  <si>
    <t>Yumuşak kaya</t>
  </si>
  <si>
    <t>Sert kaya</t>
  </si>
  <si>
    <t>Çok sert kaya</t>
  </si>
  <si>
    <t>Bims çakılı (3234)</t>
  </si>
  <si>
    <t>Yüksek fırın curufu</t>
  </si>
  <si>
    <t>Kömür curufu</t>
  </si>
  <si>
    <t>Gözenekli doğal taş mıcırları</t>
  </si>
  <si>
    <t>Bimsbeton</t>
  </si>
  <si>
    <t>Kazan cürufu betonu (kum ilave edilmeden)</t>
  </si>
  <si>
    <t>Demirsiz betonlar (normal)</t>
  </si>
  <si>
    <t>Betonarme (normal)</t>
  </si>
  <si>
    <t>Betonarme (sıkı ve sık donatılı)</t>
  </si>
  <si>
    <t>Çelik</t>
  </si>
  <si>
    <t>Alüminyum</t>
  </si>
  <si>
    <t>Alüminyum Alaşımları</t>
  </si>
  <si>
    <t>Kurşun</t>
  </si>
  <si>
    <t>Yüklenecek Hafriyat miktarı</t>
  </si>
  <si>
    <t>Standart*</t>
  </si>
  <si>
    <t>Çinko</t>
  </si>
  <si>
    <t>Dökme Demir</t>
  </si>
  <si>
    <t>Bakır</t>
  </si>
  <si>
    <t>Hesaplanacak malzeme hacminin ölçüleri</t>
  </si>
  <si>
    <t>kalınlık(m)</t>
  </si>
  <si>
    <t>genişlik(m)</t>
  </si>
  <si>
    <t>uzunluk(m)</t>
  </si>
  <si>
    <t>Hacmi (m3)</t>
  </si>
  <si>
    <t>İNŞAAT HAFRİYAT YÜKLEME HESABI</t>
  </si>
  <si>
    <t>Genleşme Tankı</t>
  </si>
  <si>
    <t>GÜÇ</t>
  </si>
  <si>
    <t>HP(BG,PS)</t>
  </si>
  <si>
    <t>l/dak</t>
  </si>
  <si>
    <t>m3/dak</t>
  </si>
  <si>
    <t>l/sn</t>
  </si>
  <si>
    <t>BASINÇ</t>
  </si>
  <si>
    <t>N/mm2</t>
  </si>
  <si>
    <t>atm</t>
  </si>
  <si>
    <t>mmHg</t>
  </si>
  <si>
    <t>J</t>
  </si>
  <si>
    <t>KUVVET</t>
  </si>
  <si>
    <t>N</t>
  </si>
  <si>
    <t>kgf</t>
  </si>
  <si>
    <t>lbf</t>
  </si>
  <si>
    <t>dyn</t>
  </si>
  <si>
    <t>m/h</t>
  </si>
  <si>
    <t>m/dak</t>
  </si>
  <si>
    <t>km/h</t>
  </si>
  <si>
    <t>SICAKLIK</t>
  </si>
  <si>
    <t>°F</t>
  </si>
  <si>
    <t>K</t>
  </si>
  <si>
    <t>°R</t>
  </si>
  <si>
    <t>kcal</t>
  </si>
  <si>
    <t>ENERJİ</t>
  </si>
  <si>
    <t>Boru  metrajı</t>
  </si>
  <si>
    <t>rehau</t>
  </si>
  <si>
    <t>Ø18X1mm BAKIR</t>
  </si>
  <si>
    <t>Ø15X1mm BAKIR</t>
  </si>
  <si>
    <t xml:space="preserve">Ø15 bakır boruya göre </t>
  </si>
  <si>
    <t>Viega Artikel ( presli )</t>
  </si>
  <si>
    <t xml:space="preserve">Ø18 bakır boruya göre </t>
  </si>
  <si>
    <t>TABAN ELEMANI</t>
  </si>
  <si>
    <t>KONİK</t>
  </si>
  <si>
    <t>GÖVDE BİLEZİĞİ</t>
  </si>
  <si>
    <t>Boyun Bileziği</t>
  </si>
  <si>
    <t>KAPAK</t>
  </si>
  <si>
    <t>H:</t>
  </si>
  <si>
    <t>üst kod</t>
  </si>
  <si>
    <t>Boru akar kodu</t>
  </si>
  <si>
    <t>m.</t>
  </si>
  <si>
    <t>Hesaplanan künk adedi</t>
  </si>
  <si>
    <t>istenen iki rogar arası uzaklık</t>
  </si>
  <si>
    <t>künk (adet)</t>
  </si>
  <si>
    <t>eğim farkı</t>
  </si>
  <si>
    <t xml:space="preserve"> Boru eğim %</t>
  </si>
  <si>
    <t>hesaplanan</t>
  </si>
  <si>
    <t>Rögar Akar Kod ve Beton Künk Hesabı</t>
  </si>
  <si>
    <t xml:space="preserve">Boru iç çapı </t>
  </si>
  <si>
    <t>Boru uzunluğu</t>
  </si>
  <si>
    <t>Boru iç hacmi</t>
  </si>
  <si>
    <t>Birim dönüştürme</t>
  </si>
  <si>
    <t>BORULAR</t>
  </si>
  <si>
    <t>ÇELİK</t>
  </si>
  <si>
    <t>PPRC</t>
  </si>
  <si>
    <t>BAKIR</t>
  </si>
  <si>
    <t>REHAU RAUTITAN</t>
  </si>
  <si>
    <t>REHAU RAUVITHERM TOPRAK ALTI BORUSU</t>
  </si>
  <si>
    <t>DUO ( İKİLİ BORU )</t>
  </si>
  <si>
    <t>ANMA ÇAP</t>
  </si>
  <si>
    <t>ET KAL.</t>
  </si>
  <si>
    <t>İÇ ÇAP</t>
  </si>
  <si>
    <t>DIŞ ÇAP</t>
  </si>
  <si>
    <t>AĞIRLIK</t>
  </si>
  <si>
    <t>L/M</t>
  </si>
  <si>
    <t>İnch</t>
  </si>
  <si>
    <t>mm.</t>
  </si>
  <si>
    <t>kg/m</t>
  </si>
  <si>
    <t>kg/boy</t>
  </si>
  <si>
    <t>Litre / M</t>
  </si>
  <si>
    <t>UNO ( TEKLİ BORU )</t>
  </si>
  <si>
    <t>12"</t>
  </si>
  <si>
    <t>16"</t>
  </si>
  <si>
    <t>18"</t>
  </si>
  <si>
    <t xml:space="preserve">  (SDR 11 PN 10&amp;12.5)</t>
  </si>
  <si>
    <r>
      <t xml:space="preserve"> q ( </t>
    </r>
    <r>
      <rPr>
        <b/>
        <sz val="11"/>
        <rFont val="Calibri"/>
        <family val="2"/>
        <charset val="162"/>
      </rPr>
      <t>lt/sn</t>
    </r>
    <r>
      <rPr>
        <sz val="11"/>
        <rFont val="Calibri"/>
        <family val="2"/>
        <charset val="162"/>
      </rPr>
      <t xml:space="preserve"> )</t>
    </r>
  </si>
  <si>
    <t>Eğitim Videosu için Tıkla</t>
  </si>
  <si>
    <t>Not: 12 li kollektöre kadar kombilerde hidrolik karıştırıcıya gerek yok</t>
  </si>
  <si>
    <t>REHAU Atık Su Borusu</t>
  </si>
  <si>
    <t>DN</t>
  </si>
  <si>
    <t>inç</t>
  </si>
  <si>
    <t>5/8"</t>
  </si>
  <si>
    <t>7/8"</t>
  </si>
  <si>
    <t>1 3/8"</t>
  </si>
  <si>
    <t>1 1/8"</t>
  </si>
  <si>
    <t>1 5/8"</t>
  </si>
  <si>
    <t>2 1/8"</t>
  </si>
  <si>
    <t>Ø 75 METRAJ</t>
  </si>
  <si>
    <t>Ø 110 METRAJ</t>
  </si>
  <si>
    <t>Ø 110 lük kelepçe</t>
  </si>
  <si>
    <t>Ø 75 lik kelepçe</t>
  </si>
  <si>
    <t>Suyun Genleşme Miktarı</t>
  </si>
  <si>
    <t>İşletme Alt Basıncı</t>
  </si>
  <si>
    <t>İşletme Üst Basıncı</t>
  </si>
  <si>
    <t>Genleşme Kabı Hacmi</t>
  </si>
  <si>
    <t>Boyler Genleşme Kabı Hesabı</t>
  </si>
  <si>
    <t xml:space="preserve">Boru içindeki su miktarı </t>
  </si>
  <si>
    <t>Boru İçindeki Su hesabı</t>
  </si>
  <si>
    <t>Hesaplanan Toplam Isı Pompası Gücü</t>
  </si>
  <si>
    <t xml:space="preserve">               Hesaplanan ihtiyaç olan Isıl Güç</t>
  </si>
  <si>
    <r>
      <t xml:space="preserve">Kullanmak istediğiniz </t>
    </r>
    <r>
      <rPr>
        <b/>
        <sz val="12"/>
        <color rgb="FFFF0000"/>
        <rFont val="Calibri"/>
        <family val="2"/>
        <charset val="162"/>
      </rPr>
      <t>Isı Pompası Gücü</t>
    </r>
  </si>
  <si>
    <r>
      <t>Hesaplanan min.</t>
    </r>
    <r>
      <rPr>
        <b/>
        <sz val="12"/>
        <color rgb="FFFF0000"/>
        <rFont val="Calibri"/>
        <family val="2"/>
        <charset val="162"/>
      </rPr>
      <t xml:space="preserve"> Akümülasyon tankı Hacmi</t>
    </r>
  </si>
  <si>
    <r>
      <t xml:space="preserve">Hesaplanan </t>
    </r>
    <r>
      <rPr>
        <b/>
        <sz val="12"/>
        <color rgb="FFFF0000"/>
        <rFont val="Calibri"/>
        <family val="2"/>
        <charset val="162"/>
      </rPr>
      <t>Boyler Serpantin Yüzey alanı</t>
    </r>
  </si>
  <si>
    <t>adet paket strafor</t>
  </si>
  <si>
    <t>Strafor</t>
  </si>
  <si>
    <t>TESİSAT SEMBOLLERİ</t>
  </si>
  <si>
    <t>Sıra No</t>
  </si>
  <si>
    <t>Tarif</t>
  </si>
  <si>
    <t>Hidrolik Çap</t>
  </si>
  <si>
    <t>Hava Debisi</t>
  </si>
  <si>
    <t xml:space="preserve"> Yuvarlak Kanal Hızı (Eşdeğer)</t>
  </si>
  <si>
    <t>Dikdörtgen Kanal Hızı</t>
  </si>
  <si>
    <t>Yüzey Pürüzlülüğü</t>
  </si>
  <si>
    <t>Viskosite</t>
  </si>
  <si>
    <t>Reynold Sayısı</t>
  </si>
  <si>
    <t>Sürtünme Katsayısı</t>
  </si>
  <si>
    <t>Birim Basınç Kaybı</t>
  </si>
  <si>
    <t>Toplam Basınç Kaybı</t>
  </si>
  <si>
    <t>Dirsek</t>
  </si>
  <si>
    <t>Te-Parçası</t>
  </si>
  <si>
    <t>Damper</t>
  </si>
  <si>
    <t>Giriş / Çıkış</t>
  </si>
  <si>
    <t>Diğer Fittingler</t>
  </si>
  <si>
    <t>Toplam Fitting Katsayısı</t>
  </si>
  <si>
    <t>Hız Basıncı</t>
  </si>
  <si>
    <t>Toplam Fitting Basınç Kaybı</t>
  </si>
  <si>
    <t>a</t>
  </si>
  <si>
    <t>b</t>
  </si>
  <si>
    <r>
      <t>D</t>
    </r>
    <r>
      <rPr>
        <vertAlign val="subscript"/>
        <sz val="9"/>
        <rFont val="Arial"/>
        <family val="2"/>
      </rPr>
      <t>h</t>
    </r>
  </si>
  <si>
    <t>q</t>
  </si>
  <si>
    <r>
      <t>v</t>
    </r>
    <r>
      <rPr>
        <vertAlign val="subscript"/>
        <sz val="10"/>
        <rFont val="Arial"/>
        <family val="2"/>
        <charset val="162"/>
      </rPr>
      <t>D</t>
    </r>
  </si>
  <si>
    <r>
      <t>v</t>
    </r>
    <r>
      <rPr>
        <vertAlign val="subscript"/>
        <sz val="10"/>
        <rFont val="Arial"/>
        <family val="2"/>
        <charset val="162"/>
      </rPr>
      <t>R</t>
    </r>
  </si>
  <si>
    <t>e</t>
  </si>
  <si>
    <t>Re</t>
  </si>
  <si>
    <t>l</t>
  </si>
  <si>
    <r>
      <t>D</t>
    </r>
    <r>
      <rPr>
        <sz val="11"/>
        <rFont val="Calibri"/>
        <family val="2"/>
        <charset val="162"/>
      </rPr>
      <t>P</t>
    </r>
    <r>
      <rPr>
        <vertAlign val="subscript"/>
        <sz val="10"/>
        <rFont val="Arial"/>
        <family val="2"/>
        <charset val="162"/>
      </rPr>
      <t>d</t>
    </r>
  </si>
  <si>
    <t>ad</t>
  </si>
  <si>
    <r>
      <t>S</t>
    </r>
    <r>
      <rPr>
        <sz val="10"/>
        <rFont val="Symbol"/>
        <family val="1"/>
        <charset val="2"/>
      </rPr>
      <t>z</t>
    </r>
  </si>
  <si>
    <r>
      <t>P</t>
    </r>
    <r>
      <rPr>
        <vertAlign val="subscript"/>
        <sz val="10"/>
        <rFont val="Arial"/>
        <family val="2"/>
        <charset val="162"/>
      </rPr>
      <t>v</t>
    </r>
  </si>
  <si>
    <r>
      <t>D</t>
    </r>
    <r>
      <rPr>
        <sz val="11"/>
        <rFont val="Calibri"/>
        <family val="2"/>
        <charset val="162"/>
      </rPr>
      <t>P</t>
    </r>
    <r>
      <rPr>
        <vertAlign val="subscript"/>
        <sz val="10"/>
        <rFont val="Arial"/>
        <family val="2"/>
        <charset val="162"/>
      </rPr>
      <t>f</t>
    </r>
  </si>
  <si>
    <r>
      <t>D</t>
    </r>
    <r>
      <rPr>
        <sz val="10"/>
        <rFont val="Arial"/>
        <family val="2"/>
        <charset val="162"/>
      </rPr>
      <t>P</t>
    </r>
    <r>
      <rPr>
        <vertAlign val="subscript"/>
        <sz val="10"/>
        <rFont val="Arial"/>
        <family val="2"/>
        <charset val="162"/>
      </rPr>
      <t>tot</t>
    </r>
  </si>
  <si>
    <t>L/s</t>
  </si>
  <si>
    <r>
      <t>m</t>
    </r>
    <r>
      <rPr>
        <vertAlign val="superscript"/>
        <sz val="10"/>
        <rFont val="Arial"/>
        <family val="2"/>
        <charset val="162"/>
      </rPr>
      <t>2</t>
    </r>
    <r>
      <rPr>
        <sz val="10"/>
        <rFont val="Arial"/>
        <family val="2"/>
        <charset val="162"/>
      </rPr>
      <t>/s</t>
    </r>
  </si>
  <si>
    <t>Pa/m</t>
  </si>
  <si>
    <t>EF-01</t>
  </si>
  <si>
    <t>Kanal</t>
  </si>
  <si>
    <t>TOPLAM HESAPLANAN BASINÇ KAYBI (Pa)</t>
  </si>
  <si>
    <t>MENFEZ</t>
  </si>
  <si>
    <t>TOPLAM DİZAYN BASINÇ KAYBI (Pa)</t>
  </si>
  <si>
    <t>Pürüzlülük katsayısı</t>
  </si>
  <si>
    <t>ÖLÇÜ</t>
  </si>
  <si>
    <t>KOPMA YÜKÜ (KN)</t>
  </si>
  <si>
    <t>ÇALIŞMA YÜKÜ (KN)</t>
  </si>
  <si>
    <t>1/8" - 1"</t>
  </si>
  <si>
    <t>1 1/4" - 2"</t>
  </si>
  <si>
    <t>67-77 - 4"</t>
  </si>
  <si>
    <t>122-135 - 8"</t>
  </si>
  <si>
    <t>ÜRÜN KODU</t>
  </si>
  <si>
    <t>SIKMA ARALIĞI</t>
  </si>
  <si>
    <t>H</t>
  </si>
  <si>
    <t>M</t>
  </si>
  <si>
    <t>SxB</t>
  </si>
  <si>
    <t>KOLİDEKİ ADET</t>
  </si>
  <si>
    <t>KOLİ AĞIRLIĞI</t>
  </si>
  <si>
    <t>(mm)</t>
  </si>
  <si>
    <t>(Ortalama kg)</t>
  </si>
  <si>
    <t>1/8''</t>
  </si>
  <si>
    <t>M5</t>
  </si>
  <si>
    <t>1x20</t>
  </si>
  <si>
    <t>M8</t>
  </si>
  <si>
    <t>NSC008</t>
  </si>
  <si>
    <t>1/4"</t>
  </si>
  <si>
    <t>13 - 20</t>
  </si>
  <si>
    <t>NSC010</t>
  </si>
  <si>
    <t>3/8"</t>
  </si>
  <si>
    <t>17 - 23</t>
  </si>
  <si>
    <t>NSC015</t>
  </si>
  <si>
    <t>21 - 26</t>
  </si>
  <si>
    <t>NSC020</t>
  </si>
  <si>
    <t>26 - 30</t>
  </si>
  <si>
    <t>NSC025</t>
  </si>
  <si>
    <t>33 - 37</t>
  </si>
  <si>
    <t>NSC032</t>
  </si>
  <si>
    <t>40 - 46</t>
  </si>
  <si>
    <t>1,2x20</t>
  </si>
  <si>
    <t>NSC040</t>
  </si>
  <si>
    <t>48 - 53</t>
  </si>
  <si>
    <t>NSC047</t>
  </si>
  <si>
    <t>53-59</t>
  </si>
  <si>
    <t>53 - 59</t>
  </si>
  <si>
    <t>NSC050</t>
  </si>
  <si>
    <t>60 - 66</t>
  </si>
  <si>
    <t>NSC060</t>
  </si>
  <si>
    <t>67-77</t>
  </si>
  <si>
    <t>67 - 77</t>
  </si>
  <si>
    <t>M6</t>
  </si>
  <si>
    <t>1,5x25</t>
  </si>
  <si>
    <t>M10</t>
  </si>
  <si>
    <t>NSC065</t>
  </si>
  <si>
    <t>75 - 84</t>
  </si>
  <si>
    <t>NSC075</t>
  </si>
  <si>
    <t>83-93</t>
  </si>
  <si>
    <t>83 - 93</t>
  </si>
  <si>
    <t>NSC080</t>
  </si>
  <si>
    <t>87 - 96</t>
  </si>
  <si>
    <t>NSC085</t>
  </si>
  <si>
    <t>94-104</t>
  </si>
  <si>
    <t>94 - 104</t>
  </si>
  <si>
    <t>NSC095</t>
  </si>
  <si>
    <t>102-111</t>
  </si>
  <si>
    <t>102 - 111</t>
  </si>
  <si>
    <t>NSC100</t>
  </si>
  <si>
    <t>109 - 119</t>
  </si>
  <si>
    <t>NSC110</t>
  </si>
  <si>
    <t>122-135</t>
  </si>
  <si>
    <t>122 - 135</t>
  </si>
  <si>
    <t>2x25</t>
  </si>
  <si>
    <t>NSC120</t>
  </si>
  <si>
    <t>128-139</t>
  </si>
  <si>
    <t>128 - 139</t>
  </si>
  <si>
    <t>NSC125</t>
  </si>
  <si>
    <t>135 - 148</t>
  </si>
  <si>
    <t>NSC140</t>
  </si>
  <si>
    <t>151-164</t>
  </si>
  <si>
    <t>151 - 164</t>
  </si>
  <si>
    <t>NSC150</t>
  </si>
  <si>
    <t>158 - 170</t>
  </si>
  <si>
    <t>NSC180</t>
  </si>
  <si>
    <t>194-205</t>
  </si>
  <si>
    <t>194 - 205</t>
  </si>
  <si>
    <t>M12</t>
  </si>
  <si>
    <t>NSC200</t>
  </si>
  <si>
    <t>214 - 224</t>
  </si>
  <si>
    <t>NKSC006</t>
  </si>
  <si>
    <t>M8 / M10</t>
  </si>
  <si>
    <t xml:space="preserve">   9 -12</t>
  </si>
  <si>
    <t>SOMUNLU KELEPÇE</t>
  </si>
  <si>
    <t>KOMBİ SOMUNLU KELEPÇE</t>
  </si>
  <si>
    <t>KOPMA YÜKÜ</t>
  </si>
  <si>
    <t>(KN)</t>
  </si>
  <si>
    <t>ÇALIŞMA YÜKÜ</t>
  </si>
  <si>
    <t>NKSC008</t>
  </si>
  <si>
    <t>NKSC010</t>
  </si>
  <si>
    <t>NKSC015</t>
  </si>
  <si>
    <t>NKSC020</t>
  </si>
  <si>
    <t>NKSC025</t>
  </si>
  <si>
    <t>NKSC032</t>
  </si>
  <si>
    <t>NKSC040</t>
  </si>
  <si>
    <t>NKSC047</t>
  </si>
  <si>
    <t>NKSC050</t>
  </si>
  <si>
    <t>NKSC060</t>
  </si>
  <si>
    <t>NKSC065</t>
  </si>
  <si>
    <t>NKSC075</t>
  </si>
  <si>
    <t>NKSC080</t>
  </si>
  <si>
    <t>NKSC085</t>
  </si>
  <si>
    <t>NKSC095</t>
  </si>
  <si>
    <t>NKSC100</t>
  </si>
  <si>
    <t>NKSC110</t>
  </si>
  <si>
    <t>NKSC120</t>
  </si>
  <si>
    <t>NKSC125</t>
  </si>
  <si>
    <t>NKSC140</t>
  </si>
  <si>
    <t>NKSC150</t>
  </si>
  <si>
    <t>NKSC180</t>
  </si>
  <si>
    <t>NKSC200</t>
  </si>
  <si>
    <t>9 - 12</t>
  </si>
  <si>
    <t>NTC006</t>
  </si>
  <si>
    <t>1/8"</t>
  </si>
  <si>
    <t>Ø7x70</t>
  </si>
  <si>
    <t>NTC008</t>
  </si>
  <si>
    <t>NTC010</t>
  </si>
  <si>
    <t>NTC015</t>
  </si>
  <si>
    <t>NTC020</t>
  </si>
  <si>
    <t>NTC025</t>
  </si>
  <si>
    <t>NTC032</t>
  </si>
  <si>
    <t>NTC040</t>
  </si>
  <si>
    <t>NTC047</t>
  </si>
  <si>
    <t>NTC050</t>
  </si>
  <si>
    <t>NTC060</t>
  </si>
  <si>
    <t>NTC065</t>
  </si>
  <si>
    <t>NTC075</t>
  </si>
  <si>
    <t>NTC080</t>
  </si>
  <si>
    <t>NTC085</t>
  </si>
  <si>
    <t>NTC095</t>
  </si>
  <si>
    <t>NTC100</t>
  </si>
  <si>
    <t>NTC110</t>
  </si>
  <si>
    <t>KLASİK TRİFONLU KELEPÇE</t>
  </si>
  <si>
    <t>UZUN TRİFONLU KELEPÇE</t>
  </si>
  <si>
    <t>NUTC006</t>
  </si>
  <si>
    <t>Ø7x100</t>
  </si>
  <si>
    <t>NUTC008</t>
  </si>
  <si>
    <t>NUTC010</t>
  </si>
  <si>
    <t>NUTC015</t>
  </si>
  <si>
    <t>NUTC020</t>
  </si>
  <si>
    <t>NUTC025</t>
  </si>
  <si>
    <t>NUTC032</t>
  </si>
  <si>
    <t>NUTC040</t>
  </si>
  <si>
    <t>NUTC047</t>
  </si>
  <si>
    <t>NUTC050</t>
  </si>
  <si>
    <t>NUTC060</t>
  </si>
  <si>
    <t>NUTC065</t>
  </si>
  <si>
    <t>NUTC075</t>
  </si>
  <si>
    <t>NUTC080</t>
  </si>
  <si>
    <t>NUTC085</t>
  </si>
  <si>
    <t>NUTC095</t>
  </si>
  <si>
    <t>NUTC100</t>
  </si>
  <si>
    <t>NUTC110</t>
  </si>
  <si>
    <t>AĞIR YÜK SOMUNLU KELEPÇE</t>
  </si>
  <si>
    <t>1/4" - 95-104</t>
  </si>
  <si>
    <t>102-112 - 4"</t>
  </si>
  <si>
    <t>122-138 - 10"</t>
  </si>
  <si>
    <t>12" - 20"</t>
  </si>
  <si>
    <t>NASC008</t>
  </si>
  <si>
    <t>M8(6.8)</t>
  </si>
  <si>
    <t>NASC015</t>
  </si>
  <si>
    <t>21 - 28</t>
  </si>
  <si>
    <t>NASC020</t>
  </si>
  <si>
    <t>25 - 32</t>
  </si>
  <si>
    <t>NASC025</t>
  </si>
  <si>
    <t>33 - 40</t>
  </si>
  <si>
    <t>NASC032</t>
  </si>
  <si>
    <t>41 - 48</t>
  </si>
  <si>
    <t>NASC040</t>
  </si>
  <si>
    <t>48 - 56</t>
  </si>
  <si>
    <t>NASC047</t>
  </si>
  <si>
    <t>NASC050</t>
  </si>
  <si>
    <t>60 - 69</t>
  </si>
  <si>
    <t>NASC060</t>
  </si>
  <si>
    <t>67-75</t>
  </si>
  <si>
    <t>67 - 75</t>
  </si>
  <si>
    <t>NASC065</t>
  </si>
  <si>
    <t>75 - 81</t>
  </si>
  <si>
    <t>NASC075</t>
  </si>
  <si>
    <t>83-91</t>
  </si>
  <si>
    <t>83 - 91</t>
  </si>
  <si>
    <t>NASC080</t>
  </si>
  <si>
    <t>87 - 95</t>
  </si>
  <si>
    <t>NASC085</t>
  </si>
  <si>
    <t>95-104</t>
  </si>
  <si>
    <t>95 - 104</t>
  </si>
  <si>
    <t>NASC095</t>
  </si>
  <si>
    <t>102-112</t>
  </si>
  <si>
    <t>102 - 112</t>
  </si>
  <si>
    <t>2,5x30</t>
  </si>
  <si>
    <t>NASC100</t>
  </si>
  <si>
    <t>NASC110</t>
  </si>
  <si>
    <t>122-138</t>
  </si>
  <si>
    <t>122 - 138</t>
  </si>
  <si>
    <t>M10(8.8)</t>
  </si>
  <si>
    <t>3x30</t>
  </si>
  <si>
    <t>M16</t>
  </si>
  <si>
    <t>NASC120</t>
  </si>
  <si>
    <t>128-141</t>
  </si>
  <si>
    <t>128 - 141</t>
  </si>
  <si>
    <t>NASC125</t>
  </si>
  <si>
    <t>136 - 147</t>
  </si>
  <si>
    <t>NASC140</t>
  </si>
  <si>
    <t>153-164</t>
  </si>
  <si>
    <t>153 - 164</t>
  </si>
  <si>
    <t>NASC150</t>
  </si>
  <si>
    <t>164 - 174</t>
  </si>
  <si>
    <t>NASC180</t>
  </si>
  <si>
    <t>196-209</t>
  </si>
  <si>
    <t>196 - 209</t>
  </si>
  <si>
    <t>NASC200</t>
  </si>
  <si>
    <t>214 - 226</t>
  </si>
  <si>
    <t>4x30</t>
  </si>
  <si>
    <t>NASC250</t>
  </si>
  <si>
    <t>266 - 274</t>
  </si>
  <si>
    <t>NASC300</t>
  </si>
  <si>
    <t>308 - 324</t>
  </si>
  <si>
    <t>M12(8.8)</t>
  </si>
  <si>
    <t>4x40</t>
  </si>
  <si>
    <t>NASC350</t>
  </si>
  <si>
    <t>14"</t>
  </si>
  <si>
    <t>340 - 356</t>
  </si>
  <si>
    <t>NASC400</t>
  </si>
  <si>
    <t>395 - 411</t>
  </si>
  <si>
    <t>NASC450</t>
  </si>
  <si>
    <t>447 - 463</t>
  </si>
  <si>
    <t>M16(6.8)</t>
  </si>
  <si>
    <t>NASC500</t>
  </si>
  <si>
    <t>20"</t>
  </si>
  <si>
    <t>499 - 515</t>
  </si>
  <si>
    <t>12 - 17</t>
  </si>
  <si>
    <t>AĞIR YÜK KAFALI KELEPÇE</t>
  </si>
  <si>
    <t>NAKC008</t>
  </si>
  <si>
    <t>10,5x14</t>
  </si>
  <si>
    <t>2x25x40</t>
  </si>
  <si>
    <t>NAKC015</t>
  </si>
  <si>
    <t>NAKC020</t>
  </si>
  <si>
    <t>NAKC025</t>
  </si>
  <si>
    <t>NAKC032</t>
  </si>
  <si>
    <t>NAKC040</t>
  </si>
  <si>
    <t>NAKC047</t>
  </si>
  <si>
    <t>NAKC050</t>
  </si>
  <si>
    <t>NAKC060</t>
  </si>
  <si>
    <t>NAKC065</t>
  </si>
  <si>
    <t>NAKC075</t>
  </si>
  <si>
    <t>NAKC080</t>
  </si>
  <si>
    <t>NAKC085</t>
  </si>
  <si>
    <t>NAKC095</t>
  </si>
  <si>
    <t>12x14</t>
  </si>
  <si>
    <t>2,5x30x40</t>
  </si>
  <si>
    <t>NAKC100</t>
  </si>
  <si>
    <t>NAKC110</t>
  </si>
  <si>
    <t>3x30x40</t>
  </si>
  <si>
    <t>NAKC120</t>
  </si>
  <si>
    <t>NAKC125</t>
  </si>
  <si>
    <t>NAKC140</t>
  </si>
  <si>
    <t>NAKC150</t>
  </si>
  <si>
    <t>NAKC180</t>
  </si>
  <si>
    <t>NAKC200</t>
  </si>
  <si>
    <t>4x30x40</t>
  </si>
  <si>
    <t>NAKC250</t>
  </si>
  <si>
    <t>NAKC300</t>
  </si>
  <si>
    <t>12,5x23</t>
  </si>
  <si>
    <t>4x40x40</t>
  </si>
  <si>
    <t>NAKC350</t>
  </si>
  <si>
    <t>NAKC400</t>
  </si>
  <si>
    <t>NAKC450</t>
  </si>
  <si>
    <t>NAKC500</t>
  </si>
  <si>
    <t>ExF</t>
  </si>
  <si>
    <t>(Kafa Parçası)</t>
  </si>
  <si>
    <t>Klasik Tip SPRİNKLER KELEPÇE</t>
  </si>
  <si>
    <t>1/2" - 2"</t>
  </si>
  <si>
    <t>2 1/2" - 4"</t>
  </si>
  <si>
    <t>5" - 6"</t>
  </si>
  <si>
    <t>8" - 12"</t>
  </si>
  <si>
    <t>1/2'' - 1''</t>
  </si>
  <si>
    <t>1 1/4'' - 2''</t>
  </si>
  <si>
    <t>2 1/2'' - 3''</t>
  </si>
  <si>
    <t>4''</t>
  </si>
  <si>
    <t>5'' - 6''</t>
  </si>
  <si>
    <t>8'' - 12''</t>
  </si>
  <si>
    <t>ØD</t>
  </si>
  <si>
    <t>Ød</t>
  </si>
  <si>
    <t>NSP015</t>
  </si>
  <si>
    <t>1x25</t>
  </si>
  <si>
    <t>NSP020</t>
  </si>
  <si>
    <t>NSP025</t>
  </si>
  <si>
    <t>NSP032</t>
  </si>
  <si>
    <t>1,2x25</t>
  </si>
  <si>
    <t>NSP040</t>
  </si>
  <si>
    <t>NSP050</t>
  </si>
  <si>
    <t>NSP065</t>
  </si>
  <si>
    <t>NSP080</t>
  </si>
  <si>
    <t>NSP100</t>
  </si>
  <si>
    <t>NSP125</t>
  </si>
  <si>
    <t>2,5x25</t>
  </si>
  <si>
    <t>NSP150</t>
  </si>
  <si>
    <t>NSP200</t>
  </si>
  <si>
    <t>NSP250</t>
  </si>
  <si>
    <t>NSP300</t>
  </si>
  <si>
    <t>28</t>
  </si>
  <si>
    <t>NSPU015</t>
  </si>
  <si>
    <t>NSPU020</t>
  </si>
  <si>
    <t>NSPU025</t>
  </si>
  <si>
    <t>NSPU032</t>
  </si>
  <si>
    <t>NSPU040</t>
  </si>
  <si>
    <t>NSPU050</t>
  </si>
  <si>
    <t>NSPU065</t>
  </si>
  <si>
    <t>NSPU080</t>
  </si>
  <si>
    <t>NSPU100</t>
  </si>
  <si>
    <t>NSPU125</t>
  </si>
  <si>
    <t>3x25</t>
  </si>
  <si>
    <t>NSPU150</t>
  </si>
  <si>
    <t>NSPU200</t>
  </si>
  <si>
    <t>3x40</t>
  </si>
  <si>
    <t>NSPU250</t>
  </si>
  <si>
    <t>8" - 10"</t>
  </si>
  <si>
    <t>UZUN Tip SPRİNKLER KELEPÇE</t>
  </si>
  <si>
    <t>Rot / Tij  Ölçüleri</t>
  </si>
  <si>
    <t>M14</t>
  </si>
  <si>
    <t>M18</t>
  </si>
  <si>
    <t>M20</t>
  </si>
  <si>
    <t>M24</t>
  </si>
  <si>
    <t>M30</t>
  </si>
  <si>
    <t>NR061000</t>
  </si>
  <si>
    <t>M6x1000</t>
  </si>
  <si>
    <t>NR062000</t>
  </si>
  <si>
    <t>M6x2000</t>
  </si>
  <si>
    <t>NR081000</t>
  </si>
  <si>
    <t>M8x1000</t>
  </si>
  <si>
    <t>NR082000</t>
  </si>
  <si>
    <t>M8x2000</t>
  </si>
  <si>
    <t>NR101000</t>
  </si>
  <si>
    <t>M10x1000</t>
  </si>
  <si>
    <t>NR102000</t>
  </si>
  <si>
    <t>M10x2000</t>
  </si>
  <si>
    <t>NR121000</t>
  </si>
  <si>
    <t>M12x1000</t>
  </si>
  <si>
    <t>NR122000</t>
  </si>
  <si>
    <t>M12x2000</t>
  </si>
  <si>
    <t>NR141000</t>
  </si>
  <si>
    <t>M14x1000</t>
  </si>
  <si>
    <t>NR142000</t>
  </si>
  <si>
    <t>M14x2000</t>
  </si>
  <si>
    <t>NR161000</t>
  </si>
  <si>
    <t>M16x1000</t>
  </si>
  <si>
    <t>NR162000</t>
  </si>
  <si>
    <t>M16x2000</t>
  </si>
  <si>
    <t>NR181000</t>
  </si>
  <si>
    <t>M18x1000</t>
  </si>
  <si>
    <t>NR182000</t>
  </si>
  <si>
    <t>M18x2000</t>
  </si>
  <si>
    <t>NR201000</t>
  </si>
  <si>
    <t>M20x1000</t>
  </si>
  <si>
    <t>NR202000</t>
  </si>
  <si>
    <t>M20x2000</t>
  </si>
  <si>
    <t>NR221000</t>
  </si>
  <si>
    <t>M22x1000</t>
  </si>
  <si>
    <t>M22</t>
  </si>
  <si>
    <t>NR222000</t>
  </si>
  <si>
    <t>M22x2000</t>
  </si>
  <si>
    <t>NR241000</t>
  </si>
  <si>
    <t>M24x1000</t>
  </si>
  <si>
    <t>NR242000</t>
  </si>
  <si>
    <t>M24x2000</t>
  </si>
  <si>
    <t>NR271000</t>
  </si>
  <si>
    <t>M27x1000</t>
  </si>
  <si>
    <t>M27</t>
  </si>
  <si>
    <t>NR272000</t>
  </si>
  <si>
    <t>M27x2000</t>
  </si>
  <si>
    <t>NR301000</t>
  </si>
  <si>
    <t>M30x1000</t>
  </si>
  <si>
    <t>NR302000</t>
  </si>
  <si>
    <t>M30x2000</t>
  </si>
  <si>
    <t>NUB015</t>
  </si>
  <si>
    <t>NUB020</t>
  </si>
  <si>
    <t>NUB025</t>
  </si>
  <si>
    <t>NUB032</t>
  </si>
  <si>
    <t>NUB040</t>
  </si>
  <si>
    <t>NUB050</t>
  </si>
  <si>
    <t>NUB065</t>
  </si>
  <si>
    <t>NUB080</t>
  </si>
  <si>
    <t>NUB088</t>
  </si>
  <si>
    <t>3 1/2"</t>
  </si>
  <si>
    <t>NUB100</t>
  </si>
  <si>
    <t>NUB125</t>
  </si>
  <si>
    <t>NUB150</t>
  </si>
  <si>
    <t>NUB200</t>
  </si>
  <si>
    <t>NUB250</t>
  </si>
  <si>
    <t>NUB300</t>
  </si>
  <si>
    <t>NUB350</t>
  </si>
  <si>
    <t>NUB400</t>
  </si>
  <si>
    <t>NUB450</t>
  </si>
  <si>
    <t>NUB500</t>
  </si>
  <si>
    <t>U BOLT  Ölçüleri</t>
  </si>
  <si>
    <t xml:space="preserve">                   ÖLÇÜLERİ</t>
  </si>
  <si>
    <r>
      <rPr>
        <b/>
        <sz val="20"/>
        <rFont val="Calibri"/>
        <family val="2"/>
        <charset val="162"/>
      </rPr>
      <t xml:space="preserve">   </t>
    </r>
    <r>
      <rPr>
        <b/>
        <u/>
        <sz val="20"/>
        <rFont val="Calibri"/>
        <family val="2"/>
        <charset val="162"/>
      </rPr>
      <t>KELEPÇE - ROT ve U BOLT</t>
    </r>
  </si>
  <si>
    <r>
      <t xml:space="preserve">  </t>
    </r>
    <r>
      <rPr>
        <b/>
        <sz val="10"/>
        <color theme="0"/>
        <rFont val="Tahoma"/>
        <family val="2"/>
        <charset val="162"/>
      </rPr>
      <t>Prog.Hazırlayan: Mak.Müh.Yunus TUFAN</t>
    </r>
    <r>
      <rPr>
        <sz val="10"/>
        <color theme="0"/>
        <rFont val="Tahoma"/>
        <family val="2"/>
        <charset val="162"/>
      </rPr>
      <t xml:space="preserve">    </t>
    </r>
  </si>
  <si>
    <r>
      <t xml:space="preserve">1. </t>
    </r>
    <r>
      <rPr>
        <b/>
        <u/>
        <sz val="14"/>
        <color theme="9" tint="-0.499984740745262"/>
        <rFont val="Trebuchet MS"/>
        <family val="2"/>
        <charset val="162"/>
      </rPr>
      <t>Pratik Yöntem Klima Hesabı</t>
    </r>
  </si>
  <si>
    <r>
      <t xml:space="preserve">2. </t>
    </r>
    <r>
      <rPr>
        <b/>
        <u/>
        <sz val="14"/>
        <color theme="9" tint="-0.499984740745262"/>
        <rFont val="Trebuchet MS"/>
        <family val="2"/>
        <charset val="162"/>
      </rPr>
      <t>Pratik Yöntem Klima Hesabı</t>
    </r>
  </si>
  <si>
    <t xml:space="preserve">         Prog.Hazırlayan: Mak.Müh.Yunus TUFAN     </t>
  </si>
  <si>
    <t xml:space="preserve">             Prog.Hazırlayan:Mak. Müh. Yunus TUFAN     </t>
  </si>
  <si>
    <r>
      <t xml:space="preserve">Prog.Hazırlayan: </t>
    </r>
    <r>
      <rPr>
        <b/>
        <sz val="12"/>
        <color rgb="FF800000"/>
        <rFont val="Arial"/>
        <family val="2"/>
        <charset val="162"/>
      </rPr>
      <t xml:space="preserve">Yunus TUFAN </t>
    </r>
    <r>
      <rPr>
        <b/>
        <sz val="12"/>
        <color rgb="FF003366"/>
        <rFont val="Arial"/>
        <family val="2"/>
        <charset val="162"/>
      </rPr>
      <t xml:space="preserve">   </t>
    </r>
    <r>
      <rPr>
        <b/>
        <sz val="12"/>
        <color rgb="FF99CC00"/>
        <rFont val="Arial"/>
        <family val="2"/>
        <charset val="162"/>
      </rPr>
      <t xml:space="preserve"> </t>
    </r>
  </si>
  <si>
    <t xml:space="preserve"> Prog.Hazırlayan: Mak.Müh.Yunus TUFAN  </t>
  </si>
  <si>
    <r>
      <t xml:space="preserve">  </t>
    </r>
    <r>
      <rPr>
        <b/>
        <sz val="10"/>
        <color theme="1"/>
        <rFont val="Tahoma"/>
        <family val="2"/>
        <charset val="162"/>
      </rPr>
      <t>Prog.Hazırlayan: Mak.Müh.Yunus TUFAN</t>
    </r>
    <r>
      <rPr>
        <sz val="10"/>
        <color theme="1"/>
        <rFont val="Tahoma"/>
        <family val="2"/>
        <charset val="162"/>
      </rPr>
      <t xml:space="preserve">    </t>
    </r>
  </si>
  <si>
    <t>___________________________________________________________________________________</t>
  </si>
  <si>
    <t>___________________________________________________________________________________________</t>
  </si>
  <si>
    <t>Ø 15</t>
  </si>
  <si>
    <t>Ø 18</t>
  </si>
  <si>
    <t>Ø 28</t>
  </si>
  <si>
    <t>Ø 35</t>
  </si>
  <si>
    <t>Ø 42</t>
  </si>
  <si>
    <t>Ø 54</t>
  </si>
  <si>
    <t>Ø 76</t>
  </si>
  <si>
    <r>
      <t xml:space="preserve">            Prog.Hazırlayan: Mak.Müh.</t>
    </r>
    <r>
      <rPr>
        <b/>
        <sz val="8"/>
        <color rgb="FF990000"/>
        <rFont val="Arial"/>
        <family val="2"/>
        <charset val="162"/>
      </rPr>
      <t>Yunus TUFAN</t>
    </r>
    <r>
      <rPr>
        <b/>
        <sz val="8"/>
        <rFont val="Arial"/>
        <family val="2"/>
        <charset val="162"/>
      </rPr>
      <t xml:space="preserve"> </t>
    </r>
  </si>
  <si>
    <t>"</t>
  </si>
  <si>
    <t>Boşaltma faktörü (Tablo3) =</t>
  </si>
  <si>
    <t>BORU ÇAP HESABI</t>
  </si>
  <si>
    <t>Qw=</t>
  </si>
  <si>
    <t>lt/dak</t>
  </si>
  <si>
    <t>lt/saat</t>
  </si>
  <si>
    <t>m3/saat</t>
  </si>
  <si>
    <t>d=</t>
  </si>
  <si>
    <t xml:space="preserve">Akışkan Hızı = </t>
  </si>
  <si>
    <t>Hesaplanan Boru İç Çapı</t>
  </si>
  <si>
    <r>
      <rPr>
        <b/>
        <sz val="16"/>
        <rFont val="Calibri"/>
        <family val="2"/>
        <charset val="162"/>
      </rPr>
      <t xml:space="preserve">             </t>
    </r>
    <r>
      <rPr>
        <b/>
        <u/>
        <sz val="16"/>
        <rFont val="Calibri"/>
        <family val="2"/>
        <charset val="162"/>
      </rPr>
      <t xml:space="preserve">Su Debisine göre Boru çapı hesabı </t>
    </r>
  </si>
  <si>
    <t xml:space="preserve"> Boru İç Çapına göre boru içinden geçebilecek Su Debi Hesabı</t>
  </si>
  <si>
    <r>
      <t>BORU ÇAP HESABI</t>
    </r>
    <r>
      <rPr>
        <sz val="22"/>
        <rFont val="Calibri"/>
        <family val="2"/>
        <charset val="162"/>
      </rPr>
      <t xml:space="preserve"> </t>
    </r>
    <r>
      <rPr>
        <b/>
        <sz val="16"/>
        <color theme="4" tint="-0.249977111117893"/>
        <rFont val="Calibri"/>
        <family val="2"/>
        <charset val="162"/>
      </rPr>
      <t>(Soğuk Su tesisatı için)</t>
    </r>
  </si>
  <si>
    <t>Akış hızı  0,5 - max. 1,5 m/s arasında en fazla olabilir</t>
  </si>
  <si>
    <t>PRİMER DEVRE</t>
  </si>
  <si>
    <t>SEKONDER DEVRE</t>
  </si>
  <si>
    <t>Radyatör</t>
  </si>
  <si>
    <r>
      <rPr>
        <b/>
        <sz val="12"/>
        <color rgb="FFFF0000"/>
        <rFont val="Calibri"/>
        <family val="2"/>
        <charset val="162"/>
      </rPr>
      <t>*</t>
    </r>
    <r>
      <rPr>
        <b/>
        <sz val="12"/>
        <rFont val="Calibri"/>
        <family val="2"/>
        <charset val="162"/>
      </rPr>
      <t xml:space="preserve"> Kcal/h</t>
    </r>
  </si>
  <si>
    <t xml:space="preserve">                                                    Isıl Güç</t>
  </si>
  <si>
    <t xml:space="preserve">Radyatör Ölçülerine göre  verdiği ısı </t>
  </si>
  <si>
    <t>h:600mm</t>
  </si>
  <si>
    <t>Hesaplanan Radyatör</t>
  </si>
  <si>
    <t>Kcal/h'ye göre Radyatör Ölçü Hesabı</t>
  </si>
  <si>
    <t>***çıkan sonuca göre standart boyut seçiniz</t>
  </si>
  <si>
    <t xml:space="preserve">                        yunustufan71@hotmail.com</t>
  </si>
  <si>
    <t>Buhar Jeneratör Hesabı</t>
  </si>
  <si>
    <t>Yükseklik ( H )</t>
  </si>
  <si>
    <r>
      <rPr>
        <b/>
        <u/>
        <sz val="72"/>
        <rFont val="Mistral"/>
        <family val="4"/>
        <charset val="162"/>
      </rPr>
      <t>Kazan Tesisat Hesabı</t>
    </r>
    <r>
      <rPr>
        <b/>
        <sz val="50"/>
        <rFont val="Mistral"/>
        <family val="4"/>
        <charset val="162"/>
      </rPr>
      <t xml:space="preserve"> </t>
    </r>
  </si>
  <si>
    <t>Yerden Isıtma Hesabı</t>
  </si>
  <si>
    <t>Klima Hesabı</t>
  </si>
  <si>
    <r>
      <rPr>
        <b/>
        <sz val="28"/>
        <color theme="1"/>
        <rFont val="Mistral"/>
        <family val="4"/>
        <charset val="162"/>
      </rPr>
      <t>Pratik</t>
    </r>
    <r>
      <rPr>
        <b/>
        <sz val="28"/>
        <color rgb="FF0070C0"/>
        <rFont val="Mistral"/>
        <family val="4"/>
        <charset val="162"/>
      </rPr>
      <t xml:space="preserve"> Hava Kaynaklı ISI Pompa</t>
    </r>
    <r>
      <rPr>
        <b/>
        <sz val="28"/>
        <color rgb="FFC00000"/>
        <rFont val="Mistral"/>
        <family val="4"/>
        <charset val="162"/>
      </rPr>
      <t xml:space="preserve"> HESABI (Isıtma İçin)</t>
    </r>
  </si>
  <si>
    <t>Gerekli Buhar Kapasitesi</t>
  </si>
  <si>
    <t>Buhar Odası</t>
  </si>
  <si>
    <t>Gerekli Güç</t>
  </si>
  <si>
    <r>
      <t xml:space="preserve">Hacim </t>
    </r>
    <r>
      <rPr>
        <b/>
        <sz val="12"/>
        <color rgb="FFC00000"/>
        <rFont val="Trebuchet MS"/>
        <family val="2"/>
        <charset val="162"/>
      </rPr>
      <t>(Havalandırmasız)</t>
    </r>
  </si>
  <si>
    <r>
      <t>Kapasiteye göre</t>
    </r>
    <r>
      <rPr>
        <b/>
        <sz val="12"/>
        <color rgb="FFC00000"/>
        <rFont val="Trebuchet MS"/>
        <family val="2"/>
        <charset val="162"/>
      </rPr>
      <t xml:space="preserve"> (Havalandırmasız)</t>
    </r>
  </si>
  <si>
    <t xml:space="preserve">m3_____ max olabilir </t>
  </si>
  <si>
    <t>Buhar Odası Alanı</t>
  </si>
  <si>
    <r>
      <t xml:space="preserve">Kapasiteye göre </t>
    </r>
    <r>
      <rPr>
        <b/>
        <sz val="12"/>
        <color rgb="FF006600"/>
        <rFont val="Trebuchet MS"/>
        <family val="2"/>
        <charset val="162"/>
      </rPr>
      <t>(Havalandırmalı)</t>
    </r>
  </si>
  <si>
    <r>
      <rPr>
        <sz val="24"/>
        <color theme="1"/>
        <rFont val="Mistral"/>
        <family val="4"/>
        <charset val="162"/>
      </rPr>
      <t xml:space="preserve"> </t>
    </r>
    <r>
      <rPr>
        <b/>
        <u/>
        <sz val="24"/>
        <color theme="1"/>
        <rFont val="Mistral"/>
        <family val="4"/>
        <charset val="162"/>
      </rPr>
      <t>Pratik Kazan Baca Çapı Hesabı</t>
    </r>
  </si>
  <si>
    <r>
      <t xml:space="preserve">  </t>
    </r>
    <r>
      <rPr>
        <b/>
        <u/>
        <sz val="20"/>
        <rFont val="Mistral"/>
        <family val="4"/>
        <charset val="162"/>
      </rPr>
      <t>ELASTOMERİK KAUÇUK BORU YALITIM MALZEMESİ</t>
    </r>
  </si>
  <si>
    <t>lt/s</t>
  </si>
  <si>
    <t>Kutudan slot menfezine bağlantı çapı</t>
  </si>
  <si>
    <r>
      <rPr>
        <b/>
        <sz val="11"/>
        <rFont val="Calibri"/>
        <family val="2"/>
        <charset val="162"/>
      </rPr>
      <t>4'' Somunlu Kelepçe</t>
    </r>
    <r>
      <rPr>
        <sz val="11"/>
        <rFont val="Calibri"/>
        <family val="2"/>
        <charset val="162"/>
      </rPr>
      <t xml:space="preserve">  </t>
    </r>
    <r>
      <rPr>
        <b/>
        <sz val="11"/>
        <color rgb="FFFF0000"/>
        <rFont val="Calibri"/>
        <family val="2"/>
        <charset val="162"/>
      </rPr>
      <t>110 Atık Su Boruları</t>
    </r>
    <r>
      <rPr>
        <sz val="11"/>
        <rFont val="Calibri"/>
        <family val="2"/>
        <charset val="162"/>
      </rPr>
      <t xml:space="preserve">    110 - 116  mm,  M8</t>
    </r>
  </si>
  <si>
    <r>
      <rPr>
        <b/>
        <sz val="11"/>
        <rFont val="Calibri"/>
        <family val="2"/>
        <charset val="162"/>
      </rPr>
      <t>21/2'' Somunlu Kelepçe</t>
    </r>
    <r>
      <rPr>
        <sz val="11"/>
        <rFont val="Calibri"/>
        <family val="2"/>
        <charset val="162"/>
      </rPr>
      <t xml:space="preserve">  </t>
    </r>
    <r>
      <rPr>
        <b/>
        <sz val="11"/>
        <color rgb="FFFF0000"/>
        <rFont val="Calibri"/>
        <family val="2"/>
        <charset val="162"/>
      </rPr>
      <t>75 Atık Su Boruları</t>
    </r>
    <r>
      <rPr>
        <sz val="11"/>
        <rFont val="Calibri"/>
        <family val="2"/>
        <charset val="162"/>
      </rPr>
      <t xml:space="preserve">      74 - 80  mm,  M8</t>
    </r>
  </si>
  <si>
    <t>300 Mbar</t>
  </si>
  <si>
    <t>regülatör</t>
  </si>
  <si>
    <t xml:space="preserve">    1 1/4"</t>
  </si>
  <si>
    <t>K.vana</t>
  </si>
  <si>
    <t xml:space="preserve">    K. vana</t>
  </si>
  <si>
    <t>Giriş Basıncı</t>
  </si>
  <si>
    <t xml:space="preserve">Griş Çapı </t>
  </si>
  <si>
    <t>Nipel</t>
  </si>
  <si>
    <t>Rakor</t>
  </si>
  <si>
    <t>1. Musluklu Manometre</t>
  </si>
  <si>
    <t>2. Musluklu Manometre</t>
  </si>
  <si>
    <t>0-600 mbar</t>
  </si>
  <si>
    <t>0-60 mBar</t>
  </si>
  <si>
    <t>Redüksiyon</t>
  </si>
  <si>
    <t>1.TE</t>
  </si>
  <si>
    <t>2.TE</t>
  </si>
  <si>
    <t>1. Musluklu Manometre Hattı</t>
  </si>
  <si>
    <t>Doğalgaz Vanası</t>
  </si>
  <si>
    <t>Test Dirseği</t>
  </si>
  <si>
    <t>Test Nipeli</t>
  </si>
  <si>
    <t>Redüksiyon ( sarı )</t>
  </si>
  <si>
    <t>3/4"-1/2"</t>
  </si>
  <si>
    <t>Nipel ( sarı )</t>
  </si>
  <si>
    <t>Manometre Musluğu</t>
  </si>
  <si>
    <t>1/2"-1/4"</t>
  </si>
  <si>
    <t>Manometre</t>
  </si>
  <si>
    <t>0-600mbar</t>
  </si>
  <si>
    <t>Gaz Giriş Hattı</t>
  </si>
  <si>
    <t xml:space="preserve">     21 Mbar</t>
  </si>
  <si>
    <t xml:space="preserve">           Gaz Çıkış Hattı</t>
  </si>
  <si>
    <t>Gaz Çıkış Hattı</t>
  </si>
  <si>
    <t xml:space="preserve">Çıkış Çapı </t>
  </si>
  <si>
    <t>2. Musluklu Manometre Hattı</t>
  </si>
  <si>
    <t>0-60mbar</t>
  </si>
  <si>
    <t>Çıkış Çapı</t>
  </si>
  <si>
    <t>Giriş Çapı</t>
  </si>
  <si>
    <t xml:space="preserve">                            Gaz Giriş Hattı</t>
  </si>
  <si>
    <t>giriş çap</t>
  </si>
  <si>
    <t>çıkış çap</t>
  </si>
  <si>
    <t>Çıkış Basıncı</t>
  </si>
  <si>
    <t>21 Mbar</t>
  </si>
  <si>
    <t>DOĞALGAZ Regülatör Malzeme Hesabı</t>
  </si>
  <si>
    <t>Modülasyon Aralığı</t>
  </si>
  <si>
    <t>ağız</t>
  </si>
  <si>
    <t>Isıtılacak Alan</t>
  </si>
  <si>
    <t xml:space="preserve">Nipel </t>
  </si>
  <si>
    <t>Yerden ısıtma hesabı için kabuller</t>
  </si>
  <si>
    <t>1 adet kolektör ağızının max boru metrajı</t>
  </si>
  <si>
    <t>Kabul Edilen</t>
  </si>
  <si>
    <t>2- Max Boru Metrajı</t>
  </si>
  <si>
    <t>1- MODÜLASYON</t>
  </si>
  <si>
    <t>1- ALAN</t>
  </si>
  <si>
    <t>2- Kolektör Ağız Sayısı</t>
  </si>
  <si>
    <t>3- Hesaplanan</t>
  </si>
  <si>
    <t>Pratik Yerden Isıtma Hesabı</t>
  </si>
  <si>
    <t xml:space="preserve"> (7,5cm -15cm -22,5cm-30cm-37,5cm)</t>
  </si>
  <si>
    <t>KAÇ AĞIZLI KOLEKTÖR KULLANMAK İSTİYORUZ ?</t>
  </si>
  <si>
    <t>Alana göre olması gereken toplam kolektör ağız sayısı</t>
  </si>
  <si>
    <t>Depolama Katsayısına Göre Hesaplanan Su İhtiyacı</t>
  </si>
  <si>
    <r>
      <t xml:space="preserve">**** Çıkan Sonuca göre </t>
    </r>
    <r>
      <rPr>
        <b/>
        <u/>
        <sz val="16"/>
        <color rgb="FFFFFF00"/>
        <rFont val="Calibri"/>
        <family val="2"/>
        <charset val="162"/>
      </rPr>
      <t>Boyler seçiniz</t>
    </r>
  </si>
  <si>
    <t>***ısıtma kapasitesi en az burdaki sonuç kadar bir ısıtıcı ekipman seçilmelidir.</t>
  </si>
  <si>
    <r>
      <t xml:space="preserve">HESAPLANAN </t>
    </r>
    <r>
      <rPr>
        <b/>
        <sz val="16"/>
        <color rgb="FF7030A0"/>
        <rFont val="Calibri"/>
        <family val="2"/>
        <charset val="162"/>
      </rPr>
      <t>1 adet</t>
    </r>
    <r>
      <rPr>
        <b/>
        <sz val="16"/>
        <color rgb="FFFF0000"/>
        <rFont val="Calibri"/>
        <family val="2"/>
        <charset val="162"/>
      </rPr>
      <t xml:space="preserve">  Kolektörün ağız sayısı</t>
    </r>
  </si>
  <si>
    <t>Hesaplanan KOLEKTÖR adedi</t>
  </si>
  <si>
    <t>Hesaplanan KOLEKTÖR DOLAP Sayısı</t>
  </si>
  <si>
    <t>hesaplanan toplam kolektör ağız sayısı</t>
  </si>
  <si>
    <t>istenilen kolektöre tipine göre hesaplanan            kollektör adedi</t>
  </si>
  <si>
    <t>kolektör adedi</t>
  </si>
  <si>
    <t>hesaplanan kolektör ağız sayısı</t>
  </si>
  <si>
    <t>Toplam kolektör adedi</t>
  </si>
  <si>
    <t>hesaplanacak kolektör ağız sayısı</t>
  </si>
  <si>
    <t>kolektördeki               toplam boru metrajı</t>
  </si>
  <si>
    <t>Kolektör Tipi</t>
  </si>
  <si>
    <t>Kolektör ağız sayısı</t>
  </si>
  <si>
    <t>Hesaplanan Kolektör Ağzı</t>
  </si>
  <si>
    <t>Özel LAVABO</t>
  </si>
  <si>
    <t>Genel Banyo</t>
  </si>
  <si>
    <t>Apartman</t>
  </si>
  <si>
    <r>
      <t xml:space="preserve">****  </t>
    </r>
    <r>
      <rPr>
        <u/>
        <sz val="10"/>
        <color rgb="FFFFFF00"/>
        <rFont val="Tahoma"/>
        <family val="2"/>
        <charset val="162"/>
      </rPr>
      <t xml:space="preserve"> Boyler Hesabı yapabilmeniz için sarı olan sütunlara değer giriniz  </t>
    </r>
    <r>
      <rPr>
        <sz val="10"/>
        <color rgb="FFFFFF00"/>
        <rFont val="Tahoma"/>
        <family val="2"/>
        <charset val="162"/>
      </rPr>
      <t>****</t>
    </r>
  </si>
  <si>
    <r>
      <t>D</t>
    </r>
    <r>
      <rPr>
        <sz val="11"/>
        <color theme="1" tint="0.499984740745262"/>
        <rFont val="Cambria"/>
        <family val="1"/>
        <charset val="162"/>
        <scheme val="major"/>
      </rPr>
      <t>t (°C) =</t>
    </r>
    <r>
      <rPr>
        <sz val="11"/>
        <color theme="1" tint="0.499984740745262"/>
        <rFont val="Symbol"/>
        <family val="1"/>
        <charset val="2"/>
      </rPr>
      <t xml:space="preserve"> 5°C</t>
    </r>
  </si>
  <si>
    <t>m2 ye boru metrajı</t>
  </si>
  <si>
    <t>Hesaplanacak modülasyon aralığı</t>
  </si>
  <si>
    <t>3- Yerden Isıtma Boru Çapı</t>
  </si>
  <si>
    <t>Boyler Hesabı</t>
  </si>
  <si>
    <t xml:space="preserve">Yerden ısıtma hesabı </t>
  </si>
  <si>
    <t>4- Yerden Isıtma Şap Kalınlığı</t>
  </si>
  <si>
    <t>sık aralık</t>
  </si>
  <si>
    <t xml:space="preserve">normal </t>
  </si>
  <si>
    <t>geniş</t>
  </si>
  <si>
    <t>Kabul Edilen pex boru çapı</t>
  </si>
  <si>
    <t>Çap Ø16 veya Ø17 mm pex Boru</t>
  </si>
  <si>
    <t>Tavsiye edilen</t>
  </si>
  <si>
    <r>
      <t xml:space="preserve">Hesaplanan </t>
    </r>
    <r>
      <rPr>
        <b/>
        <sz val="16"/>
        <rFont val="Calibri"/>
        <family val="2"/>
        <charset val="162"/>
      </rPr>
      <t>Boru Metrajı</t>
    </r>
  </si>
  <si>
    <r>
      <t xml:space="preserve">Hesaplanan </t>
    </r>
    <r>
      <rPr>
        <b/>
        <sz val="16"/>
        <rFont val="Calibri"/>
        <family val="2"/>
        <charset val="162"/>
      </rPr>
      <t>Isıtıcı Kapasitesi</t>
    </r>
  </si>
  <si>
    <t>4mm - 5mm- max 6 mm</t>
  </si>
  <si>
    <t xml:space="preserve">ortama verilen ısı </t>
  </si>
  <si>
    <t xml:space="preserve">                      yunustufan71@hotmail.com</t>
  </si>
  <si>
    <t>_ 6-7-8-9_</t>
  </si>
  <si>
    <t>_ 10-11-12 -13_</t>
  </si>
  <si>
    <t>_ 14-15 _</t>
  </si>
  <si>
    <t>***pompa durma basıncı</t>
  </si>
  <si>
    <t>***pompa devreye girme basıncı</t>
  </si>
  <si>
    <t>Ön gaz basıncı</t>
  </si>
  <si>
    <t>debi(m3/s)</t>
  </si>
  <si>
    <t>alan(m2)</t>
  </si>
  <si>
    <t>ÇAP(mm)</t>
  </si>
  <si>
    <r>
      <t xml:space="preserve">Temiz Su Ana Boru </t>
    </r>
    <r>
      <rPr>
        <b/>
        <sz val="10"/>
        <color rgb="FFFF0000"/>
        <rFont val="Arial Tur"/>
        <charset val="162"/>
      </rPr>
      <t>Su Hızı</t>
    </r>
  </si>
  <si>
    <t>su hızı (m/s)</t>
  </si>
  <si>
    <r>
      <t xml:space="preserve">*** önerilen hidrofor çıkış hızı 1,5 m/s </t>
    </r>
    <r>
      <rPr>
        <b/>
        <sz val="10"/>
        <rFont val="Arial Tur"/>
        <charset val="162"/>
      </rPr>
      <t>(temiz su tesisat 1~2,0 m/s)</t>
    </r>
  </si>
  <si>
    <t>Önerilen Emniyetli Temiz Su
Ana Boru İç Çapı</t>
  </si>
  <si>
    <t>ı/s</t>
  </si>
  <si>
    <r>
      <t>***</t>
    </r>
    <r>
      <rPr>
        <b/>
        <sz val="11"/>
        <color rgb="FFFF0000"/>
        <rFont val="Calibri"/>
        <family val="2"/>
        <charset val="162"/>
      </rPr>
      <t>Hesaplanan borunun iç çapı</t>
    </r>
  </si>
  <si>
    <r>
      <t xml:space="preserve">Prog.Hazırlayan: </t>
    </r>
    <r>
      <rPr>
        <b/>
        <sz val="11"/>
        <color rgb="FF990000"/>
        <rFont val="Arial Tur"/>
        <charset val="162"/>
      </rPr>
      <t xml:space="preserve">Yunus TUFAN  </t>
    </r>
  </si>
  <si>
    <t xml:space="preserve">      Klozet Montaj Ölçüleri</t>
  </si>
  <si>
    <t>Banyo Montaj Ölçüleri</t>
  </si>
  <si>
    <t>Duş &amp; Küvet Montaj Ölçüleri</t>
  </si>
  <si>
    <t>Lavabo Montaj Ölçüleri</t>
  </si>
  <si>
    <r>
      <t xml:space="preserve">1. </t>
    </r>
    <r>
      <rPr>
        <b/>
        <u/>
        <sz val="14"/>
        <color rgb="FF990000"/>
        <rFont val="Trebuchet MS"/>
        <family val="2"/>
        <charset val="162"/>
      </rPr>
      <t>Pratik Yöntem Klima Hesabı</t>
    </r>
  </si>
  <si>
    <t>No</t>
  </si>
  <si>
    <t>İl</t>
  </si>
  <si>
    <t>Dış Hava (°C)</t>
  </si>
  <si>
    <t>Hava</t>
  </si>
  <si>
    <t>Nem</t>
  </si>
  <si>
    <t>Güvenlik</t>
  </si>
  <si>
    <t>Toplam Katsayı (BTU/m²)</t>
  </si>
  <si>
    <t>Adana</t>
  </si>
  <si>
    <t>41.2</t>
  </si>
  <si>
    <t>Adıyaman</t>
  </si>
  <si>
    <t>39.5</t>
  </si>
  <si>
    <t>Afyonkarahisar</t>
  </si>
  <si>
    <t>36.0</t>
  </si>
  <si>
    <t>Ağrı</t>
  </si>
  <si>
    <t>34.0</t>
  </si>
  <si>
    <t>Aksaray</t>
  </si>
  <si>
    <t>37.5</t>
  </si>
  <si>
    <t>Amasya</t>
  </si>
  <si>
    <t>36.2</t>
  </si>
  <si>
    <t>Van</t>
  </si>
  <si>
    <t>Ankara</t>
  </si>
  <si>
    <t>37.8</t>
  </si>
  <si>
    <t>Antalya</t>
  </si>
  <si>
    <t>38.0</t>
  </si>
  <si>
    <t>Ardahan</t>
  </si>
  <si>
    <t>32.0</t>
  </si>
  <si>
    <t>Artvin</t>
  </si>
  <si>
    <t>34.5</t>
  </si>
  <si>
    <t>Aydın</t>
  </si>
  <si>
    <t>38.5</t>
  </si>
  <si>
    <t>Balıkesir</t>
  </si>
  <si>
    <t>36.8</t>
  </si>
  <si>
    <t>Bartın</t>
  </si>
  <si>
    <t>35.5</t>
  </si>
  <si>
    <t>Batman</t>
  </si>
  <si>
    <t>39.0</t>
  </si>
  <si>
    <t>Bayburt</t>
  </si>
  <si>
    <t>Bilecik</t>
  </si>
  <si>
    <t>Bingöl</t>
  </si>
  <si>
    <t>Bitlis</t>
  </si>
  <si>
    <t>Bolu</t>
  </si>
  <si>
    <t>Burdur</t>
  </si>
  <si>
    <t>37.0</t>
  </si>
  <si>
    <t>Bursa</t>
  </si>
  <si>
    <t>36.5</t>
  </si>
  <si>
    <t>Çanakkale</t>
  </si>
  <si>
    <t>Çankırı</t>
  </si>
  <si>
    <t>35.8</t>
  </si>
  <si>
    <t>Çorum</t>
  </si>
  <si>
    <t>Denizli</t>
  </si>
  <si>
    <t>Diyarbakır</t>
  </si>
  <si>
    <t>40.5</t>
  </si>
  <si>
    <t>Düzce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</si>
  <si>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</si>
  <si>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</si>
  <si>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</si>
  <si>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</si>
  <si>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</si>
  <si>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</si>
  <si>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</si>
  <si>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</si>
  <si>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</si>
  <si>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</si>
  <si>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41.0</t>
  </si>
  <si>
    <t>Iğdır</t>
  </si>
  <si>
    <t>Isparta</t>
  </si>
  <si>
    <t>33.0</t>
  </si>
  <si>
    <t>İzmir</t>
  </si>
  <si>
    <t>Kahramanmaraş</t>
  </si>
  <si>
    <t>Karabük</t>
  </si>
  <si>
    <t>Karaman</t>
  </si>
  <si>
    <t>Kars</t>
  </si>
  <si>
    <t>Kastamonu</t>
  </si>
  <si>
    <t>Kayseri</t>
  </si>
  <si>
    <t>Kırıkkale</t>
  </si>
  <si>
    <t>Kırklareli</t>
  </si>
  <si>
    <t>Kırşehir</t>
  </si>
  <si>
    <t>Kilis</t>
  </si>
  <si>
    <t>Kocaeli</t>
  </si>
  <si>
    <t>Konya</t>
  </si>
  <si>
    <t>Kütahya</t>
  </si>
  <si>
    <t>Malatya</t>
  </si>
  <si>
    <t>Manisa</t>
  </si>
  <si>
    <t>Mardin</t>
  </si>
  <si>
    <t>Mersin</t>
  </si>
  <si>
    <t>Muğla</t>
  </si>
  <si>
    <t>Muş</t>
  </si>
  <si>
    <t>Nevşehir</t>
  </si>
  <si>
    <t>Niğde</t>
  </si>
  <si>
    <t>Ordu</t>
  </si>
  <si>
    <t>Osmaniye</t>
  </si>
  <si>
    <t>Rize</t>
  </si>
  <si>
    <t>Sakarya</t>
  </si>
  <si>
    <t>Samsun</t>
  </si>
  <si>
    <t>Şanlıurfa</t>
  </si>
  <si>
    <t>42.0</t>
  </si>
  <si>
    <t>Siirt</t>
  </si>
  <si>
    <t>Sinop</t>
  </si>
  <si>
    <t>Sivas</t>
  </si>
  <si>
    <t>Tekirdağ</t>
  </si>
  <si>
    <t>Tokat</t>
  </si>
  <si>
    <t>Trabzon</t>
  </si>
  <si>
    <t>Tunceli</t>
  </si>
  <si>
    <t>Uşak</t>
  </si>
  <si>
    <t>Yalova</t>
  </si>
  <si>
    <t>35.0</t>
  </si>
  <si>
    <t>Yozgat</t>
  </si>
  <si>
    <t>Zonguldak</t>
  </si>
  <si>
    <t>Türkiye Ortalaması</t>
  </si>
  <si>
    <t>—</t>
  </si>
  <si>
    <t>Soğutulacak alan :</t>
  </si>
  <si>
    <t xml:space="preserve">     Yükseklik (H) :</t>
  </si>
  <si>
    <t>İl Bölge Katsayısı :</t>
  </si>
  <si>
    <t>Hesaplanacak İl</t>
  </si>
  <si>
    <t>Güneş (%35)</t>
  </si>
  <si>
    <t>**465**</t>
  </si>
  <si>
    <t>1 kilowatt (kW) ≈ 3412 BTU/h (British Thermal Unit per hour)</t>
  </si>
  <si>
    <t>Konut</t>
  </si>
  <si>
    <t>Soğutulacak Mahal:</t>
  </si>
  <si>
    <r>
      <t xml:space="preserve">2. </t>
    </r>
    <r>
      <rPr>
        <b/>
        <u/>
        <sz val="14"/>
        <color rgb="FF990000"/>
        <rFont val="Trebuchet MS"/>
        <family val="2"/>
        <charset val="162"/>
      </rPr>
      <t xml:space="preserve">Pratik Yöntem Klima Hesabı  </t>
    </r>
    <r>
      <rPr>
        <b/>
        <sz val="9"/>
        <color rgb="FFC00000"/>
        <rFont val="Trebuchet MS"/>
        <family val="2"/>
        <charset val="162"/>
      </rPr>
      <t>(Detaylı)</t>
    </r>
  </si>
  <si>
    <t>Ofis</t>
  </si>
  <si>
    <t>Spor Salonu</t>
  </si>
  <si>
    <t>Mutfak</t>
  </si>
  <si>
    <t>Btu/h (Kişi Başı )</t>
  </si>
  <si>
    <t>Btu/h___ (Kişi Başı )</t>
  </si>
  <si>
    <t>Villa</t>
  </si>
  <si>
    <t>W/m2</t>
  </si>
  <si>
    <t>Aydınlatma  :</t>
  </si>
  <si>
    <t>Küçük Konut</t>
  </si>
  <si>
    <t>Tek Katlı Villa</t>
  </si>
  <si>
    <t>Daire 2+1, 3+1</t>
  </si>
  <si>
    <t>Çok Katlı Villa</t>
  </si>
  <si>
    <t>Ev Tipi Spor Salonu</t>
  </si>
  <si>
    <t>Mahalle Tipi Spor Salonu</t>
  </si>
  <si>
    <t>Ticari Büyük Spor Salonu</t>
  </si>
  <si>
    <t>2 - 3 Kişi</t>
  </si>
  <si>
    <t>4 - 5 Kişi</t>
  </si>
  <si>
    <t>4 - 6 Kişi</t>
  </si>
  <si>
    <t>6 - 10 Kişi</t>
  </si>
  <si>
    <t>2 - 4 Kişi</t>
  </si>
  <si>
    <t>6 - 12 Kişi</t>
  </si>
  <si>
    <t>16 - 40 Kişi</t>
  </si>
  <si>
    <t>Kişi Sayısı Varsayım</t>
  </si>
  <si>
    <t>Hasbunallahu ve ni'mel vekil (حسبنا الله ونعم الوكيل)</t>
  </si>
  <si>
    <t>"Allah bize yeter, O ne güzel vekildir.”</t>
  </si>
  <si>
    <t>“Ni‘mel Mevlâ ve ni‘mel nasîr” (نِعْمَ الْمَوْلَىٰ وَنِعْمَ النَّصِيرُ)</t>
  </si>
  <si>
    <t>“O ne güzel bir Mevlâ’dır (koruyucu, sahip), ne güzel bir yardımcıdır.”</t>
  </si>
  <si>
    <t>“Bismillahirrahmanirrahim” (بِسْمِ ٱللّٰهِ ٱلرَّحْمَٰنِ ٱلرَّحِيمِ)</t>
  </si>
  <si>
    <t>“Rahmân ve Rahîm olan Allah’ın adıyla.”</t>
  </si>
  <si>
    <t>“Eûzü billâhi mineş-şeytânirracîm” (أَعُوذُ بِاللَّهِ مِنَ الشَّيْطَانِ الرَّجِيمِ)</t>
  </si>
  <si>
    <t>Görmeyi çok istediğim ve her daim cennette olup her daim görüşmek istediğim Rabbim.</t>
  </si>
  <si>
    <t>Sen Rahmansın Rahimsin. Kullarını affedersin.</t>
  </si>
  <si>
    <t>Rahman ve Rahim olan bizleri yaratan Rabbim.</t>
  </si>
  <si>
    <t>Bizleri affet, bizlere sağlık ve sıhhat afiyet ver .</t>
  </si>
  <si>
    <t>Ailelerimize ve tüm sevdiklerimize huzur ve bereket ver.</t>
  </si>
  <si>
    <t xml:space="preserve">Ey güzel Allah'ım. </t>
  </si>
  <si>
    <t>Bu programı kullanan kullarına hidayet ver.</t>
  </si>
  <si>
    <t xml:space="preserve">Ailelerine sıhhat ve afiyet ver. </t>
  </si>
  <si>
    <t>Müslüman değilse iman nasip eyele</t>
  </si>
  <si>
    <t>Rızıklarını bereketlendir.Zürriyetlerini hayırlı kıl.</t>
  </si>
  <si>
    <t>İman üzere vefat etmeyi ve Cennetine girmeyi nasip eyle.</t>
  </si>
  <si>
    <t>Biz ise, senin istediğin gibi tam manasıyla bir kul olamadık, ancak senin hikmetinden sual olunmaz .</t>
  </si>
  <si>
    <t xml:space="preserve">Havuz Denge Depo Hesabı </t>
  </si>
  <si>
    <t>Havuz taşma kanalı</t>
  </si>
  <si>
    <t>Taşma Kanal Genişliği</t>
  </si>
  <si>
    <t>Taşma Kanal Toplam Hacmi</t>
  </si>
  <si>
    <t xml:space="preserve">Havuz </t>
  </si>
  <si>
    <t>Havuz Tipi</t>
  </si>
  <si>
    <t xml:space="preserve">Ev </t>
  </si>
  <si>
    <t xml:space="preserve">Villa </t>
  </si>
  <si>
    <t xml:space="preserve">Tesis </t>
  </si>
  <si>
    <t>Kullanıcı sayısı Ek Hacim</t>
  </si>
  <si>
    <t>Sistem Denge Hacmi</t>
  </si>
  <si>
    <t>Toplam Denge Deposu Hacmi</t>
  </si>
  <si>
    <t>Taşma Kanal Derinliği</t>
  </si>
  <si>
    <r>
      <t xml:space="preserve">   Hesaplanan Denge Deposuna göre </t>
    </r>
    <r>
      <rPr>
        <b/>
        <sz val="16"/>
        <color rgb="FFFF0000"/>
        <rFont val="Calibri"/>
        <family val="2"/>
        <charset val="162"/>
      </rPr>
      <t>Denge Depo Ölçüsü</t>
    </r>
  </si>
  <si>
    <t>Drenaj Kanal Hesabı</t>
  </si>
  <si>
    <t>Hesaplanacak olan Yağış Alanı</t>
  </si>
  <si>
    <t>Yağış şiddeti (Tablo2 den bak) =</t>
  </si>
  <si>
    <t>Alana düşen Yağış Debisi</t>
  </si>
  <si>
    <t xml:space="preserve"> l /sn</t>
  </si>
  <si>
    <t xml:space="preserve"> m3/sn</t>
  </si>
  <si>
    <t xml:space="preserve"> l /sn x ha</t>
  </si>
  <si>
    <t>Kanal Kesiti</t>
  </si>
  <si>
    <t>Kesit Alanı</t>
  </si>
  <si>
    <t>Islak Çevre</t>
  </si>
  <si>
    <t>Kanal Eğimi</t>
  </si>
  <si>
    <t>Hidrolik Yarıçap</t>
  </si>
  <si>
    <t>R2/3</t>
  </si>
  <si>
    <t>S1/2</t>
  </si>
  <si>
    <t>Pürüzlülük Katsayısı (n)</t>
  </si>
  <si>
    <t xml:space="preserve"> lt/sn</t>
  </si>
  <si>
    <t>v</t>
  </si>
  <si>
    <t>t</t>
  </si>
  <si>
    <t>sn</t>
  </si>
  <si>
    <t>dk</t>
  </si>
  <si>
    <t>Drenaj Kanalının Yağmur Tahliye Süresi</t>
  </si>
  <si>
    <t>dakika</t>
  </si>
  <si>
    <t>Hesaplanan Sonuç</t>
  </si>
  <si>
    <t>Kullanılacak boru çapı iç çapı</t>
  </si>
  <si>
    <t>Kullanılacak boru çıkışı</t>
  </si>
  <si>
    <r>
      <rPr>
        <b/>
        <sz val="14"/>
        <color rgb="FFFF0000"/>
        <rFont val="Calibri"/>
        <family val="2"/>
        <charset val="162"/>
      </rPr>
      <t xml:space="preserve"> </t>
    </r>
    <r>
      <rPr>
        <b/>
        <sz val="14"/>
        <color theme="3" tint="-0.499984740745262"/>
        <rFont val="Calibri"/>
        <family val="2"/>
        <charset val="162"/>
      </rPr>
      <t>Drenaj Kanalı Rögara</t>
    </r>
    <r>
      <rPr>
        <b/>
        <sz val="14"/>
        <color rgb="FFC00000"/>
        <rFont val="Calibri"/>
        <family val="2"/>
        <charset val="162"/>
      </rPr>
      <t xml:space="preserve"> Direk</t>
    </r>
    <r>
      <rPr>
        <b/>
        <sz val="14"/>
        <color theme="3" tint="-0.499984740745262"/>
        <rFont val="Calibri"/>
        <family val="2"/>
        <charset val="162"/>
      </rPr>
      <t xml:space="preserve"> Bağlanıyorsa </t>
    </r>
    <r>
      <rPr>
        <b/>
        <sz val="14"/>
        <color rgb="FFFF0000"/>
        <rFont val="Calibri"/>
        <family val="2"/>
        <charset val="162"/>
      </rPr>
      <t>!!!</t>
    </r>
  </si>
  <si>
    <r>
      <t xml:space="preserve">Drenaj Kanalı Rögara </t>
    </r>
    <r>
      <rPr>
        <b/>
        <sz val="14"/>
        <color rgb="FFC00000"/>
        <rFont val="Calibri"/>
        <family val="2"/>
        <charset val="162"/>
      </rPr>
      <t>Boru</t>
    </r>
    <r>
      <rPr>
        <b/>
        <sz val="14"/>
        <rFont val="Calibri"/>
        <family val="2"/>
        <charset val="162"/>
      </rPr>
      <t xml:space="preserve"> ile Bağlanıyorsa </t>
    </r>
    <r>
      <rPr>
        <b/>
        <sz val="14"/>
        <color rgb="FFFF0000"/>
        <rFont val="Calibri"/>
        <family val="2"/>
        <charset val="162"/>
      </rPr>
      <t>!!!</t>
    </r>
  </si>
  <si>
    <t>Boru Eğimi</t>
  </si>
  <si>
    <t>20°C Oda Sıcaklığı için</t>
  </si>
  <si>
    <r>
      <t xml:space="preserve">Hesaplarda referans alınacak ısıl değer </t>
    </r>
    <r>
      <rPr>
        <b/>
        <sz val="12"/>
        <color rgb="FFC00000"/>
        <rFont val="Calibri"/>
        <family val="2"/>
        <charset val="162"/>
      </rPr>
      <t>( 75/65°C )</t>
    </r>
  </si>
  <si>
    <t xml:space="preserve">1 metre Tip 22 Radyatör </t>
  </si>
  <si>
    <r>
      <t xml:space="preserve">Hesaplarda referans alınacak ısıl değer </t>
    </r>
    <r>
      <rPr>
        <b/>
        <sz val="12"/>
        <color rgb="FFC00000"/>
        <rFont val="Calibri"/>
        <family val="2"/>
        <charset val="162"/>
      </rPr>
      <t>( 55/45°C )</t>
    </r>
  </si>
  <si>
    <r>
      <rPr>
        <b/>
        <sz val="30"/>
        <color theme="4" tint="-0.249977111117893"/>
        <rFont val="Mistral"/>
        <family val="4"/>
        <charset val="162"/>
      </rPr>
      <t>Hava Kaynaklı</t>
    </r>
    <r>
      <rPr>
        <b/>
        <sz val="30"/>
        <rFont val="Mistral"/>
        <family val="4"/>
        <charset val="162"/>
      </rPr>
      <t xml:space="preserve"> ISI POMPA HESABI </t>
    </r>
  </si>
  <si>
    <t>Sen bizleri yoktan varettin, bizlere değer verdin .</t>
  </si>
  <si>
    <r>
      <t xml:space="preserve"> </t>
    </r>
    <r>
      <rPr>
        <b/>
        <sz val="20"/>
        <rFont val="Calibri"/>
        <family val="2"/>
        <charset val="162"/>
      </rPr>
      <t>Prog.Hazırlayan</t>
    </r>
    <r>
      <rPr>
        <sz val="20"/>
        <rFont val="Calibri"/>
        <family val="2"/>
        <charset val="162"/>
      </rPr>
      <t xml:space="preserve">: Mak.Müh.Yunus TUFAN  </t>
    </r>
  </si>
  <si>
    <r>
      <t xml:space="preserve"> </t>
    </r>
    <r>
      <rPr>
        <b/>
        <sz val="14"/>
        <color rgb="FF002060"/>
        <rFont val="Tahoma"/>
        <family val="2"/>
        <charset val="162"/>
      </rPr>
      <t>Prog.Hazırlayan:</t>
    </r>
    <r>
      <rPr>
        <b/>
        <sz val="14"/>
        <rFont val="Tahoma"/>
        <family val="2"/>
        <charset val="162"/>
      </rPr>
      <t xml:space="preserve"> Mak.Müh.Yunus TUFAN  </t>
    </r>
  </si>
  <si>
    <t>Modülasyon Aralığına Göre Yerden Isıtma Hesabı</t>
  </si>
  <si>
    <t>Hesaplanması istenen</t>
  </si>
  <si>
    <t>Modülasyon aralığı (cm)</t>
  </si>
  <si>
    <t>Toplam Boru Metrajı</t>
  </si>
  <si>
    <t>ZON</t>
  </si>
  <si>
    <t>ZON Ölçüsü  ( A )</t>
  </si>
  <si>
    <t>ZON Ölçüsü  ( B )</t>
  </si>
  <si>
    <t>ZON Alanı m2</t>
  </si>
  <si>
    <t>ZON alanındaki boru metrajı</t>
  </si>
  <si>
    <t>Kabuller</t>
  </si>
  <si>
    <r>
      <t xml:space="preserve">Kolektör ile Zon arasındaki               Boru Metrajı ( </t>
    </r>
    <r>
      <rPr>
        <b/>
        <sz val="16"/>
        <color rgb="FFFF0000"/>
        <rFont val="Calibri"/>
        <family val="2"/>
        <charset val="162"/>
      </rPr>
      <t>gidiş + dönüş</t>
    </r>
    <r>
      <rPr>
        <b/>
        <sz val="16"/>
        <rFont val="Calibri"/>
        <family val="2"/>
        <charset val="162"/>
      </rPr>
      <t xml:space="preserve"> )</t>
    </r>
  </si>
  <si>
    <t>W/m</t>
  </si>
  <si>
    <t>GENEL TOPLAM</t>
  </si>
  <si>
    <t>Miktar</t>
  </si>
  <si>
    <t>Gömme Rezarvuar Montajı</t>
  </si>
  <si>
    <t>Ankastre Stop Valf Montajı</t>
  </si>
  <si>
    <t>Lavbo Tesisatı Altyapısı</t>
  </si>
  <si>
    <t xml:space="preserve">Hamam Kurnası Tesisatı </t>
  </si>
  <si>
    <t>Duş Tesisat Altyapısı</t>
  </si>
  <si>
    <t>Jakuzi Tesisat Altyapısı</t>
  </si>
  <si>
    <t>Buhar Banyosu Altyapısı</t>
  </si>
  <si>
    <t>Mutfak Lavabosu Altyapısı</t>
  </si>
  <si>
    <t xml:space="preserve">Bulaşık Makinası Altyapısı </t>
  </si>
  <si>
    <t xml:space="preserve">Çamaşır makinası Altyapısı </t>
  </si>
  <si>
    <t>Tuvalet Taşı Montajı</t>
  </si>
  <si>
    <t>Lavbo Bataryası Montajı ( Ara musluk montajı dahil )</t>
  </si>
  <si>
    <t>Hamam Kurnası Musluk Motajı</t>
  </si>
  <si>
    <t>Duş Bataryası Montajı ( Tepe Duşu Dahil )</t>
  </si>
  <si>
    <t>Jakuzi Montajı ( Devreye Alma İşlemi Yok )</t>
  </si>
  <si>
    <t>Buhar Jeneratörü Montajı ( Devreye Alma İşlemi Yok )</t>
  </si>
  <si>
    <t>Mutfak lavabosu batarya montajı</t>
  </si>
  <si>
    <t>Bulaşık makinası musluk montajı</t>
  </si>
  <si>
    <t>Çamaşır makinası musluk montajı</t>
  </si>
  <si>
    <t>euro</t>
  </si>
  <si>
    <t>işçilik/saat</t>
  </si>
  <si>
    <t>Bağlantı Elemanları</t>
  </si>
  <si>
    <t>adam /saat toplam</t>
  </si>
  <si>
    <r>
      <rPr>
        <b/>
        <sz val="10"/>
        <color rgb="FFC00000"/>
        <rFont val="Arial Tur"/>
        <charset val="162"/>
      </rPr>
      <t>adam /saat</t>
    </r>
    <r>
      <rPr>
        <b/>
        <sz val="10"/>
        <color theme="1"/>
        <rFont val="Arial Tur"/>
        <charset val="162"/>
      </rPr>
      <t xml:space="preserve">     pprc</t>
    </r>
  </si>
  <si>
    <t>İşçilik       birim €</t>
  </si>
  <si>
    <t>İşçilik       birim TL</t>
  </si>
  <si>
    <t>İşçilik  Toplam €</t>
  </si>
  <si>
    <t>1 adam/saat = 1 kişinin 1 saat çalışması</t>
  </si>
  <si>
    <t>İŞİN CİNSİ</t>
  </si>
  <si>
    <t>PVC Atık Su Borusu  Ø50 x 150</t>
  </si>
  <si>
    <t>PVC Atık Su Borusu  Ø50 x 250</t>
  </si>
  <si>
    <t>PVC Atık Su Borusu  Ø50 x 500</t>
  </si>
  <si>
    <t>PVC Atık Su Borusu  Ø50 x 1000</t>
  </si>
  <si>
    <t>PVC Atık Su Borusu  Ø50 x 2000</t>
  </si>
  <si>
    <t>PVC Atık Su Borusu  Ø50 x 3000</t>
  </si>
  <si>
    <t>PVC Atık Su Borusu  Ø75 x 150</t>
  </si>
  <si>
    <t>PVC Atık Su Borusu  Ø75 x 250</t>
  </si>
  <si>
    <t>PVC Atık Su Borusu  Ø75 x 500</t>
  </si>
  <si>
    <t>PVC Atık Su Borusu  Ø75 x 1000</t>
  </si>
  <si>
    <t>PVC Atık Su Borusu  Ø75 x 2000</t>
  </si>
  <si>
    <t>PVC Atık Su Borusu  Ø75 x 3000</t>
  </si>
  <si>
    <t>PVC Atık Su Borusu  Ø110 x 150</t>
  </si>
  <si>
    <t>PVC Atık Su Borusu  Ø110 x 250</t>
  </si>
  <si>
    <t>PVC Atık Su Borusu  Ø110 x 500</t>
  </si>
  <si>
    <t>PVC Atık Su Borusu  Ø110 x 1000</t>
  </si>
  <si>
    <t>PVC Atık Su Borusu  Ø110 x 2000</t>
  </si>
  <si>
    <t>PVC Atık Su Borusu  Ø110 x 3000</t>
  </si>
  <si>
    <t>1/4''     Kelepçe  Ø10 - 14 mm</t>
  </si>
  <si>
    <t>3/8''     Kelepçe  Ø15 - 20 mm</t>
  </si>
  <si>
    <t>1/2''     Kelepçe  Ø20 - 26 mm</t>
  </si>
  <si>
    <t>3/4''     Kelepçe  Ø26 - 31 mm</t>
  </si>
  <si>
    <t>Kauçuk İzolasyon     Ø18 X 19 mm</t>
  </si>
  <si>
    <t xml:space="preserve">Kauçuk İzolasyon     Ø22 X 19 mm   </t>
  </si>
  <si>
    <t xml:space="preserve">Kauçuk İzolasyon     Ø28 X 19 mm  </t>
  </si>
  <si>
    <t xml:space="preserve">Kauçuk İzolasyon     Ø35 X 19 mm  </t>
  </si>
  <si>
    <t xml:space="preserve">Kauçuk İzolasyon     Ø42 X 19 mm   </t>
  </si>
  <si>
    <t xml:space="preserve">Kauçuk İzolasyon     Ø48 X 19 mm  </t>
  </si>
  <si>
    <t xml:space="preserve">Kauçuk İzolasyon     Ø54 X 19 mm   </t>
  </si>
  <si>
    <t>Kauçuk İzolasyon     Ø64 X 32 mm</t>
  </si>
  <si>
    <t xml:space="preserve">Kauçuk İzolasyon     Ø76 X 32 mm  </t>
  </si>
  <si>
    <t xml:space="preserve">Kauçuk İzolasyon     Ø89 X 32 mm   </t>
  </si>
  <si>
    <t xml:space="preserve">Kauçuk İzolasyon     Ø63 X 19 mm   </t>
  </si>
  <si>
    <t xml:space="preserve">Kauçuk İzolasyon     Ø60 X 32 mm   </t>
  </si>
  <si>
    <t xml:space="preserve">Kauçuk İzolasyon    Ø114 X 32 mm       </t>
  </si>
  <si>
    <t xml:space="preserve">   1''     Kelepçe  Ø32 - 38 mm</t>
  </si>
  <si>
    <t>11/4''   Kelepçe  Ø38 - 45 mm</t>
  </si>
  <si>
    <t>11/2''   Kelepçe  Ø45 - 53 mm</t>
  </si>
  <si>
    <t xml:space="preserve">     2''   Kelepçe  Ø54 - 63 mm</t>
  </si>
  <si>
    <t>21/2''   Kelepçe   Ø73 - 82  mm</t>
  </si>
  <si>
    <t>PP-R Cam Elyaf Takviyeli Boru - Ø20x2,8 mm.</t>
  </si>
  <si>
    <t>PP-R Cam Elyaf Takviyeli Boru - Ø25x3,5 mm.</t>
  </si>
  <si>
    <t>PP-R Cam Elyaf Takviyeli Boru - Ø32x4,4 mm.</t>
  </si>
  <si>
    <t>PP-R Cam Elyaf Takviyeli Boru - Ø40x5,5 mm.</t>
  </si>
  <si>
    <t>PP-R Cam Elyaf Takviyeli Boru - Ø50x6,9 mm.</t>
  </si>
  <si>
    <t>PP-R Cam Elyaf Takviyeli Boru - Ø63x8,6 mm.</t>
  </si>
  <si>
    <t>75 cm Duş Kanalı  (alt yapı + montaj)</t>
  </si>
  <si>
    <t>80 cm Duş Kanalı  (alt yapı + montaj)</t>
  </si>
  <si>
    <t>90 cm Duş Kanalı  (alt yapı + montaj)</t>
  </si>
  <si>
    <t>100 cm Duş Kanalı  (alt yapı + montaj)</t>
  </si>
  <si>
    <t>10cm x 10cm   Yer Süzgeci   (alt yapı + montaj)</t>
  </si>
  <si>
    <t>15cm x 15cm   Yer Süzgeci   (alt yapı + montaj)</t>
  </si>
  <si>
    <t xml:space="preserve">Toplam__Temiz Su Tesisatı </t>
  </si>
  <si>
    <t xml:space="preserve">Toplam__Atık Su Tesisatı </t>
  </si>
  <si>
    <t>Toplam__Kelepçeler</t>
  </si>
  <si>
    <t>Toplam__Kauçuk İzolasyon</t>
  </si>
  <si>
    <t>Toplam__Vitrifiye iç takım montajı ve altyapısı</t>
  </si>
  <si>
    <t xml:space="preserve">Toplam__Vitrifiye montajı </t>
  </si>
  <si>
    <t>Toplam__Yer Süzgeci</t>
  </si>
  <si>
    <t>Islak Hacim İşçilik Hesabı</t>
  </si>
  <si>
    <t>TL</t>
  </si>
  <si>
    <t>1 euro</t>
  </si>
  <si>
    <t xml:space="preserve"> yunustufan71@hotmail.com</t>
  </si>
  <si>
    <t xml:space="preserve">İşçilik Toplam </t>
  </si>
  <si>
    <t>İşçilik           Toplam TL</t>
  </si>
  <si>
    <r>
      <t xml:space="preserve">   </t>
    </r>
    <r>
      <rPr>
        <b/>
        <sz val="10"/>
        <color rgb="FF002060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 </t>
    </r>
  </si>
  <si>
    <t>Parametre</t>
  </si>
  <si>
    <t>Sıcaklık</t>
  </si>
  <si>
    <t>Maks. Nem Kapasitesi</t>
  </si>
  <si>
    <t>g/m³</t>
  </si>
  <si>
    <t>Bağıl Nem (mevcut) %</t>
  </si>
  <si>
    <t>Bağıl Nem (hedef) %</t>
  </si>
  <si>
    <t>Süre</t>
  </si>
  <si>
    <t>gün</t>
  </si>
  <si>
    <t>m³</t>
  </si>
  <si>
    <t>Mevcut Mutlak Nem</t>
  </si>
  <si>
    <t>Toplam Su (mevcut)</t>
  </si>
  <si>
    <t>g</t>
  </si>
  <si>
    <t>Hedef Mutlak Nem</t>
  </si>
  <si>
    <t>Toplam Su (hedef)</t>
  </si>
  <si>
    <t>Çekilecek Su</t>
  </si>
  <si>
    <t>Çekilecek Su (litre)</t>
  </si>
  <si>
    <t>Günlük Cihaz Kapasitesi</t>
  </si>
  <si>
    <t>Nem Alma Cihaz Hesabı</t>
  </si>
  <si>
    <r>
      <rPr>
        <b/>
        <sz val="10"/>
        <color rgb="FF002060"/>
        <rFont val="Tahoma"/>
        <family val="2"/>
        <charset val="162"/>
      </rPr>
      <t>Prog.Hazırlayan:</t>
    </r>
    <r>
      <rPr>
        <b/>
        <sz val="10"/>
        <rFont val="Tahoma"/>
        <family val="2"/>
        <charset val="162"/>
      </rPr>
      <t xml:space="preserve"> Mak.Müh.Yunus TUFAN </t>
    </r>
  </si>
  <si>
    <r>
      <t xml:space="preserve">       YNS_Mechanical Engineer </t>
    </r>
    <r>
      <rPr>
        <b/>
        <sz val="11"/>
        <color rgb="FF002060"/>
        <rFont val="Calibri"/>
        <family val="2"/>
        <charset val="162"/>
      </rPr>
      <t>ver.</t>
    </r>
    <r>
      <rPr>
        <b/>
        <sz val="11"/>
        <color rgb="FF002060"/>
        <rFont val="Calibri"/>
        <family val="2"/>
        <charset val="162"/>
        <scheme val="minor"/>
      </rPr>
      <t>10.2</t>
    </r>
    <r>
      <rPr>
        <b/>
        <sz val="11"/>
        <color rgb="FF002060"/>
        <rFont val="Calibri"/>
        <family val="2"/>
        <charset val="162"/>
      </rPr>
      <t xml:space="preserve"> (2025)</t>
    </r>
  </si>
  <si>
    <t>Çatı Alanı (m²)</t>
  </si>
  <si>
    <t>Pratik Tasarım yağışı R (mm) aralığı (İstanbul)</t>
  </si>
  <si>
    <t>Tasarım Yağışı R (mm)</t>
  </si>
  <si>
    <r>
      <t>Standart kullanım (WC + sınırlı peyzaj):</t>
    </r>
    <r>
      <rPr>
        <sz val="11"/>
        <rFont val="Calibri"/>
        <family val="2"/>
        <charset val="162"/>
      </rPr>
      <t xml:space="preserve"> 30–50 mm</t>
    </r>
  </si>
  <si>
    <t>Akış Katsayısı (C)</t>
  </si>
  <si>
    <t>(0–1 arası)</t>
  </si>
  <si>
    <r>
      <t>Düzenli peyzaj/temizlik entegrasyonu:</t>
    </r>
    <r>
      <rPr>
        <sz val="11"/>
        <rFont val="Calibri"/>
        <family val="2"/>
        <charset val="162"/>
      </rPr>
      <t xml:space="preserve"> 50–70 mm</t>
    </r>
  </si>
  <si>
    <t>Güvenlik Katsayısı (SF)</t>
  </si>
  <si>
    <t>(1.0–1.3 arası)</t>
  </si>
  <si>
    <r>
      <t>Geniş peyzaj/otopark yıkama/endüstriyel talep:</t>
    </r>
    <r>
      <rPr>
        <sz val="11"/>
        <rFont val="Calibri"/>
        <family val="2"/>
        <charset val="162"/>
      </rPr>
      <t xml:space="preserve"> 70–90 mm</t>
    </r>
  </si>
  <si>
    <t>Toplanabilir Hacim (L)</t>
  </si>
  <si>
    <t>Toplanabilir Hacim (m³)</t>
  </si>
  <si>
    <t>Akış katsayısı (C): Çatı tipine göre 0.8–0.95; su yalıtımlı, eğimli çatılarda yüksek alınır</t>
  </si>
  <si>
    <t>Güvenlik Paylı Hacim (m³)</t>
  </si>
  <si>
    <t>Sarnıç Hesabı</t>
  </si>
  <si>
    <r>
      <t xml:space="preserve">       YNS_Mechanical Engineer </t>
    </r>
    <r>
      <rPr>
        <b/>
        <sz val="11"/>
        <color theme="3"/>
        <rFont val="Calibri"/>
        <family val="2"/>
        <charset val="162"/>
      </rPr>
      <t>ver.</t>
    </r>
    <r>
      <rPr>
        <b/>
        <sz val="11"/>
        <color theme="3"/>
        <rFont val="Calibri"/>
        <family val="2"/>
        <charset val="162"/>
        <scheme val="minor"/>
      </rPr>
      <t>11.0</t>
    </r>
    <r>
      <rPr>
        <b/>
        <sz val="11"/>
        <color theme="3"/>
        <rFont val="Calibri"/>
        <family val="2"/>
        <charset val="162"/>
      </rPr>
      <t xml:space="preserve"> (2026)</t>
    </r>
  </si>
  <si>
    <t>4-Havuzun rejime girmesi istenen süresi</t>
  </si>
  <si>
    <t>Oda CAM  ( M2 )</t>
  </si>
  <si>
    <t>BATI</t>
  </si>
  <si>
    <t>DOĞU</t>
  </si>
  <si>
    <t>KUZEY</t>
  </si>
  <si>
    <t>GÜNEY</t>
  </si>
  <si>
    <t xml:space="preserve">         YÖN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</si>
</sst>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#,##0.0"/>
    <numFmt numFmtId="165" formatCode="0.0"/>
    <numFmt numFmtId="166" formatCode="0.00000"/>
    <numFmt numFmtId="167" formatCode="0.000"/>
    <numFmt numFmtId="168" formatCode="\Ø\ 0"/>
    <numFmt numFmtId="169" formatCode="\□\ 0"/>
    <numFmt numFmtId="170" formatCode="#,##0\ \ "/>
    <numFmt numFmtId="171" formatCode="0.0\ \ "/>
    <numFmt numFmtId="172" formatCode="0.00\ \ "/>
    <numFmt numFmtId="173" formatCode="0_)"/>
    <numFmt numFmtId="174" formatCode="#,##0.0\ &quot;mmSS&quot;"/>
    <numFmt numFmtId="175" formatCode="&quot;Toplam Basınç Kaybı =&quot;#,##0.00&quot; Pa&quot;"/>
    <numFmt numFmtId="176" formatCode="#,##0.000"/>
    <numFmt numFmtId="177" formatCode="0.0E+00"/>
    <numFmt numFmtId="178" formatCode="[$-F400]h:mm:ss\ AM/PM"/>
    <numFmt numFmtId="179" formatCode="0\ &quot;adet&quot;"/>
    <numFmt numFmtId="180" formatCode="00000"/>
    <numFmt numFmtId="181" formatCode="0.0000"/>
    <numFmt numFmtId="182" formatCode="dd/mm/yyyy;@"/>
    <numFmt numFmtId="183" formatCode="#,##0\ [$€-407]"/>
    <numFmt numFmtId="184" formatCode="#,##0.00\T\L"/>
    <numFmt numFmtId="185" formatCode="#,##0.00\ \T\L"/>
    <numFmt numFmtId="186" formatCode="#,##0.00\ \€"/>
  </numFmts>
  <fonts count="527">
    <font>
      <sz val="11"/>
      <name val="Calibri"/>
    </font>
    <font>
      <sz val="10"/>
      <name val="Tahoma"/>
      <family val="2"/>
      <charset val="162"/>
    </font>
    <font>
      <sz val="10"/>
      <color indexed="23"/>
      <name val="Tahoma"/>
      <family val="2"/>
      <charset val="162"/>
    </font>
    <font>
      <b/>
      <sz val="16"/>
      <color indexed="9"/>
      <name val="Times New Roman"/>
      <family val="1"/>
      <charset val="162"/>
    </font>
    <font>
      <sz val="10"/>
      <color indexed="8"/>
      <name val="Tahoma"/>
      <family val="2"/>
      <charset val="162"/>
    </font>
    <font>
      <sz val="13"/>
      <name val="Tahoma"/>
      <family val="2"/>
      <charset val="162"/>
    </font>
    <font>
      <b/>
      <sz val="12"/>
      <name val="Tahoma"/>
      <family val="2"/>
      <charset val="162"/>
    </font>
    <font>
      <b/>
      <sz val="13"/>
      <name val="Tahoma"/>
      <family val="2"/>
      <charset val="162"/>
    </font>
    <font>
      <b/>
      <sz val="12"/>
      <name val="Symbol"/>
      <family val="1"/>
      <charset val="2"/>
    </font>
    <font>
      <b/>
      <sz val="10"/>
      <name val="Tahoma"/>
      <family val="2"/>
      <charset val="162"/>
    </font>
    <font>
      <sz val="10"/>
      <name val="Arial"/>
      <family val="2"/>
      <charset val="162"/>
    </font>
    <font>
      <b/>
      <sz val="8"/>
      <color indexed="8"/>
      <name val="Tahoma"/>
      <family val="2"/>
      <charset val="162"/>
    </font>
    <font>
      <sz val="11"/>
      <color indexed="8"/>
      <name val="Calibri"/>
      <family val="2"/>
      <charset val="162"/>
    </font>
    <font>
      <b/>
      <sz val="11"/>
      <color indexed="8"/>
      <name val="Arial"/>
      <family val="2"/>
      <charset val="162"/>
    </font>
    <font>
      <b/>
      <i/>
      <sz val="11"/>
      <color rgb="FF254061"/>
      <name val="Calibri"/>
      <family val="2"/>
      <charset val="162"/>
    </font>
    <font>
      <b/>
      <sz val="12"/>
      <color indexed="19"/>
      <name val="Tahoma"/>
      <family val="2"/>
      <charset val="162"/>
    </font>
    <font>
      <i/>
      <sz val="11"/>
      <color indexed="8"/>
      <name val="Arial"/>
      <family val="2"/>
      <charset val="162"/>
    </font>
    <font>
      <sz val="11"/>
      <color indexed="18"/>
      <name val="Calibri"/>
      <family val="2"/>
      <charset val="162"/>
    </font>
    <font>
      <b/>
      <sz val="10"/>
      <name val="Arial Tur"/>
      <charset val="162"/>
    </font>
    <font>
      <b/>
      <sz val="11"/>
      <color indexed="18"/>
      <name val="Calibri"/>
      <family val="2"/>
      <charset val="162"/>
    </font>
    <font>
      <b/>
      <sz val="11"/>
      <color indexed="16"/>
      <name val="Calibri"/>
      <family val="2"/>
      <charset val="162"/>
    </font>
    <font>
      <i/>
      <sz val="10"/>
      <color indexed="8"/>
      <name val="Arial"/>
      <family val="2"/>
      <charset val="162"/>
    </font>
    <font>
      <sz val="10"/>
      <color indexed="63"/>
      <name val="Tahoma"/>
      <family val="2"/>
      <charset val="162"/>
    </font>
    <font>
      <sz val="11"/>
      <color indexed="63"/>
      <name val="Calibri"/>
      <family val="2"/>
      <charset val="162"/>
    </font>
    <font>
      <sz val="14"/>
      <color indexed="63"/>
      <name val="Arial"/>
      <family val="2"/>
      <charset val="162"/>
    </font>
    <font>
      <u/>
      <sz val="11"/>
      <color indexed="1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b/>
      <i/>
      <u/>
      <sz val="12"/>
      <color rgb="FF002060"/>
      <name val="Calibri"/>
      <family val="2"/>
      <charset val="162"/>
    </font>
    <font>
      <b/>
      <i/>
      <sz val="11"/>
      <color indexed="8"/>
      <name val="Calibri"/>
      <family val="2"/>
      <charset val="162"/>
    </font>
    <font>
      <b/>
      <u/>
      <sz val="11"/>
      <color indexed="8"/>
      <name val="Calibri"/>
      <family val="2"/>
      <charset val="162"/>
    </font>
    <font>
      <sz val="11"/>
      <color indexed="8"/>
      <name val="Symbol"/>
      <family val="1"/>
      <charset val="2"/>
    </font>
    <font>
      <b/>
      <u/>
      <sz val="11"/>
      <color rgb="FFFFFFFF"/>
      <name val="Calibri"/>
      <family val="2"/>
      <charset val="162"/>
    </font>
    <font>
      <sz val="11"/>
      <color rgb="FF595959"/>
      <name val="Calibri"/>
      <family val="2"/>
      <charset val="162"/>
    </font>
    <font>
      <u/>
      <sz val="11"/>
      <color indexed="8"/>
      <name val="Calibri"/>
      <family val="2"/>
      <charset val="162"/>
    </font>
    <font>
      <b/>
      <sz val="11"/>
      <name val="Calibri"/>
      <family val="2"/>
      <charset val="162"/>
    </font>
    <font>
      <b/>
      <sz val="11"/>
      <color indexed="10"/>
      <name val="Calibri"/>
      <family val="2"/>
      <charset val="162"/>
    </font>
    <font>
      <b/>
      <sz val="10"/>
      <color indexed="18"/>
      <name val="Tahoma"/>
      <family val="2"/>
      <charset val="162"/>
    </font>
    <font>
      <u/>
      <sz val="10"/>
      <color indexed="8"/>
      <name val="Tahoma"/>
      <family val="2"/>
      <charset val="162"/>
    </font>
    <font>
      <b/>
      <sz val="11"/>
      <color indexed="8"/>
      <name val="Tahoma"/>
      <family val="2"/>
      <charset val="162"/>
    </font>
    <font>
      <b/>
      <sz val="11"/>
      <color rgb="FF642523"/>
      <name val="Calibri"/>
      <family val="2"/>
      <charset val="162"/>
    </font>
    <font>
      <b/>
      <i/>
      <sz val="11"/>
      <color rgb="FF642523"/>
      <name val="Calibri"/>
      <family val="2"/>
      <charset val="162"/>
    </font>
    <font>
      <b/>
      <i/>
      <sz val="11"/>
      <color rgb="FF002060"/>
      <name val="Calibri"/>
      <family val="2"/>
      <charset val="162"/>
    </font>
    <font>
      <b/>
      <sz val="10"/>
      <color indexed="8"/>
      <name val="Calibri"/>
      <family val="2"/>
      <charset val="162"/>
    </font>
    <font>
      <b/>
      <sz val="10"/>
      <color rgb="FFFF0000"/>
      <name val="Calibri"/>
      <family val="2"/>
      <charset val="162"/>
    </font>
    <font>
      <b/>
      <sz val="12"/>
      <color indexed="8"/>
      <name val="Calibri"/>
      <family val="2"/>
      <charset val="162"/>
    </font>
    <font>
      <b/>
      <u/>
      <sz val="11"/>
      <color theme="1" tint="4.9989318521683403E-2"/>
      <name val="Calibri"/>
      <family val="2"/>
      <charset val="162"/>
    </font>
    <font>
      <sz val="11"/>
      <color rgb="FFFF0000"/>
      <name val="Calibri"/>
      <family val="2"/>
      <charset val="162"/>
    </font>
    <font>
      <sz val="11"/>
      <color theme="0" tint="-0.34998626667073579"/>
      <name val="Calibri"/>
      <family val="2"/>
      <charset val="162"/>
    </font>
    <font>
      <b/>
      <sz val="10"/>
      <color rgb="FFFF0000"/>
      <name val="Arial Tur"/>
      <charset val="162"/>
    </font>
    <font>
      <b/>
      <sz val="11"/>
      <color indexed="12"/>
      <name val="Arial Tur"/>
      <charset val="162"/>
    </font>
    <font>
      <b/>
      <sz val="14"/>
      <color indexed="12"/>
      <name val="Arial Tur"/>
      <charset val="162"/>
    </font>
    <font>
      <b/>
      <u/>
      <sz val="11"/>
      <color indexed="10"/>
      <name val="Arial Tur"/>
      <charset val="162"/>
    </font>
    <font>
      <b/>
      <sz val="11"/>
      <color rgb="FFFF0000"/>
      <name val="Arial Tur"/>
      <charset val="162"/>
    </font>
    <font>
      <sz val="10"/>
      <color theme="0"/>
      <name val="Arial Tur"/>
      <charset val="162"/>
    </font>
    <font>
      <sz val="9"/>
      <name val="Arial Tur"/>
      <charset val="162"/>
    </font>
    <font>
      <b/>
      <sz val="9"/>
      <name val="Arial Tur"/>
      <charset val="162"/>
    </font>
    <font>
      <sz val="10"/>
      <color rgb="FFFF0000"/>
      <name val="Arial Tur"/>
      <charset val="162"/>
    </font>
    <font>
      <b/>
      <sz val="9"/>
      <color rgb="FFFF0000"/>
      <name val="Arial Tur"/>
      <charset val="162"/>
    </font>
    <font>
      <sz val="11"/>
      <name val="Calibri"/>
      <family val="2"/>
      <charset val="162"/>
    </font>
    <font>
      <b/>
      <sz val="11"/>
      <color rgb="FFFF0000"/>
      <name val="Calibri"/>
      <family val="2"/>
      <charset val="162"/>
    </font>
    <font>
      <b/>
      <sz val="10"/>
      <name val="Arial Tur"/>
      <family val="2"/>
      <charset val="162"/>
    </font>
    <font>
      <b/>
      <sz val="12"/>
      <name val="Arial Tur"/>
      <family val="2"/>
      <charset val="162"/>
    </font>
    <font>
      <b/>
      <i/>
      <sz val="12"/>
      <name val="Arial Tur"/>
      <family val="2"/>
      <charset val="162"/>
    </font>
    <font>
      <sz val="10"/>
      <name val="Arial Tur"/>
      <family val="2"/>
      <charset val="162"/>
    </font>
    <font>
      <sz val="16"/>
      <color theme="1"/>
      <name val="Calibri"/>
      <family val="2"/>
      <charset val="162"/>
      <scheme val="minor"/>
    </font>
    <font>
      <sz val="16"/>
      <color theme="1"/>
      <name val="Symbol"/>
      <family val="1"/>
      <charset val="2"/>
    </font>
    <font>
      <sz val="12"/>
      <color theme="1"/>
      <name val="Calibri"/>
      <family val="2"/>
      <charset val="162"/>
      <scheme val="minor"/>
    </font>
    <font>
      <b/>
      <sz val="8"/>
      <color rgb="FF800080"/>
      <name val="Arial"/>
      <family val="2"/>
      <charset val="162"/>
    </font>
    <font>
      <b/>
      <sz val="8"/>
      <color rgb="FF99CC00"/>
      <name val="Arial"/>
      <family val="2"/>
      <charset val="162"/>
    </font>
    <font>
      <b/>
      <sz val="8"/>
      <color rgb="FF003366"/>
      <name val="Arial"/>
      <family val="2"/>
      <charset val="162"/>
    </font>
    <font>
      <sz val="11"/>
      <color theme="1"/>
      <name val="Symbol"/>
      <family val="1"/>
      <charset val="2"/>
    </font>
    <font>
      <b/>
      <sz val="8"/>
      <color rgb="FF800000"/>
      <name val="Arial"/>
      <family val="2"/>
      <charset val="162"/>
    </font>
    <font>
      <b/>
      <sz val="10"/>
      <color indexed="9"/>
      <name val="Times New Roman"/>
      <family val="1"/>
      <charset val="162"/>
    </font>
    <font>
      <b/>
      <sz val="10"/>
      <color indexed="10"/>
      <name val="Times New Roman"/>
      <family val="1"/>
      <charset val="162"/>
    </font>
    <font>
      <b/>
      <sz val="10"/>
      <name val="Times New Roman"/>
      <family val="1"/>
      <charset val="162"/>
    </font>
    <font>
      <sz val="10"/>
      <name val="Times New Roman"/>
      <family val="1"/>
      <charset val="162"/>
    </font>
    <font>
      <sz val="12"/>
      <name val="Times New Roman"/>
      <family val="1"/>
      <charset val="162"/>
    </font>
    <font>
      <i/>
      <sz val="10"/>
      <name val="Times New Roman"/>
      <family val="1"/>
      <charset val="162"/>
    </font>
    <font>
      <i/>
      <sz val="10"/>
      <name val="Arial Tur"/>
      <charset val="162"/>
    </font>
    <font>
      <b/>
      <sz val="10"/>
      <name val="Arial"/>
      <family val="2"/>
      <charset val="162"/>
    </font>
    <font>
      <b/>
      <i/>
      <sz val="10"/>
      <color indexed="10"/>
      <name val="Times New Roman"/>
      <family val="1"/>
      <charset val="162"/>
    </font>
    <font>
      <b/>
      <sz val="14"/>
      <color indexed="9"/>
      <name val="Times New Roman"/>
      <family val="1"/>
      <charset val="162"/>
    </font>
    <font>
      <b/>
      <sz val="10"/>
      <color indexed="9"/>
      <name val="Arial Tur"/>
      <charset val="162"/>
    </font>
    <font>
      <b/>
      <sz val="11"/>
      <color indexed="9"/>
      <name val="Times New Roman"/>
      <family val="1"/>
      <charset val="162"/>
    </font>
    <font>
      <sz val="10"/>
      <color indexed="9"/>
      <name val="Arial"/>
      <family val="2"/>
      <charset val="162"/>
    </font>
    <font>
      <b/>
      <sz val="10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2"/>
      <name val="Arial"/>
      <family val="2"/>
      <charset val="162"/>
    </font>
    <font>
      <sz val="12"/>
      <name val="Calibri"/>
      <family val="2"/>
      <charset val="162"/>
    </font>
    <font>
      <sz val="10"/>
      <name val="Trebuchet MS"/>
      <family val="2"/>
      <charset val="162"/>
    </font>
    <font>
      <vertAlign val="superscript"/>
      <sz val="10"/>
      <name val="Trebuchet MS"/>
      <family val="2"/>
      <charset val="162"/>
    </font>
    <font>
      <b/>
      <sz val="12"/>
      <name val="Trebuchet MS"/>
      <family val="2"/>
      <charset val="162"/>
    </font>
    <font>
      <b/>
      <sz val="10"/>
      <name val="Trebuchet MS"/>
      <family val="2"/>
      <charset val="162"/>
    </font>
    <font>
      <sz val="11"/>
      <name val="Trebuchet MS"/>
      <family val="2"/>
      <charset val="162"/>
    </font>
    <font>
      <b/>
      <sz val="12"/>
      <color rgb="FF002060"/>
      <name val="Trebuchet MS"/>
      <family val="2"/>
      <charset val="162"/>
    </font>
    <font>
      <b/>
      <u/>
      <sz val="11"/>
      <color theme="9" tint="-0.499984740745262"/>
      <name val="Calibri"/>
      <family val="2"/>
      <charset val="162"/>
    </font>
    <font>
      <b/>
      <sz val="11"/>
      <color theme="3" tint="-0.499984740745262"/>
      <name val="Calibri"/>
      <family val="2"/>
      <charset val="162"/>
    </font>
    <font>
      <b/>
      <sz val="10"/>
      <color rgb="FFFF0000"/>
      <name val="Trebuchet MS"/>
      <family val="2"/>
      <charset val="162"/>
    </font>
    <font>
      <b/>
      <u/>
      <sz val="12"/>
      <name val="Calibri"/>
      <family val="2"/>
      <charset val="162"/>
    </font>
    <font>
      <b/>
      <sz val="12"/>
      <name val="Calibri"/>
      <family val="2"/>
      <charset val="162"/>
    </font>
    <font>
      <b/>
      <u/>
      <sz val="14"/>
      <name val="Calibri"/>
      <family val="2"/>
      <charset val="162"/>
    </font>
    <font>
      <b/>
      <sz val="14"/>
      <name val="Calibri"/>
      <family val="2"/>
      <charset val="162"/>
    </font>
    <font>
      <b/>
      <i/>
      <u/>
      <sz val="11"/>
      <name val="Calibri"/>
      <family val="2"/>
      <charset val="162"/>
    </font>
    <font>
      <b/>
      <u/>
      <sz val="11"/>
      <name val="Calibri"/>
      <family val="2"/>
      <charset val="162"/>
    </font>
    <font>
      <b/>
      <u/>
      <sz val="14"/>
      <name val="Tahoma"/>
      <family val="2"/>
      <charset val="162"/>
    </font>
    <font>
      <b/>
      <sz val="14"/>
      <name val="Tahoma"/>
      <family val="2"/>
      <charset val="162"/>
    </font>
    <font>
      <sz val="8"/>
      <name val="Tahoma"/>
      <family val="2"/>
      <charset val="162"/>
    </font>
    <font>
      <b/>
      <sz val="8"/>
      <name val="Tahoma"/>
      <family val="2"/>
      <charset val="162"/>
    </font>
    <font>
      <b/>
      <sz val="11"/>
      <color rgb="FFC00000"/>
      <name val="Calibri"/>
      <family val="2"/>
      <charset val="162"/>
    </font>
    <font>
      <sz val="11"/>
      <color theme="0"/>
      <name val="Calibri"/>
      <family val="2"/>
      <charset val="162"/>
    </font>
    <font>
      <sz val="11"/>
      <color theme="9" tint="0.39997558519241921"/>
      <name val="Calibri"/>
      <family val="2"/>
      <charset val="162"/>
    </font>
    <font>
      <b/>
      <sz val="14"/>
      <name val="Symbol"/>
      <family val="1"/>
      <charset val="2"/>
    </font>
    <font>
      <b/>
      <sz val="14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sz val="10"/>
      <name val="Arial Tur"/>
      <charset val="162"/>
    </font>
    <font>
      <b/>
      <i/>
      <sz val="10"/>
      <name val="Arial Tur"/>
      <charset val="162"/>
    </font>
    <font>
      <sz val="10"/>
      <name val="Helv"/>
      <charset val="204"/>
    </font>
    <font>
      <b/>
      <sz val="16"/>
      <name val="Calibri"/>
      <family val="2"/>
      <charset val="162"/>
    </font>
    <font>
      <b/>
      <sz val="16"/>
      <color theme="9" tint="-0.249977111117893"/>
      <name val="Calibri"/>
      <family val="2"/>
      <charset val="162"/>
    </font>
    <font>
      <b/>
      <sz val="14"/>
      <name val="Arial Tur"/>
      <charset val="162"/>
    </font>
    <font>
      <sz val="14"/>
      <name val="Arial Tur"/>
      <charset val="162"/>
    </font>
    <font>
      <b/>
      <sz val="8"/>
      <name val="Arial Tur"/>
      <charset val="162"/>
    </font>
    <font>
      <b/>
      <sz val="9"/>
      <color rgb="FF474647"/>
      <name val="Verdana"/>
      <family val="2"/>
      <charset val="162"/>
    </font>
    <font>
      <b/>
      <sz val="9"/>
      <color rgb="FFFF0000"/>
      <name val="Verdana"/>
      <family val="2"/>
      <charset val="162"/>
    </font>
    <font>
      <b/>
      <sz val="11"/>
      <color rgb="FF535353"/>
      <name val="Tahoma"/>
      <family val="2"/>
      <charset val="162"/>
    </font>
    <font>
      <b/>
      <sz val="8"/>
      <color rgb="FF323232"/>
      <name val="Tahoma"/>
      <family val="2"/>
      <charset val="162"/>
    </font>
    <font>
      <b/>
      <sz val="12"/>
      <color rgb="FF00B0F0"/>
      <name val="Tahoma"/>
      <family val="2"/>
      <charset val="162"/>
    </font>
    <font>
      <b/>
      <sz val="12"/>
      <name val="Arial Tur"/>
      <charset val="162"/>
    </font>
    <font>
      <b/>
      <sz val="11"/>
      <name val="Arial Tur"/>
      <charset val="162"/>
    </font>
    <font>
      <b/>
      <sz val="14"/>
      <color rgb="FFFF0000"/>
      <name val="Arial Tur"/>
      <charset val="162"/>
    </font>
    <font>
      <sz val="14"/>
      <color rgb="FFFF0000"/>
      <name val="Arial Tur"/>
      <charset val="162"/>
    </font>
    <font>
      <b/>
      <sz val="12"/>
      <name val="Cambria"/>
      <family val="1"/>
      <charset val="162"/>
      <scheme val="major"/>
    </font>
    <font>
      <sz val="12"/>
      <name val="Cambria"/>
      <family val="1"/>
      <charset val="162"/>
      <scheme val="major"/>
    </font>
    <font>
      <b/>
      <sz val="12"/>
      <color rgb="FFFF0000"/>
      <name val="Arial Tur"/>
      <charset val="162"/>
    </font>
    <font>
      <sz val="10"/>
      <color theme="1"/>
      <name val="Arial Tur"/>
      <charset val="162"/>
    </font>
    <font>
      <b/>
      <u/>
      <sz val="16"/>
      <name val="Calibri"/>
      <family val="2"/>
      <charset val="162"/>
    </font>
    <font>
      <b/>
      <u/>
      <sz val="22"/>
      <name val="Calibri"/>
      <family val="2"/>
      <charset val="162"/>
    </font>
    <font>
      <b/>
      <sz val="11"/>
      <name val="Bahnschrift"/>
      <family val="2"/>
      <charset val="162"/>
    </font>
    <font>
      <b/>
      <u/>
      <sz val="14"/>
      <color theme="0"/>
      <name val="Calibri"/>
      <family val="2"/>
      <charset val="162"/>
    </font>
    <font>
      <sz val="11"/>
      <color rgb="FFFF3300"/>
      <name val="Calibri"/>
      <family val="2"/>
      <charset val="162"/>
    </font>
    <font>
      <b/>
      <sz val="10"/>
      <color rgb="FFFF3300"/>
      <name val="Times New Roman"/>
      <family val="1"/>
      <charset val="162"/>
    </font>
    <font>
      <b/>
      <sz val="22"/>
      <color rgb="FF0070C0"/>
      <name val="Times New Roman"/>
      <family val="1"/>
      <charset val="162"/>
    </font>
    <font>
      <sz val="14"/>
      <name val="Times New Roman"/>
      <family val="1"/>
      <charset val="162"/>
    </font>
    <font>
      <b/>
      <sz val="14"/>
      <color rgb="FFFF0000"/>
      <name val="Calibri"/>
      <family val="2"/>
      <charset val="162"/>
    </font>
    <font>
      <b/>
      <u/>
      <sz val="11"/>
      <color rgb="FFC00000"/>
      <name val="Calibri"/>
      <family val="2"/>
      <charset val="162"/>
    </font>
    <font>
      <b/>
      <sz val="11"/>
      <color theme="1"/>
      <name val="Calibri"/>
      <family val="2"/>
      <charset val="162"/>
    </font>
    <font>
      <b/>
      <sz val="11"/>
      <color rgb="FF002060"/>
      <name val="Calibri"/>
      <family val="2"/>
      <charset val="162"/>
    </font>
    <font>
      <sz val="11"/>
      <color theme="1"/>
      <name val="Calibri"/>
      <family val="2"/>
      <charset val="162"/>
    </font>
    <font>
      <b/>
      <u/>
      <sz val="11"/>
      <color rgb="FFFF0000"/>
      <name val="Calibri"/>
      <family val="2"/>
      <charset val="162"/>
    </font>
    <font>
      <sz val="11"/>
      <color rgb="FF002060"/>
      <name val="Calibri"/>
      <family val="2"/>
      <charset val="162"/>
    </font>
    <font>
      <b/>
      <u/>
      <sz val="11"/>
      <color theme="1"/>
      <name val="Calibri"/>
      <family val="2"/>
      <charset val="162"/>
    </font>
    <font>
      <b/>
      <sz val="12"/>
      <name val="Times New Roman"/>
      <family val="1"/>
      <charset val="162"/>
    </font>
    <font>
      <b/>
      <sz val="14"/>
      <color indexed="8"/>
      <name val="Calibri"/>
      <family val="2"/>
      <charset val="162"/>
    </font>
    <font>
      <b/>
      <sz val="11"/>
      <name val="Tahoma"/>
      <family val="2"/>
      <charset val="162"/>
    </font>
    <font>
      <b/>
      <sz val="11"/>
      <color rgb="FF002060"/>
      <name val="Tahoma"/>
      <family val="2"/>
      <charset val="162"/>
    </font>
    <font>
      <sz val="11"/>
      <name val="Arial Tur"/>
      <charset val="162"/>
    </font>
    <font>
      <u/>
      <sz val="14"/>
      <name val="Calibri"/>
      <family val="2"/>
      <charset val="162"/>
    </font>
    <font>
      <u/>
      <sz val="16"/>
      <name val="Calibri"/>
      <family val="2"/>
      <charset val="162"/>
    </font>
    <font>
      <u/>
      <sz val="12"/>
      <name val="Calibri"/>
      <family val="2"/>
      <charset val="162"/>
    </font>
    <font>
      <sz val="10"/>
      <name val="Calibri"/>
      <family val="2"/>
      <charset val="162"/>
    </font>
    <font>
      <b/>
      <sz val="10"/>
      <color rgb="FF002060"/>
      <name val="Tahoma"/>
      <family val="2"/>
      <charset val="162"/>
    </font>
    <font>
      <b/>
      <sz val="12"/>
      <color rgb="FFFF0000"/>
      <name val="Calibri"/>
      <family val="2"/>
      <charset val="162"/>
    </font>
    <font>
      <b/>
      <sz val="9"/>
      <color rgb="FFFF0000"/>
      <name val="Calibri"/>
      <family val="2"/>
      <charset val="162"/>
    </font>
    <font>
      <b/>
      <u/>
      <sz val="12"/>
      <color rgb="FFFF0000"/>
      <name val="Calibri"/>
      <family val="2"/>
      <charset val="162"/>
    </font>
    <font>
      <sz val="14"/>
      <name val="Calibri"/>
      <family val="2"/>
      <charset val="162"/>
    </font>
    <font>
      <sz val="16"/>
      <name val="Calibri"/>
      <family val="2"/>
      <charset val="162"/>
    </font>
    <font>
      <b/>
      <u/>
      <sz val="20"/>
      <name val="Calibri"/>
      <family val="2"/>
      <charset val="162"/>
    </font>
    <font>
      <b/>
      <sz val="14"/>
      <name val="Times New Roman"/>
      <family val="1"/>
      <charset val="162"/>
    </font>
    <font>
      <sz val="12"/>
      <color indexed="8"/>
      <name val="Calibri"/>
      <family val="2"/>
      <charset val="162"/>
    </font>
    <font>
      <sz val="14"/>
      <color indexed="8"/>
      <name val="Calibri"/>
      <family val="2"/>
      <charset val="162"/>
    </font>
    <font>
      <b/>
      <u/>
      <sz val="14"/>
      <color indexed="8"/>
      <name val="Calibri"/>
      <family val="2"/>
      <charset val="162"/>
    </font>
    <font>
      <b/>
      <sz val="12"/>
      <color theme="1"/>
      <name val="Times New Roman"/>
      <family val="1"/>
      <charset val="162"/>
    </font>
    <font>
      <sz val="10"/>
      <color indexed="8"/>
      <name val="Calibri"/>
      <family val="2"/>
      <charset val="162"/>
    </font>
    <font>
      <b/>
      <sz val="12"/>
      <color rgb="FFFF0000"/>
      <name val="Syastro"/>
      <charset val="162"/>
    </font>
    <font>
      <b/>
      <sz val="11"/>
      <name val="Syastro"/>
      <charset val="162"/>
    </font>
    <font>
      <b/>
      <sz val="11"/>
      <color rgb="FF003366"/>
      <name val="Arial"/>
      <family val="2"/>
      <charset val="162"/>
    </font>
    <font>
      <b/>
      <sz val="11"/>
      <color rgb="FF800000"/>
      <name val="Arial"/>
      <family val="2"/>
      <charset val="162"/>
    </font>
    <font>
      <b/>
      <sz val="10"/>
      <color rgb="FF99CC00"/>
      <name val="Arial"/>
      <family val="2"/>
      <charset val="162"/>
    </font>
    <font>
      <b/>
      <sz val="10"/>
      <color rgb="FF003366"/>
      <name val="Arial"/>
      <family val="2"/>
      <charset val="162"/>
    </font>
    <font>
      <b/>
      <sz val="12"/>
      <color indexed="18"/>
      <name val="Tahoma"/>
      <family val="2"/>
      <charset val="162"/>
    </font>
    <font>
      <sz val="12"/>
      <name val="Tahoma"/>
      <family val="2"/>
      <charset val="162"/>
    </font>
    <font>
      <b/>
      <u/>
      <sz val="12"/>
      <name val="Trebuchet MS"/>
      <family val="2"/>
      <charset val="162"/>
    </font>
    <font>
      <b/>
      <sz val="9"/>
      <color rgb="FF0070C0"/>
      <name val="Calibri"/>
      <family val="2"/>
      <charset val="162"/>
    </font>
    <font>
      <b/>
      <sz val="12"/>
      <color rgb="FFC00000"/>
      <name val="Calibri"/>
      <family val="2"/>
      <charset val="162"/>
    </font>
    <font>
      <b/>
      <u/>
      <sz val="12"/>
      <color rgb="FFC00000"/>
      <name val="Arial"/>
      <family val="2"/>
      <charset val="162"/>
    </font>
    <font>
      <b/>
      <sz val="11"/>
      <color rgb="FFFFFF00"/>
      <name val="Calibri"/>
      <family val="2"/>
      <charset val="162"/>
    </font>
    <font>
      <b/>
      <sz val="11"/>
      <color theme="0"/>
      <name val="Calibri"/>
      <family val="2"/>
      <charset val="162"/>
    </font>
    <font>
      <sz val="11"/>
      <color theme="9" tint="-0.249977111117893"/>
      <name val="Calibri"/>
      <family val="2"/>
      <charset val="162"/>
    </font>
    <font>
      <sz val="11"/>
      <name val="Arial"/>
      <family val="2"/>
      <charset val="162"/>
    </font>
    <font>
      <b/>
      <sz val="16"/>
      <color rgb="FF00B0F0"/>
      <name val="Calibri"/>
      <family val="2"/>
      <charset val="162"/>
    </font>
    <font>
      <b/>
      <sz val="16"/>
      <color rgb="FFFFC000"/>
      <name val="Calibri"/>
      <family val="2"/>
      <charset val="162"/>
    </font>
    <font>
      <sz val="13"/>
      <color rgb="FF494949"/>
      <name val="Roboto"/>
    </font>
    <font>
      <b/>
      <sz val="11"/>
      <name val="Trebuchet MS"/>
      <family val="2"/>
      <charset val="162"/>
    </font>
    <font>
      <b/>
      <sz val="12"/>
      <color theme="5" tint="-0.499984740745262"/>
      <name val="Trebuchet MS"/>
      <family val="2"/>
      <charset val="162"/>
    </font>
    <font>
      <b/>
      <sz val="10"/>
      <color theme="8" tint="-0.249977111117893"/>
      <name val="Trebuchet MS"/>
      <family val="2"/>
      <charset val="162"/>
    </font>
    <font>
      <sz val="11"/>
      <color theme="8" tint="-0.249977111117893"/>
      <name val="Calibri"/>
      <family val="2"/>
      <charset val="162"/>
    </font>
    <font>
      <b/>
      <sz val="10"/>
      <color theme="1"/>
      <name val="Trebuchet MS"/>
      <family val="2"/>
      <charset val="162"/>
    </font>
    <font>
      <sz val="11"/>
      <name val="Calibri"/>
      <family val="2"/>
      <charset val="162"/>
    </font>
    <font>
      <sz val="10"/>
      <name val="Arial"/>
      <family val="2"/>
      <charset val="162"/>
    </font>
    <font>
      <sz val="9"/>
      <name val="Futura Lt BT"/>
    </font>
    <font>
      <b/>
      <sz val="26"/>
      <name val="Futura Lt BT"/>
      <family val="2"/>
    </font>
    <font>
      <sz val="22"/>
      <name val="Futura Lt BT"/>
      <family val="2"/>
    </font>
    <font>
      <b/>
      <sz val="9"/>
      <name val="Futura Lt BT"/>
    </font>
    <font>
      <b/>
      <sz val="11"/>
      <name val="Futura Md BT"/>
      <family val="2"/>
    </font>
    <font>
      <sz val="12"/>
      <name val="Frutiger 55 Roman"/>
    </font>
    <font>
      <sz val="10"/>
      <name val="Futura Lt BT"/>
      <family val="2"/>
    </font>
    <font>
      <b/>
      <sz val="10"/>
      <name val="Futura Lt BT"/>
      <family val="2"/>
    </font>
    <font>
      <sz val="8"/>
      <name val="Futura Lt BT"/>
      <family val="2"/>
    </font>
    <font>
      <sz val="9"/>
      <name val="Futura Lt BT"/>
      <family val="2"/>
    </font>
    <font>
      <sz val="7"/>
      <name val="Arial"/>
      <family val="2"/>
      <charset val="162"/>
    </font>
    <font>
      <b/>
      <sz val="8"/>
      <name val="Futura Lt BT"/>
      <family val="2"/>
    </font>
    <font>
      <sz val="7"/>
      <name val="Futura Lt BT"/>
      <family val="2"/>
    </font>
    <font>
      <b/>
      <i/>
      <sz val="9"/>
      <name val="Futura Lt BT"/>
      <family val="2"/>
    </font>
    <font>
      <sz val="9"/>
      <name val="Arial"/>
      <family val="2"/>
      <charset val="162"/>
    </font>
    <font>
      <b/>
      <sz val="9"/>
      <color indexed="10"/>
      <name val="Futura Lt BT"/>
      <charset val="162"/>
    </font>
    <font>
      <vertAlign val="superscript"/>
      <sz val="9"/>
      <name val="Futura Lt BT"/>
      <family val="2"/>
    </font>
    <font>
      <b/>
      <sz val="9"/>
      <color indexed="9"/>
      <name val="Futura Lt BT"/>
      <family val="2"/>
    </font>
    <font>
      <sz val="10"/>
      <name val="Futura Lt BT"/>
    </font>
    <font>
      <b/>
      <sz val="9"/>
      <name val="Futura Lt BT"/>
      <family val="2"/>
    </font>
    <font>
      <sz val="9"/>
      <color indexed="9"/>
      <name val="Futura Lt BT"/>
      <family val="2"/>
    </font>
    <font>
      <sz val="9"/>
      <name val="MS Sans Serif"/>
    </font>
    <font>
      <b/>
      <sz val="9"/>
      <name val="Arial"/>
      <family val="2"/>
      <charset val="162"/>
    </font>
    <font>
      <u/>
      <sz val="9"/>
      <name val="Futura Lt BT"/>
      <family val="2"/>
    </font>
    <font>
      <vertAlign val="superscript"/>
      <sz val="9"/>
      <name val="Arial"/>
      <family val="2"/>
      <charset val="162"/>
    </font>
    <font>
      <u val="double"/>
      <sz val="9"/>
      <name val="Futura Lt BT"/>
      <family val="2"/>
    </font>
    <font>
      <b/>
      <sz val="9"/>
      <color indexed="10"/>
      <name val="Arial"/>
      <family val="2"/>
      <charset val="162"/>
    </font>
    <font>
      <b/>
      <sz val="9"/>
      <color indexed="10"/>
      <name val="Futura Lt BT"/>
      <family val="2"/>
    </font>
    <font>
      <sz val="9"/>
      <name val="Arial"/>
      <family val="2"/>
      <charset val="162"/>
    </font>
    <font>
      <b/>
      <i/>
      <sz val="10"/>
      <name val="Futura Lt BT"/>
      <family val="2"/>
    </font>
    <font>
      <b/>
      <sz val="10"/>
      <name val="Arial"/>
      <family val="2"/>
      <charset val="162"/>
    </font>
    <font>
      <b/>
      <sz val="9"/>
      <color theme="8" tint="-0.249977111117893"/>
      <name val="Futura Lt BT"/>
      <family val="2"/>
    </font>
    <font>
      <sz val="9"/>
      <color theme="8" tint="-0.249977111117893"/>
      <name val="Futura Lt BT"/>
      <family val="2"/>
    </font>
    <font>
      <b/>
      <sz val="12"/>
      <name val="Calibri"/>
      <family val="2"/>
      <charset val="162"/>
      <scheme val="minor"/>
    </font>
    <font>
      <sz val="12"/>
      <name val="Courier"/>
      <family val="1"/>
      <charset val="162"/>
    </font>
    <font>
      <sz val="12"/>
      <name val="Calibri"/>
      <family val="2"/>
      <charset val="162"/>
      <scheme val="minor"/>
    </font>
    <font>
      <b/>
      <sz val="12"/>
      <color indexed="8"/>
      <name val="Calibri"/>
      <family val="2"/>
      <charset val="162"/>
      <scheme val="minor"/>
    </font>
    <font>
      <sz val="10"/>
      <name val="Comic Sans MS"/>
      <family val="4"/>
      <charset val="162"/>
    </font>
    <font>
      <sz val="10"/>
      <name val="Calibri"/>
      <family val="2"/>
      <charset val="162"/>
      <scheme val="minor"/>
    </font>
    <font>
      <sz val="12"/>
      <color indexed="8"/>
      <name val="Calibri"/>
      <family val="2"/>
      <charset val="162"/>
      <scheme val="minor"/>
    </font>
    <font>
      <b/>
      <sz val="10"/>
      <color indexed="8"/>
      <name val="Arial"/>
      <family val="2"/>
      <charset val="162"/>
    </font>
    <font>
      <vertAlign val="superscript"/>
      <sz val="10"/>
      <name val="Arial"/>
      <family val="2"/>
      <charset val="162"/>
    </font>
    <font>
      <vertAlign val="subscript"/>
      <sz val="10"/>
      <name val="Arial"/>
      <family val="2"/>
      <charset val="204"/>
    </font>
    <font>
      <vertAlign val="superscript"/>
      <sz val="10"/>
      <name val="Arial Tur"/>
      <charset val="162"/>
    </font>
    <font>
      <b/>
      <vertAlign val="superscript"/>
      <sz val="10"/>
      <name val="Arial Tur"/>
      <charset val="162"/>
    </font>
    <font>
      <sz val="12"/>
      <name val="Arial Tur"/>
      <charset val="162"/>
    </font>
    <font>
      <b/>
      <sz val="12"/>
      <color rgb="FFFF0000"/>
      <name val="Calibri"/>
      <family val="2"/>
      <charset val="162"/>
      <scheme val="minor"/>
    </font>
    <font>
      <b/>
      <sz val="14"/>
      <color theme="1"/>
      <name val="Calibri"/>
      <family val="2"/>
      <charset val="162"/>
    </font>
    <font>
      <b/>
      <sz val="16"/>
      <color rgb="FFC00000"/>
      <name val="Calibri"/>
      <family val="2"/>
      <charset val="162"/>
    </font>
    <font>
      <b/>
      <sz val="11"/>
      <color theme="9" tint="-0.499984740745262"/>
      <name val="Calibri"/>
      <family val="2"/>
      <charset val="162"/>
    </font>
    <font>
      <sz val="12"/>
      <color theme="9" tint="-0.499984740745262"/>
      <name val="Calibri"/>
      <family val="2"/>
      <charset val="162"/>
    </font>
    <font>
      <b/>
      <u/>
      <sz val="16"/>
      <color rgb="FFC00000"/>
      <name val="Calibri"/>
      <family val="2"/>
      <charset val="162"/>
    </font>
    <font>
      <b/>
      <sz val="8"/>
      <name val="Calibri"/>
      <family val="2"/>
      <charset val="162"/>
    </font>
    <font>
      <b/>
      <sz val="11"/>
      <color rgb="FFFFC000"/>
      <name val="Calibri"/>
      <family val="2"/>
      <charset val="162"/>
    </font>
    <font>
      <b/>
      <u/>
      <sz val="20"/>
      <color theme="9" tint="-0.249977111117893"/>
      <name val="Calibri"/>
      <family val="2"/>
      <charset val="162"/>
    </font>
    <font>
      <sz val="11"/>
      <color theme="3"/>
      <name val="Calibri"/>
      <family val="2"/>
      <charset val="162"/>
    </font>
    <font>
      <b/>
      <sz val="10"/>
      <color rgb="FFC00000"/>
      <name val="Arial"/>
      <family val="2"/>
      <charset val="162"/>
    </font>
    <font>
      <b/>
      <sz val="8"/>
      <color rgb="FFC00000"/>
      <name val="Arial"/>
      <family val="2"/>
      <charset val="162"/>
    </font>
    <font>
      <sz val="11"/>
      <color theme="1" tint="4.9989318521683403E-2"/>
      <name val="Calibri"/>
      <family val="2"/>
      <charset val="162"/>
    </font>
    <font>
      <b/>
      <sz val="8"/>
      <color theme="1" tint="4.9989318521683403E-2"/>
      <name val="Arial"/>
      <family val="2"/>
      <charset val="162"/>
    </font>
    <font>
      <b/>
      <sz val="12"/>
      <name val="Arial"/>
      <family val="2"/>
    </font>
    <font>
      <sz val="10"/>
      <color indexed="10"/>
      <name val="Arial"/>
      <family val="2"/>
      <charset val="162"/>
    </font>
    <font>
      <b/>
      <vertAlign val="subscript"/>
      <sz val="12"/>
      <name val="Arial"/>
      <family val="2"/>
    </font>
    <font>
      <b/>
      <sz val="11"/>
      <color rgb="FF990000"/>
      <name val="Calibri"/>
      <family val="2"/>
      <charset val="162"/>
    </font>
    <font>
      <b/>
      <sz val="10"/>
      <color rgb="FFFF0000"/>
      <name val="Tahoma"/>
      <family val="2"/>
      <charset val="162"/>
    </font>
    <font>
      <b/>
      <sz val="12"/>
      <color theme="3"/>
      <name val="Tahoma"/>
      <family val="2"/>
      <charset val="162"/>
    </font>
    <font>
      <b/>
      <sz val="12"/>
      <name val="Bahnschrift Light"/>
      <family val="2"/>
      <charset val="162"/>
    </font>
    <font>
      <b/>
      <sz val="11"/>
      <color theme="1"/>
      <name val="Tahoma"/>
      <family val="2"/>
      <charset val="162"/>
    </font>
    <font>
      <b/>
      <sz val="16"/>
      <color rgb="FFFF0000"/>
      <name val="Calibri"/>
      <family val="2"/>
      <charset val="162"/>
    </font>
    <font>
      <b/>
      <u/>
      <sz val="18"/>
      <name val="Calibri"/>
      <family val="2"/>
      <charset val="162"/>
    </font>
    <font>
      <b/>
      <sz val="16"/>
      <color indexed="8"/>
      <name val="Calibri"/>
      <family val="2"/>
      <charset val="162"/>
    </font>
    <font>
      <b/>
      <sz val="12"/>
      <color rgb="FF0000FF"/>
      <name val="Arial Tur"/>
      <charset val="162"/>
    </font>
    <font>
      <sz val="8"/>
      <name val="Calibri"/>
      <family val="2"/>
      <charset val="162"/>
    </font>
    <font>
      <b/>
      <i/>
      <sz val="12"/>
      <color indexed="12"/>
      <name val="Arial Tur"/>
      <charset val="162"/>
    </font>
    <font>
      <sz val="10"/>
      <color rgb="FFFF0000"/>
      <name val="Calibri"/>
      <family val="2"/>
      <charset val="162"/>
    </font>
    <font>
      <sz val="10"/>
      <color theme="0" tint="-0.34998626667073579"/>
      <name val="Calibri"/>
      <family val="2"/>
      <charset val="162"/>
    </font>
    <font>
      <b/>
      <sz val="10"/>
      <color theme="0" tint="-0.34998626667073579"/>
      <name val="Tahoma"/>
      <family val="2"/>
      <charset val="162"/>
    </font>
    <font>
      <sz val="10"/>
      <color theme="0" tint="-0.34998626667073579"/>
      <name val="Tahoma"/>
      <family val="2"/>
      <charset val="162"/>
    </font>
    <font>
      <sz val="10"/>
      <color rgb="FFFF0000"/>
      <name val="Tahoma"/>
      <family val="2"/>
      <charset val="162"/>
    </font>
    <font>
      <b/>
      <sz val="11"/>
      <color theme="0" tint="-0.34998626667073579"/>
      <name val="Calibri"/>
      <family val="2"/>
      <charset val="162"/>
    </font>
    <font>
      <sz val="12"/>
      <color rgb="FF4D5156"/>
      <name val="Arial"/>
      <family val="2"/>
      <charset val="162"/>
    </font>
    <font>
      <sz val="12"/>
      <color rgb="FF040C28"/>
      <name val="Arial"/>
      <family val="2"/>
      <charset val="162"/>
    </font>
    <font>
      <vertAlign val="superscript"/>
      <sz val="12"/>
      <color rgb="FF040C28"/>
      <name val="Arial"/>
      <family val="2"/>
      <charset val="162"/>
    </font>
    <font>
      <sz val="12"/>
      <color theme="1"/>
      <name val="Calibri"/>
      <family val="2"/>
      <charset val="162"/>
    </font>
    <font>
      <sz val="48"/>
      <name val="Calibri"/>
      <family val="2"/>
      <charset val="162"/>
    </font>
    <font>
      <sz val="28"/>
      <name val="Calibri"/>
      <family val="2"/>
      <charset val="162"/>
    </font>
    <font>
      <sz val="17"/>
      <color indexed="8"/>
      <name val="Calibri"/>
      <family val="2"/>
      <charset val="162"/>
      <scheme val="minor"/>
    </font>
    <font>
      <sz val="18"/>
      <color indexed="8"/>
      <name val="Calibri"/>
      <family val="2"/>
      <charset val="162"/>
    </font>
    <font>
      <b/>
      <sz val="30"/>
      <name val="Calibri"/>
      <family val="2"/>
      <charset val="162"/>
    </font>
    <font>
      <sz val="22"/>
      <name val="Calibri"/>
      <family val="2"/>
      <charset val="162"/>
    </font>
    <font>
      <sz val="24"/>
      <name val="Calibri"/>
      <family val="2"/>
      <charset val="162"/>
    </font>
    <font>
      <sz val="30"/>
      <name val="Calibri"/>
      <family val="2"/>
      <charset val="162"/>
    </font>
    <font>
      <sz val="24"/>
      <color indexed="8"/>
      <name val="Calibri"/>
      <family val="2"/>
      <charset val="162"/>
    </font>
    <font>
      <sz val="20"/>
      <name val="Calibri"/>
      <family val="2"/>
      <charset val="162"/>
    </font>
    <font>
      <sz val="22"/>
      <color indexed="8"/>
      <name val="Calibri"/>
      <family val="2"/>
      <charset val="162"/>
    </font>
    <font>
      <sz val="26"/>
      <name val="Calibri"/>
      <family val="2"/>
      <charset val="162"/>
    </font>
    <font>
      <b/>
      <sz val="28"/>
      <name val="Calibri"/>
      <family val="2"/>
      <charset val="162"/>
    </font>
    <font>
      <b/>
      <sz val="26"/>
      <name val="Calibri"/>
      <family val="2"/>
      <charset val="162"/>
    </font>
    <font>
      <sz val="26"/>
      <color indexed="8"/>
      <name val="Calibri"/>
      <family val="2"/>
      <charset val="162"/>
    </font>
    <font>
      <b/>
      <sz val="26"/>
      <color indexed="18"/>
      <name val="Tahoma"/>
      <family val="2"/>
      <charset val="162"/>
    </font>
    <font>
      <b/>
      <sz val="26"/>
      <name val="Tahoma"/>
      <family val="2"/>
      <charset val="162"/>
    </font>
    <font>
      <sz val="26"/>
      <name val="Tahoma"/>
      <family val="2"/>
      <charset val="162"/>
    </font>
    <font>
      <sz val="26"/>
      <color theme="0" tint="-0.499984740745262"/>
      <name val="Calibri"/>
      <family val="2"/>
      <charset val="162"/>
    </font>
    <font>
      <sz val="11"/>
      <color theme="0" tint="-0.499984740745262"/>
      <name val="Calibri"/>
      <family val="2"/>
      <charset val="162"/>
    </font>
    <font>
      <b/>
      <sz val="22"/>
      <name val="Calibri"/>
      <family val="2"/>
      <charset val="162"/>
    </font>
    <font>
      <b/>
      <u/>
      <sz val="30"/>
      <name val="Calibri"/>
      <family val="2"/>
      <charset val="162"/>
    </font>
    <font>
      <sz val="24"/>
      <color theme="1" tint="0.499984740745262"/>
      <name val="Calibri"/>
      <family val="2"/>
      <charset val="162"/>
    </font>
    <font>
      <b/>
      <u/>
      <sz val="28"/>
      <name val="Calibri"/>
      <family val="2"/>
      <charset val="162"/>
    </font>
    <font>
      <b/>
      <u/>
      <sz val="10"/>
      <name val="Calibri"/>
      <family val="2"/>
      <charset val="162"/>
    </font>
    <font>
      <sz val="11"/>
      <color rgb="FF040C28"/>
      <name val="Arial"/>
      <family val="2"/>
      <charset val="162"/>
    </font>
    <font>
      <b/>
      <sz val="10"/>
      <name val="Bahnschrift Condensed"/>
      <family val="2"/>
      <charset val="162"/>
    </font>
    <font>
      <sz val="11"/>
      <color theme="0" tint="-0.249977111117893"/>
      <name val="Calibri"/>
      <family val="2"/>
      <charset val="162"/>
    </font>
    <font>
      <b/>
      <u/>
      <sz val="16"/>
      <name val="Times New Roman"/>
      <family val="1"/>
      <charset val="162"/>
    </font>
    <font>
      <b/>
      <sz val="12"/>
      <color rgb="FF990000"/>
      <name val="Calibri"/>
      <family val="2"/>
      <charset val="162"/>
    </font>
    <font>
      <sz val="11"/>
      <color theme="2" tint="-0.499984740745262"/>
      <name val="Calibri"/>
      <family val="2"/>
      <charset val="162"/>
    </font>
    <font>
      <b/>
      <sz val="13"/>
      <color indexed="8"/>
      <name val="Calibri"/>
      <family val="2"/>
      <charset val="162"/>
    </font>
    <font>
      <b/>
      <sz val="14"/>
      <color theme="1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b/>
      <sz val="24"/>
      <color indexed="8"/>
      <name val="Calibri"/>
      <family val="2"/>
      <charset val="162"/>
    </font>
    <font>
      <b/>
      <i/>
      <sz val="20"/>
      <color theme="1"/>
      <name val="Calibri"/>
      <family val="2"/>
      <charset val="162"/>
      <scheme val="minor"/>
    </font>
    <font>
      <b/>
      <sz val="20"/>
      <color theme="1"/>
      <name val="Calibri"/>
      <family val="2"/>
      <charset val="162"/>
      <scheme val="minor"/>
    </font>
    <font>
      <b/>
      <sz val="11"/>
      <color rgb="FFFFFF00"/>
      <name val="Book Antiqua"/>
      <family val="1"/>
      <charset val="162"/>
    </font>
    <font>
      <sz val="18"/>
      <name val="Calibri"/>
      <family val="2"/>
      <charset val="162"/>
    </font>
    <font>
      <sz val="20"/>
      <color indexed="8"/>
      <name val="Calibri"/>
      <family val="2"/>
      <charset val="162"/>
    </font>
    <font>
      <b/>
      <sz val="16"/>
      <color theme="0"/>
      <name val="Calibri"/>
      <family val="2"/>
      <charset val="162"/>
    </font>
    <font>
      <sz val="8"/>
      <name val="Calibri"/>
      <family val="2"/>
      <charset val="162"/>
    </font>
    <font>
      <b/>
      <sz val="28"/>
      <color indexed="8"/>
      <name val="Calibri"/>
      <family val="2"/>
      <charset val="162"/>
    </font>
    <font>
      <b/>
      <sz val="12"/>
      <color rgb="FF002060"/>
      <name val="Calibri"/>
      <family val="2"/>
      <charset val="162"/>
    </font>
    <font>
      <b/>
      <sz val="11"/>
      <color theme="5" tint="-0.249977111117893"/>
      <name val="Calibri"/>
      <family val="2"/>
      <charset val="162"/>
    </font>
    <font>
      <b/>
      <sz val="11"/>
      <color theme="2"/>
      <name val="Calibri"/>
      <family val="2"/>
      <charset val="162"/>
    </font>
    <font>
      <b/>
      <sz val="12"/>
      <color theme="0"/>
      <name val="Calibri"/>
      <family val="2"/>
      <charset val="162"/>
    </font>
    <font>
      <b/>
      <sz val="8"/>
      <name val="Arial"/>
      <family val="2"/>
      <charset val="162"/>
    </font>
    <font>
      <b/>
      <sz val="8"/>
      <color rgb="FF990000"/>
      <name val="Arial"/>
      <family val="2"/>
      <charset val="162"/>
    </font>
    <font>
      <b/>
      <sz val="9"/>
      <name val="Arial Narrow"/>
      <family val="2"/>
      <charset val="162"/>
    </font>
    <font>
      <vertAlign val="subscript"/>
      <sz val="9"/>
      <name val="Arial"/>
      <family val="2"/>
    </font>
    <font>
      <vertAlign val="subscript"/>
      <sz val="10"/>
      <name val="Arial"/>
      <family val="2"/>
      <charset val="162"/>
    </font>
    <font>
      <sz val="10"/>
      <name val="Symbol"/>
      <family val="1"/>
      <charset val="2"/>
    </font>
    <font>
      <sz val="8"/>
      <name val="Arial"/>
      <family val="2"/>
      <charset val="162"/>
    </font>
    <font>
      <sz val="14"/>
      <name val="Symbol"/>
      <family val="1"/>
      <charset val="2"/>
    </font>
    <font>
      <b/>
      <u/>
      <sz val="10"/>
      <color indexed="10"/>
      <name val="Arial"/>
      <family val="2"/>
      <charset val="162"/>
    </font>
    <font>
      <sz val="11"/>
      <color rgb="FFFFFFFF"/>
      <name val="Arial"/>
      <family val="2"/>
      <charset val="162"/>
    </font>
    <font>
      <b/>
      <sz val="20"/>
      <name val="Calibri"/>
      <family val="2"/>
      <charset val="162"/>
    </font>
    <font>
      <b/>
      <sz val="20"/>
      <color rgb="FFFF0000"/>
      <name val="Calibri"/>
      <family val="2"/>
      <charset val="162"/>
    </font>
    <font>
      <b/>
      <u/>
      <sz val="16"/>
      <color indexed="8"/>
      <name val="Calibri"/>
      <family val="2"/>
      <charset val="162"/>
    </font>
    <font>
      <b/>
      <sz val="11"/>
      <color theme="0"/>
      <name val="Book Antiqua"/>
      <family val="1"/>
      <charset val="162"/>
    </font>
    <font>
      <sz val="10"/>
      <color theme="0"/>
      <name val="Tahoma"/>
      <family val="2"/>
      <charset val="162"/>
    </font>
    <font>
      <b/>
      <sz val="10"/>
      <color theme="0"/>
      <name val="Tahoma"/>
      <family val="2"/>
      <charset val="162"/>
    </font>
    <font>
      <sz val="10"/>
      <color theme="0"/>
      <name val="Arial"/>
      <family val="2"/>
      <charset val="162"/>
    </font>
    <font>
      <b/>
      <sz val="14"/>
      <color theme="9" tint="-0.499984740745262"/>
      <name val="Trebuchet MS"/>
      <family val="2"/>
      <charset val="162"/>
    </font>
    <font>
      <b/>
      <u/>
      <sz val="14"/>
      <color theme="9" tint="-0.499984740745262"/>
      <name val="Trebuchet MS"/>
      <family val="2"/>
      <charset val="162"/>
    </font>
    <font>
      <b/>
      <sz val="11"/>
      <color theme="0"/>
      <name val="Arial"/>
      <family val="2"/>
      <charset val="162"/>
    </font>
    <font>
      <b/>
      <sz val="10"/>
      <color theme="0"/>
      <name val="Arial"/>
      <family val="2"/>
      <charset val="162"/>
    </font>
    <font>
      <b/>
      <sz val="8"/>
      <color theme="0"/>
      <name val="Arial"/>
      <family val="2"/>
      <charset val="162"/>
    </font>
    <font>
      <b/>
      <sz val="14"/>
      <color theme="0"/>
      <name val="Calibri"/>
      <family val="2"/>
      <charset val="162"/>
    </font>
    <font>
      <b/>
      <sz val="12"/>
      <color rgb="FF003366"/>
      <name val="Arial"/>
      <family val="2"/>
      <charset val="162"/>
    </font>
    <font>
      <b/>
      <sz val="12"/>
      <color rgb="FF800000"/>
      <name val="Arial"/>
      <family val="2"/>
      <charset val="162"/>
    </font>
    <font>
      <b/>
      <sz val="12"/>
      <color rgb="FF99CC00"/>
      <name val="Arial"/>
      <family val="2"/>
      <charset val="162"/>
    </font>
    <font>
      <b/>
      <sz val="9"/>
      <color rgb="FF003366"/>
      <name val="Arial"/>
      <family val="2"/>
      <charset val="162"/>
    </font>
    <font>
      <b/>
      <sz val="9"/>
      <color rgb="FF99CC00"/>
      <name val="Arial"/>
      <family val="2"/>
      <charset val="162"/>
    </font>
    <font>
      <b/>
      <sz val="10"/>
      <color theme="1"/>
      <name val="Tahoma"/>
      <family val="2"/>
      <charset val="162"/>
    </font>
    <font>
      <sz val="10"/>
      <color theme="1"/>
      <name val="Tahoma"/>
      <family val="2"/>
      <charset val="162"/>
    </font>
    <font>
      <sz val="10"/>
      <color theme="0"/>
      <name val="Calibri"/>
      <family val="2"/>
      <charset val="162"/>
    </font>
    <font>
      <sz val="16"/>
      <color rgb="FFFF0000"/>
      <name val="Calibri"/>
      <family val="2"/>
      <charset val="162"/>
    </font>
    <font>
      <sz val="8"/>
      <name val="Calibri"/>
      <family val="2"/>
      <charset val="162"/>
    </font>
    <font>
      <u/>
      <sz val="22"/>
      <name val="Calibri"/>
      <family val="2"/>
      <charset val="162"/>
    </font>
    <font>
      <b/>
      <u/>
      <sz val="16"/>
      <color theme="4" tint="-0.249977111117893"/>
      <name val="Calibri"/>
      <family val="2"/>
      <charset val="162"/>
    </font>
    <font>
      <b/>
      <sz val="16"/>
      <color theme="4" tint="-0.249977111117893"/>
      <name val="Calibri"/>
      <family val="2"/>
      <charset val="162"/>
    </font>
    <font>
      <sz val="28"/>
      <name val="Bahnschrift Condensed"/>
      <family val="2"/>
      <charset val="162"/>
    </font>
    <font>
      <b/>
      <sz val="18"/>
      <color rgb="FFFF0000"/>
      <name val="Calibri"/>
      <family val="2"/>
      <charset val="162"/>
    </font>
    <font>
      <b/>
      <u/>
      <sz val="14"/>
      <color rgb="FFFF0000"/>
      <name val="Calibri"/>
      <family val="2"/>
      <charset val="162"/>
    </font>
    <font>
      <b/>
      <sz val="12"/>
      <color theme="9" tint="-0.499984740745262"/>
      <name val="Calibri"/>
      <family val="2"/>
      <charset val="162"/>
    </font>
    <font>
      <b/>
      <sz val="12"/>
      <name val="Calibri"/>
      <family val="1"/>
      <charset val="2"/>
    </font>
    <font>
      <b/>
      <sz val="10"/>
      <name val="Tahoma"/>
      <family val="1"/>
      <charset val="2"/>
    </font>
    <font>
      <sz val="12"/>
      <color theme="0" tint="-0.249977111117893"/>
      <name val="Calibri"/>
      <family val="2"/>
      <charset val="162"/>
    </font>
    <font>
      <b/>
      <sz val="12"/>
      <color theme="1" tint="0.499984740745262"/>
      <name val="Syastro"/>
      <charset val="162"/>
    </font>
    <font>
      <sz val="11"/>
      <color theme="1" tint="0.499984740745262"/>
      <name val="Calibri"/>
      <family val="2"/>
      <charset val="162"/>
    </font>
    <font>
      <b/>
      <sz val="50"/>
      <name val="Mistral"/>
      <family val="4"/>
      <charset val="162"/>
    </font>
    <font>
      <b/>
      <u/>
      <sz val="72"/>
      <name val="Mistral"/>
      <family val="4"/>
      <charset val="162"/>
    </font>
    <font>
      <b/>
      <u/>
      <sz val="36"/>
      <color rgb="FFC00000"/>
      <name val="Mistral"/>
      <family val="4"/>
      <charset val="162"/>
    </font>
    <font>
      <b/>
      <sz val="16"/>
      <name val="Mistral"/>
      <family val="4"/>
      <charset val="162"/>
    </font>
    <font>
      <b/>
      <u/>
      <sz val="28"/>
      <color theme="5" tint="-0.249977111117893"/>
      <name val="Mistral"/>
      <family val="4"/>
      <charset val="162"/>
    </font>
    <font>
      <b/>
      <sz val="24"/>
      <color rgb="FF0070C0"/>
      <name val="Mistral"/>
      <family val="4"/>
      <charset val="162"/>
    </font>
    <font>
      <b/>
      <sz val="28"/>
      <color theme="1"/>
      <name val="Mistral"/>
      <family val="4"/>
      <charset val="162"/>
    </font>
    <font>
      <b/>
      <sz val="28"/>
      <color rgb="FF0070C0"/>
      <name val="Mistral"/>
      <family val="4"/>
      <charset val="162"/>
    </font>
    <font>
      <b/>
      <sz val="28"/>
      <color rgb="FFC00000"/>
      <name val="Mistral"/>
      <family val="4"/>
      <charset val="162"/>
    </font>
    <font>
      <b/>
      <u/>
      <sz val="26"/>
      <name val="Mistral"/>
      <family val="4"/>
      <charset val="162"/>
    </font>
    <font>
      <b/>
      <u/>
      <sz val="24"/>
      <color rgb="FFC00000"/>
      <name val="Mistral"/>
      <family val="4"/>
      <charset val="162"/>
    </font>
    <font>
      <b/>
      <u/>
      <sz val="14"/>
      <name val="Trebuchet MS"/>
      <family val="2"/>
      <charset val="162"/>
    </font>
    <font>
      <b/>
      <sz val="12"/>
      <color rgb="FFC00000"/>
      <name val="Trebuchet MS"/>
      <family val="2"/>
      <charset val="162"/>
    </font>
    <font>
      <b/>
      <sz val="12"/>
      <color rgb="FF006600"/>
      <name val="Trebuchet MS"/>
      <family val="2"/>
      <charset val="162"/>
    </font>
    <font>
      <b/>
      <sz val="10"/>
      <color rgb="FFC00000"/>
      <name val="Trebuchet MS"/>
      <family val="2"/>
      <charset val="162"/>
    </font>
    <font>
      <b/>
      <u/>
      <sz val="22"/>
      <color rgb="FF000000"/>
      <name val="Mistral"/>
      <family val="4"/>
      <charset val="162"/>
    </font>
    <font>
      <b/>
      <sz val="18"/>
      <color rgb="FFFFFFFF"/>
      <name val="Mistral"/>
      <family val="4"/>
      <charset val="162"/>
    </font>
    <font>
      <b/>
      <sz val="24"/>
      <name val="Mistral"/>
      <family val="4"/>
      <charset val="162"/>
    </font>
    <font>
      <sz val="24"/>
      <color theme="1"/>
      <name val="Mistral"/>
      <family val="4"/>
      <charset val="162"/>
    </font>
    <font>
      <b/>
      <u/>
      <sz val="24"/>
      <color theme="1"/>
      <name val="Mistral"/>
      <family val="4"/>
      <charset val="162"/>
    </font>
    <font>
      <u/>
      <sz val="24"/>
      <name val="Mistral"/>
      <family val="4"/>
      <charset val="162"/>
    </font>
    <font>
      <b/>
      <u/>
      <sz val="36"/>
      <color indexed="8"/>
      <name val="Mistral"/>
      <family val="4"/>
      <charset val="162"/>
    </font>
    <font>
      <u/>
      <sz val="36"/>
      <name val="Mistral"/>
      <family val="4"/>
      <charset val="162"/>
    </font>
    <font>
      <b/>
      <u/>
      <sz val="24"/>
      <name val="Mistral"/>
      <family val="4"/>
      <charset val="162"/>
    </font>
    <font>
      <b/>
      <u/>
      <sz val="36"/>
      <name val="Mistral"/>
      <family val="4"/>
      <charset val="162"/>
    </font>
    <font>
      <u/>
      <sz val="36"/>
      <color theme="0"/>
      <name val="Mistral"/>
      <family val="4"/>
      <charset val="162"/>
    </font>
    <font>
      <sz val="16"/>
      <name val="Mistral"/>
      <family val="4"/>
      <charset val="162"/>
    </font>
    <font>
      <b/>
      <sz val="20"/>
      <name val="Mistral"/>
      <family val="4"/>
      <charset val="162"/>
    </font>
    <font>
      <b/>
      <u/>
      <sz val="20"/>
      <name val="Mistral"/>
      <family val="4"/>
      <charset val="162"/>
    </font>
    <font>
      <b/>
      <u/>
      <sz val="22"/>
      <name val="Mistral"/>
      <family val="4"/>
      <charset val="162"/>
    </font>
    <font>
      <b/>
      <sz val="26"/>
      <name val="Mistral"/>
      <family val="4"/>
      <charset val="162"/>
    </font>
    <font>
      <b/>
      <u/>
      <sz val="24"/>
      <color rgb="FF000000"/>
      <name val="Mistral"/>
      <family val="4"/>
      <charset val="162"/>
    </font>
    <font>
      <b/>
      <u/>
      <sz val="24"/>
      <color theme="9" tint="-0.249977111117893"/>
      <name val="Mistral"/>
      <family val="4"/>
      <charset val="162"/>
    </font>
    <font>
      <b/>
      <u/>
      <sz val="36"/>
      <color theme="1"/>
      <name val="Mistral"/>
      <family val="4"/>
      <charset val="162"/>
    </font>
    <font>
      <sz val="36"/>
      <color theme="1"/>
      <name val="Mistral"/>
      <family val="4"/>
      <charset val="162"/>
    </font>
    <font>
      <b/>
      <u/>
      <sz val="36"/>
      <name val="Times New Roman"/>
      <family val="1"/>
      <charset val="162"/>
    </font>
    <font>
      <b/>
      <sz val="13"/>
      <color rgb="FF0070C0"/>
      <name val="Calibri"/>
      <family val="2"/>
      <charset val="162"/>
    </font>
    <font>
      <b/>
      <sz val="13"/>
      <color theme="9" tint="-0.249977111117893"/>
      <name val="Calibri"/>
      <family val="2"/>
      <charset val="162"/>
    </font>
    <font>
      <sz val="20"/>
      <color rgb="FFFF0000"/>
      <name val="Calibri"/>
      <family val="2"/>
      <charset val="162"/>
    </font>
    <font>
      <b/>
      <sz val="20"/>
      <color rgb="FF00B0F0"/>
      <name val="Calibri"/>
      <family val="2"/>
      <charset val="162"/>
    </font>
    <font>
      <b/>
      <sz val="16"/>
      <color theme="5" tint="-0.249977111117893"/>
      <name val="Calibri"/>
      <family val="2"/>
      <charset val="162"/>
    </font>
    <font>
      <b/>
      <sz val="22"/>
      <color theme="5" tint="-0.249977111117893"/>
      <name val="Calibri"/>
      <family val="2"/>
      <charset val="162"/>
    </font>
    <font>
      <b/>
      <sz val="16"/>
      <color rgb="FFFFFF00"/>
      <name val="Calibri"/>
      <family val="2"/>
      <charset val="162"/>
    </font>
    <font>
      <b/>
      <u/>
      <sz val="16"/>
      <color rgb="FFFFFF00"/>
      <name val="Calibri"/>
      <family val="2"/>
      <charset val="162"/>
    </font>
    <font>
      <b/>
      <sz val="16"/>
      <color rgb="FF7030A0"/>
      <name val="Calibri"/>
      <family val="2"/>
      <charset val="162"/>
    </font>
    <font>
      <b/>
      <sz val="14"/>
      <color theme="5" tint="-0.499984740745262"/>
      <name val="Tahoma"/>
      <family val="2"/>
      <charset val="162"/>
    </font>
    <font>
      <sz val="14"/>
      <color theme="5" tint="-0.499984740745262"/>
      <name val="Swis721 Blk BT"/>
      <family val="2"/>
      <charset val="162"/>
    </font>
    <font>
      <b/>
      <sz val="16"/>
      <color theme="5" tint="-0.499984740745262"/>
      <name val="Mistral"/>
      <family val="4"/>
      <charset val="162"/>
    </font>
    <font>
      <b/>
      <sz val="10"/>
      <color theme="5" tint="-0.499984740745262"/>
      <name val="Tahoma"/>
      <family val="2"/>
      <charset val="162"/>
    </font>
    <font>
      <sz val="11"/>
      <color rgb="FFFFFF00"/>
      <name val="Calibri"/>
      <family val="2"/>
      <charset val="162"/>
    </font>
    <font>
      <u/>
      <sz val="10"/>
      <color rgb="FFFFFF00"/>
      <name val="Tahoma"/>
      <family val="2"/>
      <charset val="162"/>
    </font>
    <font>
      <sz val="10"/>
      <color rgb="FFFFFF00"/>
      <name val="Tahoma"/>
      <family val="2"/>
      <charset val="162"/>
    </font>
    <font>
      <b/>
      <sz val="12"/>
      <color theme="1"/>
      <name val="Calibri"/>
      <family val="2"/>
      <charset val="162"/>
    </font>
    <font>
      <b/>
      <sz val="10"/>
      <color theme="1" tint="0.499984740745262"/>
      <name val="Tahoma"/>
      <family val="2"/>
      <charset val="162"/>
    </font>
    <font>
      <sz val="11"/>
      <color theme="1" tint="0.499984740745262"/>
      <name val="Symbol"/>
      <family val="1"/>
      <charset val="2"/>
    </font>
    <font>
      <sz val="11"/>
      <color theme="1" tint="0.499984740745262"/>
      <name val="Cambria"/>
      <family val="1"/>
      <charset val="162"/>
      <scheme val="major"/>
    </font>
    <font>
      <sz val="20"/>
      <color rgb="FFC00000"/>
      <name val="Calibri"/>
      <family val="2"/>
      <charset val="162"/>
    </font>
    <font>
      <b/>
      <sz val="18"/>
      <name val="Calibri"/>
      <family val="2"/>
      <charset val="162"/>
    </font>
    <font>
      <b/>
      <sz val="36"/>
      <color rgb="FFFF0000"/>
      <name val="Mistral"/>
      <family val="4"/>
      <charset val="162"/>
    </font>
    <font>
      <b/>
      <sz val="36"/>
      <color rgb="FFC00000"/>
      <name val="Mistral"/>
      <family val="4"/>
      <charset val="162"/>
    </font>
    <font>
      <b/>
      <sz val="36"/>
      <color rgb="FFC00000"/>
      <name val="Calibri"/>
      <family val="2"/>
      <charset val="162"/>
    </font>
    <font>
      <b/>
      <sz val="20"/>
      <color rgb="FFC00000"/>
      <name val="BankGothic Lt BT"/>
      <family val="2"/>
    </font>
    <font>
      <sz val="20"/>
      <color rgb="FFC00000"/>
      <name val="Calibri"/>
      <family val="2"/>
      <charset val="162"/>
      <scheme val="minor"/>
    </font>
    <font>
      <sz val="11"/>
      <color theme="3" tint="0.59999389629810485"/>
      <name val="Calibri"/>
      <family val="2"/>
      <charset val="162"/>
    </font>
    <font>
      <sz val="11"/>
      <color theme="4" tint="0.59999389629810485"/>
      <name val="Calibri"/>
      <family val="2"/>
      <charset val="162"/>
    </font>
    <font>
      <b/>
      <sz val="11"/>
      <color rgb="FF0070C0"/>
      <name val="Calibri"/>
      <family val="2"/>
      <charset val="162"/>
    </font>
    <font>
      <b/>
      <sz val="12"/>
      <color theme="0"/>
      <name val="Arial Tur"/>
      <charset val="162"/>
    </font>
    <font>
      <b/>
      <sz val="10"/>
      <color theme="0"/>
      <name val="Arial Tur"/>
      <charset val="162"/>
    </font>
    <font>
      <b/>
      <sz val="14"/>
      <color theme="0"/>
      <name val="Arial Tur"/>
      <charset val="162"/>
    </font>
    <font>
      <b/>
      <sz val="11"/>
      <color rgb="FF990000"/>
      <name val="Arial Tur"/>
      <charset val="162"/>
    </font>
    <font>
      <b/>
      <sz val="9"/>
      <color rgb="FF002060"/>
      <name val="Calibri"/>
      <family val="2"/>
      <charset val="162"/>
    </font>
    <font>
      <sz val="10"/>
      <color theme="1"/>
      <name val="Calibri"/>
      <family val="2"/>
      <charset val="162"/>
    </font>
    <font>
      <sz val="26"/>
      <color theme="1"/>
      <name val="Aptos"/>
      <family val="2"/>
    </font>
    <font>
      <sz val="48"/>
      <color theme="1"/>
      <name val="Book Antiqua"/>
      <family val="1"/>
      <charset val="162"/>
    </font>
    <font>
      <b/>
      <u/>
      <sz val="28"/>
      <color theme="1"/>
      <name val="Mistral"/>
      <family val="4"/>
      <charset val="162"/>
    </font>
    <font>
      <b/>
      <sz val="14"/>
      <color rgb="FF990000"/>
      <name val="Trebuchet MS"/>
      <family val="2"/>
      <charset val="162"/>
    </font>
    <font>
      <b/>
      <u/>
      <sz val="14"/>
      <color rgb="FF990000"/>
      <name val="Trebuchet MS"/>
      <family val="2"/>
      <charset val="162"/>
    </font>
    <font>
      <b/>
      <u/>
      <sz val="14"/>
      <color theme="1"/>
      <name val="Calibri"/>
      <family val="2"/>
      <charset val="162"/>
    </font>
    <font>
      <b/>
      <sz val="9"/>
      <color theme="7" tint="-0.499984740745262"/>
      <name val="Calibri"/>
      <family val="2"/>
      <charset val="162"/>
    </font>
    <font>
      <b/>
      <u/>
      <sz val="12"/>
      <color rgb="FF990000"/>
      <name val="Trebuchet MS"/>
      <family val="2"/>
      <charset val="162"/>
    </font>
    <font>
      <sz val="11"/>
      <color rgb="FF00B0F0"/>
      <name val="Calibri"/>
      <family val="2"/>
      <charset val="162"/>
    </font>
    <font>
      <b/>
      <sz val="9"/>
      <color rgb="FFC00000"/>
      <name val="Trebuchet MS"/>
      <family val="2"/>
      <charset val="162"/>
    </font>
    <font>
      <b/>
      <sz val="11"/>
      <color rgb="FF00B0F0"/>
      <name val="Calibri"/>
      <family val="2"/>
      <charset val="162"/>
    </font>
    <font>
      <sz val="10"/>
      <color rgb="FF00B0F0"/>
      <name val="Trebuchet MS"/>
      <family val="2"/>
      <charset val="162"/>
    </font>
    <font>
      <b/>
      <sz val="8"/>
      <color theme="1"/>
      <name val="Arial"/>
      <family val="2"/>
      <charset val="162"/>
    </font>
    <font>
      <sz val="10"/>
      <color rgb="FFFF0000"/>
      <name val="Arial"/>
      <family val="2"/>
      <charset val="162"/>
    </font>
    <font>
      <b/>
      <sz val="8"/>
      <color rgb="FFFF0000"/>
      <name val="Tahoma"/>
      <family val="2"/>
      <charset val="162"/>
    </font>
    <font>
      <b/>
      <sz val="20"/>
      <color indexed="8"/>
      <name val="Calibri"/>
      <family val="2"/>
      <charset val="162"/>
    </font>
    <font>
      <sz val="11"/>
      <color theme="6" tint="-0.249977111117893"/>
      <name val="Calibri"/>
      <family val="2"/>
      <charset val="162"/>
    </font>
    <font>
      <b/>
      <sz val="14"/>
      <color theme="3" tint="-0.499984740745262"/>
      <name val="Calibri"/>
      <family val="2"/>
      <charset val="162"/>
    </font>
    <font>
      <b/>
      <sz val="14"/>
      <color rgb="FFFF6600"/>
      <name val="Calibri"/>
      <family val="2"/>
      <charset val="162"/>
    </font>
    <font>
      <b/>
      <sz val="12"/>
      <color rgb="FF42D2AC"/>
      <name val="Calibri"/>
      <family val="2"/>
      <charset val="162"/>
    </font>
    <font>
      <b/>
      <sz val="14"/>
      <color rgb="FFC00000"/>
      <name val="Calibri"/>
      <family val="2"/>
      <charset val="162"/>
    </font>
    <font>
      <sz val="11"/>
      <color theme="8" tint="0.39997558519241921"/>
      <name val="Calibri"/>
      <family val="2"/>
      <charset val="162"/>
    </font>
    <font>
      <b/>
      <sz val="11"/>
      <color theme="8" tint="0.39997558519241921"/>
      <name val="Calibri"/>
      <family val="2"/>
      <charset val="162"/>
    </font>
    <font>
      <sz val="11"/>
      <color rgb="FFC00000"/>
      <name val="Calibri"/>
      <family val="2"/>
      <charset val="162"/>
    </font>
    <font>
      <b/>
      <u/>
      <sz val="48"/>
      <color rgb="FFC00000"/>
      <name val="Mistral"/>
      <family val="4"/>
      <charset val="162"/>
    </font>
    <font>
      <b/>
      <sz val="30"/>
      <name val="Mistral"/>
      <family val="4"/>
      <charset val="162"/>
    </font>
    <font>
      <b/>
      <sz val="30"/>
      <color theme="4" tint="-0.249977111117893"/>
      <name val="Mistral"/>
      <family val="4"/>
      <charset val="162"/>
    </font>
    <font>
      <b/>
      <sz val="14"/>
      <color rgb="FF002060"/>
      <name val="Tahoma"/>
      <family val="2"/>
      <charset val="162"/>
    </font>
    <font>
      <sz val="14"/>
      <name val="Tahoma"/>
      <family val="2"/>
      <charset val="162"/>
    </font>
    <font>
      <sz val="11"/>
      <color theme="2" tint="-9.9978637043366805E-2"/>
      <name val="Calibri"/>
      <family val="2"/>
      <charset val="162"/>
    </font>
    <font>
      <sz val="11"/>
      <color theme="2" tint="-0.249977111117893"/>
      <name val="Calibri"/>
      <family val="2"/>
      <charset val="162"/>
    </font>
    <font>
      <b/>
      <sz val="14"/>
      <color rgb="FFFF0000"/>
      <name val="Bahnschrift SemiBold"/>
      <family val="2"/>
      <charset val="162"/>
    </font>
    <font>
      <b/>
      <sz val="14"/>
      <color rgb="FFC00000"/>
      <name val="Bahnschrift SemiBold"/>
      <family val="2"/>
      <charset val="162"/>
    </font>
    <font>
      <b/>
      <sz val="18"/>
      <color rgb="FFFF0000"/>
      <name val="Bahnschrift SemiBold"/>
      <family val="2"/>
      <charset val="162"/>
    </font>
    <font>
      <b/>
      <i/>
      <u/>
      <sz val="14"/>
      <color rgb="FFC00000"/>
      <name val="Calibri"/>
      <family val="2"/>
      <charset val="162"/>
    </font>
    <font>
      <b/>
      <sz val="16"/>
      <color theme="1"/>
      <name val="Calibri"/>
      <family val="2"/>
      <charset val="162"/>
    </font>
    <font>
      <b/>
      <u/>
      <sz val="36"/>
      <color rgb="FF002060"/>
      <name val="Mistral"/>
      <family val="4"/>
      <charset val="162"/>
    </font>
    <font>
      <b/>
      <sz val="22"/>
      <color rgb="FFC00000"/>
      <name val="Times New Roman"/>
      <family val="1"/>
      <charset val="162"/>
    </font>
    <font>
      <u/>
      <sz val="36"/>
      <color rgb="FF92D050"/>
      <name val="Mistral"/>
      <family val="4"/>
      <charset val="162"/>
    </font>
    <font>
      <sz val="11"/>
      <color rgb="FF92D050"/>
      <name val="Calibri"/>
      <family val="2"/>
      <charset val="162"/>
    </font>
    <font>
      <b/>
      <sz val="36"/>
      <name val="Mistral"/>
      <family val="4"/>
      <charset val="162"/>
    </font>
    <font>
      <sz val="22"/>
      <name val="Mistral"/>
      <family val="4"/>
      <charset val="162"/>
    </font>
    <font>
      <b/>
      <u/>
      <sz val="28"/>
      <color rgb="FF000000"/>
      <name val="Mistral"/>
      <family val="4"/>
      <charset val="162"/>
    </font>
    <font>
      <b/>
      <sz val="36"/>
      <color indexed="8"/>
      <name val="Mistral"/>
      <family val="4"/>
      <charset val="162"/>
    </font>
    <font>
      <b/>
      <sz val="26"/>
      <color theme="8" tint="-0.249977111117893"/>
      <name val="Mistral"/>
      <family val="4"/>
      <charset val="162"/>
    </font>
    <font>
      <b/>
      <sz val="11"/>
      <color rgb="FF002060"/>
      <name val="Calibri"/>
      <family val="2"/>
      <charset val="162"/>
      <scheme val="minor"/>
    </font>
    <font>
      <b/>
      <i/>
      <sz val="10"/>
      <color rgb="FFFF0000"/>
      <name val="Arial Tur"/>
      <charset val="162"/>
    </font>
    <font>
      <b/>
      <i/>
      <sz val="12"/>
      <name val="Arial Tur"/>
      <charset val="162"/>
    </font>
    <font>
      <b/>
      <sz val="10"/>
      <color theme="1"/>
      <name val="Arial Tur"/>
      <charset val="162"/>
    </font>
    <font>
      <i/>
      <sz val="12"/>
      <name val="Arial Tur"/>
      <charset val="162"/>
    </font>
    <font>
      <b/>
      <sz val="10"/>
      <color rgb="FFC00000"/>
      <name val="Arial Tur"/>
      <charset val="162"/>
    </font>
    <font>
      <b/>
      <sz val="12"/>
      <color rgb="FFC00000"/>
      <name val="Arial Tur"/>
      <charset val="162"/>
    </font>
    <font>
      <b/>
      <sz val="12"/>
      <color theme="1"/>
      <name val="Arial Tur"/>
      <charset val="162"/>
    </font>
    <font>
      <b/>
      <sz val="12"/>
      <color rgb="FF99000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2"/>
      <color theme="1"/>
      <name val="Arial"/>
      <family val="2"/>
      <charset val="162"/>
    </font>
    <font>
      <sz val="12"/>
      <name val="Arial"/>
      <family val="2"/>
      <charset val="162"/>
    </font>
    <font>
      <sz val="12"/>
      <color theme="1"/>
      <name val="Arial"/>
      <family val="2"/>
      <charset val="162"/>
    </font>
    <font>
      <b/>
      <sz val="48"/>
      <name val="Mistral"/>
      <family val="4"/>
      <charset val="162"/>
    </font>
    <font>
      <sz val="16"/>
      <color theme="1"/>
      <name val="Arial"/>
      <family val="2"/>
      <charset val="162"/>
    </font>
    <font>
      <b/>
      <sz val="16"/>
      <name val="Calibri"/>
      <family val="2"/>
      <charset val="162"/>
      <scheme val="minor"/>
    </font>
    <font>
      <b/>
      <sz val="11"/>
      <color theme="1"/>
      <name val="Arial Tur"/>
      <charset val="162"/>
    </font>
    <font>
      <b/>
      <sz val="11"/>
      <color theme="2" tint="-9.9978637043366805E-2"/>
      <name val="Calibri"/>
      <family val="2"/>
      <charset val="162"/>
    </font>
    <font>
      <sz val="11"/>
      <color rgb="FF990000"/>
      <name val="Calibri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u/>
      <sz val="12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  <font>
      <b/>
      <u/>
      <sz val="48"/>
      <name val="Mistral"/>
      <family val="4"/>
      <charset val="162"/>
    </font>
    <font>
      <u/>
      <sz val="11"/>
      <name val="Calibri"/>
      <family val="2"/>
      <charset val="162"/>
    </font>
    <font>
      <b/>
      <sz val="11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</font>
    <font>
      <sz val="11"/>
      <color theme="0" tint="-4.9989318521683403E-2"/>
      <name val="Calibri"/>
      <family val="2"/>
      <charset val="162"/>
    </font>
    <font>
      <b/>
      <sz val="11"/>
      <color theme="0" tint="-4.9989318521683403E-2"/>
      <name val="Calibri"/>
      <family val="2"/>
      <charset val="162"/>
    </font>
    <font>
      <sz val="10"/>
      <color theme="1"/>
      <name val="Trebuchet MS"/>
      <family val="2"/>
      <charset val="162"/>
    </font>
    <font>
      <b/>
      <sz val="9"/>
      <color theme="3" tint="-0.499984740745262"/>
      <name val="Calibri"/>
      <family val="2"/>
      <charset val="162"/>
    </font>
    <font>
      <b/>
      <sz val="8"/>
      <color rgb="FFFF0000"/>
      <name val="Arial"/>
      <family val="2"/>
      <charset val="162"/>
    </font>
    <font>
      <sz val="11"/>
      <color theme="1" tint="0.14999847407452621"/>
      <name val="Calibri"/>
      <family val="2"/>
      <charset val="162"/>
    </font>
  </fonts>
  <fills count="80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5923B"/>
        <bgColor indexed="64"/>
      </patternFill>
    </fill>
    <fill>
      <patternFill patternType="solid">
        <fgColor rgb="FFE36B09"/>
        <bgColor indexed="64"/>
      </patternFill>
    </fill>
    <fill>
      <patternFill patternType="solid">
        <fgColor rgb="FF31859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58D32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42D2AC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rgb="FF0070C0"/>
      </right>
      <top style="thin">
        <color indexed="64"/>
      </top>
      <bottom/>
      <diagonal/>
    </border>
    <border>
      <left style="thin">
        <color indexed="64"/>
      </left>
      <right style="thin">
        <color rgb="FF0070C0"/>
      </right>
      <top/>
      <bottom/>
      <diagonal/>
    </border>
    <border>
      <left style="thin">
        <color indexed="64"/>
      </left>
      <right style="thin">
        <color rgb="FF0070C0"/>
      </right>
      <top/>
      <bottom style="dashed">
        <color indexed="64"/>
      </bottom>
      <diagonal/>
    </border>
    <border>
      <left style="thin">
        <color indexed="64"/>
      </left>
      <right style="thin">
        <color rgb="FF0070C0"/>
      </right>
      <top/>
      <bottom style="dotted">
        <color indexed="64"/>
      </bottom>
      <diagonal/>
    </border>
    <border>
      <left style="thin">
        <color indexed="64"/>
      </left>
      <right style="thin">
        <color rgb="FF0070C0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indexed="64"/>
      </right>
      <top style="medium">
        <color rgb="FFFF0000"/>
      </top>
      <bottom style="medium">
        <color rgb="FFFF000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thin">
        <color indexed="64"/>
      </right>
      <top style="medium">
        <color rgb="FFDDDDDD"/>
      </top>
      <bottom style="medium">
        <color rgb="FFDDDDDD"/>
      </bottom>
      <diagonal/>
    </border>
    <border>
      <left style="thin">
        <color indexed="64"/>
      </left>
      <right style="medium">
        <color rgb="FFDDDDDD"/>
      </right>
      <top style="medium">
        <color rgb="FFDDDDDD"/>
      </top>
      <bottom style="thin">
        <color indexed="64"/>
      </bottom>
      <diagonal/>
    </border>
    <border>
      <left style="medium">
        <color rgb="FFDDDDDD"/>
      </left>
      <right style="thin">
        <color indexed="64"/>
      </right>
      <top style="medium">
        <color rgb="FFDDDDDD"/>
      </top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4">
    <xf numFmtId="0" fontId="0" fillId="0" borderId="0">
      <alignment vertical="center"/>
    </xf>
    <xf numFmtId="0" fontId="25" fillId="0" borderId="0">
      <alignment vertical="top"/>
      <protection locked="0"/>
    </xf>
    <xf numFmtId="0" fontId="117" fillId="0" borderId="0"/>
    <xf numFmtId="0" fontId="64" fillId="0" borderId="0"/>
    <xf numFmtId="0" fontId="119" fillId="0" borderId="0"/>
    <xf numFmtId="0" fontId="117" fillId="0" borderId="0"/>
    <xf numFmtId="43" fontId="200" fillId="0" borderId="0" applyFont="0" applyFill="0" applyBorder="0" applyAlignment="0" applyProtection="0"/>
    <xf numFmtId="0" fontId="117" fillId="0" borderId="0"/>
    <xf numFmtId="0" fontId="117" fillId="0" borderId="0"/>
    <xf numFmtId="0" fontId="117" fillId="0" borderId="0"/>
    <xf numFmtId="173" fontId="236" fillId="0" borderId="0"/>
    <xf numFmtId="0" fontId="117" fillId="0" borderId="0"/>
    <xf numFmtId="0" fontId="10" fillId="0" borderId="0"/>
    <xf numFmtId="0" fontId="10" fillId="0" borderId="0"/>
  </cellStyleXfs>
  <cellXfs count="3730">
    <xf numFmtId="0" fontId="0" fillId="0" borderId="0" xfId="0">
      <alignment vertical="center"/>
    </xf>
    <xf numFmtId="3" fontId="1" fillId="2" borderId="0" xfId="0" applyNumberFormat="1" applyFont="1" applyFill="1">
      <alignment vertical="center"/>
    </xf>
    <xf numFmtId="3" fontId="1" fillId="0" borderId="0" xfId="0" applyNumberFormat="1" applyFont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12" fillId="9" borderId="1" xfId="0" applyFont="1" applyFill="1" applyBorder="1" applyAlignment="1"/>
    <xf numFmtId="0" fontId="12" fillId="9" borderId="3" xfId="0" applyFont="1" applyFill="1" applyBorder="1" applyAlignment="1"/>
    <xf numFmtId="3" fontId="4" fillId="8" borderId="0" xfId="0" applyNumberFormat="1" applyFont="1" applyFill="1">
      <alignment vertical="center"/>
    </xf>
    <xf numFmtId="0" fontId="12" fillId="8" borderId="0" xfId="0" applyFont="1" applyFill="1" applyAlignment="1"/>
    <xf numFmtId="0" fontId="12" fillId="9" borderId="29" xfId="0" applyFont="1" applyFill="1" applyBorder="1" applyAlignment="1"/>
    <xf numFmtId="0" fontId="12" fillId="5" borderId="2" xfId="0" applyFont="1" applyFill="1" applyBorder="1" applyAlignment="1">
      <alignment horizontal="right"/>
    </xf>
    <xf numFmtId="0" fontId="12" fillId="5" borderId="3" xfId="0" applyFont="1" applyFill="1" applyBorder="1" applyAlignment="1" applyProtection="1">
      <alignment horizontal="left"/>
      <protection locked="0"/>
    </xf>
    <xf numFmtId="0" fontId="14" fillId="8" borderId="0" xfId="0" applyFont="1" applyFill="1" applyAlignment="1"/>
    <xf numFmtId="0" fontId="12" fillId="8" borderId="0" xfId="0" applyFont="1" applyFill="1" applyAlignment="1">
      <alignment horizontal="left"/>
    </xf>
    <xf numFmtId="0" fontId="12" fillId="10" borderId="1" xfId="0" applyFont="1" applyFill="1" applyBorder="1" applyAlignment="1" applyProtection="1">
      <alignment horizontal="center"/>
      <protection locked="0"/>
    </xf>
    <xf numFmtId="165" fontId="12" fillId="11" borderId="1" xfId="0" applyNumberFormat="1" applyFont="1" applyFill="1" applyBorder="1" applyAlignment="1"/>
    <xf numFmtId="0" fontId="12" fillId="11" borderId="3" xfId="0" applyFont="1" applyFill="1" applyBorder="1" applyAlignment="1"/>
    <xf numFmtId="0" fontId="12" fillId="5" borderId="2" xfId="0" applyFont="1" applyFill="1" applyBorder="1" applyAlignment="1" applyProtection="1">
      <alignment horizontal="right"/>
      <protection locked="0"/>
    </xf>
    <xf numFmtId="165" fontId="12" fillId="11" borderId="26" xfId="0" applyNumberFormat="1" applyFont="1" applyFill="1" applyBorder="1" applyAlignment="1"/>
    <xf numFmtId="0" fontId="12" fillId="11" borderId="28" xfId="0" applyFont="1" applyFill="1" applyBorder="1" applyAlignment="1"/>
    <xf numFmtId="2" fontId="12" fillId="7" borderId="2" xfId="0" applyNumberFormat="1" applyFont="1" applyFill="1" applyBorder="1" applyAlignment="1"/>
    <xf numFmtId="0" fontId="12" fillId="7" borderId="2" xfId="0" applyFont="1" applyFill="1" applyBorder="1" applyAlignment="1"/>
    <xf numFmtId="0" fontId="12" fillId="7" borderId="3" xfId="0" applyFont="1" applyFill="1" applyBorder="1" applyAlignment="1"/>
    <xf numFmtId="2" fontId="12" fillId="8" borderId="0" xfId="0" applyNumberFormat="1" applyFont="1" applyFill="1" applyAlignment="1"/>
    <xf numFmtId="0" fontId="12" fillId="5" borderId="30" xfId="0" applyFont="1" applyFill="1" applyBorder="1" applyAlignment="1" applyProtection="1">
      <alignment horizontal="center"/>
      <protection locked="0"/>
    </xf>
    <xf numFmtId="0" fontId="12" fillId="5" borderId="2" xfId="0" applyFont="1" applyFill="1" applyBorder="1" applyAlignment="1" applyProtection="1">
      <protection locked="0"/>
    </xf>
    <xf numFmtId="0" fontId="12" fillId="5" borderId="3" xfId="0" applyFont="1" applyFill="1" applyBorder="1" applyAlignment="1"/>
    <xf numFmtId="3" fontId="15" fillId="8" borderId="0" xfId="0" applyNumberFormat="1" applyFont="1" applyFill="1">
      <alignment vertical="center"/>
    </xf>
    <xf numFmtId="0" fontId="16" fillId="8" borderId="0" xfId="0" applyFont="1" applyFill="1" applyAlignment="1"/>
    <xf numFmtId="0" fontId="12" fillId="12" borderId="0" xfId="0" applyFont="1" applyFill="1" applyAlignment="1"/>
    <xf numFmtId="0" fontId="12" fillId="13" borderId="0" xfId="0" applyFont="1" applyFill="1" applyAlignment="1"/>
    <xf numFmtId="0" fontId="17" fillId="8" borderId="0" xfId="0" applyFont="1" applyFill="1" applyAlignment="1"/>
    <xf numFmtId="1" fontId="12" fillId="8" borderId="0" xfId="0" applyNumberFormat="1" applyFont="1" applyFill="1" applyAlignment="1">
      <alignment horizontal="right"/>
    </xf>
    <xf numFmtId="0" fontId="18" fillId="8" borderId="0" xfId="0" applyFont="1" applyFill="1" applyAlignment="1"/>
    <xf numFmtId="2" fontId="19" fillId="7" borderId="2" xfId="0" applyNumberFormat="1" applyFont="1" applyFill="1" applyBorder="1" applyAlignment="1">
      <alignment horizontal="right"/>
    </xf>
    <xf numFmtId="0" fontId="19" fillId="7" borderId="3" xfId="0" applyFont="1" applyFill="1" applyBorder="1" applyAlignment="1">
      <alignment horizontal="left"/>
    </xf>
    <xf numFmtId="1" fontId="19" fillId="7" borderId="2" xfId="0" applyNumberFormat="1" applyFont="1" applyFill="1" applyBorder="1" applyAlignment="1">
      <alignment horizontal="right"/>
    </xf>
    <xf numFmtId="0" fontId="20" fillId="8" borderId="0" xfId="0" applyFont="1" applyFill="1" applyAlignment="1">
      <alignment horizontal="center"/>
    </xf>
    <xf numFmtId="3" fontId="1" fillId="8" borderId="0" xfId="0" applyNumberFormat="1" applyFont="1" applyFill="1" applyAlignment="1">
      <alignment horizontal="center" vertical="center"/>
    </xf>
    <xf numFmtId="3" fontId="1" fillId="8" borderId="0" xfId="0" applyNumberFormat="1" applyFont="1" applyFill="1">
      <alignment vertical="center"/>
    </xf>
    <xf numFmtId="0" fontId="21" fillId="8" borderId="0" xfId="0" applyFont="1" applyFill="1" applyAlignment="1"/>
    <xf numFmtId="3" fontId="10" fillId="8" borderId="0" xfId="0" applyNumberFormat="1" applyFont="1" applyFill="1" applyAlignment="1">
      <alignment horizontal="center" vertical="center"/>
    </xf>
    <xf numFmtId="0" fontId="12" fillId="9" borderId="4" xfId="0" applyFont="1" applyFill="1" applyBorder="1" applyAlignment="1"/>
    <xf numFmtId="1" fontId="12" fillId="5" borderId="32" xfId="0" applyNumberFormat="1" applyFont="1" applyFill="1" applyBorder="1" applyAlignment="1" applyProtection="1">
      <protection locked="0"/>
    </xf>
    <xf numFmtId="0" fontId="12" fillId="5" borderId="32" xfId="0" applyFont="1" applyFill="1" applyBorder="1" applyAlignment="1"/>
    <xf numFmtId="0" fontId="12" fillId="10" borderId="1" xfId="0" applyFont="1" applyFill="1" applyBorder="1" applyAlignment="1">
      <alignment horizontal="right"/>
    </xf>
    <xf numFmtId="0" fontId="12" fillId="10" borderId="3" xfId="0" applyFont="1" applyFill="1" applyBorder="1" applyAlignment="1" applyProtection="1">
      <alignment horizontal="left"/>
      <protection locked="0"/>
    </xf>
    <xf numFmtId="0" fontId="12" fillId="9" borderId="7" xfId="0" applyFont="1" applyFill="1" applyBorder="1" applyAlignment="1"/>
    <xf numFmtId="1" fontId="12" fillId="5" borderId="14" xfId="0" applyNumberFormat="1" applyFont="1" applyFill="1" applyBorder="1" applyAlignment="1" applyProtection="1">
      <protection locked="0"/>
    </xf>
    <xf numFmtId="0" fontId="12" fillId="5" borderId="33" xfId="0" applyFont="1" applyFill="1" applyBorder="1" applyAlignment="1"/>
    <xf numFmtId="0" fontId="12" fillId="9" borderId="10" xfId="0" applyFont="1" applyFill="1" applyBorder="1" applyAlignment="1"/>
    <xf numFmtId="1" fontId="12" fillId="5" borderId="34" xfId="0" applyNumberFormat="1" applyFont="1" applyFill="1" applyBorder="1" applyAlignment="1" applyProtection="1">
      <protection locked="0"/>
    </xf>
    <xf numFmtId="0" fontId="12" fillId="5" borderId="35" xfId="0" applyFont="1" applyFill="1" applyBorder="1" applyAlignment="1"/>
    <xf numFmtId="0" fontId="12" fillId="12" borderId="27" xfId="0" applyFont="1" applyFill="1" applyBorder="1" applyAlignment="1"/>
    <xf numFmtId="0" fontId="12" fillId="12" borderId="3" xfId="0" applyFont="1" applyFill="1" applyBorder="1" applyAlignment="1"/>
    <xf numFmtId="165" fontId="12" fillId="8" borderId="0" xfId="0" applyNumberFormat="1" applyFont="1" applyFill="1" applyAlignment="1"/>
    <xf numFmtId="165" fontId="19" fillId="7" borderId="2" xfId="0" applyNumberFormat="1" applyFont="1" applyFill="1" applyBorder="1" applyAlignment="1">
      <alignment horizontal="right"/>
    </xf>
    <xf numFmtId="0" fontId="12" fillId="7" borderId="0" xfId="0" applyFont="1" applyFill="1" applyAlignment="1"/>
    <xf numFmtId="0" fontId="12" fillId="9" borderId="2" xfId="0" applyFont="1" applyFill="1" applyBorder="1" applyAlignment="1"/>
    <xf numFmtId="0" fontId="12" fillId="8" borderId="22" xfId="0" applyFont="1" applyFill="1" applyBorder="1" applyAlignment="1"/>
    <xf numFmtId="0" fontId="12" fillId="8" borderId="23" xfId="0" applyFont="1" applyFill="1" applyBorder="1" applyAlignment="1"/>
    <xf numFmtId="165" fontId="12" fillId="5" borderId="1" xfId="0" applyNumberFormat="1" applyFont="1" applyFill="1" applyBorder="1" applyAlignment="1" applyProtection="1">
      <protection locked="0"/>
    </xf>
    <xf numFmtId="0" fontId="12" fillId="12" borderId="1" xfId="0" applyFont="1" applyFill="1" applyBorder="1" applyAlignment="1"/>
    <xf numFmtId="0" fontId="24" fillId="8" borderId="0" xfId="0" applyFont="1" applyFill="1" applyAlignment="1"/>
    <xf numFmtId="0" fontId="12" fillId="12" borderId="25" xfId="0" applyFont="1" applyFill="1" applyBorder="1" applyAlignment="1"/>
    <xf numFmtId="0" fontId="25" fillId="8" borderId="0" xfId="1" applyFill="1" applyAlignment="1" applyProtection="1"/>
    <xf numFmtId="0" fontId="12" fillId="13" borderId="1" xfId="0" applyFont="1" applyFill="1" applyBorder="1" applyAlignment="1"/>
    <xf numFmtId="0" fontId="12" fillId="13" borderId="3" xfId="0" applyFont="1" applyFill="1" applyBorder="1" applyAlignment="1"/>
    <xf numFmtId="0" fontId="24" fillId="0" borderId="0" xfId="0" applyFont="1" applyAlignment="1"/>
    <xf numFmtId="0" fontId="12" fillId="12" borderId="16" xfId="0" applyFont="1" applyFill="1" applyBorder="1" applyAlignment="1"/>
    <xf numFmtId="0" fontId="12" fillId="12" borderId="26" xfId="0" applyFont="1" applyFill="1" applyBorder="1" applyAlignment="1"/>
    <xf numFmtId="0" fontId="12" fillId="12" borderId="28" xfId="0" applyFont="1" applyFill="1" applyBorder="1" applyAlignment="1">
      <alignment horizontal="right"/>
    </xf>
    <xf numFmtId="1" fontId="12" fillId="14" borderId="1" xfId="0" applyNumberFormat="1" applyFont="1" applyFill="1" applyBorder="1" applyAlignment="1"/>
    <xf numFmtId="0" fontId="12" fillId="14" borderId="3" xfId="0" applyFont="1" applyFill="1" applyBorder="1" applyAlignment="1"/>
    <xf numFmtId="0" fontId="27" fillId="5" borderId="2" xfId="0" applyFont="1" applyFill="1" applyBorder="1" applyAlignment="1" applyProtection="1">
      <alignment horizontal="center"/>
      <protection locked="0"/>
    </xf>
    <xf numFmtId="0" fontId="27" fillId="5" borderId="3" xfId="0" applyFont="1" applyFill="1" applyBorder="1" applyAlignment="1"/>
    <xf numFmtId="0" fontId="28" fillId="15" borderId="0" xfId="0" applyFont="1" applyFill="1" applyAlignment="1"/>
    <xf numFmtId="0" fontId="26" fillId="15" borderId="0" xfId="0" applyFont="1" applyFill="1" applyAlignment="1">
      <alignment horizontal="center"/>
    </xf>
    <xf numFmtId="0" fontId="12" fillId="10" borderId="3" xfId="0" applyFont="1" applyFill="1" applyBorder="1" applyAlignment="1"/>
    <xf numFmtId="0" fontId="26" fillId="15" borderId="0" xfId="0" applyFont="1" applyFill="1" applyAlignment="1">
      <alignment horizontal="center" wrapText="1"/>
    </xf>
    <xf numFmtId="0" fontId="29" fillId="15" borderId="0" xfId="0" applyFont="1" applyFill="1" applyAlignment="1">
      <alignment horizontal="center" wrapText="1"/>
    </xf>
    <xf numFmtId="0" fontId="12" fillId="15" borderId="37" xfId="0" applyFont="1" applyFill="1" applyBorder="1" applyAlignment="1">
      <alignment horizontal="right"/>
    </xf>
    <xf numFmtId="0" fontId="12" fillId="10" borderId="3" xfId="0" applyFont="1" applyFill="1" applyBorder="1" applyAlignment="1" applyProtection="1">
      <alignment horizontal="center"/>
      <protection locked="0"/>
    </xf>
    <xf numFmtId="0" fontId="12" fillId="10" borderId="37" xfId="0" applyFont="1" applyFill="1" applyBorder="1" applyAlignment="1" applyProtection="1">
      <alignment horizontal="center"/>
      <protection locked="0"/>
    </xf>
    <xf numFmtId="0" fontId="12" fillId="16" borderId="1" xfId="0" applyFont="1" applyFill="1" applyBorder="1" applyAlignment="1">
      <alignment horizontal="right"/>
    </xf>
    <xf numFmtId="0" fontId="12" fillId="17" borderId="37" xfId="0" applyFont="1" applyFill="1" applyBorder="1" applyAlignment="1">
      <alignment horizontal="center"/>
    </xf>
    <xf numFmtId="1" fontId="12" fillId="17" borderId="1" xfId="0" applyNumberFormat="1" applyFont="1" applyFill="1" applyBorder="1" applyAlignment="1"/>
    <xf numFmtId="0" fontId="12" fillId="17" borderId="3" xfId="0" applyFont="1" applyFill="1" applyBorder="1" applyAlignment="1"/>
    <xf numFmtId="0" fontId="26" fillId="10" borderId="1" xfId="0" applyFont="1" applyFill="1" applyBorder="1" applyAlignment="1" applyProtection="1">
      <alignment horizontal="right"/>
      <protection locked="0"/>
    </xf>
    <xf numFmtId="0" fontId="26" fillId="10" borderId="3" xfId="0" applyFont="1" applyFill="1" applyBorder="1" applyAlignment="1"/>
    <xf numFmtId="0" fontId="12" fillId="15" borderId="0" xfId="0" applyFont="1" applyFill="1" applyAlignment="1">
      <alignment horizontal="right"/>
    </xf>
    <xf numFmtId="0" fontId="12" fillId="15" borderId="0" xfId="0" applyFont="1" applyFill="1" applyAlignment="1">
      <alignment horizontal="center"/>
    </xf>
    <xf numFmtId="0" fontId="12" fillId="15" borderId="0" xfId="0" applyFont="1" applyFill="1" applyAlignment="1"/>
    <xf numFmtId="165" fontId="12" fillId="15" borderId="0" xfId="0" applyNumberFormat="1" applyFont="1" applyFill="1" applyAlignment="1">
      <alignment horizontal="center"/>
    </xf>
    <xf numFmtId="1" fontId="12" fillId="15" borderId="0" xfId="0" applyNumberFormat="1" applyFont="1" applyFill="1" applyAlignment="1"/>
    <xf numFmtId="165" fontId="12" fillId="15" borderId="0" xfId="0" applyNumberFormat="1" applyFont="1" applyFill="1" applyAlignment="1"/>
    <xf numFmtId="0" fontId="12" fillId="15" borderId="23" xfId="0" applyFont="1" applyFill="1" applyBorder="1" applyAlignment="1"/>
    <xf numFmtId="0" fontId="12" fillId="15" borderId="24" xfId="0" applyFont="1" applyFill="1" applyBorder="1" applyAlignment="1"/>
    <xf numFmtId="0" fontId="26" fillId="15" borderId="25" xfId="0" applyFont="1" applyFill="1" applyBorder="1" applyAlignment="1">
      <alignment horizontal="center"/>
    </xf>
    <xf numFmtId="0" fontId="12" fillId="16" borderId="3" xfId="0" applyFont="1" applyFill="1" applyBorder="1" applyAlignment="1"/>
    <xf numFmtId="165" fontId="12" fillId="16" borderId="1" xfId="0" applyNumberFormat="1" applyFont="1" applyFill="1" applyBorder="1" applyAlignment="1"/>
    <xf numFmtId="0" fontId="12" fillId="15" borderId="16" xfId="0" applyFont="1" applyFill="1" applyBorder="1" applyAlignment="1"/>
    <xf numFmtId="0" fontId="12" fillId="15" borderId="25" xfId="0" applyFont="1" applyFill="1" applyBorder="1" applyAlignment="1"/>
    <xf numFmtId="0" fontId="12" fillId="15" borderId="26" xfId="0" applyFont="1" applyFill="1" applyBorder="1" applyAlignment="1"/>
    <xf numFmtId="0" fontId="12" fillId="15" borderId="27" xfId="0" applyFont="1" applyFill="1" applyBorder="1" applyAlignment="1"/>
    <xf numFmtId="0" fontId="12" fillId="15" borderId="28" xfId="0" applyFont="1" applyFill="1" applyBorder="1" applyAlignment="1"/>
    <xf numFmtId="0" fontId="12" fillId="2" borderId="0" xfId="0" applyFont="1" applyFill="1" applyAlignment="1"/>
    <xf numFmtId="0" fontId="12" fillId="5" borderId="1" xfId="0" applyFont="1" applyFill="1" applyBorder="1" applyAlignment="1" applyProtection="1">
      <protection locked="0"/>
    </xf>
    <xf numFmtId="0" fontId="26" fillId="2" borderId="0" xfId="0" applyFont="1" applyFill="1" applyAlignment="1">
      <alignment horizontal="center"/>
    </xf>
    <xf numFmtId="0" fontId="26" fillId="2" borderId="25" xfId="0" applyFont="1" applyFill="1" applyBorder="1" applyAlignment="1">
      <alignment horizontal="right"/>
    </xf>
    <xf numFmtId="1" fontId="12" fillId="5" borderId="1" xfId="0" applyNumberFormat="1" applyFont="1" applyFill="1" applyBorder="1" applyAlignment="1" applyProtection="1">
      <protection locked="0"/>
    </xf>
    <xf numFmtId="0" fontId="31" fillId="2" borderId="0" xfId="0" applyFont="1" applyFill="1" applyAlignment="1">
      <alignment horizontal="right"/>
    </xf>
    <xf numFmtId="0" fontId="12" fillId="5" borderId="37" xfId="0" applyFont="1" applyFill="1" applyBorder="1" applyAlignment="1" applyProtection="1">
      <alignment horizontal="center"/>
      <protection locked="0"/>
    </xf>
    <xf numFmtId="0" fontId="12" fillId="6" borderId="1" xfId="0" applyFont="1" applyFill="1" applyBorder="1" applyAlignment="1"/>
    <xf numFmtId="165" fontId="12" fillId="6" borderId="1" xfId="0" applyNumberFormat="1" applyFont="1" applyFill="1" applyBorder="1" applyAlignment="1"/>
    <xf numFmtId="0" fontId="12" fillId="6" borderId="3" xfId="0" applyFont="1" applyFill="1" applyBorder="1" applyAlignment="1"/>
    <xf numFmtId="0" fontId="12" fillId="2" borderId="26" xfId="0" applyFont="1" applyFill="1" applyBorder="1" applyAlignment="1"/>
    <xf numFmtId="0" fontId="12" fillId="2" borderId="27" xfId="0" applyFont="1" applyFill="1" applyBorder="1" applyAlignment="1">
      <alignment horizontal="right"/>
    </xf>
    <xf numFmtId="2" fontId="12" fillId="5" borderId="1" xfId="0" applyNumberFormat="1" applyFont="1" applyFill="1" applyBorder="1" applyAlignment="1" applyProtection="1">
      <protection locked="0"/>
    </xf>
    <xf numFmtId="0" fontId="12" fillId="2" borderId="23" xfId="0" applyFont="1" applyFill="1" applyBorder="1" applyAlignment="1"/>
    <xf numFmtId="0" fontId="12" fillId="2" borderId="24" xfId="0" applyFont="1" applyFill="1" applyBorder="1" applyAlignment="1"/>
    <xf numFmtId="0" fontId="12" fillId="2" borderId="0" xfId="0" applyFont="1" applyFill="1" applyAlignment="1">
      <alignment horizontal="right"/>
    </xf>
    <xf numFmtId="1" fontId="12" fillId="6" borderId="1" xfId="0" applyNumberFormat="1" applyFont="1" applyFill="1" applyBorder="1" applyAlignment="1"/>
    <xf numFmtId="2" fontId="12" fillId="6" borderId="1" xfId="0" applyNumberFormat="1" applyFont="1" applyFill="1" applyBorder="1" applyAlignment="1"/>
    <xf numFmtId="0" fontId="12" fillId="2" borderId="16" xfId="0" applyFont="1" applyFill="1" applyBorder="1" applyAlignment="1"/>
    <xf numFmtId="0" fontId="12" fillId="6" borderId="3" xfId="0" applyFont="1" applyFill="1" applyBorder="1" applyAlignment="1">
      <alignment horizontal="left"/>
    </xf>
    <xf numFmtId="0" fontId="12" fillId="2" borderId="27" xfId="0" applyFont="1" applyFill="1" applyBorder="1" applyAlignment="1"/>
    <xf numFmtId="0" fontId="12" fillId="2" borderId="28" xfId="0" applyFont="1" applyFill="1" applyBorder="1" applyAlignment="1"/>
    <xf numFmtId="3" fontId="1" fillId="19" borderId="0" xfId="0" applyNumberFormat="1" applyFont="1" applyFill="1" applyAlignment="1">
      <alignment horizontal="center" vertical="center"/>
    </xf>
    <xf numFmtId="3" fontId="1" fillId="19" borderId="0" xfId="0" applyNumberFormat="1" applyFont="1" applyFill="1">
      <alignment vertical="center"/>
    </xf>
    <xf numFmtId="0" fontId="12" fillId="19" borderId="0" xfId="0" applyFont="1" applyFill="1" applyAlignment="1"/>
    <xf numFmtId="0" fontId="26" fillId="19" borderId="0" xfId="0" applyFont="1" applyFill="1" applyAlignment="1">
      <alignment horizontal="center"/>
    </xf>
    <xf numFmtId="0" fontId="26" fillId="19" borderId="0" xfId="0" applyFont="1" applyFill="1" applyAlignment="1">
      <alignment horizontal="right"/>
    </xf>
    <xf numFmtId="0" fontId="12" fillId="19" borderId="0" xfId="0" applyFont="1" applyFill="1" applyAlignment="1">
      <alignment horizontal="center"/>
    </xf>
    <xf numFmtId="0" fontId="31" fillId="19" borderId="0" xfId="0" applyFont="1" applyFill="1" applyAlignment="1">
      <alignment horizontal="right"/>
    </xf>
    <xf numFmtId="2" fontId="12" fillId="19" borderId="0" xfId="0" applyNumberFormat="1" applyFont="1" applyFill="1" applyAlignment="1"/>
    <xf numFmtId="0" fontId="12" fillId="19" borderId="22" xfId="0" applyFont="1" applyFill="1" applyBorder="1" applyAlignment="1"/>
    <xf numFmtId="0" fontId="33" fillId="19" borderId="23" xfId="0" applyFont="1" applyFill="1" applyBorder="1" applyAlignment="1"/>
    <xf numFmtId="0" fontId="12" fillId="19" borderId="23" xfId="0" applyFont="1" applyFill="1" applyBorder="1" applyAlignment="1"/>
    <xf numFmtId="0" fontId="12" fillId="19" borderId="24" xfId="0" applyFont="1" applyFill="1" applyBorder="1" applyAlignment="1"/>
    <xf numFmtId="0" fontId="12" fillId="19" borderId="25" xfId="0" applyFont="1" applyFill="1" applyBorder="1" applyAlignment="1"/>
    <xf numFmtId="0" fontId="12" fillId="10" borderId="23" xfId="0" applyFont="1" applyFill="1" applyBorder="1" applyAlignment="1" applyProtection="1">
      <alignment horizontal="center"/>
      <protection locked="0"/>
    </xf>
    <xf numFmtId="0" fontId="12" fillId="19" borderId="16" xfId="0" applyFont="1" applyFill="1" applyBorder="1" applyAlignment="1"/>
    <xf numFmtId="0" fontId="12" fillId="19" borderId="16" xfId="0" applyFont="1" applyFill="1" applyBorder="1" applyAlignment="1" applyProtection="1">
      <alignment horizontal="center"/>
      <protection locked="0"/>
    </xf>
    <xf numFmtId="0" fontId="12" fillId="19" borderId="26" xfId="0" applyFont="1" applyFill="1" applyBorder="1" applyAlignment="1"/>
    <xf numFmtId="165" fontId="12" fillId="19" borderId="27" xfId="0" applyNumberFormat="1" applyFont="1" applyFill="1" applyBorder="1" applyAlignment="1">
      <alignment horizontal="right"/>
    </xf>
    <xf numFmtId="0" fontId="35" fillId="16" borderId="27" xfId="0" applyFont="1" applyFill="1" applyBorder="1" applyAlignment="1"/>
    <xf numFmtId="0" fontId="12" fillId="19" borderId="27" xfId="0" applyFont="1" applyFill="1" applyBorder="1" applyAlignment="1"/>
    <xf numFmtId="0" fontId="12" fillId="19" borderId="28" xfId="0" applyFont="1" applyFill="1" applyBorder="1" applyAlignment="1"/>
    <xf numFmtId="1" fontId="12" fillId="19" borderId="0" xfId="0" applyNumberFormat="1" applyFont="1" applyFill="1" applyAlignment="1"/>
    <xf numFmtId="0" fontId="12" fillId="16" borderId="27" xfId="0" applyFont="1" applyFill="1" applyBorder="1" applyAlignment="1"/>
    <xf numFmtId="0" fontId="12" fillId="21" borderId="0" xfId="0" applyFont="1" applyFill="1" applyAlignment="1"/>
    <xf numFmtId="0" fontId="12" fillId="22" borderId="1" xfId="0" applyFont="1" applyFill="1" applyBorder="1" applyAlignment="1"/>
    <xf numFmtId="0" fontId="12" fillId="22" borderId="3" xfId="0" applyFont="1" applyFill="1" applyBorder="1" applyAlignment="1"/>
    <xf numFmtId="0" fontId="13" fillId="21" borderId="0" xfId="0" applyFont="1" applyFill="1" applyAlignment="1">
      <alignment horizontal="center"/>
    </xf>
    <xf numFmtId="0" fontId="34" fillId="21" borderId="0" xfId="0" applyFont="1" applyFill="1" applyAlignment="1"/>
    <xf numFmtId="0" fontId="30" fillId="21" borderId="0" xfId="0" applyFont="1" applyFill="1" applyAlignment="1"/>
    <xf numFmtId="0" fontId="26" fillId="21" borderId="0" xfId="0" applyFont="1" applyFill="1" applyAlignment="1"/>
    <xf numFmtId="0" fontId="12" fillId="23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right"/>
    </xf>
    <xf numFmtId="0" fontId="36" fillId="5" borderId="2" xfId="0" applyFont="1" applyFill="1" applyBorder="1" applyAlignment="1" applyProtection="1">
      <alignment horizontal="right"/>
      <protection locked="0"/>
    </xf>
    <xf numFmtId="0" fontId="12" fillId="5" borderId="3" xfId="0" applyFont="1" applyFill="1" applyBorder="1" applyAlignment="1">
      <alignment horizontal="left"/>
    </xf>
    <xf numFmtId="0" fontId="12" fillId="21" borderId="0" xfId="0" applyFont="1" applyFill="1" applyAlignment="1">
      <alignment horizontal="left"/>
    </xf>
    <xf numFmtId="0" fontId="12" fillId="24" borderId="1" xfId="0" applyFont="1" applyFill="1" applyBorder="1" applyAlignment="1">
      <alignment horizontal="right"/>
    </xf>
    <xf numFmtId="0" fontId="12" fillId="24" borderId="3" xfId="0" applyFont="1" applyFill="1" applyBorder="1" applyAlignment="1"/>
    <xf numFmtId="0" fontId="12" fillId="21" borderId="0" xfId="0" applyFont="1" applyFill="1" applyAlignment="1">
      <alignment horizontal="right"/>
    </xf>
    <xf numFmtId="0" fontId="12" fillId="23" borderId="37" xfId="0" applyFont="1" applyFill="1" applyBorder="1" applyAlignment="1"/>
    <xf numFmtId="0" fontId="12" fillId="23" borderId="1" xfId="0" applyFont="1" applyFill="1" applyBorder="1" applyAlignment="1"/>
    <xf numFmtId="2" fontId="12" fillId="21" borderId="0" xfId="0" applyNumberFormat="1" applyFont="1" applyFill="1" applyAlignment="1"/>
    <xf numFmtId="1" fontId="12" fillId="21" borderId="0" xfId="0" applyNumberFormat="1" applyFont="1" applyFill="1" applyAlignment="1"/>
    <xf numFmtId="0" fontId="12" fillId="21" borderId="0" xfId="0" applyFont="1" applyFill="1" applyAlignment="1">
      <alignment horizontal="center"/>
    </xf>
    <xf numFmtId="0" fontId="12" fillId="22" borderId="1" xfId="0" applyFont="1" applyFill="1" applyBorder="1" applyAlignment="1">
      <alignment horizontal="right"/>
    </xf>
    <xf numFmtId="3" fontId="1" fillId="21" borderId="0" xfId="0" applyNumberFormat="1" applyFont="1" applyFill="1" applyAlignment="1">
      <alignment horizontal="center" vertical="center"/>
    </xf>
    <xf numFmtId="3" fontId="1" fillId="21" borderId="0" xfId="0" applyNumberFormat="1" applyFont="1" applyFill="1">
      <alignment vertical="center"/>
    </xf>
    <xf numFmtId="3" fontId="10" fillId="21" borderId="0" xfId="0" applyNumberFormat="1" applyFont="1" applyFill="1" applyAlignment="1">
      <alignment horizontal="center" vertical="center"/>
    </xf>
    <xf numFmtId="1" fontId="12" fillId="5" borderId="1" xfId="0" applyNumberFormat="1" applyFont="1" applyFill="1" applyBorder="1" applyAlignment="1"/>
    <xf numFmtId="0" fontId="36" fillId="5" borderId="2" xfId="0" applyFont="1" applyFill="1" applyBorder="1" applyAlignment="1" applyProtection="1">
      <protection locked="0"/>
    </xf>
    <xf numFmtId="0" fontId="12" fillId="5" borderId="3" xfId="0" applyFont="1" applyFill="1" applyBorder="1" applyAlignment="1">
      <alignment horizontal="center"/>
    </xf>
    <xf numFmtId="0" fontId="12" fillId="24" borderId="1" xfId="0" applyFont="1" applyFill="1" applyBorder="1" applyAlignment="1"/>
    <xf numFmtId="164" fontId="1" fillId="24" borderId="26" xfId="0" applyNumberFormat="1" applyFont="1" applyFill="1" applyBorder="1">
      <alignment vertical="center"/>
    </xf>
    <xf numFmtId="3" fontId="1" fillId="24" borderId="28" xfId="0" applyNumberFormat="1" applyFont="1" applyFill="1" applyBorder="1">
      <alignment vertical="center"/>
    </xf>
    <xf numFmtId="0" fontId="18" fillId="21" borderId="0" xfId="0" applyFont="1" applyFill="1" applyAlignment="1"/>
    <xf numFmtId="0" fontId="12" fillId="2" borderId="22" xfId="0" applyFont="1" applyFill="1" applyBorder="1" applyAlignment="1"/>
    <xf numFmtId="0" fontId="12" fillId="2" borderId="25" xfId="0" applyFont="1" applyFill="1" applyBorder="1" applyAlignment="1"/>
    <xf numFmtId="3" fontId="10" fillId="2" borderId="0" xfId="0" applyNumberFormat="1" applyFont="1" applyFill="1" applyAlignment="1">
      <alignment horizontal="center" vertical="center"/>
    </xf>
    <xf numFmtId="0" fontId="12" fillId="19" borderId="0" xfId="0" applyFont="1" applyFill="1" applyAlignment="1">
      <alignment horizontal="right"/>
    </xf>
    <xf numFmtId="0" fontId="12" fillId="25" borderId="0" xfId="0" applyFont="1" applyFill="1" applyAlignment="1"/>
    <xf numFmtId="0" fontId="12" fillId="25" borderId="16" xfId="0" applyFont="1" applyFill="1" applyBorder="1" applyAlignment="1"/>
    <xf numFmtId="0" fontId="45" fillId="10" borderId="1" xfId="0" applyFont="1" applyFill="1" applyBorder="1" applyAlignment="1" applyProtection="1">
      <alignment horizontal="right"/>
      <protection locked="0"/>
    </xf>
    <xf numFmtId="0" fontId="47" fillId="15" borderId="0" xfId="0" applyFont="1" applyFill="1" applyAlignment="1"/>
    <xf numFmtId="0" fontId="48" fillId="15" borderId="0" xfId="0" applyFont="1" applyFill="1" applyAlignment="1"/>
    <xf numFmtId="1" fontId="12" fillId="26" borderId="1" xfId="0" applyNumberFormat="1" applyFont="1" applyFill="1" applyBorder="1" applyAlignment="1"/>
    <xf numFmtId="0" fontId="12" fillId="26" borderId="3" xfId="0" applyFont="1" applyFill="1" applyBorder="1" applyAlignment="1"/>
    <xf numFmtId="0" fontId="12" fillId="25" borderId="37" xfId="0" applyFont="1" applyFill="1" applyBorder="1" applyAlignment="1">
      <alignment horizontal="right"/>
    </xf>
    <xf numFmtId="0" fontId="60" fillId="10" borderId="15" xfId="0" applyFont="1" applyFill="1" applyBorder="1" applyAlignment="1">
      <alignment horizontal="left" vertical="center"/>
    </xf>
    <xf numFmtId="0" fontId="35" fillId="10" borderId="15" xfId="0" applyFont="1" applyFill="1" applyBorder="1" applyAlignment="1">
      <alignment horizontal="left" vertical="center"/>
    </xf>
    <xf numFmtId="0" fontId="49" fillId="10" borderId="38" xfId="0" applyFont="1" applyFill="1" applyBorder="1" applyAlignment="1"/>
    <xf numFmtId="0" fontId="57" fillId="10" borderId="40" xfId="0" applyFont="1" applyFill="1" applyBorder="1" applyAlignment="1"/>
    <xf numFmtId="0" fontId="49" fillId="10" borderId="21" xfId="0" applyFont="1" applyFill="1" applyBorder="1" applyAlignment="1"/>
    <xf numFmtId="0" fontId="49" fillId="10" borderId="19" xfId="0" applyFont="1" applyFill="1" applyBorder="1" applyAlignment="1" applyProtection="1">
      <protection locked="0"/>
    </xf>
    <xf numFmtId="3" fontId="56" fillId="10" borderId="13" xfId="0" applyNumberFormat="1" applyFont="1" applyFill="1" applyBorder="1" applyAlignment="1" applyProtection="1">
      <alignment horizontal="right"/>
      <protection locked="0"/>
    </xf>
    <xf numFmtId="3" fontId="58" fillId="10" borderId="13" xfId="0" applyNumberFormat="1" applyFont="1" applyFill="1" applyBorder="1" applyAlignment="1" applyProtection="1">
      <alignment horizontal="right"/>
      <protection locked="0"/>
    </xf>
    <xf numFmtId="0" fontId="0" fillId="29" borderId="0" xfId="0" applyFill="1">
      <alignment vertical="center"/>
    </xf>
    <xf numFmtId="0" fontId="0" fillId="29" borderId="8" xfId="0" applyFill="1" applyBorder="1" applyAlignment="1"/>
    <xf numFmtId="165" fontId="0" fillId="29" borderId="8" xfId="0" applyNumberFormat="1" applyFill="1" applyBorder="1" applyAlignment="1">
      <alignment horizontal="center"/>
    </xf>
    <xf numFmtId="0" fontId="0" fillId="29" borderId="8" xfId="0" applyFill="1" applyBorder="1" applyAlignment="1">
      <alignment horizontal="center"/>
    </xf>
    <xf numFmtId="16" fontId="0" fillId="29" borderId="8" xfId="0" quotePrefix="1" applyNumberFormat="1" applyFill="1" applyBorder="1" applyAlignment="1">
      <alignment horizontal="center"/>
    </xf>
    <xf numFmtId="165" fontId="0" fillId="29" borderId="41" xfId="0" applyNumberFormat="1" applyFill="1" applyBorder="1" applyAlignment="1">
      <alignment horizontal="center"/>
    </xf>
    <xf numFmtId="165" fontId="0" fillId="29" borderId="42" xfId="0" applyNumberFormat="1" applyFill="1" applyBorder="1" applyAlignment="1">
      <alignment horizontal="center"/>
    </xf>
    <xf numFmtId="16" fontId="0" fillId="29" borderId="8" xfId="0" applyNumberFormat="1" applyFill="1" applyBorder="1" applyAlignment="1">
      <alignment horizontal="center"/>
    </xf>
    <xf numFmtId="0" fontId="0" fillId="29" borderId="42" xfId="0" applyFill="1" applyBorder="1" applyAlignment="1"/>
    <xf numFmtId="0" fontId="0" fillId="29" borderId="42" xfId="0" applyFill="1" applyBorder="1" applyAlignment="1">
      <alignment horizontal="center"/>
    </xf>
    <xf numFmtId="0" fontId="0" fillId="29" borderId="46" xfId="0" applyFill="1" applyBorder="1" applyAlignment="1"/>
    <xf numFmtId="0" fontId="0" fillId="29" borderId="51" xfId="0" applyFill="1" applyBorder="1" applyAlignment="1">
      <alignment horizontal="center"/>
    </xf>
    <xf numFmtId="0" fontId="0" fillId="29" borderId="7" xfId="0" applyFill="1" applyBorder="1" applyAlignment="1"/>
    <xf numFmtId="0" fontId="0" fillId="29" borderId="9" xfId="0" applyFill="1" applyBorder="1" applyAlignment="1">
      <alignment horizontal="center"/>
    </xf>
    <xf numFmtId="12" fontId="0" fillId="29" borderId="9" xfId="0" applyNumberFormat="1" applyFill="1" applyBorder="1" applyAlignment="1">
      <alignment horizontal="center"/>
    </xf>
    <xf numFmtId="0" fontId="0" fillId="29" borderId="10" xfId="0" applyFill="1" applyBorder="1" applyAlignment="1"/>
    <xf numFmtId="0" fontId="0" fillId="29" borderId="11" xfId="0" applyFill="1" applyBorder="1" applyAlignment="1">
      <alignment horizontal="center"/>
    </xf>
    <xf numFmtId="0" fontId="0" fillId="29" borderId="11" xfId="0" applyFill="1" applyBorder="1" applyAlignment="1"/>
    <xf numFmtId="0" fontId="0" fillId="29" borderId="12" xfId="0" applyFill="1" applyBorder="1" applyAlignment="1">
      <alignment horizontal="center"/>
    </xf>
    <xf numFmtId="0" fontId="61" fillId="29" borderId="52" xfId="0" applyFont="1" applyFill="1" applyBorder="1" applyAlignment="1">
      <alignment horizontal="center" vertical="center"/>
    </xf>
    <xf numFmtId="0" fontId="61" fillId="29" borderId="52" xfId="0" applyFont="1" applyFill="1" applyBorder="1" applyAlignment="1">
      <alignment horizontal="center" vertical="center" wrapText="1"/>
    </xf>
    <xf numFmtId="0" fontId="61" fillId="29" borderId="18" xfId="0" applyFont="1" applyFill="1" applyBorder="1" applyAlignment="1">
      <alignment horizontal="center" vertical="center" wrapText="1"/>
    </xf>
    <xf numFmtId="0" fontId="64" fillId="29" borderId="37" xfId="0" applyFont="1" applyFill="1" applyBorder="1" applyAlignment="1">
      <alignment horizontal="center" vertical="center" wrapText="1"/>
    </xf>
    <xf numFmtId="0" fontId="61" fillId="29" borderId="46" xfId="0" applyFont="1" applyFill="1" applyBorder="1" applyAlignment="1">
      <alignment horizontal="center" vertical="center"/>
    </xf>
    <xf numFmtId="0" fontId="0" fillId="10" borderId="42" xfId="0" applyFill="1" applyBorder="1" applyAlignment="1" applyProtection="1">
      <alignment horizontal="center"/>
      <protection locked="0"/>
    </xf>
    <xf numFmtId="0" fontId="0" fillId="10" borderId="8" xfId="0" applyFill="1" applyBorder="1" applyAlignment="1" applyProtection="1">
      <alignment horizontal="center"/>
      <protection locked="0"/>
    </xf>
    <xf numFmtId="165" fontId="0" fillId="20" borderId="49" xfId="0" applyNumberFormat="1" applyFill="1" applyBorder="1" applyAlignment="1">
      <alignment horizontal="center"/>
    </xf>
    <xf numFmtId="165" fontId="0" fillId="31" borderId="49" xfId="0" applyNumberFormat="1" applyFill="1" applyBorder="1" applyAlignment="1">
      <alignment horizontal="center"/>
    </xf>
    <xf numFmtId="165" fontId="0" fillId="28" borderId="49" xfId="0" applyNumberFormat="1" applyFill="1" applyBorder="1" applyAlignment="1">
      <alignment horizontal="center"/>
    </xf>
    <xf numFmtId="0" fontId="0" fillId="27" borderId="0" xfId="0" applyFill="1" applyAlignment="1"/>
    <xf numFmtId="0" fontId="0" fillId="32" borderId="0" xfId="0" applyFill="1" applyAlignment="1"/>
    <xf numFmtId="0" fontId="65" fillId="10" borderId="32" xfId="0" applyFont="1" applyFill="1" applyBorder="1" applyAlignment="1" applyProtection="1">
      <protection locked="0"/>
    </xf>
    <xf numFmtId="0" fontId="65" fillId="10" borderId="55" xfId="0" applyFont="1" applyFill="1" applyBorder="1" applyAlignment="1"/>
    <xf numFmtId="0" fontId="65" fillId="10" borderId="14" xfId="0" applyFont="1" applyFill="1" applyBorder="1" applyAlignment="1" applyProtection="1">
      <protection locked="0"/>
    </xf>
    <xf numFmtId="0" fontId="65" fillId="10" borderId="33" xfId="0" applyFont="1" applyFill="1" applyBorder="1" applyAlignment="1"/>
    <xf numFmtId="0" fontId="65" fillId="32" borderId="33" xfId="0" applyFont="1" applyFill="1" applyBorder="1" applyAlignment="1"/>
    <xf numFmtId="0" fontId="67" fillId="32" borderId="33" xfId="0" applyFont="1" applyFill="1" applyBorder="1" applyAlignment="1"/>
    <xf numFmtId="0" fontId="68" fillId="27" borderId="0" xfId="0" applyFont="1" applyFill="1" applyAlignment="1">
      <alignment horizontal="left" readingOrder="1"/>
    </xf>
    <xf numFmtId="0" fontId="65" fillId="33" borderId="33" xfId="0" applyFont="1" applyFill="1" applyBorder="1" applyAlignment="1"/>
    <xf numFmtId="0" fontId="69" fillId="27" borderId="0" xfId="0" applyFont="1" applyFill="1" applyAlignment="1">
      <alignment horizontal="left" readingOrder="1"/>
    </xf>
    <xf numFmtId="0" fontId="70" fillId="27" borderId="0" xfId="0" applyFont="1" applyFill="1" applyAlignment="1">
      <alignment horizontal="left" readingOrder="1"/>
    </xf>
    <xf numFmtId="0" fontId="65" fillId="32" borderId="35" xfId="0" applyFont="1" applyFill="1" applyBorder="1" applyAlignment="1"/>
    <xf numFmtId="0" fontId="0" fillId="0" borderId="0" xfId="0" applyAlignment="1"/>
    <xf numFmtId="0" fontId="0" fillId="34" borderId="0" xfId="0" applyFill="1" applyAlignment="1"/>
    <xf numFmtId="0" fontId="0" fillId="3" borderId="0" xfId="0" applyFill="1" applyAlignment="1"/>
    <xf numFmtId="0" fontId="0" fillId="7" borderId="0" xfId="0" applyFill="1" applyAlignment="1"/>
    <xf numFmtId="0" fontId="77" fillId="5" borderId="0" xfId="0" applyFont="1" applyFill="1" applyAlignment="1" applyProtection="1">
      <protection locked="0"/>
    </xf>
    <xf numFmtId="0" fontId="76" fillId="7" borderId="0" xfId="0" applyFont="1" applyFill="1" applyAlignment="1" applyProtection="1">
      <protection locked="0"/>
    </xf>
    <xf numFmtId="0" fontId="0" fillId="7" borderId="0" xfId="0" applyFill="1" applyAlignment="1" applyProtection="1">
      <protection locked="0"/>
    </xf>
    <xf numFmtId="0" fontId="80" fillId="5" borderId="0" xfId="0" applyFont="1" applyFill="1" applyAlignment="1" applyProtection="1">
      <protection locked="0"/>
    </xf>
    <xf numFmtId="0" fontId="0" fillId="5" borderId="0" xfId="0" applyFill="1" applyAlignment="1" applyProtection="1">
      <protection locked="0"/>
    </xf>
    <xf numFmtId="0" fontId="0" fillId="32" borderId="0" xfId="0" applyFill="1">
      <alignment vertical="center"/>
    </xf>
    <xf numFmtId="0" fontId="0" fillId="32" borderId="0" xfId="0" applyFill="1" applyAlignment="1">
      <alignment horizontal="right"/>
    </xf>
    <xf numFmtId="0" fontId="0" fillId="32" borderId="20" xfId="0" applyFill="1" applyBorder="1" applyAlignment="1"/>
    <xf numFmtId="1" fontId="0" fillId="32" borderId="0" xfId="0" applyNumberFormat="1" applyFill="1" applyAlignment="1">
      <alignment horizontal="center"/>
    </xf>
    <xf numFmtId="1" fontId="0" fillId="32" borderId="20" xfId="0" applyNumberFormat="1" applyFill="1" applyBorder="1" applyAlignment="1">
      <alignment horizontal="left"/>
    </xf>
    <xf numFmtId="1" fontId="0" fillId="32" borderId="0" xfId="0" applyNumberFormat="1" applyFill="1" applyAlignment="1"/>
    <xf numFmtId="1" fontId="0" fillId="32" borderId="0" xfId="0" applyNumberFormat="1" applyFill="1" applyAlignment="1">
      <alignment horizontal="left"/>
    </xf>
    <xf numFmtId="0" fontId="59" fillId="32" borderId="0" xfId="0" applyFont="1" applyFill="1" applyAlignment="1"/>
    <xf numFmtId="0" fontId="59" fillId="32" borderId="0" xfId="0" applyFont="1" applyFill="1" applyAlignment="1">
      <alignment horizontal="right"/>
    </xf>
    <xf numFmtId="1" fontId="0" fillId="32" borderId="0" xfId="0" applyNumberFormat="1" applyFill="1" applyAlignment="1">
      <alignment horizontal="right"/>
    </xf>
    <xf numFmtId="1" fontId="90" fillId="32" borderId="0" xfId="0" applyNumberFormat="1" applyFont="1" applyFill="1" applyAlignment="1">
      <alignment horizontal="right"/>
    </xf>
    <xf numFmtId="1" fontId="86" fillId="35" borderId="0" xfId="0" applyNumberFormat="1" applyFont="1" applyFill="1" applyAlignment="1">
      <alignment horizontal="center"/>
    </xf>
    <xf numFmtId="0" fontId="86" fillId="36" borderId="0" xfId="0" applyFont="1" applyFill="1" applyAlignment="1">
      <alignment horizontal="right"/>
    </xf>
    <xf numFmtId="0" fontId="0" fillId="36" borderId="0" xfId="0" applyFill="1" applyAlignment="1"/>
    <xf numFmtId="0" fontId="87" fillId="36" borderId="0" xfId="0" applyFont="1" applyFill="1" applyAlignment="1"/>
    <xf numFmtId="0" fontId="0" fillId="36" borderId="0" xfId="0" applyFill="1" applyAlignment="1">
      <alignment horizontal="center"/>
    </xf>
    <xf numFmtId="2" fontId="0" fillId="36" borderId="0" xfId="0" applyNumberFormat="1" applyFill="1" applyAlignment="1">
      <alignment horizontal="center"/>
    </xf>
    <xf numFmtId="1" fontId="0" fillId="36" borderId="0" xfId="0" applyNumberFormat="1" applyFill="1" applyAlignment="1">
      <alignment horizontal="center"/>
    </xf>
    <xf numFmtId="0" fontId="59" fillId="36" borderId="0" xfId="0" applyFont="1" applyFill="1" applyAlignment="1"/>
    <xf numFmtId="0" fontId="59" fillId="36" borderId="0" xfId="0" applyFont="1" applyFill="1" applyAlignment="1">
      <alignment horizontal="right"/>
    </xf>
    <xf numFmtId="0" fontId="0" fillId="10" borderId="37" xfId="0" applyFill="1" applyBorder="1" applyAlignment="1" applyProtection="1">
      <alignment horizontal="center"/>
      <protection locked="0"/>
    </xf>
    <xf numFmtId="0" fontId="0" fillId="38" borderId="0" xfId="0" applyFill="1">
      <alignment vertical="center"/>
    </xf>
    <xf numFmtId="0" fontId="91" fillId="38" borderId="0" xfId="0" applyFont="1" applyFill="1">
      <alignment vertical="center"/>
    </xf>
    <xf numFmtId="0" fontId="59" fillId="38" borderId="0" xfId="0" applyFont="1" applyFill="1">
      <alignment vertical="center"/>
    </xf>
    <xf numFmtId="0" fontId="95" fillId="38" borderId="0" xfId="0" applyFont="1" applyFill="1">
      <alignment vertical="center"/>
    </xf>
    <xf numFmtId="0" fontId="94" fillId="38" borderId="0" xfId="0" applyFont="1" applyFill="1">
      <alignment vertical="center"/>
    </xf>
    <xf numFmtId="0" fontId="60" fillId="38" borderId="0" xfId="0" applyFont="1" applyFill="1">
      <alignment vertical="center"/>
    </xf>
    <xf numFmtId="0" fontId="93" fillId="38" borderId="0" xfId="0" applyFont="1" applyFill="1">
      <alignment vertical="center"/>
    </xf>
    <xf numFmtId="0" fontId="96" fillId="38" borderId="0" xfId="0" applyFont="1" applyFill="1">
      <alignment vertical="center"/>
    </xf>
    <xf numFmtId="0" fontId="0" fillId="38" borderId="0" xfId="0" applyFill="1" applyAlignment="1">
      <alignment horizontal="left" vertical="center"/>
    </xf>
    <xf numFmtId="0" fontId="59" fillId="38" borderId="0" xfId="0" applyFont="1" applyFill="1" applyAlignment="1">
      <alignment horizontal="right" vertical="center"/>
    </xf>
    <xf numFmtId="0" fontId="97" fillId="38" borderId="0" xfId="0" applyFont="1" applyFill="1">
      <alignment vertical="center"/>
    </xf>
    <xf numFmtId="0" fontId="98" fillId="38" borderId="38" xfId="0" applyFont="1" applyFill="1" applyBorder="1" applyAlignment="1">
      <alignment horizontal="right" vertical="center"/>
    </xf>
    <xf numFmtId="0" fontId="35" fillId="38" borderId="40" xfId="0" applyFont="1" applyFill="1" applyBorder="1" applyAlignment="1">
      <alignment horizontal="left" vertical="center"/>
    </xf>
    <xf numFmtId="0" fontId="98" fillId="38" borderId="18" xfId="0" applyFont="1" applyFill="1" applyBorder="1" applyAlignment="1">
      <alignment horizontal="right" vertical="center"/>
    </xf>
    <xf numFmtId="0" fontId="35" fillId="38" borderId="17" xfId="0" applyFont="1" applyFill="1" applyBorder="1" applyAlignment="1">
      <alignment horizontal="left" vertical="center"/>
    </xf>
    <xf numFmtId="0" fontId="98" fillId="38" borderId="19" xfId="0" applyFont="1" applyFill="1" applyBorder="1" applyAlignment="1">
      <alignment horizontal="right" vertical="center"/>
    </xf>
    <xf numFmtId="0" fontId="35" fillId="38" borderId="21" xfId="0" applyFont="1" applyFill="1" applyBorder="1" applyAlignment="1">
      <alignment horizontal="left" vertical="center"/>
    </xf>
    <xf numFmtId="0" fontId="94" fillId="10" borderId="37" xfId="0" applyFont="1" applyFill="1" applyBorder="1" applyProtection="1">
      <alignment vertical="center"/>
      <protection locked="0"/>
    </xf>
    <xf numFmtId="0" fontId="59" fillId="10" borderId="37" xfId="0" applyFont="1" applyFill="1" applyBorder="1" applyAlignment="1" applyProtection="1">
      <alignment horizontal="right" vertical="center"/>
      <protection locked="0"/>
    </xf>
    <xf numFmtId="0" fontId="0" fillId="39" borderId="0" xfId="0" applyFill="1">
      <alignment vertical="center"/>
    </xf>
    <xf numFmtId="0" fontId="59" fillId="39" borderId="0" xfId="0" applyFont="1" applyFill="1">
      <alignment vertical="center"/>
    </xf>
    <xf numFmtId="0" fontId="59" fillId="39" borderId="37" xfId="0" applyFont="1" applyFill="1" applyBorder="1">
      <alignment vertical="center"/>
    </xf>
    <xf numFmtId="0" fontId="35" fillId="39" borderId="0" xfId="0" applyFont="1" applyFill="1">
      <alignment vertical="center"/>
    </xf>
    <xf numFmtId="0" fontId="0" fillId="10" borderId="37" xfId="0" applyFill="1" applyBorder="1">
      <alignment vertical="center"/>
    </xf>
    <xf numFmtId="0" fontId="101" fillId="39" borderId="0" xfId="0" applyFont="1" applyFill="1">
      <alignment vertical="center"/>
    </xf>
    <xf numFmtId="0" fontId="101" fillId="39" borderId="16" xfId="0" applyFont="1" applyFill="1" applyBorder="1">
      <alignment vertical="center"/>
    </xf>
    <xf numFmtId="16" fontId="59" fillId="39" borderId="0" xfId="0" applyNumberFormat="1" applyFont="1" applyFill="1" applyAlignment="1">
      <alignment horizontal="right"/>
    </xf>
    <xf numFmtId="0" fontId="0" fillId="39" borderId="0" xfId="0" applyFill="1" applyAlignment="1">
      <alignment horizontal="center" vertical="center"/>
    </xf>
    <xf numFmtId="0" fontId="35" fillId="39" borderId="0" xfId="0" applyFont="1" applyFill="1" applyAlignment="1">
      <alignment horizontal="right" vertical="center"/>
    </xf>
    <xf numFmtId="167" fontId="0" fillId="10" borderId="37" xfId="0" applyNumberFormat="1" applyFill="1" applyBorder="1">
      <alignment vertical="center"/>
    </xf>
    <xf numFmtId="167" fontId="0" fillId="39" borderId="0" xfId="0" applyNumberFormat="1" applyFill="1">
      <alignment vertical="center"/>
    </xf>
    <xf numFmtId="0" fontId="102" fillId="39" borderId="0" xfId="0" applyFont="1" applyFill="1">
      <alignment vertical="center"/>
    </xf>
    <xf numFmtId="16" fontId="35" fillId="10" borderId="1" xfId="0" applyNumberFormat="1" applyFont="1" applyFill="1" applyBorder="1" applyAlignment="1">
      <alignment horizontal="right" vertical="center"/>
    </xf>
    <xf numFmtId="16" fontId="59" fillId="39" borderId="38" xfId="0" applyNumberFormat="1" applyFont="1" applyFill="1" applyBorder="1" applyAlignment="1">
      <alignment horizontal="center"/>
    </xf>
    <xf numFmtId="0" fontId="0" fillId="39" borderId="39" xfId="0" applyFill="1" applyBorder="1" applyAlignment="1">
      <alignment horizontal="left" vertical="center"/>
    </xf>
    <xf numFmtId="0" fontId="59" fillId="39" borderId="39" xfId="0" applyFont="1" applyFill="1" applyBorder="1">
      <alignment vertical="center"/>
    </xf>
    <xf numFmtId="0" fontId="59" fillId="39" borderId="40" xfId="0" applyFont="1" applyFill="1" applyBorder="1">
      <alignment vertical="center"/>
    </xf>
    <xf numFmtId="0" fontId="59" fillId="39" borderId="19" xfId="0" applyFont="1" applyFill="1" applyBorder="1" applyAlignment="1">
      <alignment horizontal="right" vertical="center"/>
    </xf>
    <xf numFmtId="0" fontId="0" fillId="39" borderId="20" xfId="0" applyFill="1" applyBorder="1" applyAlignment="1">
      <alignment horizontal="left" vertical="center"/>
    </xf>
    <xf numFmtId="0" fontId="59" fillId="39" borderId="20" xfId="0" applyFont="1" applyFill="1" applyBorder="1">
      <alignment vertical="center"/>
    </xf>
    <xf numFmtId="0" fontId="0" fillId="39" borderId="21" xfId="0" applyFill="1" applyBorder="1">
      <alignment vertical="center"/>
    </xf>
    <xf numFmtId="0" fontId="59" fillId="39" borderId="15" xfId="0" applyFont="1" applyFill="1" applyBorder="1">
      <alignment vertical="center"/>
    </xf>
    <xf numFmtId="3" fontId="0" fillId="39" borderId="13" xfId="0" applyNumberFormat="1" applyFill="1" applyBorder="1">
      <alignment vertical="center"/>
    </xf>
    <xf numFmtId="0" fontId="0" fillId="39" borderId="0" xfId="0" applyFill="1" applyAlignment="1">
      <alignment horizontal="right"/>
    </xf>
    <xf numFmtId="165" fontId="103" fillId="10" borderId="37" xfId="0" applyNumberFormat="1" applyFont="1" applyFill="1" applyBorder="1">
      <alignment vertical="center"/>
    </xf>
    <xf numFmtId="0" fontId="0" fillId="39" borderId="23" xfId="0" applyFill="1" applyBorder="1">
      <alignment vertical="center"/>
    </xf>
    <xf numFmtId="0" fontId="0" fillId="39" borderId="24" xfId="0" applyFill="1" applyBorder="1">
      <alignment vertical="center"/>
    </xf>
    <xf numFmtId="0" fontId="0" fillId="39" borderId="0" xfId="0" applyFill="1" applyAlignment="1">
      <alignment horizontal="left" vertical="top"/>
    </xf>
    <xf numFmtId="0" fontId="59" fillId="39" borderId="16" xfId="0" applyFont="1" applyFill="1" applyBorder="1">
      <alignment vertical="center"/>
    </xf>
    <xf numFmtId="0" fontId="0" fillId="39" borderId="26" xfId="0" applyFill="1" applyBorder="1">
      <alignment vertical="center"/>
    </xf>
    <xf numFmtId="0" fontId="0" fillId="39" borderId="27" xfId="0" applyFill="1" applyBorder="1">
      <alignment vertical="center"/>
    </xf>
    <xf numFmtId="0" fontId="0" fillId="39" borderId="28" xfId="0" applyFill="1" applyBorder="1">
      <alignment vertical="center"/>
    </xf>
    <xf numFmtId="165" fontId="103" fillId="39" borderId="0" xfId="0" applyNumberFormat="1" applyFont="1" applyFill="1">
      <alignment vertical="center"/>
    </xf>
    <xf numFmtId="0" fontId="104" fillId="39" borderId="25" xfId="0" applyFont="1" applyFill="1" applyBorder="1">
      <alignment vertical="center"/>
    </xf>
    <xf numFmtId="0" fontId="0" fillId="10" borderId="37" xfId="0" applyFill="1" applyBorder="1" applyAlignment="1" applyProtection="1">
      <alignment horizontal="center" vertical="center"/>
      <protection locked="0"/>
    </xf>
    <xf numFmtId="0" fontId="0" fillId="29" borderId="0" xfId="0" applyFill="1" applyAlignment="1">
      <alignment horizontal="center" vertical="center"/>
    </xf>
    <xf numFmtId="0" fontId="59" fillId="29" borderId="37" xfId="0" applyFont="1" applyFill="1" applyBorder="1" applyAlignment="1">
      <alignment horizontal="center" vertical="center"/>
    </xf>
    <xf numFmtId="16" fontId="0" fillId="29" borderId="59" xfId="0" applyNumberFormat="1" applyFill="1" applyBorder="1" applyAlignment="1">
      <alignment horizontal="center"/>
    </xf>
    <xf numFmtId="16" fontId="0" fillId="29" borderId="60" xfId="0" applyNumberFormat="1" applyFill="1" applyBorder="1" applyAlignment="1">
      <alignment horizontal="center"/>
    </xf>
    <xf numFmtId="16" fontId="0" fillId="29" borderId="61" xfId="0" applyNumberFormat="1" applyFill="1" applyBorder="1" applyAlignment="1">
      <alignment horizontal="center"/>
    </xf>
    <xf numFmtId="0" fontId="0" fillId="10" borderId="0" xfId="0" applyFill="1">
      <alignment vertical="center"/>
    </xf>
    <xf numFmtId="0" fontId="0" fillId="16" borderId="0" xfId="0" applyFill="1">
      <alignment vertical="center"/>
    </xf>
    <xf numFmtId="0" fontId="0" fillId="0" borderId="0" xfId="0" applyAlignment="1">
      <alignment horizontal="center" vertical="center"/>
    </xf>
    <xf numFmtId="3" fontId="0" fillId="10" borderId="0" xfId="0" applyNumberFormat="1" applyFill="1">
      <alignment vertical="center"/>
    </xf>
    <xf numFmtId="0" fontId="59" fillId="0" borderId="0" xfId="0" applyFont="1">
      <alignment vertical="center"/>
    </xf>
    <xf numFmtId="0" fontId="59" fillId="10" borderId="0" xfId="0" applyFont="1" applyFill="1">
      <alignment vertical="center"/>
    </xf>
    <xf numFmtId="0" fontId="59" fillId="40" borderId="0" xfId="0" applyFont="1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59" fillId="41" borderId="0" xfId="0" applyFont="1" applyFill="1">
      <alignment vertical="center"/>
    </xf>
    <xf numFmtId="0" fontId="0" fillId="20" borderId="0" xfId="0" applyFill="1">
      <alignment vertical="center"/>
    </xf>
    <xf numFmtId="0" fontId="0" fillId="33" borderId="8" xfId="0" applyFill="1" applyBorder="1">
      <alignment vertical="center"/>
    </xf>
    <xf numFmtId="0" fontId="0" fillId="42" borderId="13" xfId="0" applyFill="1" applyBorder="1">
      <alignment vertical="center"/>
    </xf>
    <xf numFmtId="0" fontId="0" fillId="42" borderId="15" xfId="0" applyFill="1" applyBorder="1">
      <alignment vertical="center"/>
    </xf>
    <xf numFmtId="0" fontId="0" fillId="33" borderId="13" xfId="0" applyFill="1" applyBorder="1">
      <alignment vertical="center"/>
    </xf>
    <xf numFmtId="0" fontId="0" fillId="33" borderId="15" xfId="0" applyFill="1" applyBorder="1">
      <alignment vertical="center"/>
    </xf>
    <xf numFmtId="0" fontId="0" fillId="0" borderId="8" xfId="0" applyBorder="1">
      <alignment vertical="center"/>
    </xf>
    <xf numFmtId="0" fontId="0" fillId="33" borderId="62" xfId="0" applyFill="1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1" fontId="0" fillId="20" borderId="0" xfId="0" applyNumberFormat="1" applyFill="1">
      <alignment vertical="center"/>
    </xf>
    <xf numFmtId="0" fontId="0" fillId="10" borderId="13" xfId="0" applyFill="1" applyBorder="1">
      <alignment vertical="center"/>
    </xf>
    <xf numFmtId="0" fontId="0" fillId="10" borderId="14" xfId="0" applyFill="1" applyBorder="1">
      <alignment vertical="center"/>
    </xf>
    <xf numFmtId="1" fontId="0" fillId="20" borderId="13" xfId="0" applyNumberFormat="1" applyFill="1" applyBorder="1">
      <alignment vertical="center"/>
    </xf>
    <xf numFmtId="0" fontId="59" fillId="20" borderId="15" xfId="0" applyFont="1" applyFill="1" applyBorder="1">
      <alignment vertical="center"/>
    </xf>
    <xf numFmtId="0" fontId="12" fillId="15" borderId="1" xfId="0" applyFont="1" applyFill="1" applyBorder="1" applyAlignment="1">
      <alignment horizontal="right"/>
    </xf>
    <xf numFmtId="0" fontId="0" fillId="43" borderId="2" xfId="0" applyFill="1" applyBorder="1">
      <alignment vertical="center"/>
    </xf>
    <xf numFmtId="0" fontId="0" fillId="43" borderId="1" xfId="0" applyFill="1" applyBorder="1" applyAlignment="1">
      <alignment horizontal="right" vertical="center"/>
    </xf>
    <xf numFmtId="0" fontId="0" fillId="43" borderId="3" xfId="0" applyFill="1" applyBorder="1">
      <alignment vertical="center"/>
    </xf>
    <xf numFmtId="0" fontId="0" fillId="43" borderId="1" xfId="0" applyFill="1" applyBorder="1">
      <alignment vertical="center"/>
    </xf>
    <xf numFmtId="0" fontId="0" fillId="10" borderId="15" xfId="0" applyFill="1" applyBorder="1">
      <alignment vertical="center"/>
    </xf>
    <xf numFmtId="0" fontId="0" fillId="10" borderId="40" xfId="0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Alignment="1">
      <alignment horizontal="right" vertical="center"/>
    </xf>
    <xf numFmtId="0" fontId="0" fillId="33" borderId="3" xfId="0" applyFill="1" applyBorder="1">
      <alignment vertical="center"/>
    </xf>
    <xf numFmtId="0" fontId="0" fillId="33" borderId="2" xfId="0" applyFill="1" applyBorder="1">
      <alignment vertical="center"/>
    </xf>
    <xf numFmtId="0" fontId="111" fillId="33" borderId="0" xfId="0" applyFont="1" applyFill="1">
      <alignment vertical="center"/>
    </xf>
    <xf numFmtId="0" fontId="111" fillId="33" borderId="0" xfId="0" applyFont="1" applyFill="1" applyAlignment="1">
      <alignment horizontal="right" vertical="center"/>
    </xf>
    <xf numFmtId="0" fontId="101" fillId="33" borderId="1" xfId="0" applyFont="1" applyFill="1" applyBorder="1">
      <alignment vertical="center"/>
    </xf>
    <xf numFmtId="0" fontId="105" fillId="33" borderId="0" xfId="0" applyFont="1" applyFill="1" applyAlignment="1">
      <alignment horizontal="center" vertical="center"/>
    </xf>
    <xf numFmtId="0" fontId="101" fillId="33" borderId="0" xfId="0" applyFont="1" applyFill="1">
      <alignment vertical="center"/>
    </xf>
    <xf numFmtId="0" fontId="112" fillId="33" borderId="0" xfId="0" applyFont="1" applyFill="1">
      <alignment vertical="center"/>
    </xf>
    <xf numFmtId="0" fontId="112" fillId="33" borderId="0" xfId="0" applyFont="1" applyFill="1" applyAlignment="1">
      <alignment horizontal="right" vertical="center"/>
    </xf>
    <xf numFmtId="0" fontId="0" fillId="10" borderId="13" xfId="0" applyFill="1" applyBorder="1" applyProtection="1">
      <alignment vertical="center"/>
      <protection locked="0"/>
    </xf>
    <xf numFmtId="0" fontId="0" fillId="10" borderId="38" xfId="0" applyFill="1" applyBorder="1" applyProtection="1">
      <alignment vertical="center"/>
      <protection locked="0"/>
    </xf>
    <xf numFmtId="0" fontId="0" fillId="10" borderId="42" xfId="0" applyFill="1" applyBorder="1" applyProtection="1">
      <alignment vertical="center"/>
      <protection locked="0"/>
    </xf>
    <xf numFmtId="0" fontId="0" fillId="10" borderId="62" xfId="0" applyFill="1" applyBorder="1" applyProtection="1">
      <alignment vertical="center"/>
      <protection locked="0"/>
    </xf>
    <xf numFmtId="0" fontId="0" fillId="32" borderId="13" xfId="0" applyFill="1" applyBorder="1">
      <alignment vertical="center"/>
    </xf>
    <xf numFmtId="0" fontId="59" fillId="32" borderId="15" xfId="0" applyFont="1" applyFill="1" applyBorder="1">
      <alignment vertical="center"/>
    </xf>
    <xf numFmtId="0" fontId="0" fillId="32" borderId="22" xfId="0" applyFill="1" applyBorder="1">
      <alignment vertical="center"/>
    </xf>
    <xf numFmtId="0" fontId="0" fillId="32" borderId="23" xfId="0" applyFill="1" applyBorder="1">
      <alignment vertical="center"/>
    </xf>
    <xf numFmtId="0" fontId="0" fillId="32" borderId="24" xfId="0" applyFill="1" applyBorder="1">
      <alignment vertical="center"/>
    </xf>
    <xf numFmtId="0" fontId="0" fillId="32" borderId="16" xfId="0" applyFill="1" applyBorder="1">
      <alignment vertical="center"/>
    </xf>
    <xf numFmtId="0" fontId="0" fillId="32" borderId="26" xfId="0" applyFill="1" applyBorder="1">
      <alignment vertical="center"/>
    </xf>
    <xf numFmtId="0" fontId="0" fillId="32" borderId="27" xfId="0" applyFill="1" applyBorder="1">
      <alignment vertical="center"/>
    </xf>
    <xf numFmtId="0" fontId="0" fillId="32" borderId="28" xfId="0" applyFill="1" applyBorder="1">
      <alignment vertical="center"/>
    </xf>
    <xf numFmtId="0" fontId="0" fillId="43" borderId="13" xfId="0" applyFill="1" applyBorder="1">
      <alignment vertical="center"/>
    </xf>
    <xf numFmtId="0" fontId="59" fillId="43" borderId="15" xfId="0" applyFont="1" applyFill="1" applyBorder="1">
      <alignment vertical="center"/>
    </xf>
    <xf numFmtId="0" fontId="0" fillId="32" borderId="25" xfId="0" applyFill="1" applyBorder="1">
      <alignment vertical="center"/>
    </xf>
    <xf numFmtId="0" fontId="59" fillId="32" borderId="0" xfId="0" applyFont="1" applyFill="1" applyAlignment="1">
      <alignment horizontal="right" vertical="center"/>
    </xf>
    <xf numFmtId="0" fontId="0" fillId="10" borderId="8" xfId="0" applyFill="1" applyBorder="1" applyProtection="1">
      <alignment vertical="center"/>
      <protection locked="0"/>
    </xf>
    <xf numFmtId="0" fontId="0" fillId="32" borderId="0" xfId="0" applyFill="1" applyAlignment="1">
      <alignment horizontal="center" vertical="center"/>
    </xf>
    <xf numFmtId="0" fontId="0" fillId="32" borderId="59" xfId="0" applyFill="1" applyBorder="1" applyAlignment="1">
      <alignment horizontal="center" vertical="center"/>
    </xf>
    <xf numFmtId="0" fontId="118" fillId="32" borderId="8" xfId="2" applyFont="1" applyFill="1" applyBorder="1" applyAlignment="1">
      <alignment horizontal="center" vertical="center"/>
    </xf>
    <xf numFmtId="0" fontId="118" fillId="32" borderId="8" xfId="2" applyFont="1" applyFill="1" applyBorder="1" applyAlignment="1">
      <alignment horizontal="center" vertical="center" wrapText="1"/>
    </xf>
    <xf numFmtId="0" fontId="35" fillId="32" borderId="60" xfId="0" applyFont="1" applyFill="1" applyBorder="1" applyAlignment="1">
      <alignment horizontal="center" vertical="center"/>
    </xf>
    <xf numFmtId="0" fontId="117" fillId="32" borderId="62" xfId="2" applyFill="1" applyBorder="1" applyAlignment="1">
      <alignment horizontal="center"/>
    </xf>
    <xf numFmtId="0" fontId="0" fillId="32" borderId="61" xfId="0" applyFill="1" applyBorder="1" applyAlignment="1">
      <alignment horizontal="center" vertical="center"/>
    </xf>
    <xf numFmtId="0" fontId="117" fillId="32" borderId="52" xfId="2" applyFill="1" applyBorder="1" applyAlignment="1">
      <alignment horizontal="center"/>
    </xf>
    <xf numFmtId="0" fontId="117" fillId="32" borderId="42" xfId="2" applyFill="1" applyBorder="1" applyAlignment="1">
      <alignment horizontal="center"/>
    </xf>
    <xf numFmtId="0" fontId="59" fillId="32" borderId="3" xfId="0" applyFont="1" applyFill="1" applyBorder="1" applyAlignment="1">
      <alignment horizontal="center" vertical="center"/>
    </xf>
    <xf numFmtId="1" fontId="0" fillId="32" borderId="1" xfId="0" applyNumberFormat="1" applyFill="1" applyBorder="1">
      <alignment vertical="center"/>
    </xf>
    <xf numFmtId="0" fontId="59" fillId="32" borderId="3" xfId="0" applyFont="1" applyFill="1" applyBorder="1">
      <alignment vertical="center"/>
    </xf>
    <xf numFmtId="0" fontId="111" fillId="32" borderId="0" xfId="0" applyFont="1" applyFill="1">
      <alignment vertical="center"/>
    </xf>
    <xf numFmtId="0" fontId="122" fillId="32" borderId="8" xfId="2" applyFont="1" applyFill="1" applyBorder="1" applyAlignment="1">
      <alignment horizontal="left" vertical="center"/>
    </xf>
    <xf numFmtId="0" fontId="0" fillId="44" borderId="0" xfId="0" applyFill="1">
      <alignment vertical="center"/>
    </xf>
    <xf numFmtId="3" fontId="1" fillId="34" borderId="0" xfId="0" applyNumberFormat="1" applyFont="1" applyFill="1" applyAlignment="1">
      <alignment horizontal="center" vertical="center"/>
    </xf>
    <xf numFmtId="3" fontId="1" fillId="34" borderId="0" xfId="0" applyNumberFormat="1" applyFont="1" applyFill="1">
      <alignment vertical="center"/>
    </xf>
    <xf numFmtId="0" fontId="123" fillId="45" borderId="8" xfId="0" applyFont="1" applyFill="1" applyBorder="1" applyAlignment="1"/>
    <xf numFmtId="0" fontId="0" fillId="12" borderId="42" xfId="0" applyFill="1" applyBorder="1" applyAlignment="1">
      <alignment horizontal="center"/>
    </xf>
    <xf numFmtId="0" fontId="0" fillId="47" borderId="42" xfId="0" applyFill="1" applyBorder="1" applyAlignment="1">
      <alignment horizontal="center"/>
    </xf>
    <xf numFmtId="0" fontId="0" fillId="48" borderId="42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47" borderId="8" xfId="0" applyFill="1" applyBorder="1" applyAlignment="1">
      <alignment horizontal="center"/>
    </xf>
    <xf numFmtId="0" fontId="0" fillId="48" borderId="8" xfId="0" applyFill="1" applyBorder="1" applyAlignment="1">
      <alignment horizontal="center"/>
    </xf>
    <xf numFmtId="0" fontId="0" fillId="12" borderId="8" xfId="0" applyFill="1" applyBorder="1" applyAlignment="1"/>
    <xf numFmtId="0" fontId="18" fillId="47" borderId="8" xfId="0" applyFont="1" applyFill="1" applyBorder="1" applyAlignment="1">
      <alignment horizontal="center"/>
    </xf>
    <xf numFmtId="0" fontId="0" fillId="47" borderId="8" xfId="0" applyFill="1" applyBorder="1" applyAlignment="1">
      <alignment horizontal="center" wrapText="1"/>
    </xf>
    <xf numFmtId="0" fontId="18" fillId="46" borderId="8" xfId="0" applyFont="1" applyFill="1" applyBorder="1" applyAlignment="1"/>
    <xf numFmtId="0" fontId="18" fillId="46" borderId="13" xfId="0" applyFont="1" applyFill="1" applyBorder="1" applyAlignment="1"/>
    <xf numFmtId="0" fontId="18" fillId="46" borderId="14" xfId="0" applyFont="1" applyFill="1" applyBorder="1" applyAlignment="1"/>
    <xf numFmtId="0" fontId="18" fillId="46" borderId="15" xfId="0" applyFont="1" applyFill="1" applyBorder="1" applyAlignment="1"/>
    <xf numFmtId="0" fontId="18" fillId="47" borderId="62" xfId="0" applyFont="1" applyFill="1" applyBorder="1" applyAlignment="1">
      <alignment horizontal="center"/>
    </xf>
    <xf numFmtId="0" fontId="18" fillId="0" borderId="0" xfId="0" applyFont="1" applyAlignment="1"/>
    <xf numFmtId="0" fontId="0" fillId="48" borderId="8" xfId="0" applyFill="1" applyBorder="1" applyAlignment="1" applyProtection="1">
      <alignment horizontal="center"/>
      <protection locked="0"/>
    </xf>
    <xf numFmtId="0" fontId="18" fillId="48" borderId="8" xfId="0" applyFont="1" applyFill="1" applyBorder="1" applyAlignment="1" applyProtection="1">
      <alignment horizontal="center"/>
      <protection locked="0"/>
    </xf>
    <xf numFmtId="0" fontId="125" fillId="0" borderId="0" xfId="0" applyFont="1">
      <alignment vertical="center"/>
    </xf>
    <xf numFmtId="0" fontId="126" fillId="0" borderId="0" xfId="0" applyFont="1">
      <alignment vertical="center"/>
    </xf>
    <xf numFmtId="0" fontId="127" fillId="0" borderId="0" xfId="0" applyFont="1">
      <alignment vertical="center"/>
    </xf>
    <xf numFmtId="0" fontId="128" fillId="0" borderId="0" xfId="0" applyFont="1">
      <alignment vertical="center"/>
    </xf>
    <xf numFmtId="0" fontId="129" fillId="0" borderId="0" xfId="0" applyFont="1">
      <alignment vertical="center"/>
    </xf>
    <xf numFmtId="0" fontId="127" fillId="0" borderId="8" xfId="0" applyFont="1" applyBorder="1" applyAlignment="1">
      <alignment horizontal="center" vertical="center"/>
    </xf>
    <xf numFmtId="49" fontId="127" fillId="0" borderId="8" xfId="0" applyNumberFormat="1" applyFont="1" applyBorder="1" applyAlignment="1">
      <alignment horizontal="center" vertical="center"/>
    </xf>
    <xf numFmtId="0" fontId="131" fillId="49" borderId="8" xfId="0" applyFont="1" applyFill="1" applyBorder="1" applyAlignment="1"/>
    <xf numFmtId="0" fontId="18" fillId="49" borderId="8" xfId="0" applyFont="1" applyFill="1" applyBorder="1" applyAlignment="1"/>
    <xf numFmtId="0" fontId="18" fillId="49" borderId="13" xfId="0" applyFont="1" applyFill="1" applyBorder="1" applyAlignment="1"/>
    <xf numFmtId="0" fontId="131" fillId="50" borderId="13" xfId="0" applyFont="1" applyFill="1" applyBorder="1" applyAlignment="1"/>
    <xf numFmtId="165" fontId="122" fillId="50" borderId="13" xfId="0" applyNumberFormat="1" applyFont="1" applyFill="1" applyBorder="1" applyAlignment="1"/>
    <xf numFmtId="0" fontId="18" fillId="50" borderId="15" xfId="0" applyFont="1" applyFill="1" applyBorder="1" applyAlignment="1"/>
    <xf numFmtId="0" fontId="130" fillId="32" borderId="0" xfId="0" applyFont="1" applyFill="1" applyAlignment="1"/>
    <xf numFmtId="0" fontId="18" fillId="50" borderId="8" xfId="0" applyFont="1" applyFill="1" applyBorder="1" applyAlignment="1">
      <alignment horizontal="center" wrapText="1"/>
    </xf>
    <xf numFmtId="0" fontId="130" fillId="50" borderId="8" xfId="0" applyFont="1" applyFill="1" applyBorder="1" applyAlignment="1">
      <alignment horizontal="center"/>
    </xf>
    <xf numFmtId="0" fontId="130" fillId="49" borderId="8" xfId="0" applyFont="1" applyFill="1" applyBorder="1" applyAlignment="1">
      <alignment horizontal="center" wrapText="1"/>
    </xf>
    <xf numFmtId="0" fontId="131" fillId="50" borderId="15" xfId="0" applyFont="1" applyFill="1" applyBorder="1" applyAlignment="1"/>
    <xf numFmtId="0" fontId="18" fillId="49" borderId="8" xfId="0" applyFont="1" applyFill="1" applyBorder="1" applyAlignment="1">
      <alignment horizontal="center" wrapText="1"/>
    </xf>
    <xf numFmtId="0" fontId="130" fillId="10" borderId="8" xfId="0" applyFont="1" applyFill="1" applyBorder="1" applyAlignment="1" applyProtection="1">
      <alignment horizontal="center" wrapText="1"/>
      <protection locked="0"/>
    </xf>
    <xf numFmtId="0" fontId="130" fillId="10" borderId="8" xfId="0" applyFont="1" applyFill="1" applyBorder="1" applyAlignment="1" applyProtection="1">
      <alignment horizontal="center"/>
      <protection locked="0"/>
    </xf>
    <xf numFmtId="0" fontId="0" fillId="32" borderId="23" xfId="0" applyFill="1" applyBorder="1" applyAlignment="1"/>
    <xf numFmtId="0" fontId="18" fillId="32" borderId="0" xfId="0" applyFont="1" applyFill="1" applyAlignment="1"/>
    <xf numFmtId="1" fontId="122" fillId="32" borderId="0" xfId="0" applyNumberFormat="1" applyFont="1" applyFill="1" applyAlignment="1"/>
    <xf numFmtId="0" fontId="49" fillId="32" borderId="0" xfId="0" applyFont="1" applyFill="1" applyAlignment="1"/>
    <xf numFmtId="0" fontId="0" fillId="32" borderId="13" xfId="0" applyFill="1" applyBorder="1" applyAlignment="1">
      <alignment horizontal="center" vertical="center"/>
    </xf>
    <xf numFmtId="0" fontId="0" fillId="32" borderId="38" xfId="0" applyFill="1" applyBorder="1" applyAlignment="1">
      <alignment horizontal="center" vertical="center"/>
    </xf>
    <xf numFmtId="0" fontId="0" fillId="32" borderId="8" xfId="0" applyFill="1" applyBorder="1" applyAlignment="1">
      <alignment horizontal="center" vertical="center"/>
    </xf>
    <xf numFmtId="0" fontId="35" fillId="32" borderId="8" xfId="0" applyFont="1" applyFill="1" applyBorder="1">
      <alignment vertical="center"/>
    </xf>
    <xf numFmtId="0" fontId="35" fillId="32" borderId="8" xfId="0" applyFont="1" applyFill="1" applyBorder="1" applyAlignment="1">
      <alignment horizontal="center" vertical="center"/>
    </xf>
    <xf numFmtId="0" fontId="0" fillId="32" borderId="8" xfId="0" applyFill="1" applyBorder="1">
      <alignment vertical="center"/>
    </xf>
    <xf numFmtId="0" fontId="59" fillId="32" borderId="8" xfId="0" applyFont="1" applyFill="1" applyBorder="1">
      <alignment vertical="center"/>
    </xf>
    <xf numFmtId="0" fontId="0" fillId="32" borderId="62" xfId="0" applyFill="1" applyBorder="1" applyAlignment="1">
      <alignment horizontal="center" vertical="center"/>
    </xf>
    <xf numFmtId="0" fontId="0" fillId="32" borderId="8" xfId="0" applyFill="1" applyBorder="1" applyAlignment="1"/>
    <xf numFmtId="0" fontId="137" fillId="32" borderId="0" xfId="0" applyFont="1" applyFill="1" applyAlignment="1">
      <alignment horizontal="center"/>
    </xf>
    <xf numFmtId="0" fontId="47" fillId="32" borderId="0" xfId="0" applyFont="1" applyFill="1">
      <alignment vertical="center"/>
    </xf>
    <xf numFmtId="0" fontId="59" fillId="32" borderId="0" xfId="0" applyFont="1" applyFill="1">
      <alignment vertical="center"/>
    </xf>
    <xf numFmtId="0" fontId="59" fillId="10" borderId="15" xfId="0" applyFont="1" applyFill="1" applyBorder="1">
      <alignment vertical="center"/>
    </xf>
    <xf numFmtId="0" fontId="0" fillId="10" borderId="38" xfId="0" applyFill="1" applyBorder="1">
      <alignment vertical="center"/>
    </xf>
    <xf numFmtId="0" fontId="59" fillId="10" borderId="40" xfId="0" applyFont="1" applyFill="1" applyBorder="1">
      <alignment vertical="center"/>
    </xf>
    <xf numFmtId="0" fontId="0" fillId="10" borderId="8" xfId="0" applyFill="1" applyBorder="1" applyAlignment="1" applyProtection="1">
      <alignment horizontal="center" vertical="center"/>
      <protection locked="0"/>
    </xf>
    <xf numFmtId="0" fontId="0" fillId="10" borderId="13" xfId="0" applyFill="1" applyBorder="1" applyAlignment="1" applyProtection="1">
      <alignment horizontal="center" vertical="center"/>
      <protection locked="0"/>
    </xf>
    <xf numFmtId="0" fontId="59" fillId="32" borderId="13" xfId="0" applyFont="1" applyFill="1" applyBorder="1" applyAlignment="1">
      <alignment horizontal="center" vertical="center"/>
    </xf>
    <xf numFmtId="0" fontId="0" fillId="20" borderId="15" xfId="0" applyFill="1" applyBorder="1">
      <alignment vertical="center"/>
    </xf>
    <xf numFmtId="3" fontId="0" fillId="0" borderId="0" xfId="0" applyNumberFormat="1">
      <alignment vertical="center"/>
    </xf>
    <xf numFmtId="0" fontId="0" fillId="32" borderId="15" xfId="0" applyFill="1" applyBorder="1">
      <alignment vertical="center"/>
    </xf>
    <xf numFmtId="0" fontId="0" fillId="32" borderId="25" xfId="0" applyFill="1" applyBorder="1" applyAlignment="1">
      <alignment horizontal="center" vertical="center"/>
    </xf>
    <xf numFmtId="0" fontId="59" fillId="32" borderId="25" xfId="0" applyFont="1" applyFill="1" applyBorder="1" applyAlignment="1">
      <alignment horizontal="center" vertical="center"/>
    </xf>
    <xf numFmtId="0" fontId="59" fillId="32" borderId="26" xfId="0" applyFont="1" applyFill="1" applyBorder="1" applyAlignment="1">
      <alignment horizontal="center" vertical="center"/>
    </xf>
    <xf numFmtId="3" fontId="0" fillId="32" borderId="0" xfId="0" applyNumberFormat="1" applyFill="1">
      <alignment vertical="center"/>
    </xf>
    <xf numFmtId="0" fontId="0" fillId="32" borderId="62" xfId="0" applyFill="1" applyBorder="1">
      <alignment vertical="center"/>
    </xf>
    <xf numFmtId="1" fontId="0" fillId="32" borderId="0" xfId="0" applyNumberFormat="1" applyFill="1">
      <alignment vertical="center"/>
    </xf>
    <xf numFmtId="0" fontId="105" fillId="32" borderId="0" xfId="0" applyFont="1" applyFill="1" applyAlignment="1">
      <alignment horizontal="center" vertical="center"/>
    </xf>
    <xf numFmtId="0" fontId="0" fillId="10" borderId="21" xfId="0" applyFill="1" applyBorder="1">
      <alignment vertical="center"/>
    </xf>
    <xf numFmtId="0" fontId="59" fillId="44" borderId="0" xfId="0" applyFont="1" applyFill="1">
      <alignment vertical="center"/>
    </xf>
    <xf numFmtId="0" fontId="59" fillId="10" borderId="3" xfId="0" applyFont="1" applyFill="1" applyBorder="1">
      <alignment vertical="center"/>
    </xf>
    <xf numFmtId="0" fontId="140" fillId="32" borderId="37" xfId="0" applyFont="1" applyFill="1" applyBorder="1" applyAlignment="1">
      <alignment horizontal="center" vertical="center"/>
    </xf>
    <xf numFmtId="0" fontId="59" fillId="10" borderId="24" xfId="0" applyFont="1" applyFill="1" applyBorder="1">
      <alignment vertical="center"/>
    </xf>
    <xf numFmtId="0" fontId="0" fillId="32" borderId="2" xfId="0" applyFill="1" applyBorder="1">
      <alignment vertical="center"/>
    </xf>
    <xf numFmtId="0" fontId="59" fillId="32" borderId="22" xfId="0" applyFont="1" applyFill="1" applyBorder="1">
      <alignment vertical="center"/>
    </xf>
    <xf numFmtId="2" fontId="0" fillId="32" borderId="1" xfId="0" applyNumberFormat="1" applyFill="1" applyBorder="1">
      <alignment vertical="center"/>
    </xf>
    <xf numFmtId="0" fontId="0" fillId="10" borderId="1" xfId="0" applyFill="1" applyBorder="1" applyProtection="1">
      <alignment vertical="center"/>
      <protection locked="0"/>
    </xf>
    <xf numFmtId="0" fontId="35" fillId="44" borderId="0" xfId="0" applyFont="1" applyFill="1">
      <alignment vertical="center"/>
    </xf>
    <xf numFmtId="3" fontId="0" fillId="10" borderId="13" xfId="0" applyNumberFormat="1" applyFill="1" applyBorder="1" applyProtection="1">
      <alignment vertical="center"/>
      <protection locked="0"/>
    </xf>
    <xf numFmtId="0" fontId="0" fillId="44" borderId="0" xfId="0" applyFill="1" applyAlignment="1"/>
    <xf numFmtId="0" fontId="85" fillId="44" borderId="0" xfId="0" applyFont="1" applyFill="1" applyAlignment="1"/>
    <xf numFmtId="0" fontId="3" fillId="44" borderId="0" xfId="0" applyFont="1" applyFill="1" applyAlignment="1">
      <alignment horizontal="center" vertical="center"/>
    </xf>
    <xf numFmtId="0" fontId="76" fillId="44" borderId="0" xfId="0" applyFont="1" applyFill="1" applyAlignment="1">
      <alignment horizontal="left" vertical="center"/>
    </xf>
    <xf numFmtId="0" fontId="76" fillId="44" borderId="0" xfId="0" applyFont="1" applyFill="1" applyAlignment="1"/>
    <xf numFmtId="0" fontId="78" fillId="44" borderId="0" xfId="0" applyFont="1" applyFill="1" applyAlignment="1"/>
    <xf numFmtId="0" fontId="78" fillId="44" borderId="0" xfId="0" applyFont="1" applyFill="1" applyAlignment="1">
      <alignment horizontal="center"/>
    </xf>
    <xf numFmtId="0" fontId="79" fillId="44" borderId="0" xfId="0" applyFont="1" applyFill="1" applyAlignment="1"/>
    <xf numFmtId="0" fontId="78" fillId="44" borderId="0" xfId="0" applyFont="1" applyFill="1" applyAlignment="1">
      <alignment horizontal="center" vertical="center"/>
    </xf>
    <xf numFmtId="0" fontId="81" fillId="44" borderId="0" xfId="0" applyFont="1" applyFill="1" applyAlignment="1">
      <alignment horizontal="center" vertical="center"/>
    </xf>
    <xf numFmtId="0" fontId="142" fillId="44" borderId="0" xfId="0" applyFont="1" applyFill="1" applyAlignment="1"/>
    <xf numFmtId="0" fontId="0" fillId="51" borderId="0" xfId="0" applyFill="1" applyAlignment="1"/>
    <xf numFmtId="0" fontId="0" fillId="51" borderId="0" xfId="0" applyFill="1" applyAlignment="1">
      <alignment horizontal="center"/>
    </xf>
    <xf numFmtId="0" fontId="0" fillId="51" borderId="8" xfId="0" applyFill="1" applyBorder="1" applyAlignment="1">
      <alignment horizontal="center"/>
    </xf>
    <xf numFmtId="0" fontId="59" fillId="51" borderId="8" xfId="0" applyFont="1" applyFill="1" applyBorder="1" applyAlignment="1">
      <alignment horizontal="center"/>
    </xf>
    <xf numFmtId="0" fontId="0" fillId="51" borderId="8" xfId="0" applyFill="1" applyBorder="1" applyAlignment="1">
      <alignment horizontal="center" vertical="center"/>
    </xf>
    <xf numFmtId="0" fontId="0" fillId="52" borderId="0" xfId="0" applyFill="1" applyAlignment="1"/>
    <xf numFmtId="0" fontId="0" fillId="52" borderId="0" xfId="0" applyFill="1" applyAlignment="1">
      <alignment horizontal="center"/>
    </xf>
    <xf numFmtId="0" fontId="3" fillId="51" borderId="58" xfId="0" applyFont="1" applyFill="1" applyBorder="1" applyAlignment="1">
      <alignment horizontal="center" vertical="center"/>
    </xf>
    <xf numFmtId="0" fontId="114" fillId="51" borderId="58" xfId="0" applyFont="1" applyFill="1" applyBorder="1" applyAlignment="1">
      <alignment horizontal="center" vertical="center"/>
    </xf>
    <xf numFmtId="0" fontId="103" fillId="51" borderId="63" xfId="0" applyFont="1" applyFill="1" applyBorder="1" applyAlignment="1">
      <alignment horizontal="center"/>
    </xf>
    <xf numFmtId="0" fontId="103" fillId="51" borderId="63" xfId="0" applyFont="1" applyFill="1" applyBorder="1" applyAlignment="1">
      <alignment horizontal="center" vertical="center"/>
    </xf>
    <xf numFmtId="0" fontId="59" fillId="51" borderId="42" xfId="0" applyFont="1" applyFill="1" applyBorder="1" applyAlignment="1">
      <alignment horizontal="center" vertical="center"/>
    </xf>
    <xf numFmtId="0" fontId="0" fillId="51" borderId="42" xfId="0" applyFill="1" applyBorder="1" applyAlignment="1">
      <alignment horizontal="center"/>
    </xf>
    <xf numFmtId="0" fontId="59" fillId="51" borderId="42" xfId="0" applyFont="1" applyFill="1" applyBorder="1" applyAlignment="1">
      <alignment horizontal="center"/>
    </xf>
    <xf numFmtId="0" fontId="0" fillId="10" borderId="42" xfId="0" applyFill="1" applyBorder="1" applyAlignment="1">
      <alignment horizontal="center"/>
    </xf>
    <xf numFmtId="0" fontId="59" fillId="10" borderId="42" xfId="0" applyFont="1" applyFill="1" applyBorder="1" applyAlignment="1">
      <alignment horizontal="center"/>
    </xf>
    <xf numFmtId="0" fontId="145" fillId="51" borderId="58" xfId="0" applyFont="1" applyFill="1" applyBorder="1" applyAlignment="1">
      <alignment horizontal="center" vertical="center"/>
    </xf>
    <xf numFmtId="0" fontId="0" fillId="10" borderId="8" xfId="0" applyFill="1" applyBorder="1" applyAlignment="1">
      <alignment horizontal="center"/>
    </xf>
    <xf numFmtId="0" fontId="120" fillId="10" borderId="58" xfId="0" applyFont="1" applyFill="1" applyBorder="1" applyAlignment="1">
      <alignment horizontal="center"/>
    </xf>
    <xf numFmtId="0" fontId="120" fillId="10" borderId="63" xfId="0" applyFont="1" applyFill="1" applyBorder="1" applyAlignment="1">
      <alignment horizontal="center"/>
    </xf>
    <xf numFmtId="0" fontId="103" fillId="44" borderId="58" xfId="0" applyFont="1" applyFill="1" applyBorder="1" applyAlignment="1">
      <alignment horizontal="left"/>
    </xf>
    <xf numFmtId="0" fontId="103" fillId="44" borderId="63" xfId="0" applyFont="1" applyFill="1" applyBorder="1" applyAlignment="1">
      <alignment horizontal="center"/>
    </xf>
    <xf numFmtId="0" fontId="0" fillId="49" borderId="8" xfId="0" applyFill="1" applyBorder="1" applyAlignment="1">
      <alignment horizontal="center" vertical="center"/>
    </xf>
    <xf numFmtId="0" fontId="0" fillId="49" borderId="8" xfId="0" applyFill="1" applyBorder="1" applyAlignment="1">
      <alignment horizontal="center"/>
    </xf>
    <xf numFmtId="0" fontId="47" fillId="15" borderId="22" xfId="0" applyFont="1" applyFill="1" applyBorder="1" applyAlignment="1"/>
    <xf numFmtId="0" fontId="47" fillId="15" borderId="23" xfId="0" applyFont="1" applyFill="1" applyBorder="1" applyAlignment="1"/>
    <xf numFmtId="0" fontId="47" fillId="15" borderId="24" xfId="0" applyFont="1" applyFill="1" applyBorder="1" applyAlignment="1"/>
    <xf numFmtId="0" fontId="47" fillId="15" borderId="25" xfId="0" applyFont="1" applyFill="1" applyBorder="1" applyAlignment="1"/>
    <xf numFmtId="0" fontId="35" fillId="15" borderId="0" xfId="0" applyFont="1" applyFill="1" applyAlignment="1"/>
    <xf numFmtId="0" fontId="47" fillId="15" borderId="16" xfId="0" applyFont="1" applyFill="1" applyBorder="1" applyAlignment="1"/>
    <xf numFmtId="0" fontId="60" fillId="15" borderId="0" xfId="0" applyFont="1" applyFill="1" applyAlignment="1"/>
    <xf numFmtId="0" fontId="47" fillId="15" borderId="26" xfId="0" applyFont="1" applyFill="1" applyBorder="1" applyAlignment="1"/>
    <xf numFmtId="0" fontId="47" fillId="15" borderId="27" xfId="0" applyFont="1" applyFill="1" applyBorder="1" applyAlignment="1"/>
    <xf numFmtId="0" fontId="47" fillId="15" borderId="28" xfId="0" applyFont="1" applyFill="1" applyBorder="1" applyAlignment="1"/>
    <xf numFmtId="0" fontId="105" fillId="15" borderId="23" xfId="0" applyFont="1" applyFill="1" applyBorder="1" applyAlignment="1"/>
    <xf numFmtId="0" fontId="110" fillId="15" borderId="0" xfId="0" applyFont="1" applyFill="1" applyAlignment="1">
      <alignment horizontal="right"/>
    </xf>
    <xf numFmtId="0" fontId="110" fillId="15" borderId="0" xfId="0" applyFont="1" applyFill="1" applyAlignment="1"/>
    <xf numFmtId="0" fontId="60" fillId="15" borderId="16" xfId="0" applyFont="1" applyFill="1" applyBorder="1" applyAlignment="1"/>
    <xf numFmtId="0" fontId="148" fillId="15" borderId="0" xfId="0" applyFont="1" applyFill="1" applyAlignment="1"/>
    <xf numFmtId="0" fontId="147" fillId="15" borderId="23" xfId="0" applyFont="1" applyFill="1" applyBorder="1" applyAlignment="1">
      <alignment horizontal="right"/>
    </xf>
    <xf numFmtId="1" fontId="60" fillId="15" borderId="0" xfId="0" applyNumberFormat="1" applyFont="1" applyFill="1" applyAlignment="1"/>
    <xf numFmtId="0" fontId="48" fillId="15" borderId="22" xfId="0" applyFont="1" applyFill="1" applyBorder="1" applyAlignment="1"/>
    <xf numFmtId="0" fontId="148" fillId="15" borderId="25" xfId="0" applyFont="1" applyFill="1" applyBorder="1" applyAlignment="1"/>
    <xf numFmtId="165" fontId="60" fillId="15" borderId="0" xfId="0" applyNumberFormat="1" applyFont="1" applyFill="1" applyAlignment="1"/>
    <xf numFmtId="0" fontId="60" fillId="10" borderId="37" xfId="0" applyFont="1" applyFill="1" applyBorder="1" applyAlignment="1" applyProtection="1">
      <protection locked="0"/>
    </xf>
    <xf numFmtId="0" fontId="110" fillId="51" borderId="37" xfId="0" applyFont="1" applyFill="1" applyBorder="1" applyAlignment="1"/>
    <xf numFmtId="0" fontId="60" fillId="51" borderId="23" xfId="0" applyFont="1" applyFill="1" applyBorder="1" applyAlignment="1"/>
    <xf numFmtId="0" fontId="60" fillId="51" borderId="24" xfId="0" applyFont="1" applyFill="1" applyBorder="1" applyAlignment="1"/>
    <xf numFmtId="0" fontId="60" fillId="15" borderId="27" xfId="0" applyFont="1" applyFill="1" applyBorder="1" applyAlignment="1"/>
    <xf numFmtId="0" fontId="60" fillId="51" borderId="37" xfId="0" applyFont="1" applyFill="1" applyBorder="1" applyAlignment="1"/>
    <xf numFmtId="0" fontId="60" fillId="15" borderId="27" xfId="0" applyFont="1" applyFill="1" applyBorder="1" applyAlignment="1">
      <alignment horizontal="center"/>
    </xf>
    <xf numFmtId="0" fontId="60" fillId="10" borderId="37" xfId="0" applyFont="1" applyFill="1" applyBorder="1" applyAlignment="1" applyProtection="1">
      <alignment horizontal="center" vertical="center"/>
      <protection locked="0"/>
    </xf>
    <xf numFmtId="0" fontId="26" fillId="15" borderId="16" xfId="0" applyFont="1" applyFill="1" applyBorder="1" applyAlignment="1">
      <alignment horizontal="center"/>
    </xf>
    <xf numFmtId="1" fontId="60" fillId="15" borderId="2" xfId="0" applyNumberFormat="1" applyFont="1" applyFill="1" applyBorder="1" applyAlignment="1"/>
    <xf numFmtId="0" fontId="60" fillId="15" borderId="2" xfId="0" applyFont="1" applyFill="1" applyBorder="1" applyAlignment="1"/>
    <xf numFmtId="0" fontId="60" fillId="15" borderId="3" xfId="0" applyFont="1" applyFill="1" applyBorder="1" applyAlignment="1"/>
    <xf numFmtId="0" fontId="47" fillId="15" borderId="13" xfId="0" applyFont="1" applyFill="1" applyBorder="1" applyAlignment="1"/>
    <xf numFmtId="0" fontId="47" fillId="15" borderId="15" xfId="0" applyFont="1" applyFill="1" applyBorder="1" applyAlignment="1"/>
    <xf numFmtId="0" fontId="151" fillId="15" borderId="22" xfId="0" applyFont="1" applyFill="1" applyBorder="1" applyAlignment="1"/>
    <xf numFmtId="0" fontId="152" fillId="15" borderId="0" xfId="0" applyFont="1" applyFill="1" applyAlignment="1"/>
    <xf numFmtId="0" fontId="151" fillId="15" borderId="0" xfId="0" applyFont="1" applyFill="1" applyAlignment="1"/>
    <xf numFmtId="0" fontId="30" fillId="15" borderId="0" xfId="0" applyFont="1" applyFill="1" applyAlignment="1"/>
    <xf numFmtId="0" fontId="153" fillId="15" borderId="0" xfId="0" applyFont="1" applyFill="1" applyAlignment="1"/>
    <xf numFmtId="0" fontId="26" fillId="15" borderId="0" xfId="0" applyFont="1" applyFill="1" applyAlignment="1"/>
    <xf numFmtId="0" fontId="151" fillId="15" borderId="23" xfId="0" applyFont="1" applyFill="1" applyBorder="1" applyAlignment="1"/>
    <xf numFmtId="0" fontId="47" fillId="15" borderId="38" xfId="0" applyFont="1" applyFill="1" applyBorder="1" applyAlignment="1"/>
    <xf numFmtId="0" fontId="47" fillId="15" borderId="40" xfId="0" applyFont="1" applyFill="1" applyBorder="1" applyAlignment="1"/>
    <xf numFmtId="0" fontId="150" fillId="15" borderId="14" xfId="0" applyFont="1" applyFill="1" applyBorder="1" applyAlignment="1"/>
    <xf numFmtId="0" fontId="150" fillId="15" borderId="39" xfId="0" applyFont="1" applyFill="1" applyBorder="1" applyAlignment="1"/>
    <xf numFmtId="0" fontId="150" fillId="15" borderId="15" xfId="0" applyFont="1" applyFill="1" applyBorder="1" applyAlignment="1"/>
    <xf numFmtId="0" fontId="150" fillId="10" borderId="13" xfId="0" applyFont="1" applyFill="1" applyBorder="1" applyAlignment="1" applyProtection="1">
      <protection locked="0"/>
    </xf>
    <xf numFmtId="0" fontId="26" fillId="32" borderId="0" xfId="0" applyFont="1" applyFill="1" applyAlignment="1"/>
    <xf numFmtId="0" fontId="150" fillId="10" borderId="8" xfId="0" applyFont="1" applyFill="1" applyBorder="1" applyAlignment="1" applyProtection="1">
      <protection locked="0"/>
    </xf>
    <xf numFmtId="0" fontId="60" fillId="10" borderId="2" xfId="0" applyFont="1" applyFill="1" applyBorder="1" applyAlignment="1" applyProtection="1">
      <protection locked="0"/>
    </xf>
    <xf numFmtId="0" fontId="0" fillId="0" borderId="37" xfId="0" applyBorder="1">
      <alignment vertical="center"/>
    </xf>
    <xf numFmtId="0" fontId="0" fillId="38" borderId="0" xfId="0" applyFill="1" applyAlignment="1">
      <alignment horizontal="center" vertical="center"/>
    </xf>
    <xf numFmtId="0" fontId="0" fillId="10" borderId="37" xfId="0" applyFill="1" applyBorder="1" applyProtection="1">
      <alignment vertical="center"/>
      <protection locked="0"/>
    </xf>
    <xf numFmtId="0" fontId="59" fillId="44" borderId="0" xfId="0" applyFont="1" applyFill="1" applyAlignment="1"/>
    <xf numFmtId="0" fontId="0" fillId="32" borderId="37" xfId="0" applyFill="1" applyBorder="1" applyAlignment="1"/>
    <xf numFmtId="0" fontId="0" fillId="44" borderId="22" xfId="0" applyFill="1" applyBorder="1" applyAlignment="1"/>
    <xf numFmtId="0" fontId="0" fillId="44" borderId="23" xfId="0" applyFill="1" applyBorder="1" applyAlignment="1"/>
    <xf numFmtId="0" fontId="0" fillId="44" borderId="24" xfId="0" applyFill="1" applyBorder="1" applyAlignment="1"/>
    <xf numFmtId="0" fontId="0" fillId="44" borderId="25" xfId="0" applyFill="1" applyBorder="1" applyAlignment="1"/>
    <xf numFmtId="0" fontId="0" fillId="44" borderId="16" xfId="0" applyFill="1" applyBorder="1" applyAlignment="1"/>
    <xf numFmtId="0" fontId="59" fillId="44" borderId="16" xfId="0" applyFont="1" applyFill="1" applyBorder="1" applyAlignment="1"/>
    <xf numFmtId="0" fontId="142" fillId="44" borderId="25" xfId="0" applyFont="1" applyFill="1" applyBorder="1" applyAlignment="1"/>
    <xf numFmtId="0" fontId="142" fillId="44" borderId="26" xfId="0" applyFont="1" applyFill="1" applyBorder="1" applyAlignment="1"/>
    <xf numFmtId="0" fontId="142" fillId="44" borderId="27" xfId="0" applyFont="1" applyFill="1" applyBorder="1" applyAlignment="1"/>
    <xf numFmtId="0" fontId="0" fillId="44" borderId="27" xfId="0" applyFill="1" applyBorder="1" applyAlignment="1"/>
    <xf numFmtId="0" fontId="0" fillId="44" borderId="28" xfId="0" applyFill="1" applyBorder="1" applyAlignment="1"/>
    <xf numFmtId="0" fontId="59" fillId="25" borderId="1" xfId="0" applyFont="1" applyFill="1" applyBorder="1" applyAlignment="1"/>
    <xf numFmtId="0" fontId="0" fillId="25" borderId="2" xfId="0" applyFill="1" applyBorder="1" applyAlignment="1"/>
    <xf numFmtId="0" fontId="0" fillId="25" borderId="3" xfId="0" applyFill="1" applyBorder="1" applyAlignment="1"/>
    <xf numFmtId="0" fontId="0" fillId="53" borderId="0" xfId="0" applyFill="1" applyAlignment="1"/>
    <xf numFmtId="0" fontId="59" fillId="34" borderId="1" xfId="0" applyFont="1" applyFill="1" applyBorder="1" applyAlignment="1"/>
    <xf numFmtId="0" fontId="0" fillId="34" borderId="2" xfId="0" applyFill="1" applyBorder="1" applyAlignment="1"/>
    <xf numFmtId="0" fontId="0" fillId="34" borderId="3" xfId="0" applyFill="1" applyBorder="1" applyAlignment="1"/>
    <xf numFmtId="0" fontId="59" fillId="32" borderId="1" xfId="0" applyFont="1" applyFill="1" applyBorder="1" applyAlignment="1"/>
    <xf numFmtId="0" fontId="0" fillId="32" borderId="2" xfId="0" applyFill="1" applyBorder="1" applyAlignment="1"/>
    <xf numFmtId="0" fontId="0" fillId="32" borderId="3" xfId="0" applyFill="1" applyBorder="1" applyAlignment="1"/>
    <xf numFmtId="0" fontId="0" fillId="32" borderId="1" xfId="0" applyFill="1" applyBorder="1" applyAlignment="1"/>
    <xf numFmtId="0" fontId="59" fillId="32" borderId="3" xfId="0" applyFont="1" applyFill="1" applyBorder="1" applyAlignment="1"/>
    <xf numFmtId="0" fontId="59" fillId="10" borderId="3" xfId="0" applyFont="1" applyFill="1" applyBorder="1" applyAlignment="1"/>
    <xf numFmtId="0" fontId="0" fillId="44" borderId="26" xfId="0" applyFill="1" applyBorder="1" applyAlignment="1"/>
    <xf numFmtId="0" fontId="0" fillId="10" borderId="37" xfId="0" applyFill="1" applyBorder="1" applyAlignment="1" applyProtection="1">
      <protection locked="0"/>
    </xf>
    <xf numFmtId="0" fontId="59" fillId="10" borderId="1" xfId="0" applyFont="1" applyFill="1" applyBorder="1" applyAlignment="1" applyProtection="1">
      <protection locked="0"/>
    </xf>
    <xf numFmtId="0" fontId="103" fillId="44" borderId="0" xfId="0" applyFont="1" applyFill="1" applyAlignment="1"/>
    <xf numFmtId="0" fontId="59" fillId="44" borderId="22" xfId="0" applyFont="1" applyFill="1" applyBorder="1" applyAlignment="1"/>
    <xf numFmtId="0" fontId="59" fillId="10" borderId="0" xfId="0" applyFont="1" applyFill="1" applyAlignment="1" applyProtection="1">
      <protection locked="0"/>
    </xf>
    <xf numFmtId="0" fontId="59" fillId="10" borderId="0" xfId="0" applyFont="1" applyFill="1" applyAlignment="1"/>
    <xf numFmtId="0" fontId="85" fillId="44" borderId="27" xfId="0" applyFont="1" applyFill="1" applyBorder="1" applyAlignment="1"/>
    <xf numFmtId="0" fontId="85" fillId="44" borderId="28" xfId="0" applyFont="1" applyFill="1" applyBorder="1" applyAlignment="1"/>
    <xf numFmtId="0" fontId="83" fillId="53" borderId="0" xfId="0" applyFont="1" applyFill="1" applyAlignment="1">
      <alignment horizontal="right"/>
    </xf>
    <xf numFmtId="0" fontId="84" fillId="53" borderId="0" xfId="0" applyFont="1" applyFill="1" applyAlignment="1"/>
    <xf numFmtId="0" fontId="85" fillId="53" borderId="0" xfId="0" applyFont="1" applyFill="1" applyAlignment="1"/>
    <xf numFmtId="0" fontId="35" fillId="32" borderId="3" xfId="0" applyFont="1" applyFill="1" applyBorder="1" applyAlignment="1"/>
    <xf numFmtId="1" fontId="0" fillId="10" borderId="26" xfId="0" applyNumberFormat="1" applyFill="1" applyBorder="1" applyAlignment="1" applyProtection="1">
      <protection locked="0"/>
    </xf>
    <xf numFmtId="0" fontId="35" fillId="10" borderId="28" xfId="0" applyFont="1" applyFill="1" applyBorder="1" applyAlignment="1"/>
    <xf numFmtId="3" fontId="8" fillId="7" borderId="1" xfId="0" applyNumberFormat="1" applyFont="1" applyFill="1" applyBorder="1" applyAlignment="1">
      <alignment horizontal="center"/>
    </xf>
    <xf numFmtId="3" fontId="154" fillId="7" borderId="2" xfId="0" applyNumberFormat="1" applyFont="1" applyFill="1" applyBorder="1" applyAlignment="1">
      <alignment horizontal="center"/>
    </xf>
    <xf numFmtId="3" fontId="9" fillId="7" borderId="2" xfId="0" applyNumberFormat="1" applyFont="1" applyFill="1" applyBorder="1" applyAlignment="1">
      <alignment horizontal="right"/>
    </xf>
    <xf numFmtId="3" fontId="9" fillId="7" borderId="3" xfId="0" applyNumberFormat="1" applyFont="1" applyFill="1" applyBorder="1" applyAlignment="1">
      <alignment horizontal="left"/>
    </xf>
    <xf numFmtId="0" fontId="75" fillId="10" borderId="58" xfId="0" applyFont="1" applyFill="1" applyBorder="1" applyAlignment="1" applyProtection="1">
      <protection locked="0"/>
    </xf>
    <xf numFmtId="0" fontId="9" fillId="34" borderId="1" xfId="0" applyFont="1" applyFill="1" applyBorder="1" applyAlignment="1"/>
    <xf numFmtId="0" fontId="9" fillId="0" borderId="1" xfId="0" applyFont="1" applyBorder="1" applyAlignment="1"/>
    <xf numFmtId="0" fontId="0" fillId="0" borderId="3" xfId="0" applyBorder="1" applyAlignment="1"/>
    <xf numFmtId="0" fontId="0" fillId="36" borderId="0" xfId="0" applyFill="1">
      <alignment vertical="center"/>
    </xf>
    <xf numFmtId="0" fontId="0" fillId="36" borderId="0" xfId="0" applyFill="1" applyAlignment="1">
      <alignment horizontal="right" vertical="center"/>
    </xf>
    <xf numFmtId="0" fontId="0" fillId="36" borderId="0" xfId="0" applyFill="1" applyAlignment="1">
      <alignment horizontal="left" vertical="center"/>
    </xf>
    <xf numFmtId="0" fontId="59" fillId="36" borderId="0" xfId="0" applyFont="1" applyFill="1">
      <alignment vertical="center"/>
    </xf>
    <xf numFmtId="0" fontId="50" fillId="36" borderId="0" xfId="0" applyFont="1" applyFill="1" applyAlignment="1"/>
    <xf numFmtId="0" fontId="53" fillId="36" borderId="0" xfId="0" applyFont="1" applyFill="1" applyAlignment="1">
      <alignment horizontal="right"/>
    </xf>
    <xf numFmtId="3" fontId="1" fillId="36" borderId="0" xfId="0" applyNumberFormat="1" applyFont="1" applyFill="1" applyAlignment="1">
      <alignment horizontal="center" vertical="center"/>
    </xf>
    <xf numFmtId="3" fontId="1" fillId="36" borderId="0" xfId="0" applyNumberFormat="1" applyFont="1" applyFill="1">
      <alignment vertical="center"/>
    </xf>
    <xf numFmtId="0" fontId="54" fillId="36" borderId="0" xfId="0" applyFont="1" applyFill="1" applyAlignment="1"/>
    <xf numFmtId="0" fontId="55" fillId="36" borderId="13" xfId="0" applyFont="1" applyFill="1" applyBorder="1" applyAlignment="1">
      <alignment wrapText="1"/>
    </xf>
    <xf numFmtId="0" fontId="55" fillId="36" borderId="14" xfId="0" applyFont="1" applyFill="1" applyBorder="1" applyAlignment="1">
      <alignment wrapText="1"/>
    </xf>
    <xf numFmtId="0" fontId="55" fillId="36" borderId="15" xfId="0" applyFont="1" applyFill="1" applyBorder="1" applyAlignment="1">
      <alignment wrapText="1"/>
    </xf>
    <xf numFmtId="0" fontId="55" fillId="36" borderId="0" xfId="0" applyFont="1" applyFill="1" applyAlignment="1">
      <alignment wrapText="1"/>
    </xf>
    <xf numFmtId="3" fontId="58" fillId="36" borderId="13" xfId="0" applyNumberFormat="1" applyFont="1" applyFill="1" applyBorder="1" applyAlignment="1">
      <alignment horizontal="right"/>
    </xf>
    <xf numFmtId="0" fontId="60" fillId="36" borderId="15" xfId="0" applyFont="1" applyFill="1" applyBorder="1" applyAlignment="1">
      <alignment horizontal="left" vertical="center"/>
    </xf>
    <xf numFmtId="0" fontId="12" fillId="36" borderId="0" xfId="0" applyFont="1" applyFill="1" applyAlignment="1"/>
    <xf numFmtId="3" fontId="10" fillId="36" borderId="0" xfId="0" applyNumberFormat="1" applyFont="1" applyFill="1" applyAlignment="1">
      <alignment horizontal="center" vertical="center"/>
    </xf>
    <xf numFmtId="4" fontId="58" fillId="36" borderId="13" xfId="0" applyNumberFormat="1" applyFont="1" applyFill="1" applyBorder="1" applyAlignment="1">
      <alignment horizontal="right"/>
    </xf>
    <xf numFmtId="0" fontId="0" fillId="36" borderId="2" xfId="0" applyFill="1" applyBorder="1">
      <alignment vertical="center"/>
    </xf>
    <xf numFmtId="0" fontId="59" fillId="36" borderId="2" xfId="0" applyFont="1" applyFill="1" applyBorder="1">
      <alignment vertical="center"/>
    </xf>
    <xf numFmtId="0" fontId="0" fillId="36" borderId="3" xfId="0" applyFill="1" applyBorder="1">
      <alignment vertical="center"/>
    </xf>
    <xf numFmtId="0" fontId="55" fillId="36" borderId="13" xfId="0" applyFont="1" applyFill="1" applyBorder="1" applyAlignment="1"/>
    <xf numFmtId="0" fontId="55" fillId="36" borderId="14" xfId="0" applyFont="1" applyFill="1" applyBorder="1" applyAlignment="1"/>
    <xf numFmtId="0" fontId="55" fillId="36" borderId="15" xfId="0" applyFont="1" applyFill="1" applyBorder="1" applyAlignment="1"/>
    <xf numFmtId="0" fontId="55" fillId="36" borderId="0" xfId="0" applyFont="1" applyFill="1" applyAlignment="1"/>
    <xf numFmtId="3" fontId="56" fillId="36" borderId="13" xfId="0" applyNumberFormat="1" applyFont="1" applyFill="1" applyBorder="1" applyAlignment="1" applyProtection="1">
      <alignment horizontal="right"/>
      <protection locked="0"/>
    </xf>
    <xf numFmtId="0" fontId="35" fillId="36" borderId="15" xfId="0" applyFont="1" applyFill="1" applyBorder="1" applyAlignment="1">
      <alignment horizontal="left" vertical="center"/>
    </xf>
    <xf numFmtId="0" fontId="55" fillId="36" borderId="13" xfId="0" applyFont="1" applyFill="1" applyBorder="1" applyAlignment="1">
      <alignment horizontal="left" wrapText="1"/>
    </xf>
    <xf numFmtId="0" fontId="55" fillId="36" borderId="14" xfId="0" applyFont="1" applyFill="1" applyBorder="1" applyAlignment="1">
      <alignment horizontal="right" wrapText="1"/>
    </xf>
    <xf numFmtId="3" fontId="56" fillId="36" borderId="13" xfId="0" applyNumberFormat="1" applyFont="1" applyFill="1" applyBorder="1" applyAlignment="1">
      <alignment horizontal="right"/>
    </xf>
    <xf numFmtId="0" fontId="103" fillId="32" borderId="1" xfId="0" applyFont="1" applyFill="1" applyBorder="1">
      <alignment vertical="center"/>
    </xf>
    <xf numFmtId="0" fontId="0" fillId="32" borderId="2" xfId="0" applyFill="1" applyBorder="1" applyAlignment="1">
      <alignment horizontal="right" vertical="center"/>
    </xf>
    <xf numFmtId="0" fontId="0" fillId="32" borderId="3" xfId="0" applyFill="1" applyBorder="1" applyAlignment="1">
      <alignment horizontal="left" vertical="center"/>
    </xf>
    <xf numFmtId="0" fontId="26" fillId="10" borderId="1" xfId="0" applyFont="1" applyFill="1" applyBorder="1">
      <alignment vertical="center"/>
    </xf>
    <xf numFmtId="165" fontId="155" fillId="10" borderId="3" xfId="0" applyNumberFormat="1" applyFont="1" applyFill="1" applyBorder="1" applyAlignment="1" applyProtection="1">
      <alignment horizontal="center" vertical="center"/>
      <protection locked="0"/>
    </xf>
    <xf numFmtId="0" fontId="49" fillId="10" borderId="21" xfId="0" applyFont="1" applyFill="1" applyBorder="1" applyAlignment="1">
      <alignment horizontal="left"/>
    </xf>
    <xf numFmtId="0" fontId="59" fillId="32" borderId="2" xfId="0" applyFont="1" applyFill="1" applyBorder="1">
      <alignment vertical="center"/>
    </xf>
    <xf numFmtId="3" fontId="58" fillId="36" borderId="0" xfId="0" applyNumberFormat="1" applyFont="1" applyFill="1" applyAlignment="1">
      <alignment horizontal="right"/>
    </xf>
    <xf numFmtId="0" fontId="60" fillId="36" borderId="0" xfId="0" applyFont="1" applyFill="1" applyAlignment="1">
      <alignment horizontal="left" vertical="center"/>
    </xf>
    <xf numFmtId="3" fontId="58" fillId="36" borderId="38" xfId="0" applyNumberFormat="1" applyFont="1" applyFill="1" applyBorder="1" applyAlignment="1">
      <alignment horizontal="right"/>
    </xf>
    <xf numFmtId="0" fontId="60" fillId="36" borderId="40" xfId="0" applyFont="1" applyFill="1" applyBorder="1" applyAlignment="1">
      <alignment horizontal="left" vertical="center"/>
    </xf>
    <xf numFmtId="3" fontId="49" fillId="36" borderId="13" xfId="0" applyNumberFormat="1" applyFont="1" applyFill="1" applyBorder="1" applyAlignment="1">
      <alignment horizontal="right"/>
    </xf>
    <xf numFmtId="0" fontId="0" fillId="49" borderId="0" xfId="0" applyFill="1">
      <alignment vertical="center"/>
    </xf>
    <xf numFmtId="0" fontId="59" fillId="49" borderId="0" xfId="0" applyFont="1" applyFill="1">
      <alignment vertical="center"/>
    </xf>
    <xf numFmtId="0" fontId="0" fillId="49" borderId="0" xfId="0" applyFill="1" applyAlignment="1">
      <alignment horizontal="right" vertical="center"/>
    </xf>
    <xf numFmtId="168" fontId="0" fillId="49" borderId="0" xfId="0" applyNumberFormat="1" applyFill="1">
      <alignment vertical="center"/>
    </xf>
    <xf numFmtId="0" fontId="160" fillId="49" borderId="0" xfId="0" applyFont="1" applyFill="1">
      <alignment vertical="center"/>
    </xf>
    <xf numFmtId="0" fontId="159" fillId="49" borderId="0" xfId="0" applyFont="1" applyFill="1">
      <alignment vertical="center"/>
    </xf>
    <xf numFmtId="0" fontId="158" fillId="49" borderId="0" xfId="0" applyFont="1" applyFill="1">
      <alignment vertical="center"/>
    </xf>
    <xf numFmtId="0" fontId="101" fillId="10" borderId="13" xfId="0" applyFont="1" applyFill="1" applyBorder="1" applyProtection="1">
      <alignment vertical="center"/>
      <protection locked="0"/>
    </xf>
    <xf numFmtId="0" fontId="35" fillId="10" borderId="15" xfId="0" applyFont="1" applyFill="1" applyBorder="1">
      <alignment vertical="center"/>
    </xf>
    <xf numFmtId="0" fontId="162" fillId="49" borderId="0" xfId="0" applyFont="1" applyFill="1">
      <alignment vertical="center"/>
    </xf>
    <xf numFmtId="0" fontId="90" fillId="49" borderId="0" xfId="0" applyFont="1" applyFill="1">
      <alignment vertical="center"/>
    </xf>
    <xf numFmtId="169" fontId="90" fillId="49" borderId="0" xfId="0" applyNumberFormat="1" applyFont="1" applyFill="1">
      <alignment vertical="center"/>
    </xf>
    <xf numFmtId="0" fontId="90" fillId="49" borderId="17" xfId="0" applyFont="1" applyFill="1" applyBorder="1">
      <alignment vertical="center"/>
    </xf>
    <xf numFmtId="168" fontId="90" fillId="49" borderId="0" xfId="0" applyNumberFormat="1" applyFont="1" applyFill="1">
      <alignment vertical="center"/>
    </xf>
    <xf numFmtId="0" fontId="161" fillId="49" borderId="18" xfId="0" applyFont="1" applyFill="1" applyBorder="1">
      <alignment vertical="center"/>
    </xf>
    <xf numFmtId="0" fontId="90" fillId="49" borderId="18" xfId="0" applyFont="1" applyFill="1" applyBorder="1">
      <alignment vertical="center"/>
    </xf>
    <xf numFmtId="0" fontId="90" fillId="49" borderId="0" xfId="0" applyFont="1" applyFill="1" applyAlignment="1">
      <alignment horizontal="right" vertical="center"/>
    </xf>
    <xf numFmtId="0" fontId="90" fillId="49" borderId="38" xfId="0" applyFont="1" applyFill="1" applyBorder="1">
      <alignment vertical="center"/>
    </xf>
    <xf numFmtId="0" fontId="90" fillId="49" borderId="39" xfId="0" applyFont="1" applyFill="1" applyBorder="1">
      <alignment vertical="center"/>
    </xf>
    <xf numFmtId="0" fontId="161" fillId="49" borderId="39" xfId="0" applyFont="1" applyFill="1" applyBorder="1">
      <alignment vertical="center"/>
    </xf>
    <xf numFmtId="0" fontId="90" fillId="49" borderId="40" xfId="0" applyFont="1" applyFill="1" applyBorder="1">
      <alignment vertical="center"/>
    </xf>
    <xf numFmtId="0" fontId="161" fillId="49" borderId="0" xfId="0" applyFont="1" applyFill="1">
      <alignment vertical="center"/>
    </xf>
    <xf numFmtId="0" fontId="90" fillId="49" borderId="19" xfId="0" applyFont="1" applyFill="1" applyBorder="1">
      <alignment vertical="center"/>
    </xf>
    <xf numFmtId="0" fontId="90" fillId="49" borderId="20" xfId="0" applyFont="1" applyFill="1" applyBorder="1" applyAlignment="1">
      <alignment horizontal="right" vertical="center"/>
    </xf>
    <xf numFmtId="0" fontId="90" fillId="49" borderId="20" xfId="0" applyFont="1" applyFill="1" applyBorder="1">
      <alignment vertical="center"/>
    </xf>
    <xf numFmtId="168" fontId="90" fillId="49" borderId="20" xfId="0" applyNumberFormat="1" applyFont="1" applyFill="1" applyBorder="1">
      <alignment vertical="center"/>
    </xf>
    <xf numFmtId="0" fontId="90" fillId="49" borderId="21" xfId="0" applyFont="1" applyFill="1" applyBorder="1">
      <alignment vertical="center"/>
    </xf>
    <xf numFmtId="0" fontId="9" fillId="49" borderId="0" xfId="0" applyFont="1" applyFill="1" applyAlignment="1">
      <alignment horizontal="right" vertical="center"/>
    </xf>
    <xf numFmtId="0" fontId="1" fillId="49" borderId="0" xfId="0" applyFont="1" applyFill="1" applyAlignment="1">
      <alignment horizontal="right" vertical="center"/>
    </xf>
    <xf numFmtId="0" fontId="12" fillId="15" borderId="3" xfId="0" applyFont="1" applyFill="1" applyBorder="1" applyAlignment="1">
      <alignment horizontal="left"/>
    </xf>
    <xf numFmtId="165" fontId="12" fillId="15" borderId="1" xfId="0" applyNumberFormat="1" applyFont="1" applyFill="1" applyBorder="1" applyAlignment="1">
      <alignment horizontal="right"/>
    </xf>
    <xf numFmtId="0" fontId="164" fillId="15" borderId="1" xfId="0" applyFont="1" applyFill="1" applyBorder="1" applyAlignment="1">
      <alignment horizontal="right"/>
    </xf>
    <xf numFmtId="0" fontId="12" fillId="10" borderId="24" xfId="0" applyFont="1" applyFill="1" applyBorder="1" applyAlignment="1" applyProtection="1">
      <alignment horizontal="center"/>
      <protection locked="0"/>
    </xf>
    <xf numFmtId="0" fontId="12" fillId="15" borderId="63" xfId="0" applyFont="1" applyFill="1" applyBorder="1" applyAlignment="1">
      <alignment horizontal="center"/>
    </xf>
    <xf numFmtId="0" fontId="12" fillId="15" borderId="2" xfId="0" applyFont="1" applyFill="1" applyBorder="1" applyAlignment="1">
      <alignment horizontal="left"/>
    </xf>
    <xf numFmtId="0" fontId="60" fillId="15" borderId="58" xfId="0" applyFont="1" applyFill="1" applyBorder="1" applyAlignment="1">
      <alignment horizontal="center"/>
    </xf>
    <xf numFmtId="0" fontId="60" fillId="15" borderId="2" xfId="0" applyFont="1" applyFill="1" applyBorder="1" applyAlignment="1">
      <alignment horizontal="center"/>
    </xf>
    <xf numFmtId="1" fontId="12" fillId="15" borderId="2" xfId="0" applyNumberFormat="1" applyFont="1" applyFill="1" applyBorder="1" applyAlignment="1">
      <alignment horizontal="right"/>
    </xf>
    <xf numFmtId="165" fontId="12" fillId="15" borderId="63" xfId="0" applyNumberFormat="1" applyFont="1" applyFill="1" applyBorder="1" applyAlignment="1">
      <alignment horizontal="center"/>
    </xf>
    <xf numFmtId="0" fontId="12" fillId="15" borderId="58" xfId="0" applyFont="1" applyFill="1" applyBorder="1" applyAlignment="1">
      <alignment horizontal="center"/>
    </xf>
    <xf numFmtId="0" fontId="12" fillId="18" borderId="0" xfId="0" applyFont="1" applyFill="1" applyAlignment="1">
      <alignment horizontal="center"/>
    </xf>
    <xf numFmtId="0" fontId="12" fillId="16" borderId="0" xfId="0" applyFont="1" applyFill="1" applyAlignment="1"/>
    <xf numFmtId="165" fontId="12" fillId="16" borderId="0" xfId="0" applyNumberFormat="1" applyFont="1" applyFill="1" applyAlignment="1">
      <alignment horizontal="center"/>
    </xf>
    <xf numFmtId="1" fontId="12" fillId="17" borderId="0" xfId="0" applyNumberFormat="1" applyFont="1" applyFill="1" applyAlignment="1"/>
    <xf numFmtId="0" fontId="12" fillId="17" borderId="0" xfId="0" applyFont="1" applyFill="1" applyAlignment="1"/>
    <xf numFmtId="165" fontId="12" fillId="16" borderId="0" xfId="0" applyNumberFormat="1" applyFont="1" applyFill="1" applyAlignment="1"/>
    <xf numFmtId="0" fontId="12" fillId="15" borderId="23" xfId="0" applyFont="1" applyFill="1" applyBorder="1" applyAlignment="1">
      <alignment horizontal="right"/>
    </xf>
    <xf numFmtId="165" fontId="12" fillId="15" borderId="23" xfId="0" applyNumberFormat="1" applyFont="1" applyFill="1" applyBorder="1" applyAlignment="1">
      <alignment horizontal="center"/>
    </xf>
    <xf numFmtId="1" fontId="12" fillId="15" borderId="23" xfId="0" applyNumberFormat="1" applyFont="1" applyFill="1" applyBorder="1" applyAlignment="1"/>
    <xf numFmtId="165" fontId="12" fillId="15" borderId="23" xfId="0" applyNumberFormat="1" applyFont="1" applyFill="1" applyBorder="1" applyAlignment="1"/>
    <xf numFmtId="0" fontId="12" fillId="26" borderId="0" xfId="0" applyFont="1" applyFill="1" applyAlignment="1">
      <alignment horizontal="center"/>
    </xf>
    <xf numFmtId="0" fontId="162" fillId="25" borderId="0" xfId="0" applyFont="1" applyFill="1">
      <alignment vertical="center"/>
    </xf>
    <xf numFmtId="0" fontId="9" fillId="25" borderId="0" xfId="0" applyFont="1" applyFill="1" applyAlignment="1">
      <alignment horizontal="right" vertical="center"/>
    </xf>
    <xf numFmtId="0" fontId="1" fillId="25" borderId="0" xfId="0" applyFont="1" applyFill="1" applyAlignment="1">
      <alignment horizontal="right" vertical="center"/>
    </xf>
    <xf numFmtId="0" fontId="164" fillId="49" borderId="0" xfId="0" applyFont="1" applyFill="1">
      <alignment vertical="center"/>
    </xf>
    <xf numFmtId="0" fontId="160" fillId="49" borderId="22" xfId="0" applyFont="1" applyFill="1" applyBorder="1">
      <alignment vertical="center"/>
    </xf>
    <xf numFmtId="0" fontId="0" fillId="49" borderId="23" xfId="0" applyFill="1" applyBorder="1">
      <alignment vertical="center"/>
    </xf>
    <xf numFmtId="0" fontId="164" fillId="49" borderId="23" xfId="0" applyFont="1" applyFill="1" applyBorder="1">
      <alignment vertical="center"/>
    </xf>
    <xf numFmtId="0" fontId="0" fillId="49" borderId="24" xfId="0" applyFill="1" applyBorder="1">
      <alignment vertical="center"/>
    </xf>
    <xf numFmtId="0" fontId="160" fillId="49" borderId="25" xfId="0" applyFont="1" applyFill="1" applyBorder="1">
      <alignment vertical="center"/>
    </xf>
    <xf numFmtId="0" fontId="0" fillId="49" borderId="16" xfId="0" applyFill="1" applyBorder="1">
      <alignment vertical="center"/>
    </xf>
    <xf numFmtId="0" fontId="0" fillId="49" borderId="25" xfId="0" applyFill="1" applyBorder="1">
      <alignment vertical="center"/>
    </xf>
    <xf numFmtId="0" fontId="0" fillId="49" borderId="26" xfId="0" applyFill="1" applyBorder="1">
      <alignment vertical="center"/>
    </xf>
    <xf numFmtId="0" fontId="0" fillId="49" borderId="27" xfId="0" applyFill="1" applyBorder="1">
      <alignment vertical="center"/>
    </xf>
    <xf numFmtId="0" fontId="0" fillId="49" borderId="28" xfId="0" applyFill="1" applyBorder="1">
      <alignment vertical="center"/>
    </xf>
    <xf numFmtId="0" fontId="161" fillId="49" borderId="38" xfId="0" applyFont="1" applyFill="1" applyBorder="1">
      <alignment vertical="center"/>
    </xf>
    <xf numFmtId="1" fontId="0" fillId="49" borderId="39" xfId="0" applyNumberFormat="1" applyFill="1" applyBorder="1">
      <alignment vertical="center"/>
    </xf>
    <xf numFmtId="0" fontId="59" fillId="49" borderId="39" xfId="0" applyFont="1" applyFill="1" applyBorder="1">
      <alignment vertical="center"/>
    </xf>
    <xf numFmtId="0" fontId="0" fillId="49" borderId="39" xfId="0" applyFill="1" applyBorder="1">
      <alignment vertical="center"/>
    </xf>
    <xf numFmtId="169" fontId="90" fillId="49" borderId="39" xfId="0" applyNumberFormat="1" applyFont="1" applyFill="1" applyBorder="1">
      <alignment vertical="center"/>
    </xf>
    <xf numFmtId="0" fontId="0" fillId="49" borderId="40" xfId="0" applyFill="1" applyBorder="1">
      <alignment vertical="center"/>
    </xf>
    <xf numFmtId="0" fontId="59" fillId="49" borderId="18" xfId="0" applyFont="1" applyFill="1" applyBorder="1" applyAlignment="1">
      <alignment horizontal="right" vertical="center"/>
    </xf>
    <xf numFmtId="165" fontId="0" fillId="49" borderId="0" xfId="0" applyNumberFormat="1" applyFill="1">
      <alignment vertical="center"/>
    </xf>
    <xf numFmtId="0" fontId="167" fillId="49" borderId="19" xfId="0" applyFont="1" applyFill="1" applyBorder="1" applyAlignment="1">
      <alignment horizontal="right" vertical="center"/>
    </xf>
    <xf numFmtId="0" fontId="59" fillId="49" borderId="20" xfId="0" applyFont="1" applyFill="1" applyBorder="1">
      <alignment vertical="center"/>
    </xf>
    <xf numFmtId="0" fontId="0" fillId="49" borderId="20" xfId="0" applyFill="1" applyBorder="1">
      <alignment vertical="center"/>
    </xf>
    <xf numFmtId="0" fontId="162" fillId="49" borderId="16" xfId="0" applyFont="1" applyFill="1" applyBorder="1">
      <alignment vertical="center"/>
    </xf>
    <xf numFmtId="0" fontId="35" fillId="10" borderId="13" xfId="0" applyFont="1" applyFill="1" applyBorder="1" applyProtection="1">
      <alignment vertical="center"/>
      <protection locked="0"/>
    </xf>
    <xf numFmtId="2" fontId="0" fillId="49" borderId="20" xfId="0" applyNumberFormat="1" applyFill="1" applyBorder="1">
      <alignment vertical="center"/>
    </xf>
    <xf numFmtId="0" fontId="59" fillId="35" borderId="7" xfId="0" applyFont="1" applyFill="1" applyBorder="1">
      <alignment vertical="center"/>
    </xf>
    <xf numFmtId="0" fontId="0" fillId="35" borderId="8" xfId="0" applyFill="1" applyBorder="1">
      <alignment vertical="center"/>
    </xf>
    <xf numFmtId="0" fontId="0" fillId="35" borderId="9" xfId="0" applyFill="1" applyBorder="1">
      <alignment vertical="center"/>
    </xf>
    <xf numFmtId="0" fontId="59" fillId="54" borderId="7" xfId="0" applyFont="1" applyFill="1" applyBorder="1">
      <alignment vertical="center"/>
    </xf>
    <xf numFmtId="0" fontId="0" fillId="54" borderId="8" xfId="0" applyFill="1" applyBorder="1">
      <alignment vertical="center"/>
    </xf>
    <xf numFmtId="0" fontId="0" fillId="54" borderId="9" xfId="0" applyFill="1" applyBorder="1">
      <alignment vertical="center"/>
    </xf>
    <xf numFmtId="0" fontId="59" fillId="54" borderId="10" xfId="0" applyFont="1" applyFill="1" applyBorder="1">
      <alignment vertical="center"/>
    </xf>
    <xf numFmtId="0" fontId="0" fillId="54" borderId="11" xfId="0" applyFill="1" applyBorder="1">
      <alignment vertical="center"/>
    </xf>
    <xf numFmtId="0" fontId="0" fillId="54" borderId="12" xfId="0" applyFill="1" applyBorder="1">
      <alignment vertical="center"/>
    </xf>
    <xf numFmtId="0" fontId="0" fillId="35" borderId="42" xfId="0" applyFill="1" applyBorder="1">
      <alignment vertical="center"/>
    </xf>
    <xf numFmtId="0" fontId="59" fillId="42" borderId="42" xfId="0" applyFont="1" applyFill="1" applyBorder="1" applyAlignment="1">
      <alignment horizontal="center" vertical="center"/>
    </xf>
    <xf numFmtId="0" fontId="59" fillId="35" borderId="46" xfId="0" applyFont="1" applyFill="1" applyBorder="1">
      <alignment vertical="center"/>
    </xf>
    <xf numFmtId="0" fontId="0" fillId="35" borderId="51" xfId="0" applyFill="1" applyBorder="1">
      <alignment vertical="center"/>
    </xf>
    <xf numFmtId="0" fontId="59" fillId="54" borderId="64" xfId="0" applyFont="1" applyFill="1" applyBorder="1">
      <alignment vertical="center"/>
    </xf>
    <xf numFmtId="0" fontId="0" fillId="54" borderId="62" xfId="0" applyFill="1" applyBorder="1">
      <alignment vertical="center"/>
    </xf>
    <xf numFmtId="0" fontId="0" fillId="54" borderId="65" xfId="0" applyFill="1" applyBorder="1">
      <alignment vertical="center"/>
    </xf>
    <xf numFmtId="0" fontId="35" fillId="42" borderId="43" xfId="0" applyFont="1" applyFill="1" applyBorder="1">
      <alignment vertical="center"/>
    </xf>
    <xf numFmtId="0" fontId="35" fillId="42" borderId="44" xfId="0" applyFont="1" applyFill="1" applyBorder="1" applyAlignment="1">
      <alignment horizontal="center" vertical="center" wrapText="1"/>
    </xf>
    <xf numFmtId="0" fontId="35" fillId="42" borderId="66" xfId="0" applyFont="1" applyFill="1" applyBorder="1" applyAlignment="1">
      <alignment horizontal="center" vertical="center" wrapText="1"/>
    </xf>
    <xf numFmtId="0" fontId="0" fillId="42" borderId="46" xfId="0" applyFill="1" applyBorder="1">
      <alignment vertical="center"/>
    </xf>
    <xf numFmtId="0" fontId="59" fillId="42" borderId="51" xfId="0" applyFont="1" applyFill="1" applyBorder="1" applyAlignment="1">
      <alignment horizontal="center" vertical="center"/>
    </xf>
    <xf numFmtId="0" fontId="59" fillId="42" borderId="44" xfId="0" applyFont="1" applyFill="1" applyBorder="1" applyAlignment="1">
      <alignment horizontal="center" vertical="center" wrapText="1"/>
    </xf>
    <xf numFmtId="0" fontId="59" fillId="42" borderId="66" xfId="0" applyFont="1" applyFill="1" applyBorder="1" applyAlignment="1">
      <alignment horizontal="center" vertical="center" wrapText="1"/>
    </xf>
    <xf numFmtId="49" fontId="59" fillId="42" borderId="46" xfId="0" applyNumberFormat="1" applyFont="1" applyFill="1" applyBorder="1" applyAlignment="1">
      <alignment horizontal="center" vertical="center"/>
    </xf>
    <xf numFmtId="0" fontId="35" fillId="39" borderId="43" xfId="0" applyFont="1" applyFill="1" applyBorder="1">
      <alignment vertical="center"/>
    </xf>
    <xf numFmtId="0" fontId="35" fillId="39" borderId="44" xfId="0" applyFont="1" applyFill="1" applyBorder="1" applyAlignment="1">
      <alignment horizontal="center" vertical="center" wrapText="1"/>
    </xf>
    <xf numFmtId="0" fontId="35" fillId="39" borderId="66" xfId="0" applyFont="1" applyFill="1" applyBorder="1" applyAlignment="1">
      <alignment horizontal="center" vertical="center" wrapText="1"/>
    </xf>
    <xf numFmtId="0" fontId="59" fillId="39" borderId="42" xfId="0" applyFont="1" applyFill="1" applyBorder="1" applyAlignment="1">
      <alignment horizontal="center" vertical="center"/>
    </xf>
    <xf numFmtId="0" fontId="59" fillId="39" borderId="51" xfId="0" applyFont="1" applyFill="1" applyBorder="1" applyAlignment="1">
      <alignment horizontal="center" vertical="center"/>
    </xf>
    <xf numFmtId="0" fontId="59" fillId="42" borderId="43" xfId="0" applyFont="1" applyFill="1" applyBorder="1">
      <alignment vertical="center"/>
    </xf>
    <xf numFmtId="49" fontId="35" fillId="42" borderId="46" xfId="0" applyNumberFormat="1" applyFont="1" applyFill="1" applyBorder="1" applyAlignment="1">
      <alignment horizontal="center" vertical="center"/>
    </xf>
    <xf numFmtId="49" fontId="35" fillId="39" borderId="46" xfId="0" applyNumberFormat="1" applyFont="1" applyFill="1" applyBorder="1" applyAlignment="1">
      <alignment horizontal="center" vertical="center"/>
    </xf>
    <xf numFmtId="0" fontId="59" fillId="35" borderId="0" xfId="0" applyFont="1" applyFill="1">
      <alignment vertical="center"/>
    </xf>
    <xf numFmtId="0" fontId="0" fillId="35" borderId="0" xfId="0" applyFill="1">
      <alignment vertical="center"/>
    </xf>
    <xf numFmtId="0" fontId="101" fillId="42" borderId="1" xfId="0" applyFont="1" applyFill="1" applyBorder="1">
      <alignment vertical="center"/>
    </xf>
    <xf numFmtId="0" fontId="101" fillId="42" borderId="3" xfId="0" applyFont="1" applyFill="1" applyBorder="1">
      <alignment vertical="center"/>
    </xf>
    <xf numFmtId="0" fontId="90" fillId="10" borderId="3" xfId="0" applyFont="1" applyFill="1" applyBorder="1">
      <alignment vertical="center"/>
    </xf>
    <xf numFmtId="0" fontId="90" fillId="10" borderId="1" xfId="0" applyFont="1" applyFill="1" applyBorder="1" applyProtection="1">
      <alignment vertical="center"/>
      <protection locked="0"/>
    </xf>
    <xf numFmtId="0" fontId="101" fillId="10" borderId="2" xfId="0" applyFont="1" applyFill="1" applyBorder="1" applyProtection="1">
      <alignment vertical="center"/>
      <protection locked="0"/>
    </xf>
    <xf numFmtId="0" fontId="12" fillId="35" borderId="0" xfId="0" applyFont="1" applyFill="1" applyAlignment="1"/>
    <xf numFmtId="0" fontId="162" fillId="35" borderId="0" xfId="0" applyFont="1" applyFill="1">
      <alignment vertical="center"/>
    </xf>
    <xf numFmtId="0" fontId="9" fillId="35" borderId="0" xfId="0" applyFont="1" applyFill="1" applyAlignment="1">
      <alignment horizontal="right" vertical="center"/>
    </xf>
    <xf numFmtId="0" fontId="1" fillId="35" borderId="0" xfId="0" applyFont="1" applyFill="1" applyAlignment="1">
      <alignment horizontal="right" vertical="center"/>
    </xf>
    <xf numFmtId="0" fontId="155" fillId="2" borderId="0" xfId="0" applyFont="1" applyFill="1" applyAlignment="1">
      <alignment horizontal="center"/>
    </xf>
    <xf numFmtId="0" fontId="26" fillId="2" borderId="0" xfId="0" applyFont="1" applyFill="1" applyAlignment="1"/>
    <xf numFmtId="0" fontId="155" fillId="2" borderId="0" xfId="0" applyFont="1" applyFill="1" applyAlignment="1">
      <alignment horizontal="right"/>
    </xf>
    <xf numFmtId="0" fontId="77" fillId="33" borderId="9" xfId="0" applyFont="1" applyFill="1" applyBorder="1">
      <alignment vertical="center"/>
    </xf>
    <xf numFmtId="0" fontId="77" fillId="33" borderId="12" xfId="0" applyFont="1" applyFill="1" applyBorder="1">
      <alignment vertical="center"/>
    </xf>
    <xf numFmtId="0" fontId="117" fillId="0" borderId="8" xfId="5" applyBorder="1" applyAlignment="1">
      <alignment horizontal="center" vertical="center"/>
    </xf>
    <xf numFmtId="12" fontId="117" fillId="0" borderId="8" xfId="5" applyNumberFormat="1" applyBorder="1" applyAlignment="1">
      <alignment horizontal="center" vertical="center"/>
    </xf>
    <xf numFmtId="170" fontId="117" fillId="0" borderId="8" xfId="5" applyNumberFormat="1" applyBorder="1" applyAlignment="1">
      <alignment vertical="center"/>
    </xf>
    <xf numFmtId="171" fontId="117" fillId="0" borderId="8" xfId="5" applyNumberFormat="1" applyBorder="1" applyAlignment="1">
      <alignment vertical="center"/>
    </xf>
    <xf numFmtId="172" fontId="117" fillId="0" borderId="8" xfId="5" applyNumberFormat="1" applyBorder="1" applyAlignment="1">
      <alignment vertical="center"/>
    </xf>
    <xf numFmtId="0" fontId="172" fillId="2" borderId="0" xfId="0" applyFont="1" applyFill="1" applyAlignment="1"/>
    <xf numFmtId="0" fontId="171" fillId="2" borderId="0" xfId="0" applyFont="1" applyFill="1" applyAlignment="1"/>
    <xf numFmtId="0" fontId="173" fillId="2" borderId="0" xfId="0" applyFont="1" applyFill="1" applyAlignment="1"/>
    <xf numFmtId="0" fontId="76" fillId="33" borderId="0" xfId="0" applyFont="1" applyFill="1" applyAlignment="1"/>
    <xf numFmtId="0" fontId="76" fillId="33" borderId="0" xfId="0" applyFont="1" applyFill="1" applyAlignment="1">
      <alignment horizontal="center"/>
    </xf>
    <xf numFmtId="0" fontId="76" fillId="33" borderId="0" xfId="0" applyFont="1" applyFill="1">
      <alignment vertical="center"/>
    </xf>
    <xf numFmtId="0" fontId="77" fillId="33" borderId="0" xfId="0" applyFont="1" applyFill="1">
      <alignment vertical="center"/>
    </xf>
    <xf numFmtId="0" fontId="154" fillId="33" borderId="54" xfId="0" applyFont="1" applyFill="1" applyBorder="1">
      <alignment vertical="center"/>
    </xf>
    <xf numFmtId="0" fontId="77" fillId="33" borderId="67" xfId="0" applyFont="1" applyFill="1" applyBorder="1" applyAlignment="1">
      <alignment horizontal="center" vertical="center"/>
    </xf>
    <xf numFmtId="0" fontId="77" fillId="33" borderId="5" xfId="0" applyFont="1" applyFill="1" applyBorder="1" applyAlignment="1">
      <alignment horizontal="center" vertical="center"/>
    </xf>
    <xf numFmtId="0" fontId="77" fillId="33" borderId="6" xfId="0" applyFont="1" applyFill="1" applyBorder="1">
      <alignment vertical="center"/>
    </xf>
    <xf numFmtId="0" fontId="77" fillId="33" borderId="8" xfId="0" applyFont="1" applyFill="1" applyBorder="1" applyAlignment="1">
      <alignment horizontal="center" vertical="center"/>
    </xf>
    <xf numFmtId="0" fontId="154" fillId="33" borderId="56" xfId="0" applyFont="1" applyFill="1" applyBorder="1" applyAlignment="1">
      <alignment vertical="center" wrapText="1"/>
    </xf>
    <xf numFmtId="0" fontId="77" fillId="33" borderId="15" xfId="0" applyFont="1" applyFill="1" applyBorder="1" applyAlignment="1">
      <alignment horizontal="center" vertical="center" wrapText="1"/>
    </xf>
    <xf numFmtId="0" fontId="77" fillId="33" borderId="25" xfId="0" applyFont="1" applyFill="1" applyBorder="1" applyAlignment="1">
      <alignment vertical="center" wrapText="1"/>
    </xf>
    <xf numFmtId="0" fontId="77" fillId="33" borderId="17" xfId="0" applyFont="1" applyFill="1" applyBorder="1" applyAlignment="1">
      <alignment horizontal="center" vertical="center" wrapText="1"/>
    </xf>
    <xf numFmtId="0" fontId="77" fillId="33" borderId="25" xfId="0" applyFont="1" applyFill="1" applyBorder="1" applyAlignment="1">
      <alignment horizontal="left" vertical="center" wrapText="1"/>
    </xf>
    <xf numFmtId="0" fontId="154" fillId="33" borderId="56" xfId="0" applyFont="1" applyFill="1" applyBorder="1">
      <alignment vertical="center"/>
    </xf>
    <xf numFmtId="0" fontId="77" fillId="33" borderId="15" xfId="0" applyFont="1" applyFill="1" applyBorder="1" applyAlignment="1">
      <alignment horizontal="center" vertical="center"/>
    </xf>
    <xf numFmtId="0" fontId="77" fillId="33" borderId="11" xfId="0" applyFont="1" applyFill="1" applyBorder="1" applyAlignment="1">
      <alignment horizontal="center" vertical="center"/>
    </xf>
    <xf numFmtId="0" fontId="77" fillId="33" borderId="0" xfId="0" applyFont="1" applyFill="1" applyAlignment="1"/>
    <xf numFmtId="0" fontId="77" fillId="33" borderId="0" xfId="0" applyFont="1" applyFill="1" applyAlignment="1">
      <alignment horizontal="left"/>
    </xf>
    <xf numFmtId="0" fontId="77" fillId="33" borderId="0" xfId="0" applyFont="1" applyFill="1" applyAlignment="1">
      <alignment horizontal="center"/>
    </xf>
    <xf numFmtId="0" fontId="76" fillId="33" borderId="0" xfId="0" applyFont="1" applyFill="1" applyAlignment="1">
      <alignment horizontal="left"/>
    </xf>
    <xf numFmtId="0" fontId="77" fillId="33" borderId="0" xfId="0" applyFont="1" applyFill="1" applyAlignment="1">
      <alignment horizontal="center" vertical="center"/>
    </xf>
    <xf numFmtId="165" fontId="77" fillId="33" borderId="0" xfId="0" applyNumberFormat="1" applyFont="1" applyFill="1" applyAlignment="1">
      <alignment horizontal="center" vertical="center"/>
    </xf>
    <xf numFmtId="3" fontId="174" fillId="10" borderId="5" xfId="0" applyNumberFormat="1" applyFont="1" applyFill="1" applyBorder="1" applyAlignment="1" applyProtection="1">
      <alignment horizontal="center" vertical="center"/>
      <protection locked="0"/>
    </xf>
    <xf numFmtId="4" fontId="174" fillId="33" borderId="8" xfId="0" applyNumberFormat="1" applyFont="1" applyFill="1" applyBorder="1" applyAlignment="1">
      <alignment horizontal="center" vertical="center"/>
    </xf>
    <xf numFmtId="164" fontId="174" fillId="10" borderId="8" xfId="0" applyNumberFormat="1" applyFont="1" applyFill="1" applyBorder="1" applyAlignment="1" applyProtection="1">
      <alignment horizontal="center" vertical="center"/>
      <protection locked="0"/>
    </xf>
    <xf numFmtId="4" fontId="174" fillId="33" borderId="11" xfId="0" applyNumberFormat="1" applyFont="1" applyFill="1" applyBorder="1" applyAlignment="1">
      <alignment horizontal="center" vertical="center"/>
    </xf>
    <xf numFmtId="0" fontId="117" fillId="33" borderId="0" xfId="5" applyFill="1" applyAlignment="1">
      <alignment horizontal="center" vertical="center"/>
    </xf>
    <xf numFmtId="12" fontId="117" fillId="33" borderId="0" xfId="5" applyNumberFormat="1" applyFill="1" applyAlignment="1">
      <alignment horizontal="center" vertical="center"/>
    </xf>
    <xf numFmtId="170" fontId="117" fillId="33" borderId="0" xfId="5" applyNumberFormat="1" applyFill="1" applyAlignment="1">
      <alignment vertical="center"/>
    </xf>
    <xf numFmtId="171" fontId="117" fillId="33" borderId="0" xfId="5" applyNumberFormat="1" applyFill="1" applyAlignment="1">
      <alignment vertical="center"/>
    </xf>
    <xf numFmtId="172" fontId="117" fillId="33" borderId="0" xfId="5" applyNumberFormat="1" applyFill="1" applyAlignment="1">
      <alignment vertical="center"/>
    </xf>
    <xf numFmtId="0" fontId="117" fillId="55" borderId="8" xfId="5" applyFill="1" applyBorder="1" applyAlignment="1">
      <alignment horizontal="center" vertical="center"/>
    </xf>
    <xf numFmtId="12" fontId="117" fillId="55" borderId="8" xfId="5" applyNumberFormat="1" applyFill="1" applyBorder="1" applyAlignment="1">
      <alignment horizontal="center" vertical="center"/>
    </xf>
    <xf numFmtId="170" fontId="117" fillId="55" borderId="8" xfId="5" applyNumberFormat="1" applyFill="1" applyBorder="1" applyAlignment="1">
      <alignment vertical="center"/>
    </xf>
    <xf numFmtId="171" fontId="117" fillId="55" borderId="8" xfId="5" applyNumberFormat="1" applyFill="1" applyBorder="1" applyAlignment="1">
      <alignment vertical="center"/>
    </xf>
    <xf numFmtId="172" fontId="117" fillId="55" borderId="8" xfId="5" applyNumberFormat="1" applyFill="1" applyBorder="1" applyAlignment="1">
      <alignment vertical="center"/>
    </xf>
    <xf numFmtId="0" fontId="12" fillId="33" borderId="0" xfId="0" applyFont="1" applyFill="1" applyAlignment="1"/>
    <xf numFmtId="3" fontId="1" fillId="33" borderId="0" xfId="0" applyNumberFormat="1" applyFont="1" applyFill="1" applyAlignment="1">
      <alignment horizontal="center" vertical="center"/>
    </xf>
    <xf numFmtId="0" fontId="175" fillId="33" borderId="0" xfId="0" applyFont="1" applyFill="1" applyAlignment="1"/>
    <xf numFmtId="0" fontId="43" fillId="33" borderId="0" xfId="0" applyFont="1" applyFill="1" applyAlignment="1">
      <alignment horizontal="right"/>
    </xf>
    <xf numFmtId="0" fontId="43" fillId="33" borderId="0" xfId="0" applyFont="1" applyFill="1" applyAlignment="1">
      <alignment horizontal="center"/>
    </xf>
    <xf numFmtId="3" fontId="10" fillId="33" borderId="0" xfId="0" applyNumberFormat="1" applyFont="1" applyFill="1" applyAlignment="1">
      <alignment horizontal="center" vertical="center"/>
    </xf>
    <xf numFmtId="0" fontId="29" fillId="15" borderId="0" xfId="0" applyFont="1" applyFill="1" applyAlignment="1">
      <alignment horizontal="center"/>
    </xf>
    <xf numFmtId="0" fontId="60" fillId="15" borderId="0" xfId="0" applyFont="1" applyFill="1" applyAlignment="1">
      <alignment horizontal="center"/>
    </xf>
    <xf numFmtId="3" fontId="10" fillId="32" borderId="0" xfId="0" applyNumberFormat="1" applyFont="1" applyFill="1" applyAlignment="1">
      <alignment horizontal="center" vertical="center"/>
    </xf>
    <xf numFmtId="0" fontId="13" fillId="8" borderId="0" xfId="0" applyFont="1" applyFill="1" applyAlignment="1">
      <alignment horizontal="center"/>
    </xf>
    <xf numFmtId="0" fontId="12" fillId="8" borderId="0" xfId="0" applyFont="1" applyFill="1" applyAlignment="1">
      <alignment horizontal="right"/>
    </xf>
    <xf numFmtId="0" fontId="12" fillId="12" borderId="16" xfId="0" applyFont="1" applyFill="1" applyBorder="1" applyAlignment="1">
      <alignment horizontal="right"/>
    </xf>
    <xf numFmtId="0" fontId="12" fillId="19" borderId="0" xfId="0" applyFont="1" applyFill="1" applyAlignment="1">
      <alignment horizontal="left"/>
    </xf>
    <xf numFmtId="1" fontId="12" fillId="16" borderId="1" xfId="0" applyNumberFormat="1" applyFont="1" applyFill="1" applyBorder="1" applyAlignment="1"/>
    <xf numFmtId="0" fontId="0" fillId="16" borderId="13" xfId="0" applyFill="1" applyBorder="1">
      <alignment vertical="center"/>
    </xf>
    <xf numFmtId="0" fontId="35" fillId="16" borderId="15" xfId="0" applyFont="1" applyFill="1" applyBorder="1">
      <alignment vertical="center"/>
    </xf>
    <xf numFmtId="0" fontId="26" fillId="19" borderId="0" xfId="0" applyFont="1" applyFill="1" applyAlignment="1"/>
    <xf numFmtId="0" fontId="12" fillId="37" borderId="0" xfId="0" applyFont="1" applyFill="1" applyAlignment="1"/>
    <xf numFmtId="0" fontId="12" fillId="16" borderId="37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59" fillId="32" borderId="20" xfId="0" applyFont="1" applyFill="1" applyBorder="1" applyAlignment="1">
      <alignment horizontal="right"/>
    </xf>
    <xf numFmtId="0" fontId="90" fillId="33" borderId="0" xfId="0" applyFont="1" applyFill="1" applyAlignment="1">
      <alignment horizontal="right"/>
    </xf>
    <xf numFmtId="1" fontId="90" fillId="33" borderId="0" xfId="0" applyNumberFormat="1" applyFont="1" applyFill="1" applyAlignment="1">
      <alignment horizontal="left"/>
    </xf>
    <xf numFmtId="0" fontId="173" fillId="8" borderId="0" xfId="0" applyFont="1" applyFill="1" applyAlignment="1"/>
    <xf numFmtId="0" fontId="171" fillId="8" borderId="0" xfId="0" applyFont="1" applyFill="1" applyAlignment="1"/>
    <xf numFmtId="3" fontId="1" fillId="32" borderId="0" xfId="0" applyNumberFormat="1" applyFont="1" applyFill="1" applyAlignment="1">
      <alignment horizontal="center" vertical="center"/>
    </xf>
    <xf numFmtId="3" fontId="1" fillId="32" borderId="0" xfId="0" applyNumberFormat="1" applyFont="1" applyFill="1">
      <alignment vertical="center"/>
    </xf>
    <xf numFmtId="0" fontId="12" fillId="32" borderId="0" xfId="0" applyFont="1" applyFill="1" applyAlignment="1"/>
    <xf numFmtId="0" fontId="175" fillId="32" borderId="0" xfId="0" applyFont="1" applyFill="1" applyAlignment="1"/>
    <xf numFmtId="0" fontId="43" fillId="32" borderId="0" xfId="0" applyFont="1" applyFill="1" applyAlignment="1">
      <alignment horizontal="right"/>
    </xf>
    <xf numFmtId="0" fontId="43" fillId="32" borderId="0" xfId="0" applyFont="1" applyFill="1" applyAlignment="1">
      <alignment horizontal="center"/>
    </xf>
    <xf numFmtId="0" fontId="0" fillId="32" borderId="8" xfId="0" applyFill="1" applyBorder="1" applyProtection="1">
      <alignment vertical="center"/>
      <protection locked="0"/>
    </xf>
    <xf numFmtId="0" fontId="0" fillId="32" borderId="8" xfId="0" applyFill="1" applyBorder="1" applyAlignment="1" applyProtection="1">
      <protection locked="0"/>
    </xf>
    <xf numFmtId="0" fontId="59" fillId="32" borderId="8" xfId="0" applyFont="1" applyFill="1" applyBorder="1" applyProtection="1">
      <alignment vertical="center"/>
      <protection locked="0"/>
    </xf>
    <xf numFmtId="0" fontId="0" fillId="38" borderId="22" xfId="0" applyFill="1" applyBorder="1">
      <alignment vertical="center"/>
    </xf>
    <xf numFmtId="0" fontId="0" fillId="38" borderId="23" xfId="0" applyFill="1" applyBorder="1">
      <alignment vertical="center"/>
    </xf>
    <xf numFmtId="0" fontId="0" fillId="38" borderId="24" xfId="0" applyFill="1" applyBorder="1">
      <alignment vertical="center"/>
    </xf>
    <xf numFmtId="0" fontId="0" fillId="38" borderId="25" xfId="0" applyFill="1" applyBorder="1">
      <alignment vertical="center"/>
    </xf>
    <xf numFmtId="0" fontId="0" fillId="38" borderId="16" xfId="0" applyFill="1" applyBorder="1">
      <alignment vertical="center"/>
    </xf>
    <xf numFmtId="0" fontId="0" fillId="38" borderId="26" xfId="0" applyFill="1" applyBorder="1">
      <alignment vertical="center"/>
    </xf>
    <xf numFmtId="0" fontId="0" fillId="38" borderId="27" xfId="0" applyFill="1" applyBorder="1">
      <alignment vertical="center"/>
    </xf>
    <xf numFmtId="0" fontId="0" fillId="38" borderId="28" xfId="0" applyFill="1" applyBorder="1">
      <alignment vertical="center"/>
    </xf>
    <xf numFmtId="0" fontId="59" fillId="38" borderId="16" xfId="0" applyFont="1" applyFill="1" applyBorder="1">
      <alignment vertical="center"/>
    </xf>
    <xf numFmtId="0" fontId="185" fillId="38" borderId="0" xfId="0" applyFont="1" applyFill="1">
      <alignment vertical="center"/>
    </xf>
    <xf numFmtId="0" fontId="186" fillId="38" borderId="0" xfId="0" applyFont="1" applyFill="1">
      <alignment vertical="center"/>
    </xf>
    <xf numFmtId="0" fontId="187" fillId="38" borderId="0" xfId="0" applyFont="1" applyFill="1">
      <alignment vertical="center"/>
    </xf>
    <xf numFmtId="0" fontId="12" fillId="10" borderId="15" xfId="0" applyFont="1" applyFill="1" applyBorder="1" applyAlignment="1"/>
    <xf numFmtId="0" fontId="12" fillId="32" borderId="13" xfId="0" applyFont="1" applyFill="1" applyBorder="1" applyAlignment="1"/>
    <xf numFmtId="0" fontId="12" fillId="32" borderId="15" xfId="0" applyFont="1" applyFill="1" applyBorder="1" applyAlignment="1"/>
    <xf numFmtId="0" fontId="35" fillId="39" borderId="0" xfId="0" applyFont="1" applyFill="1" applyAlignment="1">
      <alignment horizontal="center" vertical="center"/>
    </xf>
    <xf numFmtId="0" fontId="0" fillId="39" borderId="25" xfId="0" applyFill="1" applyBorder="1">
      <alignment vertical="center"/>
    </xf>
    <xf numFmtId="0" fontId="0" fillId="39" borderId="16" xfId="0" applyFill="1" applyBorder="1">
      <alignment vertical="center"/>
    </xf>
    <xf numFmtId="0" fontId="190" fillId="39" borderId="27" xfId="0" applyFont="1" applyFill="1" applyBorder="1">
      <alignment vertical="center"/>
    </xf>
    <xf numFmtId="0" fontId="0" fillId="39" borderId="22" xfId="0" applyFill="1" applyBorder="1">
      <alignment vertical="center"/>
    </xf>
    <xf numFmtId="0" fontId="188" fillId="39" borderId="0" xfId="0" applyFont="1" applyFill="1" applyAlignment="1">
      <alignment horizontal="center" vertical="center"/>
    </xf>
    <xf numFmtId="0" fontId="146" fillId="10" borderId="3" xfId="0" applyFont="1" applyFill="1" applyBorder="1" applyAlignment="1" applyProtection="1">
      <alignment horizontal="left" vertical="center"/>
      <protection locked="0"/>
    </xf>
    <xf numFmtId="0" fontId="103" fillId="39" borderId="0" xfId="0" applyFont="1" applyFill="1">
      <alignment vertical="center"/>
    </xf>
    <xf numFmtId="165" fontId="103" fillId="10" borderId="0" xfId="0" applyNumberFormat="1" applyFont="1" applyFill="1">
      <alignment vertical="center"/>
    </xf>
    <xf numFmtId="0" fontId="35" fillId="10" borderId="0" xfId="0" applyFont="1" applyFill="1">
      <alignment vertical="center"/>
    </xf>
    <xf numFmtId="0" fontId="103" fillId="39" borderId="25" xfId="0" applyFont="1" applyFill="1" applyBorder="1">
      <alignment vertical="center"/>
    </xf>
    <xf numFmtId="0" fontId="59" fillId="39" borderId="25" xfId="0" applyFont="1" applyFill="1" applyBorder="1">
      <alignment vertical="center"/>
    </xf>
    <xf numFmtId="0" fontId="0" fillId="10" borderId="25" xfId="0" applyFill="1" applyBorder="1">
      <alignment vertical="center"/>
    </xf>
    <xf numFmtId="0" fontId="0" fillId="10" borderId="16" xfId="0" applyFill="1" applyBorder="1">
      <alignment vertical="center"/>
    </xf>
    <xf numFmtId="0" fontId="103" fillId="39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25" xfId="0" applyFill="1" applyBorder="1" applyAlignment="1">
      <alignment horizontal="right" vertical="center"/>
    </xf>
    <xf numFmtId="0" fontId="35" fillId="39" borderId="23" xfId="0" applyFont="1" applyFill="1" applyBorder="1" applyAlignment="1">
      <alignment horizontal="right" vertical="center"/>
    </xf>
    <xf numFmtId="0" fontId="102" fillId="39" borderId="0" xfId="0" applyFont="1" applyFill="1" applyAlignment="1">
      <alignment horizontal="center" vertical="center"/>
    </xf>
    <xf numFmtId="0" fontId="0" fillId="39" borderId="23" xfId="0" applyFill="1" applyBorder="1" applyAlignment="1">
      <alignment horizontal="right"/>
    </xf>
    <xf numFmtId="0" fontId="103" fillId="10" borderId="3" xfId="0" applyFont="1" applyFill="1" applyBorder="1" applyAlignment="1">
      <alignment horizontal="left" vertical="center"/>
    </xf>
    <xf numFmtId="16" fontId="59" fillId="10" borderId="1" xfId="0" applyNumberFormat="1" applyFont="1" applyFill="1" applyBorder="1" applyAlignment="1">
      <alignment horizontal="right" vertical="center"/>
    </xf>
    <xf numFmtId="0" fontId="59" fillId="10" borderId="1" xfId="0" applyFont="1" applyFill="1" applyBorder="1" applyAlignment="1">
      <alignment horizontal="right" vertical="center"/>
    </xf>
    <xf numFmtId="0" fontId="90" fillId="10" borderId="3" xfId="0" applyFont="1" applyFill="1" applyBorder="1" applyAlignment="1" applyProtection="1">
      <alignment horizontal="left" vertical="center"/>
      <protection locked="0"/>
    </xf>
    <xf numFmtId="0" fontId="167" fillId="29" borderId="37" xfId="0" applyFont="1" applyFill="1" applyBorder="1">
      <alignment vertical="center"/>
    </xf>
    <xf numFmtId="0" fontId="191" fillId="29" borderId="1" xfId="0" applyFont="1" applyFill="1" applyBorder="1" applyAlignment="1">
      <alignment horizontal="center" vertical="center"/>
    </xf>
    <xf numFmtId="0" fontId="0" fillId="29" borderId="59" xfId="0" applyFill="1" applyBorder="1" applyAlignment="1">
      <alignment horizontal="center"/>
    </xf>
    <xf numFmtId="0" fontId="0" fillId="29" borderId="60" xfId="0" applyFill="1" applyBorder="1" applyAlignment="1">
      <alignment horizontal="center"/>
    </xf>
    <xf numFmtId="12" fontId="0" fillId="29" borderId="60" xfId="0" applyNumberFormat="1" applyFill="1" applyBorder="1" applyAlignment="1">
      <alignment horizontal="center"/>
    </xf>
    <xf numFmtId="0" fontId="0" fillId="29" borderId="61" xfId="0" applyFill="1" applyBorder="1" applyAlignment="1">
      <alignment horizontal="center"/>
    </xf>
    <xf numFmtId="0" fontId="59" fillId="29" borderId="59" xfId="0" applyFont="1" applyFill="1" applyBorder="1" applyAlignment="1">
      <alignment horizontal="center" vertical="center"/>
    </xf>
    <xf numFmtId="0" fontId="59" fillId="29" borderId="60" xfId="0" applyFont="1" applyFill="1" applyBorder="1" applyAlignment="1">
      <alignment horizontal="center" vertical="center"/>
    </xf>
    <xf numFmtId="0" fontId="59" fillId="29" borderId="61" xfId="0" applyFont="1" applyFill="1" applyBorder="1" applyAlignment="1">
      <alignment horizontal="center" vertical="center"/>
    </xf>
    <xf numFmtId="0" fontId="0" fillId="33" borderId="38" xfId="0" applyFill="1" applyBorder="1">
      <alignment vertical="center"/>
    </xf>
    <xf numFmtId="0" fontId="0" fillId="33" borderId="39" xfId="0" applyFill="1" applyBorder="1">
      <alignment vertical="center"/>
    </xf>
    <xf numFmtId="0" fontId="0" fillId="33" borderId="40" xfId="0" applyFill="1" applyBorder="1">
      <alignment vertical="center"/>
    </xf>
    <xf numFmtId="0" fontId="0" fillId="25" borderId="0" xfId="0" applyFill="1">
      <alignment vertical="center"/>
    </xf>
    <xf numFmtId="0" fontId="59" fillId="33" borderId="17" xfId="0" applyFont="1" applyFill="1" applyBorder="1">
      <alignment vertical="center"/>
    </xf>
    <xf numFmtId="0" fontId="0" fillId="33" borderId="19" xfId="0" applyFill="1" applyBorder="1">
      <alignment vertical="center"/>
    </xf>
    <xf numFmtId="0" fontId="0" fillId="33" borderId="20" xfId="0" applyFill="1" applyBorder="1">
      <alignment vertical="center"/>
    </xf>
    <xf numFmtId="0" fontId="0" fillId="33" borderId="21" xfId="0" applyFill="1" applyBorder="1">
      <alignment vertical="center"/>
    </xf>
    <xf numFmtId="0" fontId="0" fillId="10" borderId="0" xfId="0" applyFill="1" applyProtection="1">
      <alignment vertical="center"/>
      <protection locked="0"/>
    </xf>
    <xf numFmtId="0" fontId="110" fillId="15" borderId="8" xfId="0" applyFont="1" applyFill="1" applyBorder="1" applyAlignment="1">
      <alignment horizontal="center"/>
    </xf>
    <xf numFmtId="0" fontId="110" fillId="15" borderId="8" xfId="0" applyFont="1" applyFill="1" applyBorder="1" applyAlignment="1"/>
    <xf numFmtId="0" fontId="35" fillId="15" borderId="8" xfId="0" applyFont="1" applyFill="1" applyBorder="1" applyAlignment="1"/>
    <xf numFmtId="1" fontId="99" fillId="32" borderId="37" xfId="0" applyNumberFormat="1" applyFont="1" applyFill="1" applyBorder="1">
      <alignment vertical="center"/>
    </xf>
    <xf numFmtId="165" fontId="99" fillId="32" borderId="37" xfId="0" applyNumberFormat="1" applyFont="1" applyFill="1" applyBorder="1">
      <alignment vertical="center"/>
    </xf>
    <xf numFmtId="0" fontId="35" fillId="42" borderId="15" xfId="0" applyFont="1" applyFill="1" applyBorder="1">
      <alignment vertical="center"/>
    </xf>
    <xf numFmtId="165" fontId="0" fillId="42" borderId="13" xfId="0" applyNumberFormat="1" applyFill="1" applyBorder="1">
      <alignment vertical="center"/>
    </xf>
    <xf numFmtId="1" fontId="195" fillId="10" borderId="37" xfId="0" applyNumberFormat="1" applyFont="1" applyFill="1" applyBorder="1" applyAlignment="1" applyProtection="1">
      <alignment horizontal="center" vertical="center"/>
      <protection locked="0"/>
    </xf>
    <xf numFmtId="0" fontId="0" fillId="37" borderId="0" xfId="0" applyFill="1">
      <alignment vertical="center"/>
    </xf>
    <xf numFmtId="0" fontId="95" fillId="37" borderId="0" xfId="0" applyFont="1" applyFill="1">
      <alignment vertical="center"/>
    </xf>
    <xf numFmtId="0" fontId="194" fillId="37" borderId="0" xfId="0" applyFont="1" applyFill="1">
      <alignment vertical="center"/>
    </xf>
    <xf numFmtId="0" fontId="59" fillId="37" borderId="0" xfId="0" applyFont="1" applyFill="1">
      <alignment vertical="center"/>
    </xf>
    <xf numFmtId="0" fontId="93" fillId="37" borderId="0" xfId="0" applyFont="1" applyFill="1">
      <alignment vertical="center"/>
    </xf>
    <xf numFmtId="0" fontId="91" fillId="37" borderId="0" xfId="0" applyFont="1" applyFill="1">
      <alignment vertical="center"/>
    </xf>
    <xf numFmtId="0" fontId="0" fillId="37" borderId="25" xfId="0" applyFill="1" applyBorder="1">
      <alignment vertical="center"/>
    </xf>
    <xf numFmtId="0" fontId="94" fillId="37" borderId="16" xfId="0" applyFont="1" applyFill="1" applyBorder="1">
      <alignment vertical="center"/>
    </xf>
    <xf numFmtId="0" fontId="196" fillId="37" borderId="0" xfId="0" applyFont="1" applyFill="1">
      <alignment vertical="center"/>
    </xf>
    <xf numFmtId="0" fontId="91" fillId="37" borderId="16" xfId="0" applyFont="1" applyFill="1" applyBorder="1">
      <alignment vertical="center"/>
    </xf>
    <xf numFmtId="0" fontId="94" fillId="37" borderId="37" xfId="0" applyFont="1" applyFill="1" applyBorder="1">
      <alignment vertical="center"/>
    </xf>
    <xf numFmtId="0" fontId="0" fillId="37" borderId="26" xfId="0" applyFill="1" applyBorder="1">
      <alignment vertical="center"/>
    </xf>
    <xf numFmtId="0" fontId="0" fillId="37" borderId="27" xfId="0" applyFill="1" applyBorder="1">
      <alignment vertical="center"/>
    </xf>
    <xf numFmtId="0" fontId="0" fillId="37" borderId="28" xfId="0" applyFill="1" applyBorder="1">
      <alignment vertical="center"/>
    </xf>
    <xf numFmtId="1" fontId="94" fillId="37" borderId="37" xfId="0" applyNumberFormat="1" applyFont="1" applyFill="1" applyBorder="1">
      <alignment vertical="center"/>
    </xf>
    <xf numFmtId="0" fontId="96" fillId="37" borderId="0" xfId="0" applyFont="1" applyFill="1">
      <alignment vertical="center"/>
    </xf>
    <xf numFmtId="1" fontId="99" fillId="37" borderId="0" xfId="0" applyNumberFormat="1" applyFont="1" applyFill="1">
      <alignment vertical="center"/>
    </xf>
    <xf numFmtId="0" fontId="94" fillId="37" borderId="0" xfId="0" applyFont="1" applyFill="1">
      <alignment vertical="center"/>
    </xf>
    <xf numFmtId="165" fontId="99" fillId="37" borderId="0" xfId="0" applyNumberFormat="1" applyFont="1" applyFill="1">
      <alignment vertical="center"/>
    </xf>
    <xf numFmtId="0" fontId="1" fillId="37" borderId="0" xfId="0" applyFont="1" applyFill="1" applyAlignment="1">
      <alignment horizontal="right" vertical="center"/>
    </xf>
    <xf numFmtId="0" fontId="9" fillId="37" borderId="0" xfId="0" applyFont="1" applyFill="1" applyAlignment="1">
      <alignment horizontal="right" vertical="center"/>
    </xf>
    <xf numFmtId="1" fontId="197" fillId="37" borderId="0" xfId="0" applyNumberFormat="1" applyFont="1" applyFill="1">
      <alignment vertical="center"/>
    </xf>
    <xf numFmtId="0" fontId="198" fillId="37" borderId="0" xfId="0" applyFont="1" applyFill="1">
      <alignment vertical="center"/>
    </xf>
    <xf numFmtId="1" fontId="199" fillId="37" borderId="37" xfId="0" applyNumberFormat="1" applyFont="1" applyFill="1" applyBorder="1">
      <alignment vertical="center"/>
    </xf>
    <xf numFmtId="0" fontId="94" fillId="10" borderId="37" xfId="0" applyFont="1" applyFill="1" applyBorder="1" applyAlignment="1" applyProtection="1">
      <alignment horizontal="center" vertical="center"/>
      <protection locked="0"/>
    </xf>
    <xf numFmtId="0" fontId="0" fillId="0" borderId="8" xfId="0" applyBorder="1" applyProtection="1">
      <alignment vertical="center"/>
      <protection locked="0"/>
    </xf>
    <xf numFmtId="0" fontId="59" fillId="32" borderId="8" xfId="0" applyFont="1" applyFill="1" applyBorder="1" applyAlignment="1" applyProtection="1">
      <protection locked="0"/>
    </xf>
    <xf numFmtId="0" fontId="201" fillId="37" borderId="0" xfId="0" applyFont="1" applyFill="1" applyAlignment="1"/>
    <xf numFmtId="0" fontId="202" fillId="37" borderId="0" xfId="0" applyFont="1" applyFill="1" applyAlignment="1">
      <alignment horizontal="left"/>
    </xf>
    <xf numFmtId="0" fontId="202" fillId="37" borderId="0" xfId="0" applyFont="1" applyFill="1" applyAlignment="1">
      <alignment horizontal="right"/>
    </xf>
    <xf numFmtId="4" fontId="202" fillId="37" borderId="0" xfId="0" applyNumberFormat="1" applyFont="1" applyFill="1" applyAlignment="1">
      <alignment horizontal="left"/>
    </xf>
    <xf numFmtId="4" fontId="202" fillId="37" borderId="0" xfId="0" applyNumberFormat="1" applyFont="1" applyFill="1" applyAlignment="1">
      <alignment horizontal="right"/>
    </xf>
    <xf numFmtId="0" fontId="202" fillId="37" borderId="0" xfId="0" applyFont="1" applyFill="1" applyAlignment="1"/>
    <xf numFmtId="0" fontId="203" fillId="37" borderId="0" xfId="0" applyFont="1" applyFill="1" applyAlignment="1">
      <alignment horizontal="center"/>
    </xf>
    <xf numFmtId="0" fontId="202" fillId="37" borderId="0" xfId="0" applyFont="1" applyFill="1" applyAlignment="1">
      <alignment horizontal="center"/>
    </xf>
    <xf numFmtId="0" fontId="0" fillId="37" borderId="0" xfId="0" applyFill="1" applyAlignment="1"/>
    <xf numFmtId="0" fontId="204" fillId="37" borderId="0" xfId="0" applyFont="1" applyFill="1" applyAlignment="1">
      <alignment horizontal="center"/>
    </xf>
    <xf numFmtId="0" fontId="80" fillId="37" borderId="0" xfId="0" applyFont="1" applyFill="1" applyAlignment="1"/>
    <xf numFmtId="0" fontId="205" fillId="37" borderId="0" xfId="0" applyFont="1" applyFill="1" applyAlignment="1">
      <alignment horizontal="right"/>
    </xf>
    <xf numFmtId="0" fontId="206" fillId="37" borderId="0" xfId="0" applyFont="1" applyFill="1" applyAlignment="1">
      <alignment horizontal="centerContinuous"/>
    </xf>
    <xf numFmtId="4" fontId="205" fillId="37" borderId="0" xfId="0" applyNumberFormat="1" applyFont="1" applyFill="1" applyAlignment="1">
      <alignment horizontal="left"/>
    </xf>
    <xf numFmtId="4" fontId="205" fillId="37" borderId="0" xfId="0" applyNumberFormat="1" applyFont="1" applyFill="1" applyAlignment="1">
      <alignment horizontal="right"/>
    </xf>
    <xf numFmtId="0" fontId="205" fillId="37" borderId="0" xfId="0" applyFont="1" applyFill="1" applyAlignment="1"/>
    <xf numFmtId="0" fontId="207" fillId="37" borderId="0" xfId="0" applyFont="1" applyFill="1" applyAlignment="1">
      <alignment horizontal="centerContinuous"/>
    </xf>
    <xf numFmtId="0" fontId="208" fillId="37" borderId="0" xfId="0" applyFont="1" applyFill="1" applyAlignment="1"/>
    <xf numFmtId="0" fontId="209" fillId="37" borderId="0" xfId="0" applyFont="1" applyFill="1" applyAlignment="1">
      <alignment horizontal="left"/>
    </xf>
    <xf numFmtId="0" fontId="210" fillId="37" borderId="0" xfId="0" applyFont="1" applyFill="1" applyAlignment="1">
      <alignment horizontal="right"/>
    </xf>
    <xf numFmtId="0" fontId="211" fillId="37" borderId="0" xfId="0" applyFont="1" applyFill="1" applyAlignment="1">
      <alignment horizontal="left"/>
    </xf>
    <xf numFmtId="4" fontId="211" fillId="37" borderId="0" xfId="0" applyNumberFormat="1" applyFont="1" applyFill="1" applyAlignment="1">
      <alignment horizontal="right"/>
    </xf>
    <xf numFmtId="0" fontId="211" fillId="37" borderId="0" xfId="0" applyFont="1" applyFill="1" applyAlignment="1">
      <alignment horizontal="right"/>
    </xf>
    <xf numFmtId="4" fontId="212" fillId="37" borderId="0" xfId="0" applyNumberFormat="1" applyFont="1" applyFill="1" applyAlignment="1"/>
    <xf numFmtId="0" fontId="211" fillId="37" borderId="0" xfId="0" applyFont="1" applyFill="1" applyAlignment="1"/>
    <xf numFmtId="0" fontId="80" fillId="37" borderId="0" xfId="0" applyFont="1" applyFill="1" applyAlignment="1">
      <alignment horizontal="left"/>
    </xf>
    <xf numFmtId="0" fontId="213" fillId="37" borderId="0" xfId="0" applyFont="1" applyFill="1" applyAlignment="1">
      <alignment horizontal="right"/>
    </xf>
    <xf numFmtId="4" fontId="211" fillId="37" borderId="0" xfId="0" applyNumberFormat="1" applyFont="1" applyFill="1" applyAlignment="1">
      <alignment horizontal="left"/>
    </xf>
    <xf numFmtId="0" fontId="209" fillId="37" borderId="0" xfId="0" applyFont="1" applyFill="1" applyAlignment="1"/>
    <xf numFmtId="0" fontId="209" fillId="37" borderId="0" xfId="0" applyFont="1" applyFill="1" applyAlignment="1">
      <alignment horizontal="right"/>
    </xf>
    <xf numFmtId="4" fontId="209" fillId="37" borderId="0" xfId="0" applyNumberFormat="1" applyFont="1" applyFill="1" applyAlignment="1">
      <alignment horizontal="right"/>
    </xf>
    <xf numFmtId="0" fontId="210" fillId="37" borderId="0" xfId="0" applyFont="1" applyFill="1" applyAlignment="1">
      <alignment horizontal="left"/>
    </xf>
    <xf numFmtId="4" fontId="210" fillId="37" borderId="0" xfId="0" applyNumberFormat="1" applyFont="1" applyFill="1" applyAlignment="1">
      <alignment horizontal="right"/>
    </xf>
    <xf numFmtId="4" fontId="214" fillId="37" borderId="0" xfId="0" applyNumberFormat="1" applyFont="1" applyFill="1" applyAlignment="1">
      <alignment horizontal="centerContinuous"/>
    </xf>
    <xf numFmtId="0" fontId="210" fillId="37" borderId="0" xfId="0" applyFont="1" applyFill="1" applyAlignment="1"/>
    <xf numFmtId="0" fontId="215" fillId="37" borderId="0" xfId="0" applyFont="1" applyFill="1" applyAlignment="1">
      <alignment horizontal="right"/>
    </xf>
    <xf numFmtId="4" fontId="210" fillId="37" borderId="0" xfId="0" applyNumberFormat="1" applyFont="1" applyFill="1" applyAlignment="1">
      <alignment horizontal="left"/>
    </xf>
    <xf numFmtId="0" fontId="216" fillId="37" borderId="0" xfId="0" applyFont="1" applyFill="1" applyAlignment="1">
      <alignment horizontal="left"/>
    </xf>
    <xf numFmtId="0" fontId="213" fillId="37" borderId="0" xfId="0" applyFont="1" applyFill="1" applyAlignment="1"/>
    <xf numFmtId="0" fontId="210" fillId="37" borderId="0" xfId="0" applyFont="1" applyFill="1" applyAlignment="1">
      <alignment horizontal="center"/>
    </xf>
    <xf numFmtId="4" fontId="219" fillId="37" borderId="0" xfId="0" applyNumberFormat="1" applyFont="1" applyFill="1" applyAlignment="1" applyProtection="1">
      <protection hidden="1"/>
    </xf>
    <xf numFmtId="0" fontId="220" fillId="37" borderId="0" xfId="0" applyFont="1" applyFill="1" applyAlignment="1">
      <alignment horizontal="left"/>
    </xf>
    <xf numFmtId="4" fontId="211" fillId="37" borderId="0" xfId="0" applyNumberFormat="1" applyFont="1" applyFill="1" applyAlignment="1" applyProtection="1">
      <protection hidden="1"/>
    </xf>
    <xf numFmtId="4" fontId="221" fillId="37" borderId="0" xfId="0" applyNumberFormat="1" applyFont="1" applyFill="1" applyAlignment="1">
      <alignment horizontal="right"/>
    </xf>
    <xf numFmtId="0" fontId="211" fillId="37" borderId="0" xfId="0" applyFont="1" applyFill="1" applyAlignment="1">
      <alignment horizontal="center"/>
    </xf>
    <xf numFmtId="4" fontId="211" fillId="37" borderId="0" xfId="0" applyNumberFormat="1" applyFont="1" applyFill="1" applyAlignment="1"/>
    <xf numFmtId="0" fontId="222" fillId="37" borderId="0" xfId="0" applyFont="1" applyFill="1" applyAlignment="1"/>
    <xf numFmtId="0" fontId="223" fillId="37" borderId="0" xfId="0" applyFont="1" applyFill="1" applyAlignment="1"/>
    <xf numFmtId="2" fontId="211" fillId="37" borderId="0" xfId="0" applyNumberFormat="1" applyFont="1" applyFill="1" applyAlignment="1">
      <alignment horizontal="right"/>
    </xf>
    <xf numFmtId="4" fontId="211" fillId="37" borderId="0" xfId="0" applyNumberFormat="1" applyFont="1" applyFill="1" applyAlignment="1">
      <alignment horizontal="centerContinuous"/>
    </xf>
    <xf numFmtId="2" fontId="222" fillId="37" borderId="0" xfId="0" applyNumberFormat="1" applyFont="1" applyFill="1" applyAlignment="1">
      <alignment horizontal="right"/>
    </xf>
    <xf numFmtId="0" fontId="224" fillId="37" borderId="0" xfId="0" applyFont="1" applyFill="1" applyAlignment="1">
      <alignment horizontal="left"/>
    </xf>
    <xf numFmtId="0" fontId="221" fillId="37" borderId="0" xfId="0" applyFont="1" applyFill="1" applyAlignment="1">
      <alignment horizontal="right"/>
    </xf>
    <xf numFmtId="2" fontId="211" fillId="37" borderId="0" xfId="0" applyNumberFormat="1" applyFont="1" applyFill="1" applyAlignment="1"/>
    <xf numFmtId="2" fontId="221" fillId="37" borderId="0" xfId="0" applyNumberFormat="1" applyFont="1" applyFill="1" applyAlignment="1">
      <alignment horizontal="right"/>
    </xf>
    <xf numFmtId="0" fontId="211" fillId="37" borderId="20" xfId="0" applyFont="1" applyFill="1" applyBorder="1" applyAlignment="1">
      <alignment horizontal="right"/>
    </xf>
    <xf numFmtId="2" fontId="211" fillId="37" borderId="20" xfId="0" applyNumberFormat="1" applyFont="1" applyFill="1" applyBorder="1" applyAlignment="1"/>
    <xf numFmtId="0" fontId="211" fillId="37" borderId="20" xfId="0" applyFont="1" applyFill="1" applyBorder="1" applyAlignment="1"/>
    <xf numFmtId="0" fontId="221" fillId="37" borderId="0" xfId="0" applyFont="1" applyFill="1" applyAlignment="1">
      <alignment horizontal="left"/>
    </xf>
    <xf numFmtId="0" fontId="211" fillId="37" borderId="68" xfId="0" applyFont="1" applyFill="1" applyBorder="1" applyAlignment="1">
      <alignment horizontal="right"/>
    </xf>
    <xf numFmtId="2" fontId="211" fillId="37" borderId="68" xfId="0" applyNumberFormat="1" applyFont="1" applyFill="1" applyBorder="1" applyAlignment="1"/>
    <xf numFmtId="0" fontId="211" fillId="37" borderId="68" xfId="0" applyFont="1" applyFill="1" applyBorder="1" applyAlignment="1"/>
    <xf numFmtId="165" fontId="211" fillId="37" borderId="0" xfId="0" applyNumberFormat="1" applyFont="1" applyFill="1" applyAlignment="1"/>
    <xf numFmtId="167" fontId="211" fillId="37" borderId="0" xfId="0" applyNumberFormat="1" applyFont="1" applyFill="1" applyAlignment="1">
      <alignment horizontal="right"/>
    </xf>
    <xf numFmtId="0" fontId="225" fillId="37" borderId="0" xfId="0" applyFont="1" applyFill="1" applyAlignment="1">
      <alignment horizontal="right"/>
    </xf>
    <xf numFmtId="165" fontId="225" fillId="37" borderId="0" xfId="0" applyNumberFormat="1" applyFont="1" applyFill="1" applyAlignment="1"/>
    <xf numFmtId="0" fontId="225" fillId="37" borderId="0" xfId="0" applyFont="1" applyFill="1" applyAlignment="1"/>
    <xf numFmtId="3" fontId="221" fillId="37" borderId="20" xfId="6" applyNumberFormat="1" applyFont="1" applyFill="1" applyBorder="1" applyAlignment="1">
      <alignment horizontal="right"/>
    </xf>
    <xf numFmtId="4" fontId="216" fillId="37" borderId="0" xfId="0" applyNumberFormat="1" applyFont="1" applyFill="1" applyAlignment="1"/>
    <xf numFmtId="0" fontId="224" fillId="37" borderId="0" xfId="0" applyFont="1" applyFill="1" applyAlignment="1">
      <alignment horizontal="right"/>
    </xf>
    <xf numFmtId="0" fontId="216" fillId="37" borderId="0" xfId="0" applyFont="1" applyFill="1" applyAlignment="1"/>
    <xf numFmtId="0" fontId="227" fillId="37" borderId="0" xfId="0" applyFont="1" applyFill="1" applyAlignment="1">
      <alignment horizontal="centerContinuous"/>
    </xf>
    <xf numFmtId="0" fontId="0" fillId="37" borderId="0" xfId="0" applyFill="1" applyAlignment="1">
      <alignment horizontal="centerContinuous"/>
    </xf>
    <xf numFmtId="165" fontId="227" fillId="37" borderId="0" xfId="0" applyNumberFormat="1" applyFont="1" applyFill="1" applyAlignment="1"/>
    <xf numFmtId="0" fontId="227" fillId="37" borderId="0" xfId="0" applyFont="1" applyFill="1" applyAlignment="1"/>
    <xf numFmtId="4" fontId="224" fillId="37" borderId="0" xfId="0" applyNumberFormat="1" applyFont="1" applyFill="1" applyAlignment="1">
      <alignment horizontal="right"/>
    </xf>
    <xf numFmtId="0" fontId="228" fillId="37" borderId="0" xfId="0" applyFont="1" applyFill="1" applyAlignment="1">
      <alignment horizontal="centerContinuous"/>
    </xf>
    <xf numFmtId="3" fontId="221" fillId="37" borderId="0" xfId="6" applyNumberFormat="1" applyFont="1" applyFill="1" applyBorder="1" applyAlignment="1">
      <alignment horizontal="right"/>
    </xf>
    <xf numFmtId="4" fontId="210" fillId="37" borderId="0" xfId="0" applyNumberFormat="1" applyFont="1" applyFill="1" applyAlignment="1"/>
    <xf numFmtId="0" fontId="230" fillId="37" borderId="0" xfId="0" applyFont="1" applyFill="1" applyAlignment="1"/>
    <xf numFmtId="0" fontId="216" fillId="37" borderId="0" xfId="0" applyFont="1" applyFill="1" applyAlignment="1">
      <alignment horizontal="right"/>
    </xf>
    <xf numFmtId="4" fontId="216" fillId="37" borderId="0" xfId="0" applyNumberFormat="1" applyFont="1" applyFill="1" applyAlignment="1">
      <alignment horizontal="right"/>
    </xf>
    <xf numFmtId="0" fontId="216" fillId="37" borderId="68" xfId="0" applyFont="1" applyFill="1" applyBorder="1" applyAlignment="1">
      <alignment horizontal="right"/>
    </xf>
    <xf numFmtId="3" fontId="224" fillId="37" borderId="0" xfId="6" applyNumberFormat="1" applyFont="1" applyFill="1" applyBorder="1" applyAlignment="1">
      <alignment horizontal="right"/>
    </xf>
    <xf numFmtId="0" fontId="231" fillId="37" borderId="0" xfId="0" applyFont="1" applyFill="1" applyAlignment="1">
      <alignment horizontal="left"/>
    </xf>
    <xf numFmtId="0" fontId="221" fillId="37" borderId="0" xfId="0" applyFont="1" applyFill="1" applyAlignment="1">
      <alignment horizontal="centerContinuous"/>
    </xf>
    <xf numFmtId="3" fontId="221" fillId="37" borderId="0" xfId="0" applyNumberFormat="1" applyFont="1" applyFill="1" applyAlignment="1"/>
    <xf numFmtId="0" fontId="221" fillId="37" borderId="0" xfId="0" applyFont="1" applyFill="1" applyAlignment="1"/>
    <xf numFmtId="0" fontId="232" fillId="37" borderId="0" xfId="0" applyFont="1" applyFill="1" applyAlignment="1"/>
    <xf numFmtId="3" fontId="211" fillId="37" borderId="0" xfId="0" applyNumberFormat="1" applyFont="1" applyFill="1" applyAlignment="1">
      <alignment horizontal="right"/>
    </xf>
    <xf numFmtId="0" fontId="162" fillId="37" borderId="0" xfId="0" applyFont="1" applyFill="1">
      <alignment vertical="center"/>
    </xf>
    <xf numFmtId="3" fontId="217" fillId="10" borderId="8" xfId="0" applyNumberFormat="1" applyFont="1" applyFill="1" applyBorder="1" applyAlignment="1" applyProtection="1">
      <alignment horizontal="right"/>
      <protection locked="0"/>
    </xf>
    <xf numFmtId="164" fontId="217" fillId="10" borderId="8" xfId="0" applyNumberFormat="1" applyFont="1" applyFill="1" applyBorder="1" applyAlignment="1" applyProtection="1">
      <alignment horizontal="right"/>
      <protection locked="0"/>
    </xf>
    <xf numFmtId="3" fontId="229" fillId="10" borderId="0" xfId="0" applyNumberFormat="1" applyFont="1" applyFill="1" applyAlignment="1" applyProtection="1">
      <protection locked="0"/>
    </xf>
    <xf numFmtId="1" fontId="211" fillId="37" borderId="0" xfId="0" applyNumberFormat="1" applyFont="1" applyFill="1" applyAlignment="1">
      <alignment horizontal="left"/>
    </xf>
    <xf numFmtId="167" fontId="233" fillId="37" borderId="0" xfId="0" applyNumberFormat="1" applyFont="1" applyFill="1" applyAlignment="1">
      <alignment horizontal="right"/>
    </xf>
    <xf numFmtId="0" fontId="234" fillId="37" borderId="0" xfId="0" applyFont="1" applyFill="1" applyAlignment="1"/>
    <xf numFmtId="167" fontId="234" fillId="37" borderId="0" xfId="0" applyNumberFormat="1" applyFont="1" applyFill="1" applyAlignment="1"/>
    <xf numFmtId="4" fontId="241" fillId="10" borderId="78" xfId="11" applyNumberFormat="1" applyFont="1" applyFill="1" applyBorder="1" applyAlignment="1" applyProtection="1">
      <alignment horizontal="center" vertical="center"/>
      <protection locked="0"/>
    </xf>
    <xf numFmtId="2" fontId="241" fillId="10" borderId="78" xfId="11" applyNumberFormat="1" applyFont="1" applyFill="1" applyBorder="1" applyAlignment="1" applyProtection="1">
      <alignment horizontal="center" vertical="center"/>
      <protection locked="0"/>
    </xf>
    <xf numFmtId="0" fontId="237" fillId="10" borderId="62" xfId="8" applyFont="1" applyFill="1" applyBorder="1" applyAlignment="1" applyProtection="1">
      <alignment horizontal="center"/>
      <protection locked="0"/>
    </xf>
    <xf numFmtId="0" fontId="237" fillId="10" borderId="52" xfId="8" applyFont="1" applyFill="1" applyBorder="1" applyAlignment="1" applyProtection="1">
      <alignment horizontal="center"/>
      <protection locked="0"/>
    </xf>
    <xf numFmtId="0" fontId="237" fillId="10" borderId="42" xfId="8" applyFont="1" applyFill="1" applyBorder="1" applyAlignment="1" applyProtection="1">
      <alignment horizontal="center"/>
      <protection locked="0"/>
    </xf>
    <xf numFmtId="0" fontId="10" fillId="10" borderId="8" xfId="13" applyFill="1" applyBorder="1" applyProtection="1">
      <protection locked="0"/>
    </xf>
    <xf numFmtId="0" fontId="80" fillId="10" borderId="8" xfId="13" applyFont="1" applyFill="1" applyBorder="1" applyProtection="1">
      <protection locked="0"/>
    </xf>
    <xf numFmtId="0" fontId="241" fillId="10" borderId="78" xfId="11" applyFont="1" applyFill="1" applyBorder="1" applyAlignment="1" applyProtection="1">
      <alignment horizontal="center" vertical="center"/>
      <protection locked="0"/>
    </xf>
    <xf numFmtId="4" fontId="117" fillId="28" borderId="0" xfId="7" applyNumberFormat="1" applyFill="1"/>
    <xf numFmtId="0" fontId="117" fillId="28" borderId="0" xfId="8" applyFill="1"/>
    <xf numFmtId="0" fontId="12" fillId="28" borderId="0" xfId="0" applyFont="1" applyFill="1" applyAlignment="1"/>
    <xf numFmtId="0" fontId="162" fillId="28" borderId="0" xfId="0" applyFont="1" applyFill="1">
      <alignment vertical="center"/>
    </xf>
    <xf numFmtId="0" fontId="9" fillId="28" borderId="0" xfId="0" applyFont="1" applyFill="1" applyAlignment="1">
      <alignment horizontal="right" vertical="center"/>
    </xf>
    <xf numFmtId="0" fontId="1" fillId="28" borderId="0" xfId="0" applyFont="1" applyFill="1" applyAlignment="1">
      <alignment horizontal="right" vertical="center"/>
    </xf>
    <xf numFmtId="0" fontId="10" fillId="28" borderId="8" xfId="13" applyFill="1" applyBorder="1"/>
    <xf numFmtId="4" fontId="117" fillId="28" borderId="8" xfId="7" applyNumberFormat="1" applyFill="1" applyBorder="1"/>
    <xf numFmtId="3" fontId="117" fillId="28" borderId="8" xfId="7" applyNumberFormat="1" applyFill="1" applyBorder="1"/>
    <xf numFmtId="0" fontId="117" fillId="28" borderId="8" xfId="8" applyFill="1" applyBorder="1"/>
    <xf numFmtId="4" fontId="18" fillId="28" borderId="8" xfId="7" applyNumberFormat="1" applyFont="1" applyFill="1" applyBorder="1" applyAlignment="1">
      <alignment vertical="center"/>
    </xf>
    <xf numFmtId="0" fontId="117" fillId="28" borderId="39" xfId="8" applyFill="1" applyBorder="1"/>
    <xf numFmtId="0" fontId="238" fillId="28" borderId="8" xfId="11" applyFont="1" applyFill="1" applyBorder="1" applyAlignment="1">
      <alignment horizontal="right"/>
    </xf>
    <xf numFmtId="3" fontId="238" fillId="28" borderId="8" xfId="11" applyNumberFormat="1" applyFont="1" applyFill="1" applyBorder="1" applyAlignment="1">
      <alignment horizontal="center"/>
    </xf>
    <xf numFmtId="0" fontId="238" fillId="28" borderId="8" xfId="11" applyFont="1" applyFill="1" applyBorder="1" applyAlignment="1">
      <alignment horizontal="center"/>
    </xf>
    <xf numFmtId="0" fontId="235" fillId="28" borderId="8" xfId="8" applyFont="1" applyFill="1" applyBorder="1"/>
    <xf numFmtId="0" fontId="235" fillId="28" borderId="8" xfId="8" applyFont="1" applyFill="1" applyBorder="1" applyAlignment="1">
      <alignment horizontal="center"/>
    </xf>
    <xf numFmtId="0" fontId="18" fillId="28" borderId="8" xfId="8" applyFont="1" applyFill="1" applyBorder="1"/>
    <xf numFmtId="0" fontId="238" fillId="28" borderId="77" xfId="11" applyFont="1" applyFill="1" applyBorder="1" applyAlignment="1">
      <alignment horizontal="center" vertical="center"/>
    </xf>
    <xf numFmtId="3" fontId="237" fillId="28" borderId="78" xfId="11" applyNumberFormat="1" applyFont="1" applyFill="1" applyBorder="1" applyAlignment="1">
      <alignment horizontal="center" vertical="center"/>
    </xf>
    <xf numFmtId="2" fontId="241" fillId="28" borderId="78" xfId="11" applyNumberFormat="1" applyFont="1" applyFill="1" applyBorder="1" applyAlignment="1">
      <alignment horizontal="center" vertical="center"/>
    </xf>
    <xf numFmtId="0" fontId="241" fillId="28" borderId="78" xfId="11" applyFont="1" applyFill="1" applyBorder="1" applyAlignment="1">
      <alignment horizontal="center" vertical="center"/>
    </xf>
    <xf numFmtId="0" fontId="241" fillId="28" borderId="42" xfId="11" applyFont="1" applyFill="1" applyBorder="1" applyAlignment="1">
      <alignment horizontal="center" vertical="center"/>
    </xf>
    <xf numFmtId="164" fontId="241" fillId="28" borderId="42" xfId="11" applyNumberFormat="1" applyFont="1" applyFill="1" applyBorder="1" applyAlignment="1">
      <alignment horizontal="center" vertical="center"/>
    </xf>
    <xf numFmtId="167" fontId="241" fillId="28" borderId="80" xfId="11" applyNumberFormat="1" applyFont="1" applyFill="1" applyBorder="1" applyAlignment="1">
      <alignment horizontal="center" vertical="center"/>
    </xf>
    <xf numFmtId="167" fontId="241" fillId="28" borderId="78" xfId="11" applyNumberFormat="1" applyFont="1" applyFill="1" applyBorder="1" applyAlignment="1">
      <alignment horizontal="center" vertical="center"/>
    </xf>
    <xf numFmtId="167" fontId="241" fillId="28" borderId="81" xfId="11" applyNumberFormat="1" applyFont="1" applyFill="1" applyBorder="1" applyAlignment="1">
      <alignment horizontal="center" vertical="center"/>
    </xf>
    <xf numFmtId="0" fontId="237" fillId="28" borderId="72" xfId="8" applyFont="1" applyFill="1" applyBorder="1"/>
    <xf numFmtId="2" fontId="237" fillId="28" borderId="40" xfId="8" applyNumberFormat="1" applyFont="1" applyFill="1" applyBorder="1"/>
    <xf numFmtId="4" fontId="117" fillId="28" borderId="18" xfId="7" applyNumberFormat="1" applyFill="1" applyBorder="1"/>
    <xf numFmtId="0" fontId="237" fillId="28" borderId="16" xfId="8" applyFont="1" applyFill="1" applyBorder="1"/>
    <xf numFmtId="2" fontId="237" fillId="28" borderId="17" xfId="8" applyNumberFormat="1" applyFont="1" applyFill="1" applyBorder="1"/>
    <xf numFmtId="0" fontId="237" fillId="28" borderId="82" xfId="8" applyFont="1" applyFill="1" applyBorder="1"/>
    <xf numFmtId="2" fontId="237" fillId="28" borderId="21" xfId="8" applyNumberFormat="1" applyFont="1" applyFill="1" applyBorder="1"/>
    <xf numFmtId="4" fontId="117" fillId="28" borderId="19" xfId="7" applyNumberFormat="1" applyFill="1" applyBorder="1"/>
    <xf numFmtId="4" fontId="117" fillId="28" borderId="20" xfId="7" applyNumberFormat="1" applyFill="1" applyBorder="1"/>
    <xf numFmtId="0" fontId="117" fillId="28" borderId="20" xfId="8" applyFill="1" applyBorder="1"/>
    <xf numFmtId="49" fontId="235" fillId="28" borderId="20" xfId="8" applyNumberFormat="1" applyFont="1" applyFill="1" applyBorder="1" applyAlignment="1">
      <alignment horizontal="center" vertical="center" textRotation="90" wrapText="1"/>
    </xf>
    <xf numFmtId="0" fontId="237" fillId="28" borderId="20" xfId="8" applyFont="1" applyFill="1" applyBorder="1"/>
    <xf numFmtId="0" fontId="237" fillId="28" borderId="20" xfId="8" applyFont="1" applyFill="1" applyBorder="1" applyAlignment="1">
      <alignment horizontal="center"/>
    </xf>
    <xf numFmtId="49" fontId="235" fillId="28" borderId="0" xfId="8" applyNumberFormat="1" applyFont="1" applyFill="1" applyAlignment="1">
      <alignment horizontal="center" vertical="center" textRotation="90" wrapText="1"/>
    </xf>
    <xf numFmtId="0" fontId="237" fillId="28" borderId="0" xfId="8" applyFont="1" applyFill="1"/>
    <xf numFmtId="0" fontId="237" fillId="28" borderId="0" xfId="8" applyFont="1" applyFill="1" applyAlignment="1">
      <alignment horizontal="center"/>
    </xf>
    <xf numFmtId="2" fontId="237" fillId="28" borderId="0" xfId="8" applyNumberFormat="1" applyFont="1" applyFill="1"/>
    <xf numFmtId="4" fontId="247" fillId="28" borderId="0" xfId="7" applyNumberFormat="1" applyFont="1" applyFill="1" applyAlignment="1">
      <alignment horizontal="right"/>
    </xf>
    <xf numFmtId="0" fontId="117" fillId="42" borderId="8" xfId="8" applyFill="1" applyBorder="1" applyAlignment="1">
      <alignment horizontal="center"/>
    </xf>
    <xf numFmtId="0" fontId="10" fillId="28" borderId="0" xfId="13" applyFill="1" applyAlignment="1">
      <alignment vertical="center"/>
    </xf>
    <xf numFmtId="173" fontId="235" fillId="28" borderId="0" xfId="10" applyFont="1" applyFill="1"/>
    <xf numFmtId="173" fontId="236" fillId="28" borderId="0" xfId="10" applyFill="1"/>
    <xf numFmtId="4" fontId="237" fillId="28" borderId="0" xfId="7" applyNumberFormat="1" applyFont="1" applyFill="1"/>
    <xf numFmtId="0" fontId="238" fillId="28" borderId="0" xfId="11" applyFont="1" applyFill="1" applyAlignment="1">
      <alignment wrapText="1"/>
    </xf>
    <xf numFmtId="0" fontId="238" fillId="28" borderId="0" xfId="11" applyFont="1" applyFill="1" applyAlignment="1">
      <alignment horizontal="center"/>
    </xf>
    <xf numFmtId="0" fontId="235" fillId="28" borderId="0" xfId="8" applyFont="1" applyFill="1" applyAlignment="1">
      <alignment vertical="center" wrapText="1"/>
    </xf>
    <xf numFmtId="0" fontId="238" fillId="28" borderId="0" xfId="11" applyFont="1" applyFill="1" applyAlignment="1">
      <alignment horizontal="right"/>
    </xf>
    <xf numFmtId="3" fontId="238" fillId="28" borderId="0" xfId="11" applyNumberFormat="1" applyFont="1" applyFill="1" applyAlignment="1">
      <alignment horizontal="center"/>
    </xf>
    <xf numFmtId="0" fontId="235" fillId="28" borderId="0" xfId="8" applyFont="1" applyFill="1"/>
    <xf numFmtId="0" fontId="235" fillId="28" borderId="0" xfId="8" applyFont="1" applyFill="1" applyAlignment="1">
      <alignment horizontal="center"/>
    </xf>
    <xf numFmtId="0" fontId="239" fillId="28" borderId="0" xfId="12" applyFont="1" applyFill="1" applyAlignment="1">
      <alignment horizontal="left"/>
    </xf>
    <xf numFmtId="2" fontId="240" fillId="28" borderId="0" xfId="8" applyNumberFormat="1" applyFont="1" applyFill="1"/>
    <xf numFmtId="0" fontId="18" fillId="28" borderId="0" xfId="8" applyFont="1" applyFill="1"/>
    <xf numFmtId="2" fontId="0" fillId="28" borderId="0" xfId="0" applyNumberFormat="1" applyFill="1" applyAlignment="1"/>
    <xf numFmtId="0" fontId="238" fillId="28" borderId="0" xfId="11" applyFont="1" applyFill="1" applyAlignment="1">
      <alignment horizontal="center" vertical="center"/>
    </xf>
    <xf numFmtId="3" fontId="237" fillId="28" borderId="0" xfId="11" applyNumberFormat="1" applyFont="1" applyFill="1" applyAlignment="1">
      <alignment horizontal="center" vertical="center"/>
    </xf>
    <xf numFmtId="2" fontId="241" fillId="28" borderId="0" xfId="11" applyNumberFormat="1" applyFont="1" applyFill="1" applyAlignment="1">
      <alignment horizontal="center" vertical="center"/>
    </xf>
    <xf numFmtId="4" fontId="241" fillId="28" borderId="0" xfId="11" applyNumberFormat="1" applyFont="1" applyFill="1" applyAlignment="1">
      <alignment horizontal="center" vertical="center"/>
    </xf>
    <xf numFmtId="0" fontId="241" fillId="28" borderId="0" xfId="11" applyFont="1" applyFill="1" applyAlignment="1">
      <alignment horizontal="center" vertical="center"/>
    </xf>
    <xf numFmtId="167" fontId="241" fillId="28" borderId="0" xfId="11" applyNumberFormat="1" applyFont="1" applyFill="1" applyAlignment="1">
      <alignment horizontal="center" vertical="center"/>
    </xf>
    <xf numFmtId="164" fontId="241" fillId="28" borderId="0" xfId="11" applyNumberFormat="1" applyFont="1" applyFill="1" applyAlignment="1">
      <alignment horizontal="center" vertical="center"/>
    </xf>
    <xf numFmtId="3" fontId="241" fillId="28" borderId="0" xfId="11" applyNumberFormat="1" applyFont="1" applyFill="1" applyAlignment="1">
      <alignment horizontal="center" vertical="center"/>
    </xf>
    <xf numFmtId="3" fontId="235" fillId="28" borderId="0" xfId="8" applyNumberFormat="1" applyFont="1" applyFill="1" applyAlignment="1">
      <alignment vertical="center" textRotation="90"/>
    </xf>
    <xf numFmtId="0" fontId="117" fillId="28" borderId="0" xfId="8" applyFill="1" applyAlignment="1">
      <alignment horizontal="center"/>
    </xf>
    <xf numFmtId="0" fontId="10" fillId="28" borderId="0" xfId="13" applyFill="1"/>
    <xf numFmtId="3" fontId="117" fillId="28" borderId="0" xfId="7" applyNumberFormat="1" applyFill="1"/>
    <xf numFmtId="0" fontId="80" fillId="28" borderId="0" xfId="13" applyFont="1" applyFill="1"/>
    <xf numFmtId="4" fontId="18" fillId="28" borderId="0" xfId="7" applyNumberFormat="1" applyFont="1" applyFill="1" applyAlignment="1">
      <alignment vertical="center"/>
    </xf>
    <xf numFmtId="3" fontId="242" fillId="28" borderId="0" xfId="11" applyNumberFormat="1" applyFont="1" applyFill="1"/>
    <xf numFmtId="0" fontId="242" fillId="28" borderId="0" xfId="11" applyFont="1" applyFill="1"/>
    <xf numFmtId="1" fontId="240" fillId="28" borderId="0" xfId="8" applyNumberFormat="1" applyFont="1" applyFill="1"/>
    <xf numFmtId="3" fontId="117" fillId="28" borderId="0" xfId="0" applyNumberFormat="1" applyFont="1" applyFill="1" applyAlignment="1">
      <alignment horizontal="center" textRotation="90"/>
    </xf>
    <xf numFmtId="0" fontId="0" fillId="28" borderId="0" xfId="0" applyFill="1" applyAlignment="1">
      <alignment textRotation="90"/>
    </xf>
    <xf numFmtId="4" fontId="117" fillId="28" borderId="0" xfId="0" applyNumberFormat="1" applyFont="1" applyFill="1" applyAlignment="1">
      <alignment horizontal="center" textRotation="90"/>
    </xf>
    <xf numFmtId="3" fontId="117" fillId="28" borderId="0" xfId="7" applyNumberFormat="1" applyFill="1" applyAlignment="1">
      <alignment horizontal="center"/>
    </xf>
    <xf numFmtId="4" fontId="117" fillId="28" borderId="0" xfId="7" applyNumberFormat="1" applyFill="1" applyAlignment="1">
      <alignment horizontal="center"/>
    </xf>
    <xf numFmtId="175" fontId="117" fillId="28" borderId="0" xfId="8" applyNumberFormat="1" applyFill="1"/>
    <xf numFmtId="3" fontId="117" fillId="28" borderId="0" xfId="7" applyNumberFormat="1" applyFill="1" applyAlignment="1">
      <alignment horizontal="right"/>
    </xf>
    <xf numFmtId="0" fontId="237" fillId="10" borderId="73" xfId="8" applyFont="1" applyFill="1" applyBorder="1" applyProtection="1">
      <protection locked="0"/>
    </xf>
    <xf numFmtId="0" fontId="237" fillId="10" borderId="25" xfId="8" applyFont="1" applyFill="1" applyBorder="1" applyProtection="1">
      <protection locked="0"/>
    </xf>
    <xf numFmtId="0" fontId="237" fillId="10" borderId="83" xfId="8" applyFont="1" applyFill="1" applyBorder="1" applyProtection="1">
      <protection locked="0"/>
    </xf>
    <xf numFmtId="4" fontId="117" fillId="28" borderId="0" xfId="7" applyNumberFormat="1" applyFill="1" applyAlignment="1">
      <alignment horizontal="center" vertical="center" textRotation="90"/>
    </xf>
    <xf numFmtId="0" fontId="12" fillId="10" borderId="1" xfId="0" applyFont="1" applyFill="1" applyBorder="1" applyAlignment="1"/>
    <xf numFmtId="0" fontId="12" fillId="10" borderId="37" xfId="0" applyFont="1" applyFill="1" applyBorder="1" applyAlignment="1">
      <alignment horizontal="center"/>
    </xf>
    <xf numFmtId="0" fontId="249" fillId="15" borderId="0" xfId="0" applyFont="1" applyFill="1" applyAlignment="1"/>
    <xf numFmtId="1" fontId="148" fillId="42" borderId="1" xfId="0" applyNumberFormat="1" applyFont="1" applyFill="1" applyBorder="1" applyAlignment="1"/>
    <xf numFmtId="0" fontId="12" fillId="42" borderId="3" xfId="0" applyFont="1" applyFill="1" applyBorder="1" applyAlignment="1"/>
    <xf numFmtId="0" fontId="45" fillId="15" borderId="0" xfId="0" applyFont="1" applyFill="1" applyAlignment="1">
      <alignment horizontal="center" wrapText="1"/>
    </xf>
    <xf numFmtId="0" fontId="35" fillId="35" borderId="0" xfId="0" applyFont="1" applyFill="1" applyAlignment="1">
      <alignment horizontal="center" vertical="center"/>
    </xf>
    <xf numFmtId="0" fontId="101" fillId="33" borderId="3" xfId="0" applyFont="1" applyFill="1" applyBorder="1">
      <alignment vertical="center"/>
    </xf>
    <xf numFmtId="0" fontId="0" fillId="10" borderId="3" xfId="0" applyFill="1" applyBorder="1">
      <alignment vertical="center"/>
    </xf>
    <xf numFmtId="0" fontId="0" fillId="41" borderId="1" xfId="0" applyFill="1" applyBorder="1">
      <alignment vertical="center"/>
    </xf>
    <xf numFmtId="0" fontId="59" fillId="41" borderId="3" xfId="0" applyFont="1" applyFill="1" applyBorder="1">
      <alignment vertical="center"/>
    </xf>
    <xf numFmtId="0" fontId="59" fillId="41" borderId="1" xfId="0" applyFont="1" applyFill="1" applyBorder="1">
      <alignment vertical="center"/>
    </xf>
    <xf numFmtId="0" fontId="0" fillId="26" borderId="0" xfId="0" applyFill="1">
      <alignment vertical="center"/>
    </xf>
    <xf numFmtId="0" fontId="59" fillId="26" borderId="0" xfId="0" applyFont="1" applyFill="1">
      <alignment vertical="center"/>
    </xf>
    <xf numFmtId="0" fontId="0" fillId="57" borderId="0" xfId="0" applyFill="1">
      <alignment vertical="center"/>
    </xf>
    <xf numFmtId="0" fontId="254" fillId="57" borderId="0" xfId="0" applyFont="1" applyFill="1" applyAlignment="1">
      <alignment horizontal="center" vertical="center"/>
    </xf>
    <xf numFmtId="0" fontId="59" fillId="57" borderId="0" xfId="0" applyFont="1" applyFill="1" applyAlignment="1">
      <alignment horizontal="right" vertical="center"/>
    </xf>
    <xf numFmtId="0" fontId="0" fillId="58" borderId="0" xfId="0" applyFill="1">
      <alignment vertical="center"/>
    </xf>
    <xf numFmtId="0" fontId="254" fillId="58" borderId="0" xfId="0" applyFont="1" applyFill="1" applyAlignment="1">
      <alignment horizontal="center" vertical="center"/>
    </xf>
    <xf numFmtId="0" fontId="59" fillId="32" borderId="1" xfId="0" applyFont="1" applyFill="1" applyBorder="1">
      <alignment vertical="center"/>
    </xf>
    <xf numFmtId="0" fontId="0" fillId="32" borderId="1" xfId="0" applyFill="1" applyBorder="1">
      <alignment vertical="center"/>
    </xf>
    <xf numFmtId="0" fontId="0" fillId="10" borderId="24" xfId="0" applyFill="1" applyBorder="1">
      <alignment vertical="center"/>
    </xf>
    <xf numFmtId="0" fontId="0" fillId="50" borderId="3" xfId="0" applyFill="1" applyBorder="1">
      <alignment vertical="center"/>
    </xf>
    <xf numFmtId="0" fontId="0" fillId="50" borderId="22" xfId="0" applyFill="1" applyBorder="1">
      <alignment vertical="center"/>
    </xf>
    <xf numFmtId="0" fontId="0" fillId="50" borderId="23" xfId="0" applyFill="1" applyBorder="1">
      <alignment vertical="center"/>
    </xf>
    <xf numFmtId="0" fontId="110" fillId="50" borderId="1" xfId="0" applyFont="1" applyFill="1" applyBorder="1">
      <alignment vertical="center"/>
    </xf>
    <xf numFmtId="0" fontId="110" fillId="50" borderId="2" xfId="0" applyFont="1" applyFill="1" applyBorder="1">
      <alignment vertical="center"/>
    </xf>
    <xf numFmtId="0" fontId="110" fillId="50" borderId="23" xfId="0" applyFont="1" applyFill="1" applyBorder="1" applyAlignment="1">
      <alignment horizontal="right" vertical="center"/>
    </xf>
    <xf numFmtId="0" fontId="110" fillId="50" borderId="24" xfId="0" applyFont="1" applyFill="1" applyBorder="1">
      <alignment vertical="center"/>
    </xf>
    <xf numFmtId="0" fontId="255" fillId="57" borderId="0" xfId="0" applyFont="1" applyFill="1">
      <alignment vertical="center"/>
    </xf>
    <xf numFmtId="0" fontId="12" fillId="57" borderId="0" xfId="0" applyFont="1" applyFill="1" applyAlignment="1"/>
    <xf numFmtId="0" fontId="162" fillId="57" borderId="0" xfId="0" applyFont="1" applyFill="1">
      <alignment vertical="center"/>
    </xf>
    <xf numFmtId="0" fontId="9" fillId="57" borderId="0" xfId="0" applyFont="1" applyFill="1" applyAlignment="1">
      <alignment horizontal="right" vertical="center"/>
    </xf>
    <xf numFmtId="0" fontId="1" fillId="57" borderId="0" xfId="0" applyFont="1" applyFill="1" applyAlignment="1">
      <alignment horizontal="right" vertical="center"/>
    </xf>
    <xf numFmtId="0" fontId="47" fillId="57" borderId="0" xfId="0" applyFont="1" applyFill="1" applyAlignment="1"/>
    <xf numFmtId="0" fontId="48" fillId="57" borderId="0" xfId="0" applyFont="1" applyFill="1" applyAlignment="1"/>
    <xf numFmtId="0" fontId="0" fillId="10" borderId="2" xfId="0" applyFill="1" applyBorder="1" applyProtection="1">
      <alignment vertical="center"/>
      <protection locked="0"/>
    </xf>
    <xf numFmtId="0" fontId="0" fillId="10" borderId="23" xfId="0" applyFill="1" applyBorder="1" applyProtection="1">
      <alignment vertical="center"/>
      <protection locked="0"/>
    </xf>
    <xf numFmtId="0" fontId="257" fillId="57" borderId="0" xfId="0" applyFont="1" applyFill="1">
      <alignment vertical="center"/>
    </xf>
    <xf numFmtId="0" fontId="117" fillId="32" borderId="85" xfId="2" applyFill="1" applyBorder="1" applyAlignment="1">
      <alignment horizontal="center"/>
    </xf>
    <xf numFmtId="0" fontId="0" fillId="59" borderId="0" xfId="0" applyFill="1" applyAlignment="1"/>
    <xf numFmtId="0" fontId="262" fillId="59" borderId="0" xfId="0" applyFont="1" applyFill="1" applyAlignment="1"/>
    <xf numFmtId="4" fontId="0" fillId="59" borderId="0" xfId="0" applyNumberFormat="1" applyFill="1" applyAlignment="1"/>
    <xf numFmtId="0" fontId="86" fillId="59" borderId="0" xfId="0" applyFont="1" applyFill="1" applyAlignment="1"/>
    <xf numFmtId="0" fontId="0" fillId="59" borderId="13" xfId="0" applyFill="1" applyBorder="1" applyAlignment="1"/>
    <xf numFmtId="0" fontId="0" fillId="59" borderId="15" xfId="0" applyFill="1" applyBorder="1" applyAlignment="1"/>
    <xf numFmtId="0" fontId="0" fillId="59" borderId="8" xfId="0" applyFill="1" applyBorder="1" applyAlignment="1"/>
    <xf numFmtId="4" fontId="0" fillId="59" borderId="13" xfId="0" applyNumberFormat="1" applyFill="1" applyBorder="1" applyAlignment="1"/>
    <xf numFmtId="4" fontId="0" fillId="59" borderId="0" xfId="0" applyNumberFormat="1" applyFill="1" applyAlignment="1">
      <alignment horizontal="center"/>
    </xf>
    <xf numFmtId="0" fontId="0" fillId="59" borderId="0" xfId="0" applyFill="1" applyAlignment="1">
      <alignment horizontal="center"/>
    </xf>
    <xf numFmtId="4" fontId="0" fillId="59" borderId="14" xfId="0" applyNumberFormat="1" applyFill="1" applyBorder="1" applyAlignment="1"/>
    <xf numFmtId="0" fontId="0" fillId="10" borderId="15" xfId="0" applyFill="1" applyBorder="1" applyAlignment="1"/>
    <xf numFmtId="4" fontId="148" fillId="59" borderId="20" xfId="0" applyNumberFormat="1" applyFont="1" applyFill="1" applyBorder="1" applyAlignment="1"/>
    <xf numFmtId="4" fontId="35" fillId="59" borderId="39" xfId="0" applyNumberFormat="1" applyFont="1" applyFill="1" applyBorder="1" applyAlignment="1"/>
    <xf numFmtId="0" fontId="35" fillId="59" borderId="40" xfId="0" applyFont="1" applyFill="1" applyBorder="1" applyAlignment="1"/>
    <xf numFmtId="0" fontId="35" fillId="59" borderId="21" xfId="0" applyFont="1" applyFill="1" applyBorder="1" applyAlignment="1"/>
    <xf numFmtId="0" fontId="86" fillId="60" borderId="8" xfId="0" applyFont="1" applyFill="1" applyBorder="1" applyAlignment="1"/>
    <xf numFmtId="4" fontId="0" fillId="60" borderId="13" xfId="0" applyNumberFormat="1" applyFill="1" applyBorder="1" applyAlignment="1">
      <alignment horizontal="center"/>
    </xf>
    <xf numFmtId="0" fontId="0" fillId="60" borderId="8" xfId="0" applyFill="1" applyBorder="1" applyAlignment="1">
      <alignment horizontal="center"/>
    </xf>
    <xf numFmtId="4" fontId="35" fillId="59" borderId="8" xfId="0" applyNumberFormat="1" applyFont="1" applyFill="1" applyBorder="1" applyAlignment="1"/>
    <xf numFmtId="0" fontId="59" fillId="59" borderId="0" xfId="0" applyFont="1" applyFill="1" applyAlignment="1"/>
    <xf numFmtId="4" fontId="263" fillId="10" borderId="14" xfId="0" applyNumberFormat="1" applyFont="1" applyFill="1" applyBorder="1" applyAlignment="1" applyProtection="1">
      <alignment horizontal="center"/>
      <protection locked="0"/>
    </xf>
    <xf numFmtId="4" fontId="263" fillId="10" borderId="14" xfId="0" applyNumberFormat="1" applyFont="1" applyFill="1" applyBorder="1" applyAlignment="1" applyProtection="1">
      <protection locked="0"/>
    </xf>
    <xf numFmtId="0" fontId="265" fillId="59" borderId="13" xfId="0" applyFont="1" applyFill="1" applyBorder="1" applyAlignment="1"/>
    <xf numFmtId="0" fontId="10" fillId="59" borderId="13" xfId="0" applyFont="1" applyFill="1" applyBorder="1" applyAlignment="1"/>
    <xf numFmtId="0" fontId="12" fillId="59" borderId="0" xfId="0" applyFont="1" applyFill="1" applyAlignment="1"/>
    <xf numFmtId="0" fontId="162" fillId="59" borderId="0" xfId="0" applyFont="1" applyFill="1">
      <alignment vertical="center"/>
    </xf>
    <xf numFmtId="0" fontId="9" fillId="59" borderId="0" xfId="0" applyFont="1" applyFill="1" applyAlignment="1">
      <alignment horizontal="right" vertical="center"/>
    </xf>
    <xf numFmtId="0" fontId="1" fillId="59" borderId="0" xfId="0" applyFont="1" applyFill="1" applyAlignment="1">
      <alignment horizontal="right" vertical="center"/>
    </xf>
    <xf numFmtId="0" fontId="47" fillId="59" borderId="0" xfId="0" applyFont="1" applyFill="1" applyAlignment="1"/>
    <xf numFmtId="0" fontId="48" fillId="59" borderId="0" xfId="0" applyFont="1" applyFill="1" applyAlignment="1"/>
    <xf numFmtId="0" fontId="18" fillId="12" borderId="8" xfId="0" applyFont="1" applyFill="1" applyBorder="1" applyAlignment="1" applyProtection="1">
      <alignment horizontal="center"/>
      <protection locked="0"/>
    </xf>
    <xf numFmtId="0" fontId="18" fillId="12" borderId="62" xfId="0" applyFont="1" applyFill="1" applyBorder="1" applyAlignment="1" applyProtection="1">
      <alignment horizontal="center"/>
      <protection locked="0"/>
    </xf>
    <xf numFmtId="0" fontId="18" fillId="49" borderId="14" xfId="0" applyFont="1" applyFill="1" applyBorder="1" applyAlignment="1"/>
    <xf numFmtId="0" fontId="18" fillId="10" borderId="8" xfId="0" applyFont="1" applyFill="1" applyBorder="1" applyAlignment="1" applyProtection="1">
      <alignment horizontal="center"/>
      <protection locked="0"/>
    </xf>
    <xf numFmtId="0" fontId="0" fillId="16" borderId="8" xfId="0" applyFill="1" applyBorder="1" applyAlignment="1" applyProtection="1">
      <alignment horizontal="center"/>
      <protection locked="0"/>
    </xf>
    <xf numFmtId="0" fontId="18" fillId="16" borderId="8" xfId="0" applyFont="1" applyFill="1" applyBorder="1" applyAlignment="1" applyProtection="1">
      <alignment horizontal="center"/>
      <protection locked="0"/>
    </xf>
    <xf numFmtId="0" fontId="18" fillId="49" borderId="8" xfId="0" applyFont="1" applyFill="1" applyBorder="1" applyAlignment="1">
      <alignment horizontal="center"/>
    </xf>
    <xf numFmtId="0" fontId="0" fillId="32" borderId="42" xfId="0" applyFill="1" applyBorder="1" applyAlignment="1">
      <alignment horizontal="center"/>
    </xf>
    <xf numFmtId="0" fontId="126" fillId="32" borderId="0" xfId="0" applyFont="1" applyFill="1">
      <alignment vertical="center"/>
    </xf>
    <xf numFmtId="0" fontId="125" fillId="32" borderId="0" xfId="0" applyFont="1" applyFill="1">
      <alignment vertical="center"/>
    </xf>
    <xf numFmtId="0" fontId="128" fillId="32" borderId="0" xfId="0" applyFont="1" applyFill="1">
      <alignment vertical="center"/>
    </xf>
    <xf numFmtId="0" fontId="129" fillId="32" borderId="0" xfId="0" applyFont="1" applyFill="1">
      <alignment vertical="center"/>
    </xf>
    <xf numFmtId="0" fontId="127" fillId="32" borderId="0" xfId="0" applyFont="1" applyFill="1">
      <alignment vertical="center"/>
    </xf>
    <xf numFmtId="0" fontId="127" fillId="32" borderId="0" xfId="0" applyFont="1" applyFill="1" applyAlignment="1">
      <alignment horizontal="center" vertical="center"/>
    </xf>
    <xf numFmtId="49" fontId="127" fillId="32" borderId="0" xfId="0" applyNumberFormat="1" applyFont="1" applyFill="1" applyAlignment="1">
      <alignment horizontal="center" vertical="center"/>
    </xf>
    <xf numFmtId="0" fontId="0" fillId="32" borderId="62" xfId="0" applyFill="1" applyBorder="1" applyAlignment="1">
      <alignment horizontal="center"/>
    </xf>
    <xf numFmtId="0" fontId="18" fillId="61" borderId="13" xfId="0" applyFont="1" applyFill="1" applyBorder="1" applyAlignment="1"/>
    <xf numFmtId="0" fontId="125" fillId="32" borderId="13" xfId="0" applyFont="1" applyFill="1" applyBorder="1">
      <alignment vertical="center"/>
    </xf>
    <xf numFmtId="0" fontId="0" fillId="32" borderId="14" xfId="0" applyFill="1" applyBorder="1">
      <alignment vertical="center"/>
    </xf>
    <xf numFmtId="0" fontId="59" fillId="49" borderId="8" xfId="0" applyFont="1" applyFill="1" applyBorder="1">
      <alignment vertical="center"/>
    </xf>
    <xf numFmtId="0" fontId="126" fillId="32" borderId="8" xfId="0" applyFont="1" applyFill="1" applyBorder="1">
      <alignment vertical="center"/>
    </xf>
    <xf numFmtId="0" fontId="266" fillId="32" borderId="0" xfId="0" applyFont="1" applyFill="1">
      <alignment vertical="center"/>
    </xf>
    <xf numFmtId="0" fontId="267" fillId="32" borderId="13" xfId="0" applyFont="1" applyFill="1" applyBorder="1">
      <alignment vertical="center"/>
    </xf>
    <xf numFmtId="0" fontId="35" fillId="43" borderId="13" xfId="0" applyFont="1" applyFill="1" applyBorder="1">
      <alignment vertical="center"/>
    </xf>
    <xf numFmtId="0" fontId="35" fillId="43" borderId="15" xfId="0" applyFont="1" applyFill="1" applyBorder="1">
      <alignment vertical="center"/>
    </xf>
    <xf numFmtId="0" fontId="0" fillId="10" borderId="14" xfId="0" applyFill="1" applyBorder="1" applyProtection="1">
      <alignment vertical="center"/>
      <protection locked="0"/>
    </xf>
    <xf numFmtId="0" fontId="125" fillId="10" borderId="15" xfId="0" applyFont="1" applyFill="1" applyBorder="1" applyProtection="1">
      <alignment vertical="center"/>
      <protection locked="0"/>
    </xf>
    <xf numFmtId="0" fontId="271" fillId="32" borderId="0" xfId="0" applyFont="1" applyFill="1">
      <alignment vertical="center"/>
    </xf>
    <xf numFmtId="0" fontId="0" fillId="49" borderId="22" xfId="0" applyFill="1" applyBorder="1">
      <alignment vertical="center"/>
    </xf>
    <xf numFmtId="0" fontId="0" fillId="42" borderId="0" xfId="0" applyFill="1">
      <alignment vertical="center"/>
    </xf>
    <xf numFmtId="0" fontId="162" fillId="49" borderId="27" xfId="0" applyFont="1" applyFill="1" applyBorder="1">
      <alignment vertical="center"/>
    </xf>
    <xf numFmtId="0" fontId="162" fillId="49" borderId="28" xfId="0" applyFont="1" applyFill="1" applyBorder="1">
      <alignment vertical="center"/>
    </xf>
    <xf numFmtId="0" fontId="272" fillId="15" borderId="0" xfId="0" applyFont="1" applyFill="1" applyAlignment="1"/>
    <xf numFmtId="0" fontId="250" fillId="15" borderId="0" xfId="0" applyFont="1" applyFill="1" applyAlignment="1"/>
    <xf numFmtId="0" fontId="12" fillId="10" borderId="54" xfId="0" applyFont="1" applyFill="1" applyBorder="1" applyAlignment="1" applyProtection="1">
      <protection locked="0"/>
    </xf>
    <xf numFmtId="0" fontId="12" fillId="10" borderId="67" xfId="0" applyFont="1" applyFill="1" applyBorder="1" applyAlignment="1"/>
    <xf numFmtId="0" fontId="12" fillId="32" borderId="47" xfId="0" applyFont="1" applyFill="1" applyBorder="1" applyAlignment="1"/>
    <xf numFmtId="0" fontId="12" fillId="32" borderId="67" xfId="0" applyFont="1" applyFill="1" applyBorder="1" applyAlignment="1"/>
    <xf numFmtId="0" fontId="12" fillId="32" borderId="32" xfId="0" applyFont="1" applyFill="1" applyBorder="1" applyAlignment="1"/>
    <xf numFmtId="0" fontId="12" fillId="32" borderId="55" xfId="0" applyFont="1" applyFill="1" applyBorder="1" applyAlignment="1"/>
    <xf numFmtId="0" fontId="12" fillId="10" borderId="56" xfId="0" applyFont="1" applyFill="1" applyBorder="1" applyAlignment="1" applyProtection="1">
      <protection locked="0"/>
    </xf>
    <xf numFmtId="0" fontId="12" fillId="32" borderId="33" xfId="0" applyFont="1" applyFill="1" applyBorder="1" applyAlignment="1"/>
    <xf numFmtId="0" fontId="12" fillId="10" borderId="57" xfId="0" applyFont="1" applyFill="1" applyBorder="1" applyAlignment="1" applyProtection="1">
      <protection locked="0"/>
    </xf>
    <xf numFmtId="0" fontId="12" fillId="10" borderId="90" xfId="0" applyFont="1" applyFill="1" applyBorder="1" applyAlignment="1"/>
    <xf numFmtId="0" fontId="12" fillId="32" borderId="53" xfId="0" applyFont="1" applyFill="1" applyBorder="1" applyAlignment="1"/>
    <xf numFmtId="0" fontId="12" fillId="32" borderId="90" xfId="0" applyFont="1" applyFill="1" applyBorder="1" applyAlignment="1"/>
    <xf numFmtId="0" fontId="12" fillId="32" borderId="35" xfId="0" applyFont="1" applyFill="1" applyBorder="1" applyAlignment="1"/>
    <xf numFmtId="0" fontId="26" fillId="10" borderId="13" xfId="0" applyFont="1" applyFill="1" applyBorder="1" applyAlignment="1">
      <alignment horizontal="right"/>
    </xf>
    <xf numFmtId="0" fontId="26" fillId="10" borderId="14" xfId="0" applyFont="1" applyFill="1" applyBorder="1" applyAlignment="1" applyProtection="1">
      <alignment horizontal="left"/>
      <protection locked="0"/>
    </xf>
    <xf numFmtId="0" fontId="26" fillId="10" borderId="15" xfId="0" applyFont="1" applyFill="1" applyBorder="1" applyAlignment="1"/>
    <xf numFmtId="0" fontId="117" fillId="32" borderId="38" xfId="2" applyFill="1" applyBorder="1"/>
    <xf numFmtId="0" fontId="117" fillId="32" borderId="40" xfId="2" applyFill="1" applyBorder="1"/>
    <xf numFmtId="0" fontId="117" fillId="32" borderId="18" xfId="2" applyFill="1" applyBorder="1" applyAlignment="1">
      <alignment horizontal="center"/>
    </xf>
    <xf numFmtId="0" fontId="117" fillId="32" borderId="17" xfId="2" applyFill="1" applyBorder="1"/>
    <xf numFmtId="0" fontId="117" fillId="32" borderId="19" xfId="2" applyFill="1" applyBorder="1" applyAlignment="1">
      <alignment horizontal="center"/>
    </xf>
    <xf numFmtId="0" fontId="117" fillId="32" borderId="21" xfId="2" applyFill="1" applyBorder="1"/>
    <xf numFmtId="0" fontId="117" fillId="32" borderId="18" xfId="2" applyFill="1" applyBorder="1"/>
    <xf numFmtId="0" fontId="117" fillId="32" borderId="8" xfId="0" applyFont="1" applyFill="1" applyBorder="1" applyAlignment="1">
      <alignment horizontal="center"/>
    </xf>
    <xf numFmtId="0" fontId="117" fillId="0" borderId="8" xfId="0" applyFont="1" applyBorder="1" applyAlignment="1"/>
    <xf numFmtId="0" fontId="117" fillId="0" borderId="13" xfId="0" applyFont="1" applyBorder="1" applyAlignment="1"/>
    <xf numFmtId="0" fontId="117" fillId="32" borderId="8" xfId="0" applyFont="1" applyFill="1" applyBorder="1" applyAlignment="1"/>
    <xf numFmtId="0" fontId="0" fillId="0" borderId="8" xfId="0" applyBorder="1" applyAlignment="1"/>
    <xf numFmtId="0" fontId="117" fillId="32" borderId="13" xfId="0" applyFont="1" applyFill="1" applyBorder="1" applyAlignment="1"/>
    <xf numFmtId="0" fontId="186" fillId="15" borderId="0" xfId="0" applyFont="1" applyFill="1" applyAlignment="1"/>
    <xf numFmtId="0" fontId="0" fillId="32" borderId="0" xfId="0" applyFill="1" applyAlignment="1">
      <alignment horizontal="center"/>
    </xf>
    <xf numFmtId="0" fontId="155" fillId="15" borderId="0" xfId="0" applyFont="1" applyFill="1" applyAlignment="1">
      <alignment horizontal="center"/>
    </xf>
    <xf numFmtId="0" fontId="12" fillId="15" borderId="14" xfId="0" applyFont="1" applyFill="1" applyBorder="1" applyAlignment="1"/>
    <xf numFmtId="165" fontId="26" fillId="15" borderId="13" xfId="0" applyNumberFormat="1" applyFont="1" applyFill="1" applyBorder="1" applyAlignment="1"/>
    <xf numFmtId="0" fontId="117" fillId="42" borderId="0" xfId="0" applyFont="1" applyFill="1" applyAlignment="1"/>
    <xf numFmtId="0" fontId="117" fillId="32" borderId="0" xfId="0" applyFont="1" applyFill="1" applyAlignment="1">
      <alignment horizontal="center"/>
    </xf>
    <xf numFmtId="0" fontId="117" fillId="42" borderId="19" xfId="0" applyFont="1" applyFill="1" applyBorder="1" applyAlignment="1"/>
    <xf numFmtId="0" fontId="117" fillId="42" borderId="21" xfId="0" applyFont="1" applyFill="1" applyBorder="1" applyAlignment="1"/>
    <xf numFmtId="0" fontId="59" fillId="42" borderId="21" xfId="0" applyFont="1" applyFill="1" applyBorder="1">
      <alignment vertical="center"/>
    </xf>
    <xf numFmtId="0" fontId="117" fillId="42" borderId="20" xfId="0" applyFont="1" applyFill="1" applyBorder="1" applyAlignment="1"/>
    <xf numFmtId="0" fontId="0" fillId="10" borderId="17" xfId="0" applyFill="1" applyBorder="1" applyAlignment="1">
      <alignment horizontal="left" vertical="center" wrapText="1"/>
    </xf>
    <xf numFmtId="0" fontId="0" fillId="10" borderId="52" xfId="0" applyFill="1" applyBorder="1" applyAlignment="1">
      <alignment horizontal="center"/>
    </xf>
    <xf numFmtId="0" fontId="0" fillId="10" borderId="17" xfId="0" applyFill="1" applyBorder="1" applyAlignment="1">
      <alignment horizontal="left" vertical="center"/>
    </xf>
    <xf numFmtId="0" fontId="35" fillId="20" borderId="19" xfId="0" applyFont="1" applyFill="1" applyBorder="1">
      <alignment vertical="center"/>
    </xf>
    <xf numFmtId="0" fontId="35" fillId="20" borderId="21" xfId="0" applyFont="1" applyFill="1" applyBorder="1">
      <alignment vertical="center"/>
    </xf>
    <xf numFmtId="3" fontId="0" fillId="42" borderId="52" xfId="0" applyNumberFormat="1" applyFill="1" applyBorder="1" applyAlignment="1">
      <alignment horizontal="center"/>
    </xf>
    <xf numFmtId="3" fontId="0" fillId="42" borderId="17" xfId="0" applyNumberFormat="1" applyFill="1" applyBorder="1" applyAlignment="1">
      <alignment horizontal="center"/>
    </xf>
    <xf numFmtId="0" fontId="273" fillId="32" borderId="0" xfId="0" applyFont="1" applyFill="1" applyAlignment="1"/>
    <xf numFmtId="0" fontId="117" fillId="32" borderId="0" xfId="0" applyFont="1" applyFill="1" applyAlignment="1"/>
    <xf numFmtId="1" fontId="117" fillId="32" borderId="0" xfId="0" applyNumberFormat="1" applyFont="1" applyFill="1" applyAlignment="1">
      <alignment horizontal="center"/>
    </xf>
    <xf numFmtId="0" fontId="117" fillId="0" borderId="0" xfId="0" applyFont="1" applyAlignment="1"/>
    <xf numFmtId="0" fontId="275" fillId="0" borderId="0" xfId="0" applyFont="1" applyAlignment="1">
      <alignment horizontal="center"/>
    </xf>
    <xf numFmtId="0" fontId="0" fillId="32" borderId="27" xfId="0" applyFill="1" applyBorder="1" applyAlignment="1">
      <alignment horizontal="center" vertical="center"/>
    </xf>
    <xf numFmtId="0" fontId="117" fillId="42" borderId="8" xfId="0" applyFont="1" applyFill="1" applyBorder="1" applyAlignment="1"/>
    <xf numFmtId="1" fontId="117" fillId="10" borderId="8" xfId="0" applyNumberFormat="1" applyFont="1" applyFill="1" applyBorder="1" applyAlignment="1" applyProtection="1">
      <alignment horizontal="center"/>
      <protection locked="0"/>
    </xf>
    <xf numFmtId="1" fontId="117" fillId="10" borderId="86" xfId="0" applyNumberFormat="1" applyFont="1" applyFill="1" applyBorder="1" applyAlignment="1" applyProtection="1">
      <alignment horizontal="center"/>
      <protection locked="0"/>
    </xf>
    <xf numFmtId="1" fontId="117" fillId="10" borderId="87" xfId="0" applyNumberFormat="1" applyFont="1" applyFill="1" applyBorder="1" applyAlignment="1" applyProtection="1">
      <alignment horizontal="center"/>
      <protection locked="0"/>
    </xf>
    <xf numFmtId="1" fontId="117" fillId="10" borderId="88" xfId="0" applyNumberFormat="1" applyFont="1" applyFill="1" applyBorder="1" applyAlignment="1" applyProtection="1">
      <alignment horizontal="center"/>
      <protection locked="0"/>
    </xf>
    <xf numFmtId="1" fontId="117" fillId="10" borderId="86" xfId="2" applyNumberFormat="1" applyFill="1" applyBorder="1" applyAlignment="1" applyProtection="1">
      <alignment horizontal="center"/>
      <protection locked="0"/>
    </xf>
    <xf numFmtId="1" fontId="117" fillId="10" borderId="89" xfId="2" applyNumberFormat="1" applyFill="1" applyBorder="1" applyAlignment="1" applyProtection="1">
      <alignment horizontal="center"/>
      <protection locked="0"/>
    </xf>
    <xf numFmtId="0" fontId="47" fillId="10" borderId="3" xfId="0" applyFont="1" applyFill="1" applyBorder="1" applyAlignment="1"/>
    <xf numFmtId="2" fontId="0" fillId="43" borderId="1" xfId="0" applyNumberFormat="1" applyFill="1" applyBorder="1">
      <alignment vertical="center"/>
    </xf>
    <xf numFmtId="2" fontId="0" fillId="33" borderId="38" xfId="0" applyNumberFormat="1" applyFill="1" applyBorder="1">
      <alignment vertical="center"/>
    </xf>
    <xf numFmtId="0" fontId="276" fillId="25" borderId="0" xfId="0" applyFont="1" applyFill="1">
      <alignment vertical="center"/>
    </xf>
    <xf numFmtId="0" fontId="266" fillId="25" borderId="0" xfId="0" applyFont="1" applyFill="1" applyAlignment="1">
      <alignment horizontal="right" vertical="center"/>
    </xf>
    <xf numFmtId="0" fontId="277" fillId="25" borderId="0" xfId="0" applyFont="1" applyFill="1">
      <alignment vertical="center"/>
    </xf>
    <xf numFmtId="0" fontId="279" fillId="25" borderId="0" xfId="0" applyFont="1" applyFill="1" applyAlignment="1">
      <alignment horizontal="right" vertical="center"/>
    </xf>
    <xf numFmtId="0" fontId="280" fillId="25" borderId="0" xfId="0" applyFont="1" applyFill="1" applyAlignment="1">
      <alignment horizontal="right" vertical="center"/>
    </xf>
    <xf numFmtId="0" fontId="47" fillId="25" borderId="0" xfId="0" applyFont="1" applyFill="1" applyAlignment="1"/>
    <xf numFmtId="0" fontId="147" fillId="15" borderId="0" xfId="0" applyFont="1" applyFill="1" applyAlignment="1">
      <alignment horizontal="center" wrapText="1"/>
    </xf>
    <xf numFmtId="0" fontId="281" fillId="15" borderId="0" xfId="0" applyFont="1" applyFill="1" applyAlignment="1"/>
    <xf numFmtId="1" fontId="12" fillId="16" borderId="37" xfId="0" applyNumberFormat="1" applyFont="1" applyFill="1" applyBorder="1" applyAlignment="1">
      <alignment horizontal="center"/>
    </xf>
    <xf numFmtId="0" fontId="282" fillId="0" borderId="0" xfId="0" applyFont="1">
      <alignment vertical="center"/>
    </xf>
    <xf numFmtId="0" fontId="283" fillId="0" borderId="0" xfId="0" applyFont="1">
      <alignment vertical="center"/>
    </xf>
    <xf numFmtId="0" fontId="0" fillId="31" borderId="0" xfId="0" applyFill="1">
      <alignment vertical="center"/>
    </xf>
    <xf numFmtId="0" fontId="103" fillId="32" borderId="0" xfId="0" applyFont="1" applyFill="1" applyAlignment="1">
      <alignment horizontal="center" vertical="center"/>
    </xf>
    <xf numFmtId="0" fontId="285" fillId="15" borderId="0" xfId="0" applyFont="1" applyFill="1" applyAlignment="1"/>
    <xf numFmtId="0" fontId="0" fillId="62" borderId="0" xfId="0" applyFill="1">
      <alignment vertical="center"/>
    </xf>
    <xf numFmtId="0" fontId="286" fillId="62" borderId="0" xfId="0" applyFont="1" applyFill="1">
      <alignment vertical="center"/>
    </xf>
    <xf numFmtId="0" fontId="286" fillId="62" borderId="0" xfId="0" applyFont="1" applyFill="1" applyAlignment="1">
      <alignment horizontal="left"/>
    </xf>
    <xf numFmtId="0" fontId="59" fillId="62" borderId="0" xfId="0" applyFont="1" applyFill="1">
      <alignment vertical="center"/>
    </xf>
    <xf numFmtId="0" fontId="289" fillId="10" borderId="1" xfId="0" applyFont="1" applyFill="1" applyBorder="1" applyAlignment="1" applyProtection="1">
      <protection locked="0"/>
    </xf>
    <xf numFmtId="0" fontId="289" fillId="10" borderId="3" xfId="0" applyFont="1" applyFill="1" applyBorder="1" applyAlignment="1"/>
    <xf numFmtId="0" fontId="290" fillId="62" borderId="0" xfId="0" applyFont="1" applyFill="1">
      <alignment vertical="center"/>
    </xf>
    <xf numFmtId="0" fontId="291" fillId="62" borderId="0" xfId="0" applyFont="1" applyFill="1">
      <alignment vertical="center"/>
    </xf>
    <xf numFmtId="0" fontId="292" fillId="62" borderId="0" xfId="0" applyFont="1" applyFill="1">
      <alignment vertical="center"/>
    </xf>
    <xf numFmtId="0" fontId="291" fillId="10" borderId="1" xfId="0" applyFont="1" applyFill="1" applyBorder="1">
      <alignment vertical="center"/>
    </xf>
    <xf numFmtId="0" fontId="291" fillId="10" borderId="2" xfId="0" applyFont="1" applyFill="1" applyBorder="1" applyProtection="1">
      <alignment vertical="center"/>
      <protection locked="0"/>
    </xf>
    <xf numFmtId="0" fontId="292" fillId="10" borderId="3" xfId="0" applyFont="1" applyFill="1" applyBorder="1">
      <alignment vertical="center"/>
    </xf>
    <xf numFmtId="0" fontId="287" fillId="62" borderId="0" xfId="0" applyFont="1" applyFill="1">
      <alignment vertical="center"/>
    </xf>
    <xf numFmtId="0" fontId="293" fillId="62" borderId="0" xfId="0" applyFont="1" applyFill="1" applyAlignment="1">
      <alignment horizontal="right" vertical="center"/>
    </xf>
    <xf numFmtId="0" fontId="295" fillId="62" borderId="0" xfId="0" applyFont="1" applyFill="1" applyAlignment="1">
      <alignment horizontal="center" vertical="center"/>
    </xf>
    <xf numFmtId="0" fontId="295" fillId="62" borderId="0" xfId="0" applyFont="1" applyFill="1" applyAlignment="1">
      <alignment horizontal="right" vertical="center"/>
    </xf>
    <xf numFmtId="165" fontId="295" fillId="62" borderId="0" xfId="0" applyNumberFormat="1" applyFont="1" applyFill="1">
      <alignment vertical="center"/>
    </xf>
    <xf numFmtId="0" fontId="295" fillId="62" borderId="0" xfId="0" applyFont="1" applyFill="1">
      <alignment vertical="center"/>
    </xf>
    <xf numFmtId="165" fontId="295" fillId="62" borderId="0" xfId="0" applyNumberFormat="1" applyFont="1" applyFill="1" applyAlignment="1">
      <alignment horizontal="center" vertical="center"/>
    </xf>
    <xf numFmtId="2" fontId="291" fillId="62" borderId="0" xfId="0" applyNumberFormat="1" applyFont="1" applyFill="1">
      <alignment vertical="center"/>
    </xf>
    <xf numFmtId="0" fontId="287" fillId="62" borderId="0" xfId="0" applyFont="1" applyFill="1" applyAlignment="1">
      <alignment horizontal="right"/>
    </xf>
    <xf numFmtId="1" fontId="297" fillId="62" borderId="0" xfId="0" applyNumberFormat="1" applyFont="1" applyFill="1" applyAlignment="1">
      <alignment horizontal="center" vertical="center"/>
    </xf>
    <xf numFmtId="1" fontId="297" fillId="62" borderId="0" xfId="0" applyNumberFormat="1" applyFont="1" applyFill="1" applyAlignment="1">
      <alignment horizontal="left" vertical="center"/>
    </xf>
    <xf numFmtId="0" fontId="287" fillId="62" borderId="0" xfId="0" applyFont="1" applyFill="1" applyAlignment="1">
      <alignment horizontal="right" vertical="center"/>
    </xf>
    <xf numFmtId="0" fontId="297" fillId="62" borderId="0" xfId="0" applyFont="1" applyFill="1" applyAlignment="1">
      <alignment horizontal="right" vertical="center"/>
    </xf>
    <xf numFmtId="165" fontId="297" fillId="62" borderId="0" xfId="0" applyNumberFormat="1" applyFont="1" applyFill="1" applyAlignment="1">
      <alignment horizontal="center" vertical="center"/>
    </xf>
    <xf numFmtId="0" fontId="297" fillId="62" borderId="0" xfId="0" applyFont="1" applyFill="1">
      <alignment vertical="center"/>
    </xf>
    <xf numFmtId="0" fontId="298" fillId="62" borderId="0" xfId="0" applyFont="1" applyFill="1">
      <alignment vertical="center"/>
    </xf>
    <xf numFmtId="0" fontId="298" fillId="62" borderId="0" xfId="0" applyFont="1" applyFill="1" applyAlignment="1">
      <alignment horizontal="right" vertical="center"/>
    </xf>
    <xf numFmtId="1" fontId="299" fillId="62" borderId="0" xfId="0" applyNumberFormat="1" applyFont="1" applyFill="1" applyAlignment="1">
      <alignment horizontal="center" vertical="center"/>
    </xf>
    <xf numFmtId="165" fontId="298" fillId="62" borderId="0" xfId="0" applyNumberFormat="1" applyFont="1" applyFill="1" applyAlignment="1">
      <alignment horizontal="center" vertical="center"/>
    </xf>
    <xf numFmtId="0" fontId="12" fillId="62" borderId="0" xfId="0" applyFont="1" applyFill="1" applyAlignment="1"/>
    <xf numFmtId="0" fontId="12" fillId="62" borderId="0" xfId="0" applyFont="1" applyFill="1" applyAlignment="1">
      <alignment horizontal="right"/>
    </xf>
    <xf numFmtId="0" fontId="155" fillId="62" borderId="0" xfId="0" applyFont="1" applyFill="1" applyAlignment="1">
      <alignment horizontal="right"/>
    </xf>
    <xf numFmtId="0" fontId="155" fillId="62" borderId="0" xfId="0" applyFont="1" applyFill="1" applyAlignment="1">
      <alignment horizontal="center"/>
    </xf>
    <xf numFmtId="0" fontId="300" fillId="62" borderId="0" xfId="0" applyFont="1" applyFill="1" applyAlignment="1"/>
    <xf numFmtId="0" fontId="294" fillId="62" borderId="0" xfId="0" applyFont="1" applyFill="1" applyAlignment="1"/>
    <xf numFmtId="0" fontId="304" fillId="62" borderId="0" xfId="0" applyFont="1" applyFill="1">
      <alignment vertical="center"/>
    </xf>
    <xf numFmtId="0" fontId="305" fillId="62" borderId="0" xfId="0" applyFont="1" applyFill="1">
      <alignment vertical="center"/>
    </xf>
    <xf numFmtId="0" fontId="12" fillId="5" borderId="37" xfId="0" applyFont="1" applyFill="1" applyBorder="1" applyAlignment="1">
      <alignment horizontal="center"/>
    </xf>
    <xf numFmtId="0" fontId="12" fillId="2" borderId="0" xfId="0" applyFont="1" applyFill="1" applyAlignment="1">
      <alignment horizontal="left"/>
    </xf>
    <xf numFmtId="2" fontId="12" fillId="5" borderId="1" xfId="0" applyNumberFormat="1" applyFont="1" applyFill="1" applyBorder="1" applyAlignment="1"/>
    <xf numFmtId="0" fontId="12" fillId="5" borderId="1" xfId="0" applyFont="1" applyFill="1" applyBorder="1" applyAlignment="1"/>
    <xf numFmtId="0" fontId="295" fillId="62" borderId="0" xfId="0" applyFont="1" applyFill="1" applyAlignment="1">
      <alignment horizontal="left" vertical="center"/>
    </xf>
    <xf numFmtId="0" fontId="0" fillId="10" borderId="37" xfId="0" applyFill="1" applyBorder="1" applyAlignment="1"/>
    <xf numFmtId="0" fontId="75" fillId="10" borderId="58" xfId="0" applyFont="1" applyFill="1" applyBorder="1" applyAlignment="1"/>
    <xf numFmtId="1" fontId="0" fillId="10" borderId="26" xfId="0" applyNumberFormat="1" applyFill="1" applyBorder="1" applyAlignment="1"/>
    <xf numFmtId="0" fontId="77" fillId="5" borderId="0" xfId="0" applyFont="1" applyFill="1" applyAlignment="1"/>
    <xf numFmtId="0" fontId="76" fillId="7" borderId="0" xfId="0" applyFont="1" applyFill="1" applyAlignment="1"/>
    <xf numFmtId="0" fontId="80" fillId="5" borderId="0" xfId="0" applyFont="1" applyFill="1" applyAlignment="1"/>
    <xf numFmtId="0" fontId="0" fillId="5" borderId="0" xfId="0" applyFill="1" applyAlignment="1"/>
    <xf numFmtId="0" fontId="59" fillId="10" borderId="1" xfId="0" applyFont="1" applyFill="1" applyBorder="1" applyAlignment="1"/>
    <xf numFmtId="0" fontId="306" fillId="62" borderId="0" xfId="0" applyFont="1" applyFill="1">
      <alignment vertical="center"/>
    </xf>
    <xf numFmtId="0" fontId="306" fillId="56" borderId="0" xfId="0" applyFont="1" applyFill="1" applyAlignment="1">
      <alignment horizontal="center" vertical="center"/>
    </xf>
    <xf numFmtId="0" fontId="35" fillId="62" borderId="0" xfId="0" applyFont="1" applyFill="1">
      <alignment vertical="center"/>
    </xf>
    <xf numFmtId="3" fontId="298" fillId="62" borderId="0" xfId="0" applyNumberFormat="1" applyFont="1" applyFill="1">
      <alignment vertical="center"/>
    </xf>
    <xf numFmtId="0" fontId="0" fillId="10" borderId="37" xfId="0" applyFill="1" applyBorder="1" applyAlignment="1">
      <alignment horizontal="center"/>
    </xf>
    <xf numFmtId="0" fontId="59" fillId="10" borderId="0" xfId="0" applyFont="1" applyFill="1" applyAlignment="1">
      <alignment horizontal="right"/>
    </xf>
    <xf numFmtId="1" fontId="0" fillId="10" borderId="0" xfId="0" applyNumberFormat="1" applyFill="1" applyAlignment="1">
      <alignment horizontal="center"/>
    </xf>
    <xf numFmtId="1" fontId="0" fillId="10" borderId="37" xfId="0" applyNumberFormat="1" applyFill="1" applyBorder="1" applyAlignment="1">
      <alignment horizontal="center"/>
    </xf>
    <xf numFmtId="0" fontId="306" fillId="10" borderId="91" xfId="0" applyFont="1" applyFill="1" applyBorder="1" applyAlignment="1" applyProtection="1">
      <alignment horizontal="left" vertical="center"/>
      <protection locked="0"/>
    </xf>
    <xf numFmtId="0" fontId="0" fillId="62" borderId="22" xfId="0" applyFill="1" applyBorder="1">
      <alignment vertical="center"/>
    </xf>
    <xf numFmtId="0" fontId="0" fillId="62" borderId="23" xfId="0" applyFill="1" applyBorder="1">
      <alignment vertical="center"/>
    </xf>
    <xf numFmtId="0" fontId="0" fillId="62" borderId="24" xfId="0" applyFill="1" applyBorder="1">
      <alignment vertical="center"/>
    </xf>
    <xf numFmtId="0" fontId="0" fillId="62" borderId="25" xfId="0" applyFill="1" applyBorder="1">
      <alignment vertical="center"/>
    </xf>
    <xf numFmtId="0" fontId="0" fillId="62" borderId="16" xfId="0" applyFill="1" applyBorder="1">
      <alignment vertical="center"/>
    </xf>
    <xf numFmtId="0" fontId="0" fillId="62" borderId="26" xfId="0" applyFill="1" applyBorder="1">
      <alignment vertical="center"/>
    </xf>
    <xf numFmtId="0" fontId="0" fillId="62" borderId="27" xfId="0" applyFill="1" applyBorder="1">
      <alignment vertical="center"/>
    </xf>
    <xf numFmtId="0" fontId="0" fillId="62" borderId="28" xfId="0" applyFill="1" applyBorder="1">
      <alignment vertical="center"/>
    </xf>
    <xf numFmtId="0" fontId="59" fillId="49" borderId="25" xfId="0" applyFont="1" applyFill="1" applyBorder="1">
      <alignment vertical="center"/>
    </xf>
    <xf numFmtId="0" fontId="150" fillId="44" borderId="0" xfId="0" applyFont="1" applyFill="1" applyAlignment="1"/>
    <xf numFmtId="0" fontId="0" fillId="10" borderId="93" xfId="0" applyFill="1" applyBorder="1" applyProtection="1">
      <alignment vertical="center"/>
      <protection locked="0"/>
    </xf>
    <xf numFmtId="0" fontId="35" fillId="49" borderId="0" xfId="0" applyFont="1" applyFill="1">
      <alignment vertical="center"/>
    </xf>
    <xf numFmtId="0" fontId="0" fillId="49" borderId="4" xfId="0" applyFill="1" applyBorder="1">
      <alignment vertical="center"/>
    </xf>
    <xf numFmtId="0" fontId="0" fillId="49" borderId="5" xfId="0" applyFill="1" applyBorder="1">
      <alignment vertical="center"/>
    </xf>
    <xf numFmtId="0" fontId="0" fillId="49" borderId="6" xfId="0" applyFill="1" applyBorder="1">
      <alignment vertical="center"/>
    </xf>
    <xf numFmtId="0" fontId="0" fillId="49" borderId="0" xfId="0" applyFill="1" applyAlignment="1">
      <alignment horizontal="center" vertical="center"/>
    </xf>
    <xf numFmtId="0" fontId="282" fillId="49" borderId="0" xfId="0" applyFont="1" applyFill="1">
      <alignment vertical="center"/>
    </xf>
    <xf numFmtId="0" fontId="0" fillId="49" borderId="92" xfId="0" applyFill="1" applyBorder="1">
      <alignment vertical="center"/>
    </xf>
    <xf numFmtId="0" fontId="59" fillId="49" borderId="58" xfId="0" applyFont="1" applyFill="1" applyBorder="1">
      <alignment vertical="center"/>
    </xf>
    <xf numFmtId="0" fontId="0" fillId="49" borderId="63" xfId="0" applyFill="1" applyBorder="1" applyAlignment="1">
      <alignment horizontal="center" vertical="center"/>
    </xf>
    <xf numFmtId="0" fontId="0" fillId="49" borderId="10" xfId="0" applyFill="1" applyBorder="1">
      <alignment vertical="center"/>
    </xf>
    <xf numFmtId="0" fontId="0" fillId="49" borderId="11" xfId="0" applyFill="1" applyBorder="1">
      <alignment vertical="center"/>
    </xf>
    <xf numFmtId="0" fontId="0" fillId="49" borderId="12" xfId="0" applyFill="1" applyBorder="1" applyAlignment="1">
      <alignment horizontal="center" vertical="center"/>
    </xf>
    <xf numFmtId="0" fontId="191" fillId="49" borderId="0" xfId="0" applyFont="1" applyFill="1">
      <alignment vertical="center"/>
    </xf>
    <xf numFmtId="0" fontId="59" fillId="49" borderId="16" xfId="0" applyFont="1" applyFill="1" applyBorder="1">
      <alignment vertical="center"/>
    </xf>
    <xf numFmtId="0" fontId="0" fillId="49" borderId="14" xfId="0" applyFill="1" applyBorder="1">
      <alignment vertical="center"/>
    </xf>
    <xf numFmtId="0" fontId="0" fillId="49" borderId="42" xfId="0" applyFill="1" applyBorder="1" applyAlignment="1">
      <alignment horizontal="left" vertical="center"/>
    </xf>
    <xf numFmtId="0" fontId="0" fillId="49" borderId="42" xfId="0" applyFill="1" applyBorder="1" applyAlignment="1">
      <alignment horizontal="center" vertical="center"/>
    </xf>
    <xf numFmtId="0" fontId="0" fillId="49" borderId="8" xfId="0" applyFill="1" applyBorder="1" applyAlignment="1">
      <alignment horizontal="left" vertical="center"/>
    </xf>
    <xf numFmtId="0" fontId="310" fillId="49" borderId="0" xfId="0" applyFont="1" applyFill="1">
      <alignment vertical="center"/>
    </xf>
    <xf numFmtId="0" fontId="105" fillId="49" borderId="0" xfId="0" applyFont="1" applyFill="1">
      <alignment vertical="center"/>
    </xf>
    <xf numFmtId="0" fontId="282" fillId="49" borderId="25" xfId="0" applyFont="1" applyFill="1" applyBorder="1">
      <alignment vertical="center"/>
    </xf>
    <xf numFmtId="0" fontId="59" fillId="49" borderId="14" xfId="0" applyFont="1" applyFill="1" applyBorder="1">
      <alignment vertical="center"/>
    </xf>
    <xf numFmtId="0" fontId="59" fillId="49" borderId="27" xfId="0" applyFont="1" applyFill="1" applyBorder="1">
      <alignment vertical="center"/>
    </xf>
    <xf numFmtId="0" fontId="12" fillId="49" borderId="0" xfId="0" applyFont="1" applyFill="1" applyAlignment="1"/>
    <xf numFmtId="0" fontId="0" fillId="10" borderId="27" xfId="0" applyFill="1" applyBorder="1" applyProtection="1">
      <alignment vertical="center"/>
      <protection locked="0"/>
    </xf>
    <xf numFmtId="0" fontId="59" fillId="10" borderId="28" xfId="0" applyFont="1" applyFill="1" applyBorder="1">
      <alignment vertical="center"/>
    </xf>
    <xf numFmtId="0" fontId="0" fillId="25" borderId="13" xfId="0" applyFill="1" applyBorder="1">
      <alignment vertical="center"/>
    </xf>
    <xf numFmtId="0" fontId="0" fillId="25" borderId="14" xfId="0" applyFill="1" applyBorder="1">
      <alignment vertical="center"/>
    </xf>
    <xf numFmtId="0" fontId="0" fillId="25" borderId="21" xfId="0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59" fillId="25" borderId="13" xfId="0" applyFont="1" applyFill="1" applyBorder="1">
      <alignment vertical="center"/>
    </xf>
    <xf numFmtId="0" fontId="0" fillId="25" borderId="22" xfId="0" applyFill="1" applyBorder="1">
      <alignment vertical="center"/>
    </xf>
    <xf numFmtId="0" fontId="0" fillId="25" borderId="23" xfId="0" applyFill="1" applyBorder="1">
      <alignment vertical="center"/>
    </xf>
    <xf numFmtId="0" fontId="0" fillId="25" borderId="24" xfId="0" applyFill="1" applyBorder="1">
      <alignment vertical="center"/>
    </xf>
    <xf numFmtId="0" fontId="311" fillId="25" borderId="26" xfId="0" applyFont="1" applyFill="1" applyBorder="1">
      <alignment vertical="center"/>
    </xf>
    <xf numFmtId="0" fontId="0" fillId="25" borderId="27" xfId="0" applyFill="1" applyBorder="1">
      <alignment vertical="center"/>
    </xf>
    <xf numFmtId="0" fontId="59" fillId="10" borderId="13" xfId="0" applyFont="1" applyFill="1" applyBorder="1" applyProtection="1">
      <alignment vertical="center"/>
      <protection locked="0"/>
    </xf>
    <xf numFmtId="0" fontId="313" fillId="49" borderId="16" xfId="0" applyFont="1" applyFill="1" applyBorder="1">
      <alignment vertical="center"/>
    </xf>
    <xf numFmtId="0" fontId="0" fillId="10" borderId="48" xfId="0" applyFill="1" applyBorder="1" applyAlignment="1" applyProtection="1">
      <alignment horizontal="center" vertical="center"/>
      <protection locked="0"/>
    </xf>
    <xf numFmtId="0" fontId="0" fillId="10" borderId="49" xfId="0" applyFill="1" applyBorder="1" applyAlignment="1" applyProtection="1">
      <alignment horizontal="center" vertical="center"/>
      <protection locked="0"/>
    </xf>
    <xf numFmtId="0" fontId="0" fillId="10" borderId="94" xfId="0" applyFill="1" applyBorder="1" applyAlignment="1" applyProtection="1">
      <alignment horizontal="center" vertical="center"/>
      <protection locked="0"/>
    </xf>
    <xf numFmtId="0" fontId="297" fillId="62" borderId="0" xfId="0" applyFont="1" applyFill="1" applyAlignment="1">
      <alignment horizontal="left" vertical="center"/>
    </xf>
    <xf numFmtId="0" fontId="299" fillId="62" borderId="0" xfId="0" applyFont="1" applyFill="1">
      <alignment vertical="center"/>
    </xf>
    <xf numFmtId="0" fontId="299" fillId="62" borderId="0" xfId="0" applyFont="1" applyFill="1" applyAlignment="1">
      <alignment horizontal="center" vertical="center"/>
    </xf>
    <xf numFmtId="0" fontId="0" fillId="43" borderId="0" xfId="0" applyFill="1">
      <alignment vertical="center"/>
    </xf>
    <xf numFmtId="0" fontId="0" fillId="43" borderId="22" xfId="0" applyFill="1" applyBorder="1">
      <alignment vertical="center"/>
    </xf>
    <xf numFmtId="0" fontId="314" fillId="43" borderId="23" xfId="0" applyFont="1" applyFill="1" applyBorder="1">
      <alignment vertical="center"/>
    </xf>
    <xf numFmtId="0" fontId="0" fillId="43" borderId="23" xfId="0" applyFill="1" applyBorder="1">
      <alignment vertical="center"/>
    </xf>
    <xf numFmtId="0" fontId="0" fillId="43" borderId="24" xfId="0" applyFill="1" applyBorder="1">
      <alignment vertical="center"/>
    </xf>
    <xf numFmtId="0" fontId="0" fillId="43" borderId="25" xfId="0" applyFill="1" applyBorder="1">
      <alignment vertical="center"/>
    </xf>
    <xf numFmtId="0" fontId="0" fillId="43" borderId="16" xfId="0" applyFill="1" applyBorder="1">
      <alignment vertical="center"/>
    </xf>
    <xf numFmtId="0" fontId="35" fillId="43" borderId="25" xfId="0" applyFont="1" applyFill="1" applyBorder="1" applyAlignment="1">
      <alignment horizontal="center" vertical="center"/>
    </xf>
    <xf numFmtId="0" fontId="0" fillId="43" borderId="26" xfId="0" applyFill="1" applyBorder="1">
      <alignment vertical="center"/>
    </xf>
    <xf numFmtId="0" fontId="0" fillId="43" borderId="27" xfId="0" applyFill="1" applyBorder="1">
      <alignment vertical="center"/>
    </xf>
    <xf numFmtId="0" fontId="0" fillId="43" borderId="28" xfId="0" applyFill="1" applyBorder="1">
      <alignment vertical="center"/>
    </xf>
    <xf numFmtId="0" fontId="35" fillId="43" borderId="26" xfId="0" applyFont="1" applyFill="1" applyBorder="1" applyAlignment="1">
      <alignment horizontal="center" vertical="center"/>
    </xf>
    <xf numFmtId="0" fontId="314" fillId="43" borderId="0" xfId="0" applyFont="1" applyFill="1">
      <alignment vertical="center"/>
    </xf>
    <xf numFmtId="0" fontId="35" fillId="43" borderId="0" xfId="0" applyFont="1" applyFill="1" applyAlignment="1">
      <alignment horizontal="center" vertical="center"/>
    </xf>
    <xf numFmtId="0" fontId="59" fillId="10" borderId="0" xfId="0" applyFont="1" applyFill="1" applyProtection="1">
      <alignment vertical="center"/>
      <protection locked="0"/>
    </xf>
    <xf numFmtId="0" fontId="314" fillId="43" borderId="27" xfId="0" applyFont="1" applyFill="1" applyBorder="1">
      <alignment vertical="center"/>
    </xf>
    <xf numFmtId="166" fontId="59" fillId="49" borderId="0" xfId="0" applyNumberFormat="1" applyFont="1" applyFill="1">
      <alignment vertical="center"/>
    </xf>
    <xf numFmtId="2" fontId="59" fillId="49" borderId="0" xfId="0" applyNumberFormat="1" applyFont="1" applyFill="1">
      <alignment vertical="center"/>
    </xf>
    <xf numFmtId="0" fontId="12" fillId="16" borderId="2" xfId="0" applyFont="1" applyFill="1" applyBorder="1" applyAlignment="1"/>
    <xf numFmtId="0" fontId="0" fillId="10" borderId="19" xfId="0" applyFill="1" applyBorder="1">
      <alignment vertical="center"/>
    </xf>
    <xf numFmtId="0" fontId="59" fillId="10" borderId="19" xfId="0" applyFont="1" applyFill="1" applyBorder="1">
      <alignment vertical="center"/>
    </xf>
    <xf numFmtId="0" fontId="0" fillId="32" borderId="0" xfId="0" applyFill="1" applyAlignment="1">
      <alignment horizontal="right" vertical="center"/>
    </xf>
    <xf numFmtId="0" fontId="167" fillId="25" borderId="0" xfId="0" applyFont="1" applyFill="1" applyAlignment="1" applyProtection="1">
      <protection locked="0"/>
    </xf>
    <xf numFmtId="2" fontId="12" fillId="25" borderId="0" xfId="0" applyNumberFormat="1" applyFont="1" applyFill="1" applyAlignment="1"/>
    <xf numFmtId="165" fontId="26" fillId="25" borderId="0" xfId="0" applyNumberFormat="1" applyFont="1" applyFill="1" applyAlignment="1"/>
    <xf numFmtId="0" fontId="0" fillId="50" borderId="0" xfId="0" applyFill="1">
      <alignment vertical="center"/>
    </xf>
    <xf numFmtId="0" fontId="59" fillId="50" borderId="0" xfId="0" applyFont="1" applyFill="1">
      <alignment vertical="center"/>
    </xf>
    <xf numFmtId="0" fontId="35" fillId="50" borderId="0" xfId="0" applyFont="1" applyFill="1">
      <alignment vertical="center"/>
    </xf>
    <xf numFmtId="0" fontId="59" fillId="50" borderId="0" xfId="0" applyFont="1" applyFill="1" applyAlignment="1">
      <alignment horizontal="right" vertical="center"/>
    </xf>
    <xf numFmtId="2" fontId="0" fillId="50" borderId="0" xfId="0" applyNumberFormat="1" applyFill="1">
      <alignment vertical="center"/>
    </xf>
    <xf numFmtId="0" fontId="35" fillId="50" borderId="0" xfId="0" applyFont="1" applyFill="1" applyAlignment="1">
      <alignment horizontal="center" vertical="center"/>
    </xf>
    <xf numFmtId="0" fontId="59" fillId="50" borderId="0" xfId="0" applyFont="1" applyFill="1" applyAlignment="1">
      <alignment horizontal="left" vertical="center"/>
    </xf>
    <xf numFmtId="0" fontId="59" fillId="50" borderId="0" xfId="0" applyFont="1" applyFill="1" applyAlignment="1">
      <alignment horizontal="center" vertical="center"/>
    </xf>
    <xf numFmtId="2" fontId="35" fillId="35" borderId="8" xfId="0" applyNumberFormat="1" applyFont="1" applyFill="1" applyBorder="1" applyAlignment="1">
      <alignment horizontal="center" vertical="center"/>
    </xf>
    <xf numFmtId="0" fontId="265" fillId="50" borderId="0" xfId="0" applyFont="1" applyFill="1">
      <alignment vertical="center"/>
    </xf>
    <xf numFmtId="0" fontId="265" fillId="50" borderId="0" xfId="0" applyFont="1" applyFill="1" applyAlignment="1">
      <alignment horizontal="center" vertical="center"/>
    </xf>
    <xf numFmtId="2" fontId="0" fillId="10" borderId="0" xfId="0" applyNumberFormat="1" applyFill="1" applyProtection="1">
      <alignment vertical="center"/>
      <protection locked="0"/>
    </xf>
    <xf numFmtId="0" fontId="315" fillId="50" borderId="14" xfId="0" applyFont="1" applyFill="1" applyBorder="1" applyAlignment="1">
      <alignment horizontal="center" vertical="center"/>
    </xf>
    <xf numFmtId="0" fontId="265" fillId="50" borderId="15" xfId="0" applyFont="1" applyFill="1" applyBorder="1" applyAlignment="1">
      <alignment horizontal="left" vertical="center"/>
    </xf>
    <xf numFmtId="0" fontId="35" fillId="50" borderId="13" xfId="0" applyFont="1" applyFill="1" applyBorder="1">
      <alignment vertical="center"/>
    </xf>
    <xf numFmtId="0" fontId="0" fillId="50" borderId="14" xfId="0" applyFill="1" applyBorder="1">
      <alignment vertical="center"/>
    </xf>
    <xf numFmtId="0" fontId="35" fillId="10" borderId="15" xfId="0" applyFont="1" applyFill="1" applyBorder="1" applyAlignment="1" applyProtection="1">
      <alignment horizontal="center" vertical="center"/>
      <protection locked="0"/>
    </xf>
    <xf numFmtId="0" fontId="103" fillId="50" borderId="0" xfId="0" applyFont="1" applyFill="1">
      <alignment vertical="center"/>
    </xf>
    <xf numFmtId="2" fontId="35" fillId="50" borderId="0" xfId="0" applyNumberFormat="1" applyFont="1" applyFill="1" applyAlignment="1">
      <alignment horizontal="right" vertical="center"/>
    </xf>
    <xf numFmtId="2" fontId="103" fillId="50" borderId="0" xfId="0" applyNumberFormat="1" applyFont="1" applyFill="1" applyAlignment="1">
      <alignment horizontal="right" vertical="center"/>
    </xf>
    <xf numFmtId="2" fontId="103" fillId="50" borderId="0" xfId="0" applyNumberFormat="1" applyFont="1" applyFill="1">
      <alignment vertical="center"/>
    </xf>
    <xf numFmtId="0" fontId="12" fillId="50" borderId="0" xfId="0" applyFont="1" applyFill="1" applyAlignment="1"/>
    <xf numFmtId="0" fontId="162" fillId="50" borderId="0" xfId="0" applyFont="1" applyFill="1">
      <alignment vertical="center"/>
    </xf>
    <xf numFmtId="0" fontId="9" fillId="50" borderId="0" xfId="0" applyFont="1" applyFill="1" applyAlignment="1">
      <alignment horizontal="right" vertical="center"/>
    </xf>
    <xf numFmtId="0" fontId="1" fillId="50" borderId="0" xfId="0" applyFont="1" applyFill="1" applyAlignment="1">
      <alignment horizontal="right" vertical="center"/>
    </xf>
    <xf numFmtId="0" fontId="316" fillId="50" borderId="0" xfId="0" applyFont="1" applyFill="1">
      <alignment vertical="center"/>
    </xf>
    <xf numFmtId="0" fontId="23" fillId="2" borderId="0" xfId="0" applyFont="1" applyFill="1" applyAlignment="1">
      <alignment horizontal="center"/>
    </xf>
    <xf numFmtId="0" fontId="45" fillId="10" borderId="8" xfId="0" applyFont="1" applyFill="1" applyBorder="1" applyAlignment="1" applyProtection="1">
      <protection locked="0"/>
    </xf>
    <xf numFmtId="0" fontId="0" fillId="32" borderId="25" xfId="0" applyFill="1" applyBorder="1" applyAlignment="1"/>
    <xf numFmtId="0" fontId="0" fillId="32" borderId="16" xfId="0" applyFill="1" applyBorder="1" applyAlignment="1"/>
    <xf numFmtId="0" fontId="0" fillId="32" borderId="25" xfId="0" applyFill="1" applyBorder="1" applyAlignment="1">
      <alignment horizontal="center"/>
    </xf>
    <xf numFmtId="0" fontId="320" fillId="2" borderId="0" xfId="0" applyFont="1" applyFill="1" applyAlignment="1"/>
    <xf numFmtId="0" fontId="12" fillId="32" borderId="16" xfId="0" applyFont="1" applyFill="1" applyBorder="1" applyAlignment="1"/>
    <xf numFmtId="0" fontId="12" fillId="32" borderId="26" xfId="0" applyFont="1" applyFill="1" applyBorder="1" applyAlignment="1"/>
    <xf numFmtId="0" fontId="12" fillId="32" borderId="27" xfId="0" applyFont="1" applyFill="1" applyBorder="1" applyAlignment="1"/>
    <xf numFmtId="0" fontId="12" fillId="32" borderId="28" xfId="0" applyFont="1" applyFill="1" applyBorder="1" applyAlignment="1"/>
    <xf numFmtId="0" fontId="0" fillId="64" borderId="8" xfId="0" applyFill="1" applyBorder="1" applyAlignment="1">
      <alignment horizontal="center" vertical="center"/>
    </xf>
    <xf numFmtId="0" fontId="0" fillId="32" borderId="8" xfId="0" applyFill="1" applyBorder="1" applyAlignment="1">
      <alignment horizontal="center"/>
    </xf>
    <xf numFmtId="0" fontId="0" fillId="64" borderId="8" xfId="0" applyFill="1" applyBorder="1" applyAlignment="1">
      <alignment horizontal="center"/>
    </xf>
    <xf numFmtId="4" fontId="0" fillId="32" borderId="8" xfId="0" applyNumberFormat="1" applyFill="1" applyBorder="1" applyAlignment="1"/>
    <xf numFmtId="4" fontId="0" fillId="64" borderId="8" xfId="0" applyNumberFormat="1" applyFill="1" applyBorder="1" applyAlignment="1"/>
    <xf numFmtId="3" fontId="0" fillId="64" borderId="8" xfId="0" applyNumberFormat="1" applyFill="1" applyBorder="1" applyAlignment="1"/>
    <xf numFmtId="0" fontId="0" fillId="32" borderId="9" xfId="0" applyFill="1" applyBorder="1" applyAlignment="1">
      <alignment horizontal="center" vertical="center"/>
    </xf>
    <xf numFmtId="0" fontId="0" fillId="64" borderId="0" xfId="0" applyFill="1" applyAlignment="1">
      <alignment horizontal="center"/>
    </xf>
    <xf numFmtId="0" fontId="0" fillId="32" borderId="7" xfId="0" applyFill="1" applyBorder="1" applyAlignment="1">
      <alignment horizontal="center"/>
    </xf>
    <xf numFmtId="0" fontId="0" fillId="32" borderId="9" xfId="0" applyFill="1" applyBorder="1" applyAlignment="1">
      <alignment horizontal="center"/>
    </xf>
    <xf numFmtId="176" fontId="0" fillId="32" borderId="9" xfId="0" applyNumberFormat="1" applyFill="1" applyBorder="1" applyAlignment="1"/>
    <xf numFmtId="0" fontId="0" fillId="32" borderId="56" xfId="0" applyFill="1" applyBorder="1">
      <alignment vertical="center"/>
    </xf>
    <xf numFmtId="0" fontId="0" fillId="64" borderId="0" xfId="0" applyFill="1" applyAlignment="1"/>
    <xf numFmtId="0" fontId="12" fillId="32" borderId="25" xfId="0" applyFont="1" applyFill="1" applyBorder="1" applyAlignment="1"/>
    <xf numFmtId="4" fontId="0" fillId="32" borderId="11" xfId="0" applyNumberFormat="1" applyFill="1" applyBorder="1" applyAlignment="1"/>
    <xf numFmtId="4" fontId="0" fillId="64" borderId="11" xfId="0" applyNumberFormat="1" applyFill="1" applyBorder="1" applyAlignment="1"/>
    <xf numFmtId="0" fontId="0" fillId="32" borderId="11" xfId="0" applyFill="1" applyBorder="1" applyAlignment="1"/>
    <xf numFmtId="0" fontId="0" fillId="32" borderId="9" xfId="0" applyFill="1" applyBorder="1" applyAlignment="1"/>
    <xf numFmtId="0" fontId="0" fillId="32" borderId="46" xfId="0" applyFill="1" applyBorder="1">
      <alignment vertical="center"/>
    </xf>
    <xf numFmtId="0" fontId="59" fillId="29" borderId="37" xfId="0" applyFont="1" applyFill="1" applyBorder="1">
      <alignment vertical="center"/>
    </xf>
    <xf numFmtId="0" fontId="35" fillId="32" borderId="7" xfId="0" applyFont="1" applyFill="1" applyBorder="1">
      <alignment vertical="center"/>
    </xf>
    <xf numFmtId="0" fontId="35" fillId="32" borderId="7" xfId="0" applyFont="1" applyFill="1" applyBorder="1" applyAlignment="1">
      <alignment horizontal="center"/>
    </xf>
    <xf numFmtId="0" fontId="35" fillId="32" borderId="8" xfId="0" applyFont="1" applyFill="1" applyBorder="1" applyAlignment="1"/>
    <xf numFmtId="0" fontId="35" fillId="32" borderId="7" xfId="0" applyFont="1" applyFill="1" applyBorder="1" applyAlignment="1"/>
    <xf numFmtId="0" fontId="35" fillId="32" borderId="10" xfId="0" applyFont="1" applyFill="1" applyBorder="1" applyAlignment="1"/>
    <xf numFmtId="0" fontId="324" fillId="2" borderId="0" xfId="0" applyFont="1" applyFill="1" applyAlignment="1"/>
    <xf numFmtId="0" fontId="325" fillId="2" borderId="0" xfId="0" applyFont="1" applyFill="1" applyAlignment="1"/>
    <xf numFmtId="0" fontId="35" fillId="32" borderId="15" xfId="0" applyFont="1" applyFill="1" applyBorder="1" applyAlignment="1"/>
    <xf numFmtId="0" fontId="0" fillId="32" borderId="15" xfId="0" applyFill="1" applyBorder="1" applyAlignment="1">
      <alignment horizontal="center"/>
    </xf>
    <xf numFmtId="0" fontId="60" fillId="32" borderId="9" xfId="0" applyFont="1" applyFill="1" applyBorder="1" applyAlignment="1">
      <alignment horizontal="center" vertical="center"/>
    </xf>
    <xf numFmtId="0" fontId="148" fillId="42" borderId="0" xfId="0" applyFont="1" applyFill="1">
      <alignment vertical="center"/>
    </xf>
    <xf numFmtId="0" fontId="35" fillId="42" borderId="0" xfId="0" applyFont="1" applyFill="1" applyAlignment="1">
      <alignment horizontal="center" vertical="center"/>
    </xf>
    <xf numFmtId="0" fontId="35" fillId="42" borderId="0" xfId="0" applyFont="1" applyFill="1">
      <alignment vertical="center"/>
    </xf>
    <xf numFmtId="0" fontId="0" fillId="20" borderId="0" xfId="0" applyFill="1" applyAlignment="1"/>
    <xf numFmtId="0" fontId="0" fillId="20" borderId="0" xfId="0" applyFill="1" applyAlignment="1">
      <alignment horizontal="center"/>
    </xf>
    <xf numFmtId="0" fontId="59" fillId="20" borderId="0" xfId="0" applyFont="1" applyFill="1" applyAlignment="1">
      <alignment horizontal="center"/>
    </xf>
    <xf numFmtId="0" fontId="120" fillId="20" borderId="58" xfId="0" applyFont="1" applyFill="1" applyBorder="1" applyAlignment="1">
      <alignment horizontal="center"/>
    </xf>
    <xf numFmtId="0" fontId="103" fillId="20" borderId="58" xfId="0" applyFont="1" applyFill="1" applyBorder="1" applyAlignment="1">
      <alignment horizontal="left"/>
    </xf>
    <xf numFmtId="0" fontId="145" fillId="20" borderId="58" xfId="0" applyFont="1" applyFill="1" applyBorder="1" applyAlignment="1">
      <alignment horizontal="center" vertical="center"/>
    </xf>
    <xf numFmtId="0" fontId="3" fillId="20" borderId="0" xfId="0" applyFont="1" applyFill="1" applyAlignment="1">
      <alignment horizontal="center" vertical="center"/>
    </xf>
    <xf numFmtId="0" fontId="120" fillId="20" borderId="63" xfId="0" applyFont="1" applyFill="1" applyBorder="1" applyAlignment="1">
      <alignment horizontal="center"/>
    </xf>
    <xf numFmtId="0" fontId="103" fillId="20" borderId="63" xfId="0" applyFont="1" applyFill="1" applyBorder="1" applyAlignment="1">
      <alignment horizontal="center"/>
    </xf>
    <xf numFmtId="0" fontId="0" fillId="20" borderId="0" xfId="0" applyFill="1" applyAlignment="1">
      <alignment horizontal="center" vertical="center"/>
    </xf>
    <xf numFmtId="0" fontId="110" fillId="20" borderId="0" xfId="0" applyFont="1" applyFill="1" applyAlignment="1"/>
    <xf numFmtId="0" fontId="0" fillId="41" borderId="8" xfId="0" applyFill="1" applyBorder="1" applyAlignment="1">
      <alignment horizontal="center" vertical="center"/>
    </xf>
    <xf numFmtId="0" fontId="0" fillId="41" borderId="8" xfId="0" applyFill="1" applyBorder="1" applyAlignment="1">
      <alignment horizontal="center"/>
    </xf>
    <xf numFmtId="0" fontId="59" fillId="41" borderId="42" xfId="0" applyFont="1" applyFill="1" applyBorder="1" applyAlignment="1">
      <alignment horizontal="center"/>
    </xf>
    <xf numFmtId="0" fontId="59" fillId="41" borderId="8" xfId="0" applyFont="1" applyFill="1" applyBorder="1" applyAlignment="1">
      <alignment horizontal="center"/>
    </xf>
    <xf numFmtId="0" fontId="0" fillId="67" borderId="8" xfId="0" applyFill="1" applyBorder="1" applyAlignment="1">
      <alignment horizontal="center" vertical="center"/>
    </xf>
    <xf numFmtId="0" fontId="0" fillId="67" borderId="8" xfId="0" applyFill="1" applyBorder="1" applyAlignment="1">
      <alignment horizontal="center"/>
    </xf>
    <xf numFmtId="0" fontId="59" fillId="67" borderId="42" xfId="0" applyFont="1" applyFill="1" applyBorder="1" applyAlignment="1">
      <alignment horizontal="center"/>
    </xf>
    <xf numFmtId="0" fontId="59" fillId="67" borderId="8" xfId="0" applyFont="1" applyFill="1" applyBorder="1" applyAlignment="1">
      <alignment horizontal="center"/>
    </xf>
    <xf numFmtId="0" fontId="0" fillId="68" borderId="8" xfId="0" applyFill="1" applyBorder="1" applyAlignment="1">
      <alignment horizontal="center" vertical="center"/>
    </xf>
    <xf numFmtId="0" fontId="0" fillId="68" borderId="8" xfId="0" applyFill="1" applyBorder="1" applyAlignment="1">
      <alignment horizontal="center"/>
    </xf>
    <xf numFmtId="0" fontId="59" fillId="68" borderId="42" xfId="0" applyFont="1" applyFill="1" applyBorder="1" applyAlignment="1">
      <alignment horizontal="center"/>
    </xf>
    <xf numFmtId="0" fontId="59" fillId="68" borderId="8" xfId="0" applyFont="1" applyFill="1" applyBorder="1" applyAlignment="1">
      <alignment horizontal="center"/>
    </xf>
    <xf numFmtId="0" fontId="12" fillId="10" borderId="13" xfId="0" applyFont="1" applyFill="1" applyBorder="1" applyAlignment="1" applyProtection="1">
      <protection locked="0"/>
    </xf>
    <xf numFmtId="0" fontId="12" fillId="63" borderId="13" xfId="0" applyFont="1" applyFill="1" applyBorder="1" applyAlignment="1"/>
    <xf numFmtId="0" fontId="12" fillId="63" borderId="15" xfId="0" applyFont="1" applyFill="1" applyBorder="1" applyAlignment="1"/>
    <xf numFmtId="167" fontId="45" fillId="2" borderId="0" xfId="0" applyNumberFormat="1" applyFont="1" applyFill="1" applyAlignment="1"/>
    <xf numFmtId="0" fontId="45" fillId="2" borderId="8" xfId="0" applyFont="1" applyFill="1" applyBorder="1" applyAlignment="1"/>
    <xf numFmtId="0" fontId="155" fillId="2" borderId="23" xfId="0" applyFont="1" applyFill="1" applyBorder="1" applyAlignment="1"/>
    <xf numFmtId="0" fontId="328" fillId="2" borderId="0" xfId="0" applyFont="1" applyFill="1" applyAlignment="1"/>
    <xf numFmtId="167" fontId="329" fillId="59" borderId="8" xfId="0" applyNumberFormat="1" applyFont="1" applyFill="1" applyBorder="1" applyAlignment="1"/>
    <xf numFmtId="0" fontId="101" fillId="10" borderId="3" xfId="0" applyFont="1" applyFill="1" applyBorder="1">
      <alignment vertical="center"/>
    </xf>
    <xf numFmtId="0" fontId="0" fillId="35" borderId="18" xfId="0" applyFill="1" applyBorder="1">
      <alignment vertical="center"/>
    </xf>
    <xf numFmtId="0" fontId="0" fillId="35" borderId="17" xfId="0" applyFill="1" applyBorder="1">
      <alignment vertical="center"/>
    </xf>
    <xf numFmtId="0" fontId="101" fillId="35" borderId="0" xfId="0" applyFont="1" applyFill="1">
      <alignment vertical="center"/>
    </xf>
    <xf numFmtId="0" fontId="0" fillId="54" borderId="51" xfId="0" applyFill="1" applyBorder="1">
      <alignment vertical="center"/>
    </xf>
    <xf numFmtId="0" fontId="90" fillId="50" borderId="55" xfId="0" applyFont="1" applyFill="1" applyBorder="1">
      <alignment vertical="center"/>
    </xf>
    <xf numFmtId="0" fontId="101" fillId="35" borderId="39" xfId="0" applyFont="1" applyFill="1" applyBorder="1">
      <alignment vertical="center"/>
    </xf>
    <xf numFmtId="0" fontId="101" fillId="35" borderId="40" xfId="0" applyFont="1" applyFill="1" applyBorder="1">
      <alignment vertical="center"/>
    </xf>
    <xf numFmtId="0" fontId="101" fillId="35" borderId="17" xfId="0" applyFont="1" applyFill="1" applyBorder="1">
      <alignment vertical="center"/>
    </xf>
    <xf numFmtId="0" fontId="101" fillId="35" borderId="20" xfId="0" applyFont="1" applyFill="1" applyBorder="1">
      <alignment vertical="center"/>
    </xf>
    <xf numFmtId="0" fontId="101" fillId="35" borderId="21" xfId="0" applyFont="1" applyFill="1" applyBorder="1">
      <alignment vertical="center"/>
    </xf>
    <xf numFmtId="0" fontId="167" fillId="10" borderId="38" xfId="0" applyFont="1" applyFill="1" applyBorder="1" applyAlignment="1" applyProtection="1">
      <protection locked="0"/>
    </xf>
    <xf numFmtId="0" fontId="12" fillId="15" borderId="20" xfId="0" applyFont="1" applyFill="1" applyBorder="1" applyAlignment="1"/>
    <xf numFmtId="0" fontId="47" fillId="15" borderId="21" xfId="0" applyFont="1" applyFill="1" applyBorder="1" applyAlignment="1"/>
    <xf numFmtId="2" fontId="332" fillId="26" borderId="1" xfId="0" applyNumberFormat="1" applyFont="1" applyFill="1" applyBorder="1" applyAlignment="1">
      <alignment horizontal="right" vertical="center"/>
    </xf>
    <xf numFmtId="0" fontId="90" fillId="50" borderId="54" xfId="0" applyFont="1" applyFill="1" applyBorder="1">
      <alignment vertical="center"/>
    </xf>
    <xf numFmtId="0" fontId="0" fillId="69" borderId="0" xfId="0" applyFill="1">
      <alignment vertical="center"/>
    </xf>
    <xf numFmtId="0" fontId="176" fillId="32" borderId="0" xfId="0" applyFont="1" applyFill="1" applyAlignment="1">
      <alignment horizontal="right" vertical="center"/>
    </xf>
    <xf numFmtId="0" fontId="331" fillId="32" borderId="0" xfId="0" applyFont="1" applyFill="1" applyAlignment="1">
      <alignment horizontal="left"/>
    </xf>
    <xf numFmtId="0" fontId="176" fillId="37" borderId="0" xfId="0" applyFont="1" applyFill="1" applyAlignment="1">
      <alignment horizontal="right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/>
    <xf numFmtId="2" fontId="0" fillId="0" borderId="0" xfId="0" applyNumberFormat="1" applyAlignment="1">
      <alignment horizontal="center"/>
    </xf>
    <xf numFmtId="48" fontId="0" fillId="0" borderId="0" xfId="0" applyNumberFormat="1" applyAlignment="1">
      <alignment horizontal="center"/>
    </xf>
    <xf numFmtId="1" fontId="224" fillId="12" borderId="62" xfId="0" applyNumberFormat="1" applyFont="1" applyFill="1" applyBorder="1" applyAlignment="1">
      <alignment horizontal="center" vertical="center" textRotation="90" wrapText="1"/>
    </xf>
    <xf numFmtId="2" fontId="224" fillId="12" borderId="62" xfId="0" applyNumberFormat="1" applyFont="1" applyFill="1" applyBorder="1" applyAlignment="1">
      <alignment horizontal="center" vertical="center" wrapText="1"/>
    </xf>
    <xf numFmtId="1" fontId="335" fillId="12" borderId="8" xfId="0" applyNumberFormat="1" applyFont="1" applyFill="1" applyBorder="1" applyAlignment="1">
      <alignment horizontal="center" vertical="center" textRotation="90" wrapText="1"/>
    </xf>
    <xf numFmtId="2" fontId="335" fillId="12" borderId="8" xfId="0" applyNumberFormat="1" applyFont="1" applyFill="1" applyBorder="1" applyAlignment="1">
      <alignment horizontal="center" vertical="center" textRotation="90" wrapText="1"/>
    </xf>
    <xf numFmtId="48" fontId="335" fillId="12" borderId="8" xfId="0" applyNumberFormat="1" applyFont="1" applyFill="1" applyBorder="1" applyAlignment="1">
      <alignment horizontal="center" vertical="center" textRotation="90" wrapText="1"/>
    </xf>
    <xf numFmtId="2" fontId="335" fillId="12" borderId="8" xfId="0" applyNumberFormat="1" applyFont="1" applyFill="1" applyBorder="1" applyAlignment="1">
      <alignment vertical="center" textRotation="90" wrapText="1"/>
    </xf>
    <xf numFmtId="2" fontId="335" fillId="12" borderId="8" xfId="0" applyNumberFormat="1" applyFont="1" applyFill="1" applyBorder="1" applyAlignment="1">
      <alignment horizontal="centerContinuous" vertical="center" wrapText="1"/>
    </xf>
    <xf numFmtId="2" fontId="0" fillId="0" borderId="0" xfId="0" applyNumberFormat="1" applyAlignment="1">
      <alignment vertical="center" wrapText="1"/>
    </xf>
    <xf numFmtId="1" fontId="0" fillId="12" borderId="52" xfId="0" applyNumberFormat="1" applyFill="1" applyBorder="1" applyAlignment="1">
      <alignment horizontal="center"/>
    </xf>
    <xf numFmtId="2" fontId="0" fillId="12" borderId="52" xfId="0" applyNumberFormat="1" applyFill="1" applyBorder="1" applyAlignment="1"/>
    <xf numFmtId="1" fontId="0" fillId="12" borderId="8" xfId="0" applyNumberFormat="1" applyFill="1" applyBorder="1" applyAlignment="1">
      <alignment horizontal="center" vertical="center" wrapText="1"/>
    </xf>
    <xf numFmtId="2" fontId="0" fillId="12" borderId="8" xfId="0" applyNumberFormat="1" applyFill="1" applyBorder="1" applyAlignment="1">
      <alignment horizontal="center" vertical="center" wrapText="1"/>
    </xf>
    <xf numFmtId="2" fontId="0" fillId="12" borderId="8" xfId="0" applyNumberFormat="1" applyFill="1" applyBorder="1" applyAlignment="1">
      <alignment horizontal="center" vertical="center"/>
    </xf>
    <xf numFmtId="2" fontId="338" fillId="12" borderId="8" xfId="0" applyNumberFormat="1" applyFont="1" applyFill="1" applyBorder="1" applyAlignment="1">
      <alignment horizontal="center" vertical="center"/>
    </xf>
    <xf numFmtId="2" fontId="216" fillId="12" borderId="8" xfId="0" applyNumberFormat="1" applyFont="1" applyFill="1" applyBorder="1" applyAlignment="1">
      <alignment horizontal="center" vertical="center"/>
    </xf>
    <xf numFmtId="48" fontId="0" fillId="12" borderId="8" xfId="0" applyNumberFormat="1" applyFill="1" applyBorder="1" applyAlignment="1">
      <alignment horizontal="center" vertical="center"/>
    </xf>
    <xf numFmtId="48" fontId="338" fillId="12" borderId="8" xfId="0" applyNumberFormat="1" applyFont="1" applyFill="1" applyBorder="1" applyAlignment="1">
      <alignment horizontal="center" vertical="center"/>
    </xf>
    <xf numFmtId="2" fontId="338" fillId="12" borderId="8" xfId="0" applyNumberFormat="1" applyFont="1" applyFill="1" applyBorder="1" applyAlignment="1">
      <alignment horizontal="center" vertical="center" wrapText="1"/>
    </xf>
    <xf numFmtId="2" fontId="339" fillId="12" borderId="8" xfId="0" applyNumberFormat="1" applyFont="1" applyFill="1" applyBorder="1" applyAlignment="1">
      <alignment horizontal="center" vertical="center" wrapText="1"/>
    </xf>
    <xf numFmtId="1" fontId="340" fillId="12" borderId="8" xfId="0" applyNumberFormat="1" applyFont="1" applyFill="1" applyBorder="1" applyAlignment="1">
      <alignment horizontal="center" vertical="center" wrapText="1"/>
    </xf>
    <xf numFmtId="1" fontId="10" fillId="12" borderId="8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" fontId="0" fillId="12" borderId="42" xfId="0" applyNumberFormat="1" applyFill="1" applyBorder="1" applyAlignment="1">
      <alignment horizontal="center"/>
    </xf>
    <xf numFmtId="2" fontId="0" fillId="12" borderId="42" xfId="0" applyNumberFormat="1" applyFill="1" applyBorder="1" applyAlignment="1">
      <alignment horizontal="center"/>
    </xf>
    <xf numFmtId="1" fontId="0" fillId="12" borderId="8" xfId="0" applyNumberFormat="1" applyFill="1" applyBorder="1" applyAlignment="1">
      <alignment horizontal="center"/>
    </xf>
    <xf numFmtId="2" fontId="0" fillId="12" borderId="8" xfId="0" applyNumberFormat="1" applyFill="1" applyBorder="1" applyAlignment="1">
      <alignment horizontal="center"/>
    </xf>
    <xf numFmtId="2" fontId="10" fillId="12" borderId="8" xfId="0" applyNumberFormat="1" applyFont="1" applyFill="1" applyBorder="1" applyAlignment="1">
      <alignment horizontal="center"/>
    </xf>
    <xf numFmtId="48" fontId="0" fillId="12" borderId="8" xfId="0" applyNumberFormat="1" applyFill="1" applyBorder="1" applyAlignment="1">
      <alignment horizontal="center"/>
    </xf>
    <xf numFmtId="1" fontId="216" fillId="12" borderId="8" xfId="0" applyNumberFormat="1" applyFont="1" applyFill="1" applyBorder="1" applyAlignment="1">
      <alignment horizontal="center"/>
    </xf>
    <xf numFmtId="2" fontId="0" fillId="12" borderId="0" xfId="0" applyNumberFormat="1" applyFill="1" applyAlignment="1">
      <alignment horizontal="center"/>
    </xf>
    <xf numFmtId="1" fontId="0" fillId="0" borderId="42" xfId="0" applyNumberFormat="1" applyBorder="1" applyAlignment="1">
      <alignment horizontal="center"/>
    </xf>
    <xf numFmtId="2" fontId="0" fillId="0" borderId="42" xfId="0" applyNumberFormat="1" applyBorder="1" applyAlignment="1"/>
    <xf numFmtId="2" fontId="0" fillId="0" borderId="42" xfId="0" applyNumberFormat="1" applyBorder="1" applyAlignment="1">
      <alignment horizontal="center"/>
    </xf>
    <xf numFmtId="48" fontId="0" fillId="0" borderId="42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2" fontId="341" fillId="0" borderId="8" xfId="0" applyNumberFormat="1" applyFont="1" applyBorder="1" applyAlignment="1"/>
    <xf numFmtId="2" fontId="0" fillId="0" borderId="8" xfId="0" applyNumberFormat="1" applyBorder="1" applyAlignment="1">
      <alignment horizontal="center"/>
    </xf>
    <xf numFmtId="48" fontId="0" fillId="0" borderId="8" xfId="0" applyNumberFormat="1" applyBorder="1" applyAlignment="1">
      <alignment horizontal="center"/>
    </xf>
    <xf numFmtId="2" fontId="10" fillId="0" borderId="0" xfId="0" applyNumberFormat="1" applyFont="1" applyAlignment="1"/>
    <xf numFmtId="2" fontId="80" fillId="0" borderId="13" xfId="0" applyNumberFormat="1" applyFont="1" applyBorder="1" applyAlignment="1">
      <alignment horizontal="left"/>
    </xf>
    <xf numFmtId="2" fontId="80" fillId="0" borderId="14" xfId="0" applyNumberFormat="1" applyFont="1" applyBorder="1" applyAlignment="1">
      <alignment horizontal="left"/>
    </xf>
    <xf numFmtId="2" fontId="80" fillId="0" borderId="15" xfId="0" applyNumberFormat="1" applyFont="1" applyBorder="1" applyAlignment="1">
      <alignment horizontal="left"/>
    </xf>
    <xf numFmtId="1" fontId="0" fillId="0" borderId="8" xfId="0" applyNumberFormat="1" applyBorder="1" applyAlignment="1">
      <alignment horizontal="left"/>
    </xf>
    <xf numFmtId="165" fontId="0" fillId="0" borderId="8" xfId="0" applyNumberFormat="1" applyBorder="1" applyAlignment="1">
      <alignment horizontal="left"/>
    </xf>
    <xf numFmtId="177" fontId="0" fillId="0" borderId="8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91" fillId="0" borderId="0" xfId="0" applyFont="1" applyAlignment="1"/>
    <xf numFmtId="2" fontId="0" fillId="0" borderId="8" xfId="0" applyNumberFormat="1" applyBorder="1" applyAlignment="1"/>
    <xf numFmtId="1" fontId="0" fillId="70" borderId="8" xfId="0" applyNumberFormat="1" applyFill="1" applyBorder="1" applyAlignment="1">
      <alignment horizontal="center"/>
    </xf>
    <xf numFmtId="2" fontId="0" fillId="70" borderId="8" xfId="0" applyNumberFormat="1" applyFill="1" applyBorder="1" applyAlignment="1">
      <alignment horizontal="center"/>
    </xf>
    <xf numFmtId="0" fontId="10" fillId="0" borderId="0" xfId="0" applyFont="1" applyAlignment="1"/>
    <xf numFmtId="1" fontId="0" fillId="7" borderId="8" xfId="0" applyNumberFormat="1" applyFill="1" applyBorder="1" applyAlignment="1">
      <alignment horizontal="center"/>
    </xf>
    <xf numFmtId="2" fontId="0" fillId="7" borderId="8" xfId="0" applyNumberFormat="1" applyFill="1" applyBorder="1" applyAlignment="1"/>
    <xf numFmtId="165" fontId="0" fillId="7" borderId="8" xfId="0" applyNumberFormat="1" applyFill="1" applyBorder="1" applyAlignment="1">
      <alignment horizontal="center"/>
    </xf>
    <xf numFmtId="2" fontId="0" fillId="7" borderId="8" xfId="0" applyNumberFormat="1" applyFill="1" applyBorder="1" applyAlignment="1">
      <alignment horizontal="center"/>
    </xf>
    <xf numFmtId="2" fontId="0" fillId="7" borderId="0" xfId="0" applyNumberFormat="1" applyFill="1" applyAlignment="1"/>
    <xf numFmtId="1" fontId="0" fillId="0" borderId="62" xfId="0" applyNumberFormat="1" applyBorder="1" applyAlignment="1">
      <alignment horizontal="center"/>
    </xf>
    <xf numFmtId="1" fontId="0" fillId="0" borderId="8" xfId="0" applyNumberFormat="1" applyBorder="1" applyAlignment="1">
      <alignment horizontal="center" vertical="center" wrapText="1"/>
    </xf>
    <xf numFmtId="1" fontId="0" fillId="10" borderId="8" xfId="0" applyNumberFormat="1" applyFill="1" applyBorder="1" applyAlignment="1">
      <alignment horizontal="center"/>
    </xf>
    <xf numFmtId="165" fontId="0" fillId="10" borderId="8" xfId="0" applyNumberFormat="1" applyFill="1" applyBorder="1" applyAlignment="1">
      <alignment horizontal="center"/>
    </xf>
    <xf numFmtId="2" fontId="0" fillId="10" borderId="8" xfId="0" applyNumberFormat="1" applyFill="1" applyBorder="1" applyAlignment="1">
      <alignment horizontal="center"/>
    </xf>
    <xf numFmtId="1" fontId="0" fillId="43" borderId="13" xfId="0" applyNumberFormat="1" applyFill="1" applyBorder="1">
      <alignment vertical="center"/>
    </xf>
    <xf numFmtId="0" fontId="0" fillId="49" borderId="8" xfId="0" applyFill="1" applyBorder="1">
      <alignment vertical="center"/>
    </xf>
    <xf numFmtId="0" fontId="59" fillId="25" borderId="0" xfId="0" applyFont="1" applyFill="1">
      <alignment vertical="center"/>
    </xf>
    <xf numFmtId="49" fontId="59" fillId="25" borderId="0" xfId="0" applyNumberFormat="1" applyFont="1" applyFill="1">
      <alignment vertical="center"/>
    </xf>
    <xf numFmtId="0" fontId="0" fillId="25" borderId="8" xfId="0" applyFill="1" applyBorder="1">
      <alignment vertical="center"/>
    </xf>
    <xf numFmtId="0" fontId="47" fillId="49" borderId="0" xfId="0" applyFont="1" applyFill="1" applyAlignment="1"/>
    <xf numFmtId="0" fontId="48" fillId="49" borderId="0" xfId="0" applyFont="1" applyFill="1" applyAlignment="1"/>
    <xf numFmtId="0" fontId="0" fillId="25" borderId="62" xfId="0" applyFill="1" applyBorder="1">
      <alignment vertical="center"/>
    </xf>
    <xf numFmtId="0" fontId="0" fillId="49" borderId="52" xfId="0" applyFill="1" applyBorder="1">
      <alignment vertical="center"/>
    </xf>
    <xf numFmtId="0" fontId="59" fillId="25" borderId="0" xfId="0" applyFont="1" applyFill="1" applyAlignment="1"/>
    <xf numFmtId="0" fontId="342" fillId="71" borderId="98" xfId="0" applyFont="1" applyFill="1" applyBorder="1" applyAlignment="1">
      <alignment vertical="top" wrapText="1"/>
    </xf>
    <xf numFmtId="0" fontId="342" fillId="71" borderId="99" xfId="0" applyFont="1" applyFill="1" applyBorder="1" applyAlignment="1">
      <alignment vertical="top" wrapText="1"/>
    </xf>
    <xf numFmtId="0" fontId="342" fillId="71" borderId="100" xfId="0" applyFont="1" applyFill="1" applyBorder="1" applyAlignment="1">
      <alignment vertical="top" wrapText="1"/>
    </xf>
    <xf numFmtId="0" fontId="342" fillId="71" borderId="101" xfId="0" applyFont="1" applyFill="1" applyBorder="1" applyAlignment="1">
      <alignment vertical="top" wrapText="1"/>
    </xf>
    <xf numFmtId="0" fontId="342" fillId="71" borderId="102" xfId="0" applyFont="1" applyFill="1" applyBorder="1" applyAlignment="1">
      <alignment vertical="top" wrapText="1"/>
    </xf>
    <xf numFmtId="0" fontId="59" fillId="49" borderId="0" xfId="0" applyFont="1" applyFill="1" applyAlignment="1"/>
    <xf numFmtId="49" fontId="59" fillId="25" borderId="0" xfId="0" applyNumberFormat="1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342" fillId="49" borderId="0" xfId="0" applyFont="1" applyFill="1" applyAlignment="1">
      <alignment vertical="top" wrapText="1"/>
    </xf>
    <xf numFmtId="0" fontId="0" fillId="25" borderId="0" xfId="0" applyFill="1" applyAlignment="1">
      <alignment horizontal="right" vertical="center"/>
    </xf>
    <xf numFmtId="0" fontId="120" fillId="49" borderId="0" xfId="0" applyFont="1" applyFill="1">
      <alignment vertical="center"/>
    </xf>
    <xf numFmtId="0" fontId="169" fillId="25" borderId="0" xfId="0" applyFont="1" applyFill="1">
      <alignment vertical="center"/>
    </xf>
    <xf numFmtId="0" fontId="344" fillId="25" borderId="0" xfId="0" applyFont="1" applyFill="1">
      <alignment vertical="center"/>
    </xf>
    <xf numFmtId="3" fontId="1" fillId="37" borderId="0" xfId="0" applyNumberFormat="1" applyFont="1" applyFill="1">
      <alignment vertical="center"/>
    </xf>
    <xf numFmtId="0" fontId="345" fillId="19" borderId="0" xfId="0" applyFont="1" applyFill="1" applyAlignment="1"/>
    <xf numFmtId="0" fontId="350" fillId="38" borderId="0" xfId="0" applyFont="1" applyFill="1">
      <alignment vertical="center"/>
    </xf>
    <xf numFmtId="0" fontId="111" fillId="27" borderId="0" xfId="0" applyFont="1" applyFill="1" applyAlignment="1"/>
    <xf numFmtId="0" fontId="354" fillId="27" borderId="0" xfId="0" applyFont="1" applyFill="1" applyAlignment="1">
      <alignment horizontal="left" readingOrder="1"/>
    </xf>
    <xf numFmtId="0" fontId="111" fillId="2" borderId="0" xfId="0" applyFont="1" applyFill="1" applyAlignment="1"/>
    <xf numFmtId="0" fontId="12" fillId="43" borderId="0" xfId="0" applyFont="1" applyFill="1" applyAlignment="1"/>
    <xf numFmtId="0" fontId="162" fillId="43" borderId="0" xfId="0" applyFont="1" applyFill="1">
      <alignment vertical="center"/>
    </xf>
    <xf numFmtId="0" fontId="9" fillId="43" borderId="0" xfId="0" applyFont="1" applyFill="1" applyAlignment="1">
      <alignment horizontal="right" vertical="center"/>
    </xf>
    <xf numFmtId="0" fontId="1" fillId="43" borderId="0" xfId="0" applyFont="1" applyFill="1" applyAlignment="1">
      <alignment horizontal="right" vertical="center"/>
    </xf>
    <xf numFmtId="0" fontId="12" fillId="69" borderId="0" xfId="0" applyFont="1" applyFill="1" applyAlignment="1"/>
    <xf numFmtId="0" fontId="162" fillId="69" borderId="0" xfId="0" applyFont="1" applyFill="1">
      <alignment vertical="center"/>
    </xf>
    <xf numFmtId="0" fontId="9" fillId="69" borderId="0" xfId="0" applyFont="1" applyFill="1" applyAlignment="1">
      <alignment horizontal="right" vertical="center"/>
    </xf>
    <xf numFmtId="0" fontId="1" fillId="69" borderId="0" xfId="0" applyFont="1" applyFill="1" applyAlignment="1">
      <alignment horizontal="right" vertical="center"/>
    </xf>
    <xf numFmtId="0" fontId="48" fillId="69" borderId="0" xfId="0" applyFont="1" applyFill="1" applyAlignment="1"/>
    <xf numFmtId="0" fontId="363" fillId="69" borderId="0" xfId="0" applyFont="1" applyFill="1">
      <alignment vertical="center"/>
    </xf>
    <xf numFmtId="0" fontId="347" fillId="69" borderId="0" xfId="0" applyFont="1" applyFill="1" applyAlignment="1">
      <alignment horizontal="right" vertical="center"/>
    </xf>
    <xf numFmtId="0" fontId="343" fillId="49" borderId="0" xfId="0" applyFont="1" applyFill="1">
      <alignment vertical="center"/>
    </xf>
    <xf numFmtId="0" fontId="59" fillId="32" borderId="25" xfId="0" applyFont="1" applyFill="1" applyBorder="1">
      <alignment vertical="center"/>
    </xf>
    <xf numFmtId="0" fontId="101" fillId="10" borderId="1" xfId="0" applyFont="1" applyFill="1" applyBorder="1" applyProtection="1">
      <alignment vertical="center"/>
      <protection locked="0"/>
    </xf>
    <xf numFmtId="0" fontId="0" fillId="32" borderId="14" xfId="0" applyFill="1" applyBorder="1" applyAlignment="1">
      <alignment horizontal="center" vertical="center"/>
    </xf>
    <xf numFmtId="0" fontId="0" fillId="32" borderId="105" xfId="0" applyFill="1" applyBorder="1" applyAlignment="1">
      <alignment horizontal="center" vertical="center"/>
    </xf>
    <xf numFmtId="0" fontId="0" fillId="32" borderId="106" xfId="0" applyFill="1" applyBorder="1" applyAlignment="1"/>
    <xf numFmtId="0" fontId="59" fillId="32" borderId="107" xfId="0" applyFont="1" applyFill="1" applyBorder="1" applyAlignment="1">
      <alignment horizontal="center"/>
    </xf>
    <xf numFmtId="0" fontId="0" fillId="32" borderId="105" xfId="0" applyFill="1" applyBorder="1" applyAlignment="1">
      <alignment horizontal="center"/>
    </xf>
    <xf numFmtId="12" fontId="59" fillId="0" borderId="107" xfId="0" applyNumberFormat="1" applyFont="1" applyBorder="1" applyAlignment="1">
      <alignment horizontal="center" vertical="center"/>
    </xf>
    <xf numFmtId="176" fontId="0" fillId="32" borderId="105" xfId="0" applyNumberFormat="1" applyFill="1" applyBorder="1" applyAlignment="1"/>
    <xf numFmtId="12" fontId="59" fillId="0" borderId="14" xfId="0" applyNumberFormat="1" applyFont="1" applyBorder="1" applyAlignment="1">
      <alignment horizontal="center" vertical="center"/>
    </xf>
    <xf numFmtId="0" fontId="12" fillId="32" borderId="106" xfId="0" applyFont="1" applyFill="1" applyBorder="1" applyAlignment="1"/>
    <xf numFmtId="0" fontId="12" fillId="32" borderId="108" xfId="0" applyFont="1" applyFill="1" applyBorder="1" applyAlignment="1"/>
    <xf numFmtId="0" fontId="12" fillId="32" borderId="109" xfId="0" applyFont="1" applyFill="1" applyBorder="1" applyAlignment="1"/>
    <xf numFmtId="176" fontId="0" fillId="32" borderId="111" xfId="0" applyNumberFormat="1" applyFill="1" applyBorder="1" applyAlignment="1"/>
    <xf numFmtId="0" fontId="113" fillId="32" borderId="0" xfId="0" applyFont="1" applyFill="1" applyAlignment="1">
      <alignment horizontal="center" vertical="center"/>
    </xf>
    <xf numFmtId="0" fontId="113" fillId="32" borderId="0" xfId="0" applyFont="1" applyFill="1" applyAlignment="1">
      <alignment horizontal="right" vertical="center"/>
    </xf>
    <xf numFmtId="0" fontId="113" fillId="43" borderId="0" xfId="0" applyFont="1" applyFill="1" applyAlignment="1">
      <alignment horizontal="right" vertical="center"/>
    </xf>
    <xf numFmtId="0" fontId="59" fillId="43" borderId="0" xfId="0" applyFont="1" applyFill="1">
      <alignment vertical="center"/>
    </xf>
    <xf numFmtId="0" fontId="113" fillId="32" borderId="0" xfId="0" applyFont="1" applyFill="1">
      <alignment vertical="center"/>
    </xf>
    <xf numFmtId="0" fontId="364" fillId="32" borderId="0" xfId="0" applyFont="1" applyFill="1">
      <alignment vertical="center"/>
    </xf>
    <xf numFmtId="0" fontId="47" fillId="33" borderId="0" xfId="0" applyFont="1" applyFill="1">
      <alignment vertical="center"/>
    </xf>
    <xf numFmtId="0" fontId="0" fillId="51" borderId="0" xfId="0" applyFill="1">
      <alignment vertical="center"/>
    </xf>
    <xf numFmtId="0" fontId="366" fillId="51" borderId="0" xfId="0" applyFont="1" applyFill="1">
      <alignment vertical="center"/>
    </xf>
    <xf numFmtId="0" fontId="59" fillId="51" borderId="15" xfId="0" applyFont="1" applyFill="1" applyBorder="1">
      <alignment vertical="center"/>
    </xf>
    <xf numFmtId="0" fontId="0" fillId="51" borderId="13" xfId="0" applyFill="1" applyBorder="1">
      <alignment vertical="center"/>
    </xf>
    <xf numFmtId="2" fontId="0" fillId="43" borderId="13" xfId="0" applyNumberFormat="1" applyFill="1" applyBorder="1">
      <alignment vertical="center"/>
    </xf>
    <xf numFmtId="167" fontId="0" fillId="43" borderId="13" xfId="0" applyNumberFormat="1" applyFill="1" applyBorder="1">
      <alignment vertical="center"/>
    </xf>
    <xf numFmtId="0" fontId="0" fillId="51" borderId="38" xfId="0" applyFill="1" applyBorder="1">
      <alignment vertical="center"/>
    </xf>
    <xf numFmtId="0" fontId="0" fillId="51" borderId="39" xfId="0" applyFill="1" applyBorder="1">
      <alignment vertical="center"/>
    </xf>
    <xf numFmtId="0" fontId="59" fillId="51" borderId="39" xfId="0" applyFont="1" applyFill="1" applyBorder="1" applyAlignment="1">
      <alignment horizontal="right" vertical="center"/>
    </xf>
    <xf numFmtId="0" fontId="0" fillId="51" borderId="39" xfId="0" applyFill="1" applyBorder="1" applyAlignment="1">
      <alignment horizontal="center" vertical="center"/>
    </xf>
    <xf numFmtId="0" fontId="59" fillId="51" borderId="39" xfId="0" applyFont="1" applyFill="1" applyBorder="1">
      <alignment vertical="center"/>
    </xf>
    <xf numFmtId="0" fontId="0" fillId="51" borderId="40" xfId="0" applyFill="1" applyBorder="1">
      <alignment vertical="center"/>
    </xf>
    <xf numFmtId="0" fontId="0" fillId="51" borderId="18" xfId="0" applyFill="1" applyBorder="1">
      <alignment vertical="center"/>
    </xf>
    <xf numFmtId="0" fontId="160" fillId="51" borderId="0" xfId="0" applyFont="1" applyFill="1">
      <alignment vertical="center"/>
    </xf>
    <xf numFmtId="0" fontId="0" fillId="51" borderId="17" xfId="0" applyFill="1" applyBorder="1">
      <alignment vertical="center"/>
    </xf>
    <xf numFmtId="0" fontId="324" fillId="51" borderId="0" xfId="0" applyFont="1" applyFill="1" applyAlignment="1">
      <alignment horizontal="right" vertical="center"/>
    </xf>
    <xf numFmtId="167" fontId="0" fillId="43" borderId="0" xfId="0" applyNumberFormat="1" applyFill="1">
      <alignment vertical="center"/>
    </xf>
    <xf numFmtId="2" fontId="0" fillId="33" borderId="0" xfId="0" applyNumberFormat="1" applyFill="1">
      <alignment vertical="center"/>
    </xf>
    <xf numFmtId="0" fontId="59" fillId="33" borderId="0" xfId="0" applyFont="1" applyFill="1">
      <alignment vertical="center"/>
    </xf>
    <xf numFmtId="0" fontId="0" fillId="51" borderId="19" xfId="0" applyFill="1" applyBorder="1">
      <alignment vertical="center"/>
    </xf>
    <xf numFmtId="0" fontId="0" fillId="51" borderId="20" xfId="0" applyFill="1" applyBorder="1">
      <alignment vertical="center"/>
    </xf>
    <xf numFmtId="0" fontId="0" fillId="51" borderId="21" xfId="0" applyFill="1" applyBorder="1">
      <alignment vertical="center"/>
    </xf>
    <xf numFmtId="0" fontId="59" fillId="51" borderId="0" xfId="0" applyFont="1" applyFill="1" applyAlignment="1">
      <alignment horizontal="right" vertical="center"/>
    </xf>
    <xf numFmtId="0" fontId="0" fillId="51" borderId="0" xfId="0" applyFill="1" applyAlignment="1">
      <alignment horizontal="center" vertical="center"/>
    </xf>
    <xf numFmtId="0" fontId="59" fillId="51" borderId="0" xfId="0" applyFont="1" applyFill="1">
      <alignment vertical="center"/>
    </xf>
    <xf numFmtId="2" fontId="0" fillId="33" borderId="13" xfId="0" applyNumberFormat="1" applyFill="1" applyBorder="1">
      <alignment vertical="center"/>
    </xf>
    <xf numFmtId="0" fontId="59" fillId="33" borderId="15" xfId="0" applyFont="1" applyFill="1" applyBorder="1">
      <alignment vertical="center"/>
    </xf>
    <xf numFmtId="2" fontId="0" fillId="10" borderId="13" xfId="0" applyNumberFormat="1" applyFill="1" applyBorder="1" applyProtection="1">
      <alignment vertical="center"/>
      <protection locked="0"/>
    </xf>
    <xf numFmtId="0" fontId="138" fillId="51" borderId="0" xfId="0" applyFont="1" applyFill="1">
      <alignment vertical="center"/>
    </xf>
    <xf numFmtId="0" fontId="324" fillId="51" borderId="18" xfId="0" applyFont="1" applyFill="1" applyBorder="1" applyAlignment="1">
      <alignment horizontal="right" vertical="center"/>
    </xf>
    <xf numFmtId="167" fontId="0" fillId="33" borderId="0" xfId="0" applyNumberFormat="1" applyFill="1">
      <alignment vertical="center"/>
    </xf>
    <xf numFmtId="0" fontId="367" fillId="51" borderId="0" xfId="0" applyFont="1" applyFill="1">
      <alignment vertical="center"/>
    </xf>
    <xf numFmtId="0" fontId="12" fillId="51" borderId="0" xfId="0" applyFont="1" applyFill="1" applyAlignment="1"/>
    <xf numFmtId="0" fontId="162" fillId="51" borderId="0" xfId="0" applyFont="1" applyFill="1">
      <alignment vertical="center"/>
    </xf>
    <xf numFmtId="0" fontId="47" fillId="51" borderId="0" xfId="0" applyFont="1" applyFill="1" applyAlignment="1"/>
    <xf numFmtId="0" fontId="369" fillId="62" borderId="0" xfId="0" applyFont="1" applyFill="1">
      <alignment vertical="center"/>
    </xf>
    <xf numFmtId="0" fontId="0" fillId="62" borderId="38" xfId="0" applyFill="1" applyBorder="1">
      <alignment vertical="center"/>
    </xf>
    <xf numFmtId="0" fontId="0" fillId="62" borderId="39" xfId="0" applyFill="1" applyBorder="1">
      <alignment vertical="center"/>
    </xf>
    <xf numFmtId="0" fontId="291" fillId="62" borderId="39" xfId="0" applyFont="1" applyFill="1" applyBorder="1">
      <alignment vertical="center"/>
    </xf>
    <xf numFmtId="0" fontId="0" fillId="62" borderId="40" xfId="0" applyFill="1" applyBorder="1">
      <alignment vertical="center"/>
    </xf>
    <xf numFmtId="0" fontId="0" fillId="62" borderId="18" xfId="0" applyFill="1" applyBorder="1">
      <alignment vertical="center"/>
    </xf>
    <xf numFmtId="0" fontId="139" fillId="62" borderId="0" xfId="0" applyFont="1" applyFill="1">
      <alignment vertical="center"/>
    </xf>
    <xf numFmtId="0" fontId="105" fillId="62" borderId="0" xfId="0" applyFont="1" applyFill="1">
      <alignment vertical="center"/>
    </xf>
    <xf numFmtId="0" fontId="0" fillId="62" borderId="17" xfId="0" applyFill="1" applyBorder="1">
      <alignment vertical="center"/>
    </xf>
    <xf numFmtId="0" fontId="0" fillId="62" borderId="19" xfId="0" applyFill="1" applyBorder="1">
      <alignment vertical="center"/>
    </xf>
    <xf numFmtId="0" fontId="0" fillId="62" borderId="20" xfId="0" applyFill="1" applyBorder="1">
      <alignment vertical="center"/>
    </xf>
    <xf numFmtId="0" fontId="0" fillId="62" borderId="21" xfId="0" applyFill="1" applyBorder="1">
      <alignment vertical="center"/>
    </xf>
    <xf numFmtId="0" fontId="369" fillId="62" borderId="27" xfId="0" applyFont="1" applyFill="1" applyBorder="1">
      <alignment vertical="center"/>
    </xf>
    <xf numFmtId="0" fontId="298" fillId="62" borderId="20" xfId="0" applyFont="1" applyFill="1" applyBorder="1">
      <alignment vertical="center"/>
    </xf>
    <xf numFmtId="0" fontId="101" fillId="35" borderId="0" xfId="0" applyFont="1" applyFill="1" applyAlignment="1">
      <alignment horizontal="center" vertical="center"/>
    </xf>
    <xf numFmtId="0" fontId="0" fillId="35" borderId="22" xfId="0" applyFill="1" applyBorder="1">
      <alignment vertical="center"/>
    </xf>
    <xf numFmtId="0" fontId="0" fillId="35" borderId="23" xfId="0" applyFill="1" applyBorder="1">
      <alignment vertical="center"/>
    </xf>
    <xf numFmtId="0" fontId="120" fillId="35" borderId="24" xfId="0" applyFont="1" applyFill="1" applyBorder="1" applyAlignment="1">
      <alignment horizontal="center" vertical="center"/>
    </xf>
    <xf numFmtId="0" fontId="0" fillId="35" borderId="25" xfId="0" applyFill="1" applyBorder="1">
      <alignment vertical="center"/>
    </xf>
    <xf numFmtId="0" fontId="0" fillId="35" borderId="16" xfId="0" applyFill="1" applyBorder="1">
      <alignment vertical="center"/>
    </xf>
    <xf numFmtId="0" fontId="252" fillId="35" borderId="0" xfId="0" applyFont="1" applyFill="1">
      <alignment vertical="center"/>
    </xf>
    <xf numFmtId="0" fontId="0" fillId="35" borderId="26" xfId="0" applyFill="1" applyBorder="1">
      <alignment vertical="center"/>
    </xf>
    <xf numFmtId="0" fontId="0" fillId="35" borderId="27" xfId="0" applyFill="1" applyBorder="1">
      <alignment vertical="center"/>
    </xf>
    <xf numFmtId="0" fontId="0" fillId="35" borderId="28" xfId="0" applyFill="1" applyBorder="1">
      <alignment vertical="center"/>
    </xf>
    <xf numFmtId="0" fontId="370" fillId="35" borderId="0" xfId="0" applyFont="1" applyFill="1" applyAlignment="1">
      <alignment horizontal="right" vertical="center"/>
    </xf>
    <xf numFmtId="0" fontId="103" fillId="35" borderId="0" xfId="0" applyFont="1" applyFill="1" applyAlignment="1">
      <alignment horizontal="center" vertical="center"/>
    </xf>
    <xf numFmtId="0" fontId="372" fillId="35" borderId="0" xfId="0" applyFont="1" applyFill="1" applyAlignment="1">
      <alignment horizontal="center" vertical="center"/>
    </xf>
    <xf numFmtId="0" fontId="35" fillId="10" borderId="2" xfId="0" applyFont="1" applyFill="1" applyBorder="1">
      <alignment vertical="center"/>
    </xf>
    <xf numFmtId="0" fontId="120" fillId="10" borderId="8" xfId="0" applyFont="1" applyFill="1" applyBorder="1" applyAlignment="1" applyProtection="1">
      <alignment horizontal="center" vertical="center"/>
      <protection locked="0"/>
    </xf>
    <xf numFmtId="0" fontId="120" fillId="10" borderId="13" xfId="0" applyFont="1" applyFill="1" applyBorder="1" applyAlignment="1" applyProtection="1">
      <alignment horizontal="center" vertical="center"/>
      <protection locked="0"/>
    </xf>
    <xf numFmtId="1" fontId="120" fillId="42" borderId="13" xfId="0" applyNumberFormat="1" applyFont="1" applyFill="1" applyBorder="1" applyAlignment="1">
      <alignment horizontal="right" vertical="center"/>
    </xf>
    <xf numFmtId="0" fontId="0" fillId="49" borderId="38" xfId="0" applyFill="1" applyBorder="1">
      <alignment vertical="center"/>
    </xf>
    <xf numFmtId="0" fontId="120" fillId="49" borderId="40" xfId="0" applyFont="1" applyFill="1" applyBorder="1" applyAlignment="1">
      <alignment horizontal="center" vertical="center"/>
    </xf>
    <xf numFmtId="0" fontId="0" fillId="49" borderId="18" xfId="0" applyFill="1" applyBorder="1">
      <alignment vertical="center"/>
    </xf>
    <xf numFmtId="0" fontId="251" fillId="49" borderId="0" xfId="0" applyFont="1" applyFill="1">
      <alignment vertical="center"/>
    </xf>
    <xf numFmtId="0" fontId="0" fillId="49" borderId="19" xfId="0" applyFill="1" applyBorder="1">
      <alignment vertical="center"/>
    </xf>
    <xf numFmtId="0" fontId="330" fillId="49" borderId="20" xfId="0" applyFont="1" applyFill="1" applyBorder="1">
      <alignment vertical="center"/>
    </xf>
    <xf numFmtId="0" fontId="0" fillId="49" borderId="17" xfId="0" applyFill="1" applyBorder="1">
      <alignment vertical="center"/>
    </xf>
    <xf numFmtId="0" fontId="252" fillId="49" borderId="17" xfId="0" applyFont="1" applyFill="1" applyBorder="1">
      <alignment vertical="center"/>
    </xf>
    <xf numFmtId="0" fontId="101" fillId="25" borderId="0" xfId="0" applyFont="1" applyFill="1">
      <alignment vertical="center"/>
    </xf>
    <xf numFmtId="0" fontId="35" fillId="25" borderId="0" xfId="0" applyFont="1" applyFill="1">
      <alignment vertical="center"/>
    </xf>
    <xf numFmtId="0" fontId="120" fillId="25" borderId="0" xfId="0" applyFont="1" applyFill="1">
      <alignment vertical="center"/>
    </xf>
    <xf numFmtId="0" fontId="0" fillId="25" borderId="0" xfId="0" applyFill="1" applyAlignment="1">
      <alignment vertical="center" wrapText="1" shrinkToFit="1"/>
    </xf>
    <xf numFmtId="0" fontId="35" fillId="25" borderId="0" xfId="0" applyFont="1" applyFill="1" applyAlignment="1">
      <alignment horizontal="center" vertical="center"/>
    </xf>
    <xf numFmtId="0" fontId="160" fillId="25" borderId="0" xfId="0" applyFont="1" applyFill="1">
      <alignment vertical="center"/>
    </xf>
    <xf numFmtId="0" fontId="90" fillId="25" borderId="0" xfId="0" applyFont="1" applyFill="1">
      <alignment vertical="center"/>
    </xf>
    <xf numFmtId="0" fontId="375" fillId="49" borderId="0" xfId="0" applyFont="1" applyFill="1">
      <alignment vertical="center"/>
    </xf>
    <xf numFmtId="0" fontId="376" fillId="36" borderId="0" xfId="0" applyFont="1" applyFill="1" applyAlignment="1">
      <alignment horizontal="right" vertical="center"/>
    </xf>
    <xf numFmtId="0" fontId="377" fillId="36" borderId="0" xfId="0" applyFont="1" applyFill="1">
      <alignment vertical="center"/>
    </xf>
    <xf numFmtId="0" fontId="378" fillId="62" borderId="0" xfId="0" applyFont="1" applyFill="1">
      <alignment vertical="center"/>
    </xf>
    <xf numFmtId="0" fontId="382" fillId="38" borderId="0" xfId="0" applyFont="1" applyFill="1">
      <alignment vertical="center"/>
    </xf>
    <xf numFmtId="0" fontId="0" fillId="73" borderId="0" xfId="0" applyFill="1">
      <alignment vertical="center"/>
    </xf>
    <xf numFmtId="0" fontId="388" fillId="73" borderId="0" xfId="0" applyFont="1" applyFill="1">
      <alignment vertical="center"/>
    </xf>
    <xf numFmtId="0" fontId="0" fillId="73" borderId="0" xfId="0" applyFill="1" applyAlignment="1">
      <alignment horizontal="left" vertical="center"/>
    </xf>
    <xf numFmtId="0" fontId="95" fillId="73" borderId="0" xfId="0" applyFont="1" applyFill="1">
      <alignment vertical="center"/>
    </xf>
    <xf numFmtId="0" fontId="94" fillId="73" borderId="0" xfId="0" applyFont="1" applyFill="1">
      <alignment vertical="center"/>
    </xf>
    <xf numFmtId="0" fontId="96" fillId="73" borderId="0" xfId="0" applyFont="1" applyFill="1" applyAlignment="1">
      <alignment horizontal="center" vertical="center"/>
    </xf>
    <xf numFmtId="0" fontId="0" fillId="73" borderId="0" xfId="0" applyFill="1" applyAlignment="1">
      <alignment horizontal="right" vertical="center"/>
    </xf>
    <xf numFmtId="1" fontId="99" fillId="73" borderId="0" xfId="0" applyNumberFormat="1" applyFont="1" applyFill="1" applyAlignment="1">
      <alignment horizontal="center" vertical="center"/>
    </xf>
    <xf numFmtId="0" fontId="59" fillId="73" borderId="0" xfId="0" applyFont="1" applyFill="1">
      <alignment vertical="center"/>
    </xf>
    <xf numFmtId="0" fontId="0" fillId="73" borderId="0" xfId="0" applyFill="1" applyAlignment="1">
      <alignment horizontal="center" vertical="center"/>
    </xf>
    <xf numFmtId="2" fontId="99" fillId="73" borderId="37" xfId="0" applyNumberFormat="1" applyFont="1" applyFill="1" applyBorder="1" applyAlignment="1">
      <alignment horizontal="center" vertical="center"/>
    </xf>
    <xf numFmtId="2" fontId="99" fillId="73" borderId="0" xfId="0" applyNumberFormat="1" applyFont="1" applyFill="1" applyAlignment="1">
      <alignment horizontal="center" vertical="center"/>
    </xf>
    <xf numFmtId="2" fontId="99" fillId="66" borderId="37" xfId="0" applyNumberFormat="1" applyFont="1" applyFill="1" applyBorder="1" applyAlignment="1" applyProtection="1">
      <alignment horizontal="center" vertical="center"/>
      <protection locked="0"/>
    </xf>
    <xf numFmtId="0" fontId="35" fillId="73" borderId="0" xfId="0" applyFont="1" applyFill="1" applyAlignment="1">
      <alignment horizontal="center" vertical="center"/>
    </xf>
    <xf numFmtId="2" fontId="392" fillId="42" borderId="37" xfId="0" applyNumberFormat="1" applyFont="1" applyFill="1" applyBorder="1" applyAlignment="1">
      <alignment horizontal="center" vertical="center"/>
    </xf>
    <xf numFmtId="165" fontId="99" fillId="42" borderId="37" xfId="0" applyNumberFormat="1" applyFont="1" applyFill="1" applyBorder="1" applyAlignment="1">
      <alignment horizontal="center" vertical="center"/>
    </xf>
    <xf numFmtId="178" fontId="0" fillId="32" borderId="0" xfId="0" applyNumberFormat="1" applyFill="1">
      <alignment vertical="center"/>
    </xf>
    <xf numFmtId="0" fontId="393" fillId="2" borderId="0" xfId="0" applyFont="1" applyFill="1" applyAlignment="1"/>
    <xf numFmtId="0" fontId="398" fillId="20" borderId="0" xfId="0" applyFont="1" applyFill="1">
      <alignment vertical="center"/>
    </xf>
    <xf numFmtId="0" fontId="401" fillId="32" borderId="0" xfId="0" applyFont="1" applyFill="1">
      <alignment vertical="center"/>
    </xf>
    <xf numFmtId="0" fontId="403" fillId="69" borderId="0" xfId="0" applyFont="1" applyFill="1">
      <alignment vertical="center"/>
    </xf>
    <xf numFmtId="0" fontId="407" fillId="33" borderId="0" xfId="0" applyFont="1" applyFill="1">
      <alignment vertical="center"/>
    </xf>
    <xf numFmtId="0" fontId="387" fillId="39" borderId="0" xfId="0" applyFont="1" applyFill="1">
      <alignment vertical="center"/>
    </xf>
    <xf numFmtId="0" fontId="408" fillId="26" borderId="0" xfId="0" applyFont="1" applyFill="1">
      <alignment vertical="center"/>
    </xf>
    <xf numFmtId="0" fontId="402" fillId="50" borderId="0" xfId="0" applyFont="1" applyFill="1">
      <alignment vertical="center"/>
    </xf>
    <xf numFmtId="0" fontId="406" fillId="49" borderId="0" xfId="0" applyFont="1" applyFill="1">
      <alignment vertical="center"/>
    </xf>
    <xf numFmtId="0" fontId="411" fillId="43" borderId="0" xfId="0" applyFont="1" applyFill="1">
      <alignment vertical="center"/>
    </xf>
    <xf numFmtId="0" fontId="412" fillId="43" borderId="0" xfId="0" applyFont="1" applyFill="1">
      <alignment vertical="center"/>
    </xf>
    <xf numFmtId="0" fontId="402" fillId="33" borderId="0" xfId="0" applyFont="1" applyFill="1">
      <alignment vertical="center"/>
    </xf>
    <xf numFmtId="0" fontId="413" fillId="33" borderId="0" xfId="0" applyFont="1" applyFill="1">
      <alignment vertical="center"/>
    </xf>
    <xf numFmtId="0" fontId="309" fillId="62" borderId="0" xfId="0" applyFont="1" applyFill="1">
      <alignment vertical="center"/>
    </xf>
    <xf numFmtId="0" fontId="297" fillId="62" borderId="15" xfId="0" applyFont="1" applyFill="1" applyBorder="1">
      <alignment vertical="center"/>
    </xf>
    <xf numFmtId="2" fontId="12" fillId="2" borderId="0" xfId="0" applyNumberFormat="1" applyFont="1" applyFill="1" applyAlignment="1"/>
    <xf numFmtId="0" fontId="150" fillId="2" borderId="0" xfId="0" applyFont="1" applyFill="1" applyAlignment="1"/>
    <xf numFmtId="1" fontId="59" fillId="49" borderId="0" xfId="0" applyNumberFormat="1" applyFont="1" applyFill="1">
      <alignment vertical="center"/>
    </xf>
    <xf numFmtId="1" fontId="59" fillId="10" borderId="0" xfId="0" applyNumberFormat="1" applyFont="1" applyFill="1" applyProtection="1">
      <alignment vertical="center"/>
      <protection locked="0"/>
    </xf>
    <xf numFmtId="0" fontId="59" fillId="42" borderId="0" xfId="0" applyFont="1" applyFill="1" applyAlignment="1">
      <alignment horizontal="center" vertical="center"/>
    </xf>
    <xf numFmtId="0" fontId="0" fillId="42" borderId="14" xfId="0" applyFill="1" applyBorder="1">
      <alignment vertical="center"/>
    </xf>
    <xf numFmtId="0" fontId="169" fillId="32" borderId="0" xfId="0" applyFont="1" applyFill="1">
      <alignment vertical="center"/>
    </xf>
    <xf numFmtId="0" fontId="103" fillId="40" borderId="0" xfId="0" applyFont="1" applyFill="1">
      <alignment vertical="center"/>
    </xf>
    <xf numFmtId="0" fontId="0" fillId="20" borderId="17" xfId="0" applyFill="1" applyBorder="1">
      <alignment vertical="center"/>
    </xf>
    <xf numFmtId="0" fontId="0" fillId="20" borderId="21" xfId="0" applyFill="1" applyBorder="1">
      <alignment vertical="center"/>
    </xf>
    <xf numFmtId="0" fontId="35" fillId="10" borderId="18" xfId="0" applyFont="1" applyFill="1" applyBorder="1" applyProtection="1">
      <alignment vertical="center"/>
      <protection locked="0"/>
    </xf>
    <xf numFmtId="0" fontId="35" fillId="10" borderId="17" xfId="0" applyFont="1" applyFill="1" applyBorder="1">
      <alignment vertical="center"/>
    </xf>
    <xf numFmtId="0" fontId="90" fillId="42" borderId="18" xfId="0" applyFont="1" applyFill="1" applyBorder="1">
      <alignment vertical="center"/>
    </xf>
    <xf numFmtId="0" fontId="59" fillId="42" borderId="17" xfId="0" applyFont="1" applyFill="1" applyBorder="1">
      <alignment vertical="center"/>
    </xf>
    <xf numFmtId="2" fontId="0" fillId="42" borderId="19" xfId="0" applyNumberFormat="1" applyFill="1" applyBorder="1">
      <alignment vertical="center"/>
    </xf>
    <xf numFmtId="0" fontId="0" fillId="42" borderId="21" xfId="0" applyFill="1" applyBorder="1">
      <alignment vertical="center"/>
    </xf>
    <xf numFmtId="0" fontId="162" fillId="49" borderId="40" xfId="0" applyFont="1" applyFill="1" applyBorder="1">
      <alignment vertical="center"/>
    </xf>
    <xf numFmtId="0" fontId="162" fillId="49" borderId="17" xfId="0" applyFont="1" applyFill="1" applyBorder="1">
      <alignment vertical="center"/>
    </xf>
    <xf numFmtId="0" fontId="0" fillId="16" borderId="17" xfId="0" applyFill="1" applyBorder="1">
      <alignment vertical="center"/>
    </xf>
    <xf numFmtId="0" fontId="59" fillId="16" borderId="21" xfId="0" applyFont="1" applyFill="1" applyBorder="1">
      <alignment vertical="center"/>
    </xf>
    <xf numFmtId="0" fontId="35" fillId="32" borderId="0" xfId="0" applyFont="1" applyFill="1" applyAlignment="1">
      <alignment horizontal="center" vertical="center"/>
    </xf>
    <xf numFmtId="0" fontId="59" fillId="36" borderId="8" xfId="0" applyFont="1" applyFill="1" applyBorder="1" applyAlignment="1">
      <alignment horizontal="center" vertical="center"/>
    </xf>
    <xf numFmtId="0" fontId="59" fillId="36" borderId="8" xfId="0" applyFont="1" applyFill="1" applyBorder="1">
      <alignment vertical="center"/>
    </xf>
    <xf numFmtId="179" fontId="59" fillId="36" borderId="15" xfId="0" applyNumberFormat="1" applyFont="1" applyFill="1" applyBorder="1" applyAlignment="1">
      <alignment horizontal="center" vertical="center"/>
    </xf>
    <xf numFmtId="0" fontId="59" fillId="36" borderId="13" xfId="0" applyFont="1" applyFill="1" applyBorder="1" applyAlignment="1">
      <alignment horizontal="center" vertical="center"/>
    </xf>
    <xf numFmtId="0" fontId="0" fillId="36" borderId="62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1" fontId="0" fillId="36" borderId="13" xfId="0" applyNumberFormat="1" applyFill="1" applyBorder="1" applyAlignment="1">
      <alignment horizontal="right" vertical="center"/>
    </xf>
    <xf numFmtId="0" fontId="59" fillId="36" borderId="21" xfId="0" applyFont="1" applyFill="1" applyBorder="1" applyAlignment="1">
      <alignment horizontal="left" vertical="center"/>
    </xf>
    <xf numFmtId="0" fontId="0" fillId="36" borderId="13" xfId="0" applyFill="1" applyBorder="1" applyAlignment="1">
      <alignment horizontal="right" vertical="center"/>
    </xf>
    <xf numFmtId="0" fontId="0" fillId="36" borderId="15" xfId="0" applyFill="1" applyBorder="1" applyAlignment="1">
      <alignment horizontal="left" vertical="center"/>
    </xf>
    <xf numFmtId="0" fontId="59" fillId="32" borderId="0" xfId="0" applyFont="1" applyFill="1" applyAlignment="1">
      <alignment horizontal="center" vertical="center"/>
    </xf>
    <xf numFmtId="0" fontId="35" fillId="32" borderId="0" xfId="0" applyFont="1" applyFill="1">
      <alignment vertical="center"/>
    </xf>
    <xf numFmtId="0" fontId="35" fillId="32" borderId="0" xfId="0" applyFont="1" applyFill="1" applyAlignment="1">
      <alignment horizontal="left" vertical="center"/>
    </xf>
    <xf numFmtId="0" fontId="164" fillId="32" borderId="0" xfId="0" applyFont="1" applyFill="1" applyAlignment="1">
      <alignment horizontal="center" vertical="center"/>
    </xf>
    <xf numFmtId="0" fontId="60" fillId="32" borderId="0" xfId="0" applyFont="1" applyFill="1" applyAlignment="1">
      <alignment horizontal="center" vertical="center"/>
    </xf>
    <xf numFmtId="0" fontId="0" fillId="32" borderId="38" xfId="0" applyFill="1" applyBorder="1">
      <alignment vertical="center"/>
    </xf>
    <xf numFmtId="0" fontId="0" fillId="32" borderId="39" xfId="0" applyFill="1" applyBorder="1">
      <alignment vertical="center"/>
    </xf>
    <xf numFmtId="0" fontId="0" fillId="32" borderId="40" xfId="0" applyFill="1" applyBorder="1">
      <alignment vertical="center"/>
    </xf>
    <xf numFmtId="0" fontId="0" fillId="32" borderId="18" xfId="0" applyFill="1" applyBorder="1">
      <alignment vertical="center"/>
    </xf>
    <xf numFmtId="0" fontId="0" fillId="32" borderId="17" xfId="0" applyFill="1" applyBorder="1">
      <alignment vertical="center"/>
    </xf>
    <xf numFmtId="0" fontId="35" fillId="32" borderId="18" xfId="0" applyFont="1" applyFill="1" applyBorder="1" applyAlignment="1">
      <alignment horizontal="center" vertical="center"/>
    </xf>
    <xf numFmtId="0" fontId="35" fillId="32" borderId="17" xfId="0" applyFont="1" applyFill="1" applyBorder="1" applyAlignment="1">
      <alignment horizontal="center" vertical="center"/>
    </xf>
    <xf numFmtId="0" fontId="0" fillId="32" borderId="19" xfId="0" applyFill="1" applyBorder="1">
      <alignment vertical="center"/>
    </xf>
    <xf numFmtId="0" fontId="35" fillId="32" borderId="20" xfId="0" applyFont="1" applyFill="1" applyBorder="1">
      <alignment vertical="center"/>
    </xf>
    <xf numFmtId="0" fontId="0" fillId="32" borderId="21" xfId="0" applyFill="1" applyBorder="1">
      <alignment vertical="center"/>
    </xf>
    <xf numFmtId="0" fontId="414" fillId="32" borderId="0" xfId="0" applyFont="1" applyFill="1" applyAlignment="1">
      <alignment horizontal="right" vertical="center"/>
    </xf>
    <xf numFmtId="0" fontId="59" fillId="32" borderId="16" xfId="0" applyFont="1" applyFill="1" applyBorder="1">
      <alignment vertical="center"/>
    </xf>
    <xf numFmtId="0" fontId="148" fillId="40" borderId="0" xfId="0" applyFont="1" applyFill="1">
      <alignment vertical="center"/>
    </xf>
    <xf numFmtId="0" fontId="415" fillId="32" borderId="0" xfId="0" applyFont="1" applyFill="1" applyAlignment="1">
      <alignment horizontal="right" vertical="center"/>
    </xf>
    <xf numFmtId="0" fontId="189" fillId="40" borderId="0" xfId="0" applyFont="1" applyFill="1">
      <alignment vertical="center"/>
    </xf>
    <xf numFmtId="0" fontId="59" fillId="10" borderId="8" xfId="0" applyFont="1" applyFill="1" applyBorder="1" applyAlignment="1" applyProtection="1">
      <alignment horizontal="center" vertical="center"/>
      <protection locked="0"/>
    </xf>
    <xf numFmtId="0" fontId="59" fillId="10" borderId="18" xfId="0" applyFont="1" applyFill="1" applyBorder="1" applyAlignment="1" applyProtection="1">
      <alignment horizontal="center" vertical="center"/>
      <protection locked="0"/>
    </xf>
    <xf numFmtId="0" fontId="59" fillId="10" borderId="17" xfId="0" applyFont="1" applyFill="1" applyBorder="1" applyAlignment="1" applyProtection="1">
      <alignment horizontal="center" vertical="center"/>
      <protection locked="0"/>
    </xf>
    <xf numFmtId="0" fontId="111" fillId="32" borderId="16" xfId="0" applyFont="1" applyFill="1" applyBorder="1">
      <alignment vertical="center"/>
    </xf>
    <xf numFmtId="0" fontId="162" fillId="32" borderId="0" xfId="0" applyFont="1" applyFill="1">
      <alignment vertical="center"/>
    </xf>
    <xf numFmtId="0" fontId="9" fillId="32" borderId="0" xfId="0" applyFont="1" applyFill="1" applyAlignment="1">
      <alignment horizontal="right" vertical="center"/>
    </xf>
    <xf numFmtId="0" fontId="1" fillId="32" borderId="0" xfId="0" applyFont="1" applyFill="1" applyAlignment="1">
      <alignment horizontal="right" vertical="center"/>
    </xf>
    <xf numFmtId="0" fontId="0" fillId="65" borderId="8" xfId="0" applyFill="1" applyBorder="1">
      <alignment vertical="center"/>
    </xf>
    <xf numFmtId="0" fontId="0" fillId="65" borderId="8" xfId="0" applyFill="1" applyBorder="1" applyAlignment="1">
      <alignment horizontal="right" vertical="center"/>
    </xf>
    <xf numFmtId="1" fontId="0" fillId="65" borderId="13" xfId="0" applyNumberFormat="1" applyFill="1" applyBorder="1">
      <alignment vertical="center"/>
    </xf>
    <xf numFmtId="0" fontId="59" fillId="65" borderId="15" xfId="0" applyFont="1" applyFill="1" applyBorder="1">
      <alignment vertical="center"/>
    </xf>
    <xf numFmtId="0" fontId="0" fillId="65" borderId="0" xfId="0" applyFill="1">
      <alignment vertical="center"/>
    </xf>
    <xf numFmtId="0" fontId="0" fillId="65" borderId="62" xfId="0" applyFill="1" applyBorder="1" applyAlignment="1">
      <alignment horizontal="right" vertical="center"/>
    </xf>
    <xf numFmtId="1" fontId="0" fillId="65" borderId="38" xfId="0" applyNumberFormat="1" applyFill="1" applyBorder="1">
      <alignment vertical="center"/>
    </xf>
    <xf numFmtId="0" fontId="59" fillId="65" borderId="40" xfId="0" applyFont="1" applyFill="1" applyBorder="1">
      <alignment vertical="center"/>
    </xf>
    <xf numFmtId="0" fontId="0" fillId="65" borderId="13" xfId="0" applyFill="1" applyBorder="1">
      <alignment vertical="center"/>
    </xf>
    <xf numFmtId="0" fontId="0" fillId="65" borderId="13" xfId="0" applyFill="1" applyBorder="1" applyAlignment="1">
      <alignment horizontal="right" vertical="center"/>
    </xf>
    <xf numFmtId="0" fontId="0" fillId="65" borderId="15" xfId="0" applyFill="1" applyBorder="1">
      <alignment vertical="center"/>
    </xf>
    <xf numFmtId="0" fontId="0" fillId="65" borderId="42" xfId="0" applyFill="1" applyBorder="1" applyAlignment="1">
      <alignment horizontal="right" vertical="center"/>
    </xf>
    <xf numFmtId="1" fontId="0" fillId="65" borderId="13" xfId="0" applyNumberFormat="1" applyFill="1" applyBorder="1" applyAlignment="1">
      <alignment horizontal="right" vertical="center"/>
    </xf>
    <xf numFmtId="180" fontId="59" fillId="65" borderId="14" xfId="0" applyNumberFormat="1" applyFont="1" applyFill="1" applyBorder="1" applyAlignment="1">
      <alignment horizontal="center" vertical="center"/>
    </xf>
    <xf numFmtId="180" fontId="59" fillId="36" borderId="14" xfId="0" applyNumberFormat="1" applyFont="1" applyFill="1" applyBorder="1" applyAlignment="1">
      <alignment horizontal="center" vertical="center"/>
    </xf>
    <xf numFmtId="1" fontId="111" fillId="32" borderId="16" xfId="0" applyNumberFormat="1" applyFont="1" applyFill="1" applyBorder="1">
      <alignment vertical="center"/>
    </xf>
    <xf numFmtId="1" fontId="111" fillId="32" borderId="0" xfId="0" applyNumberFormat="1" applyFont="1" applyFill="1">
      <alignment vertical="center"/>
    </xf>
    <xf numFmtId="0" fontId="111" fillId="32" borderId="28" xfId="0" applyFont="1" applyFill="1" applyBorder="1">
      <alignment vertical="center"/>
    </xf>
    <xf numFmtId="0" fontId="9" fillId="65" borderId="0" xfId="0" applyFont="1" applyFill="1" applyAlignment="1">
      <alignment horizontal="right" vertical="center"/>
    </xf>
    <xf numFmtId="0" fontId="1" fillId="65" borderId="0" xfId="0" applyFont="1" applyFill="1" applyAlignment="1">
      <alignment horizontal="right" vertical="center"/>
    </xf>
    <xf numFmtId="0" fontId="120" fillId="35" borderId="38" xfId="0" applyFont="1" applyFill="1" applyBorder="1" applyAlignment="1">
      <alignment horizontal="center" vertical="center"/>
    </xf>
    <xf numFmtId="0" fontId="0" fillId="59" borderId="0" xfId="0" applyFill="1">
      <alignment vertical="center"/>
    </xf>
    <xf numFmtId="0" fontId="0" fillId="59" borderId="22" xfId="0" applyFill="1" applyBorder="1">
      <alignment vertical="center"/>
    </xf>
    <xf numFmtId="0" fontId="0" fillId="59" borderId="23" xfId="0" applyFill="1" applyBorder="1">
      <alignment vertical="center"/>
    </xf>
    <xf numFmtId="0" fontId="0" fillId="59" borderId="24" xfId="0" applyFill="1" applyBorder="1">
      <alignment vertical="center"/>
    </xf>
    <xf numFmtId="0" fontId="0" fillId="59" borderId="25" xfId="0" applyFill="1" applyBorder="1">
      <alignment vertical="center"/>
    </xf>
    <xf numFmtId="0" fontId="0" fillId="59" borderId="16" xfId="0" applyFill="1" applyBorder="1">
      <alignment vertical="center"/>
    </xf>
    <xf numFmtId="0" fontId="59" fillId="59" borderId="25" xfId="0" applyFont="1" applyFill="1" applyBorder="1">
      <alignment vertical="center"/>
    </xf>
    <xf numFmtId="0" fontId="59" fillId="59" borderId="0" xfId="0" applyFont="1" applyFill="1">
      <alignment vertical="center"/>
    </xf>
    <xf numFmtId="0" fontId="417" fillId="59" borderId="0" xfId="0" applyFont="1" applyFill="1" applyAlignment="1">
      <alignment horizontal="right" vertical="center"/>
    </xf>
    <xf numFmtId="0" fontId="59" fillId="59" borderId="0" xfId="0" applyFont="1" applyFill="1" applyAlignment="1">
      <alignment horizontal="center" vertical="center"/>
    </xf>
    <xf numFmtId="0" fontId="168" fillId="59" borderId="0" xfId="0" applyFont="1" applyFill="1">
      <alignment vertical="center"/>
    </xf>
    <xf numFmtId="2" fontId="0" fillId="59" borderId="0" xfId="0" applyNumberFormat="1" applyFill="1">
      <alignment vertical="center"/>
    </xf>
    <xf numFmtId="0" fontId="0" fillId="59" borderId="26" xfId="0" applyFill="1" applyBorder="1">
      <alignment vertical="center"/>
    </xf>
    <xf numFmtId="0" fontId="0" fillId="59" borderId="27" xfId="0" applyFill="1" applyBorder="1">
      <alignment vertical="center"/>
    </xf>
    <xf numFmtId="0" fontId="0" fillId="59" borderId="28" xfId="0" applyFill="1" applyBorder="1">
      <alignment vertical="center"/>
    </xf>
    <xf numFmtId="0" fontId="120" fillId="35" borderId="13" xfId="0" applyFont="1" applyFill="1" applyBorder="1" applyAlignment="1">
      <alignment horizontal="center" vertical="center"/>
    </xf>
    <xf numFmtId="0" fontId="168" fillId="20" borderId="13" xfId="0" applyFont="1" applyFill="1" applyBorder="1" applyAlignment="1">
      <alignment horizontal="right" vertical="center"/>
    </xf>
    <xf numFmtId="0" fontId="168" fillId="20" borderId="15" xfId="0" applyFont="1" applyFill="1" applyBorder="1" applyAlignment="1">
      <alignment horizontal="left" vertical="center"/>
    </xf>
    <xf numFmtId="1" fontId="168" fillId="20" borderId="13" xfId="0" applyNumberFormat="1" applyFont="1" applyFill="1" applyBorder="1" applyAlignment="1">
      <alignment horizontal="right" vertical="center"/>
    </xf>
    <xf numFmtId="0" fontId="270" fillId="35" borderId="13" xfId="0" applyFont="1" applyFill="1" applyBorder="1" applyAlignment="1">
      <alignment horizontal="center" vertical="center"/>
    </xf>
    <xf numFmtId="3" fontId="1" fillId="34" borderId="0" xfId="0" applyNumberFormat="1" applyFont="1" applyFill="1" applyAlignment="1">
      <alignment horizontal="right" vertical="center"/>
    </xf>
    <xf numFmtId="3" fontId="2" fillId="34" borderId="0" xfId="0" applyNumberFormat="1" applyFont="1" applyFill="1" applyAlignment="1">
      <alignment horizontal="center" vertical="center"/>
    </xf>
    <xf numFmtId="0" fontId="0" fillId="34" borderId="0" xfId="0" applyFill="1">
      <alignment vertical="center"/>
    </xf>
    <xf numFmtId="0" fontId="323" fillId="34" borderId="0" xfId="0" applyFont="1" applyFill="1">
      <alignment vertical="center"/>
    </xf>
    <xf numFmtId="1" fontId="109" fillId="34" borderId="0" xfId="0" applyNumberFormat="1" applyFont="1" applyFill="1" applyAlignment="1">
      <alignment horizontal="right" vertical="center"/>
    </xf>
    <xf numFmtId="0" fontId="189" fillId="34" borderId="0" xfId="0" applyFont="1" applyFill="1">
      <alignment vertical="center"/>
    </xf>
    <xf numFmtId="0" fontId="6" fillId="34" borderId="0" xfId="0" applyFont="1" applyFill="1">
      <alignment vertical="center"/>
    </xf>
    <xf numFmtId="0" fontId="6" fillId="34" borderId="0" xfId="0" applyFont="1" applyFill="1" applyAlignment="1">
      <alignment horizontal="left" vertical="center"/>
    </xf>
    <xf numFmtId="3" fontId="5" fillId="34" borderId="0" xfId="0" applyNumberFormat="1" applyFont="1" applyFill="1">
      <alignment vertical="center"/>
    </xf>
    <xf numFmtId="0" fontId="332" fillId="34" borderId="0" xfId="0" applyFont="1" applyFill="1">
      <alignment vertical="center"/>
    </xf>
    <xf numFmtId="0" fontId="373" fillId="34" borderId="0" xfId="0" applyFont="1" applyFill="1" applyAlignment="1">
      <alignment horizontal="right" vertical="center"/>
    </xf>
    <xf numFmtId="0" fontId="420" fillId="34" borderId="0" xfId="0" applyFont="1" applyFill="1">
      <alignment vertical="center"/>
    </xf>
    <xf numFmtId="0" fontId="59" fillId="34" borderId="0" xfId="0" applyFont="1" applyFill="1">
      <alignment vertical="center"/>
    </xf>
    <xf numFmtId="0" fontId="90" fillId="34" borderId="0" xfId="0" applyFont="1" applyFill="1">
      <alignment vertical="center"/>
    </xf>
    <xf numFmtId="0" fontId="346" fillId="34" borderId="0" xfId="0" applyFont="1" applyFill="1">
      <alignment vertical="center"/>
    </xf>
    <xf numFmtId="0" fontId="35" fillId="34" borderId="0" xfId="0" applyFont="1" applyFill="1">
      <alignment vertical="center"/>
    </xf>
    <xf numFmtId="4" fontId="7" fillId="10" borderId="8" xfId="0" applyNumberFormat="1" applyFont="1" applyFill="1" applyBorder="1" applyAlignment="1" applyProtection="1">
      <alignment horizontal="center" vertical="center"/>
      <protection locked="0"/>
    </xf>
    <xf numFmtId="3" fontId="425" fillId="32" borderId="1" xfId="0" applyNumberFormat="1" applyFont="1" applyFill="1" applyBorder="1">
      <alignment vertical="center"/>
    </xf>
    <xf numFmtId="3" fontId="106" fillId="32" borderId="1" xfId="0" applyNumberFormat="1" applyFont="1" applyFill="1" applyBorder="1">
      <alignment vertical="center"/>
    </xf>
    <xf numFmtId="3" fontId="107" fillId="32" borderId="2" xfId="0" applyNumberFormat="1" applyFont="1" applyFill="1" applyBorder="1" applyAlignment="1">
      <alignment horizontal="center" vertical="center"/>
    </xf>
    <xf numFmtId="3" fontId="107" fillId="32" borderId="3" xfId="0" applyNumberFormat="1" applyFont="1" applyFill="1" applyBorder="1" applyAlignment="1">
      <alignment horizontal="center" vertical="center"/>
    </xf>
    <xf numFmtId="0" fontId="427" fillId="34" borderId="0" xfId="0" applyFont="1" applyFill="1">
      <alignment vertical="center"/>
    </xf>
    <xf numFmtId="3" fontId="1" fillId="0" borderId="25" xfId="0" applyNumberFormat="1" applyFont="1" applyBorder="1">
      <alignment vertical="center"/>
    </xf>
    <xf numFmtId="3" fontId="1" fillId="0" borderId="16" xfId="0" applyNumberFormat="1" applyFont="1" applyBorder="1" applyAlignment="1">
      <alignment horizontal="center" vertical="center"/>
    </xf>
    <xf numFmtId="3" fontId="1" fillId="26" borderId="26" xfId="0" applyNumberFormat="1" applyFont="1" applyFill="1" applyBorder="1">
      <alignment vertical="center"/>
    </xf>
    <xf numFmtId="4" fontId="1" fillId="26" borderId="27" xfId="0" applyNumberFormat="1" applyFont="1" applyFill="1" applyBorder="1" applyAlignment="1">
      <alignment horizontal="center" vertical="center"/>
    </xf>
    <xf numFmtId="4" fontId="1" fillId="26" borderId="28" xfId="0" applyNumberFormat="1" applyFont="1" applyFill="1" applyBorder="1" applyAlignment="1">
      <alignment horizontal="center" vertical="center"/>
    </xf>
    <xf numFmtId="3" fontId="9" fillId="34" borderId="1" xfId="0" applyNumberFormat="1" applyFont="1" applyFill="1" applyBorder="1">
      <alignment vertical="center"/>
    </xf>
    <xf numFmtId="3" fontId="1" fillId="34" borderId="2" xfId="0" applyNumberFormat="1" applyFont="1" applyFill="1" applyBorder="1" applyAlignment="1">
      <alignment horizontal="center" vertical="center"/>
    </xf>
    <xf numFmtId="3" fontId="1" fillId="34" borderId="2" xfId="0" applyNumberFormat="1" applyFont="1" applyFill="1" applyBorder="1">
      <alignment vertical="center"/>
    </xf>
    <xf numFmtId="3" fontId="1" fillId="34" borderId="3" xfId="0" applyNumberFormat="1" applyFont="1" applyFill="1" applyBorder="1">
      <alignment vertical="center"/>
    </xf>
    <xf numFmtId="0" fontId="377" fillId="34" borderId="0" xfId="0" applyFont="1" applyFill="1">
      <alignment vertical="center"/>
    </xf>
    <xf numFmtId="0" fontId="431" fillId="34" borderId="0" xfId="0" applyFont="1" applyFill="1">
      <alignment vertical="center"/>
    </xf>
    <xf numFmtId="3" fontId="426" fillId="10" borderId="37" xfId="0" applyNumberFormat="1" applyFont="1" applyFill="1" applyBorder="1" applyAlignment="1" applyProtection="1">
      <alignment horizontal="center" vertical="center"/>
      <protection locked="0"/>
    </xf>
    <xf numFmtId="3" fontId="374" fillId="10" borderId="3" xfId="0" applyNumberFormat="1" applyFont="1" applyFill="1" applyBorder="1" applyAlignment="1" applyProtection="1">
      <alignment horizontal="center" vertical="center"/>
      <protection locked="0"/>
    </xf>
    <xf numFmtId="4" fontId="423" fillId="32" borderId="1" xfId="0" applyNumberFormat="1" applyFont="1" applyFill="1" applyBorder="1" applyAlignment="1">
      <alignment horizontal="right" vertical="center"/>
    </xf>
    <xf numFmtId="3" fontId="423" fillId="32" borderId="3" xfId="0" applyNumberFormat="1" applyFont="1" applyFill="1" applyBorder="1" applyAlignment="1">
      <alignment horizontal="left" vertical="center"/>
    </xf>
    <xf numFmtId="3" fontId="8" fillId="32" borderId="2" xfId="0" applyNumberFormat="1" applyFont="1" applyFill="1" applyBorder="1" applyAlignment="1">
      <alignment horizontal="center" vertical="center"/>
    </xf>
    <xf numFmtId="1" fontId="7" fillId="32" borderId="1" xfId="0" applyNumberFormat="1" applyFont="1" applyFill="1" applyBorder="1" applyAlignment="1">
      <alignment horizontal="right" vertical="center"/>
    </xf>
    <xf numFmtId="3" fontId="7" fillId="32" borderId="3" xfId="0" applyNumberFormat="1" applyFont="1" applyFill="1" applyBorder="1" applyAlignment="1">
      <alignment horizontal="left" vertical="center"/>
    </xf>
    <xf numFmtId="164" fontId="423" fillId="32" borderId="1" xfId="0" applyNumberFormat="1" applyFont="1" applyFill="1" applyBorder="1" applyAlignment="1">
      <alignment horizontal="right" vertical="center"/>
    </xf>
    <xf numFmtId="164" fontId="424" fillId="32" borderId="1" xfId="0" applyNumberFormat="1" applyFont="1" applyFill="1" applyBorder="1" applyAlignment="1">
      <alignment horizontal="right" vertical="center"/>
    </xf>
    <xf numFmtId="3" fontId="1" fillId="10" borderId="8" xfId="0" applyNumberFormat="1" applyFont="1" applyFill="1" applyBorder="1" applyAlignment="1" applyProtection="1">
      <alignment horizontal="center" vertical="center"/>
      <protection locked="0"/>
    </xf>
    <xf numFmtId="3" fontId="1" fillId="10" borderId="11" xfId="0" applyNumberFormat="1" applyFont="1" applyFill="1" applyBorder="1" applyAlignment="1" applyProtection="1">
      <alignment horizontal="center" vertical="center"/>
      <protection locked="0"/>
    </xf>
    <xf numFmtId="3" fontId="1" fillId="39" borderId="4" xfId="0" applyNumberFormat="1" applyFont="1" applyFill="1" applyBorder="1" applyAlignment="1">
      <alignment horizontal="center" vertical="center"/>
    </xf>
    <xf numFmtId="3" fontId="1" fillId="39" borderId="6" xfId="0" applyNumberFormat="1" applyFont="1" applyFill="1" applyBorder="1" applyAlignment="1">
      <alignment horizontal="center" vertical="center" wrapText="1"/>
    </xf>
    <xf numFmtId="0" fontId="432" fillId="34" borderId="0" xfId="0" applyFont="1" applyFill="1">
      <alignment vertical="center"/>
    </xf>
    <xf numFmtId="165" fontId="7" fillId="32" borderId="1" xfId="0" applyNumberFormat="1" applyFont="1" applyFill="1" applyBorder="1" applyAlignment="1">
      <alignment horizontal="right" vertical="center"/>
    </xf>
    <xf numFmtId="3" fontId="1" fillId="32" borderId="56" xfId="0" applyNumberFormat="1" applyFont="1" applyFill="1" applyBorder="1" applyAlignment="1">
      <alignment horizontal="center" vertical="center"/>
    </xf>
    <xf numFmtId="3" fontId="1" fillId="32" borderId="7" xfId="0" applyNumberFormat="1" applyFont="1" applyFill="1" applyBorder="1" applyAlignment="1">
      <alignment horizontal="left" vertical="center"/>
    </xf>
    <xf numFmtId="3" fontId="426" fillId="32" borderId="7" xfId="0" applyNumberFormat="1" applyFont="1" applyFill="1" applyBorder="1" applyAlignment="1">
      <alignment horizontal="left" vertical="center"/>
    </xf>
    <xf numFmtId="3" fontId="1" fillId="32" borderId="10" xfId="0" applyNumberFormat="1" applyFont="1" applyFill="1" applyBorder="1" applyAlignment="1">
      <alignment horizontal="left" vertical="center"/>
    </xf>
    <xf numFmtId="164" fontId="1" fillId="32" borderId="8" xfId="0" applyNumberFormat="1" applyFont="1" applyFill="1" applyBorder="1" applyAlignment="1">
      <alignment horizontal="center" vertical="center"/>
    </xf>
    <xf numFmtId="164" fontId="1" fillId="32" borderId="9" xfId="0" applyNumberFormat="1" applyFont="1" applyFill="1" applyBorder="1" applyAlignment="1">
      <alignment horizontal="center" vertical="center"/>
    </xf>
    <xf numFmtId="164" fontId="1" fillId="32" borderId="11" xfId="0" applyNumberFormat="1" applyFont="1" applyFill="1" applyBorder="1" applyAlignment="1">
      <alignment horizontal="center" vertical="center"/>
    </xf>
    <xf numFmtId="164" fontId="1" fillId="32" borderId="12" xfId="0" applyNumberFormat="1" applyFont="1" applyFill="1" applyBorder="1" applyAlignment="1">
      <alignment horizontal="center" vertical="center"/>
    </xf>
    <xf numFmtId="3" fontId="1" fillId="32" borderId="57" xfId="0" applyNumberFormat="1" applyFont="1" applyFill="1" applyBorder="1" applyAlignment="1">
      <alignment horizontal="center" vertical="center"/>
    </xf>
    <xf numFmtId="3" fontId="1" fillId="49" borderId="54" xfId="0" applyNumberFormat="1" applyFont="1" applyFill="1" applyBorder="1">
      <alignment vertical="center"/>
    </xf>
    <xf numFmtId="3" fontId="1" fillId="49" borderId="5" xfId="0" applyNumberFormat="1" applyFont="1" applyFill="1" applyBorder="1" applyAlignment="1">
      <alignment horizontal="center" vertical="center" wrapText="1"/>
    </xf>
    <xf numFmtId="3" fontId="108" fillId="49" borderId="5" xfId="0" applyNumberFormat="1" applyFont="1" applyFill="1" applyBorder="1" applyAlignment="1">
      <alignment horizontal="center" vertical="center" wrapText="1"/>
    </xf>
    <xf numFmtId="164" fontId="107" fillId="32" borderId="1" xfId="0" applyNumberFormat="1" applyFont="1" applyFill="1" applyBorder="1" applyAlignment="1">
      <alignment horizontal="right" vertical="center"/>
    </xf>
    <xf numFmtId="3" fontId="107" fillId="32" borderId="3" xfId="0" applyNumberFormat="1" applyFont="1" applyFill="1" applyBorder="1" applyAlignment="1">
      <alignment horizontal="left" vertical="center"/>
    </xf>
    <xf numFmtId="0" fontId="60" fillId="32" borderId="0" xfId="0" applyFont="1" applyFill="1" applyAlignment="1"/>
    <xf numFmtId="0" fontId="418" fillId="59" borderId="0" xfId="0" applyFont="1" applyFill="1" applyAlignment="1">
      <alignment horizontal="center" vertical="center"/>
    </xf>
    <xf numFmtId="0" fontId="416" fillId="40" borderId="0" xfId="0" applyFont="1" applyFill="1" applyAlignment="1">
      <alignment horizontal="right" vertical="center"/>
    </xf>
    <xf numFmtId="0" fontId="434" fillId="40" borderId="0" xfId="0" applyFont="1" applyFill="1" applyAlignment="1">
      <alignment horizontal="right" vertical="center"/>
    </xf>
    <xf numFmtId="0" fontId="434" fillId="40" borderId="0" xfId="0" applyFont="1" applyFill="1" applyAlignment="1">
      <alignment horizontal="left" vertical="center"/>
    </xf>
    <xf numFmtId="0" fontId="120" fillId="59" borderId="0" xfId="0" applyFont="1" applyFill="1">
      <alignment vertical="center"/>
    </xf>
    <xf numFmtId="0" fontId="270" fillId="32" borderId="0" xfId="0" applyFont="1" applyFill="1" applyAlignment="1"/>
    <xf numFmtId="0" fontId="402" fillId="34" borderId="0" xfId="0" applyFont="1" applyFill="1">
      <alignment vertical="center"/>
    </xf>
    <xf numFmtId="0" fontId="250" fillId="59" borderId="0" xfId="0" applyFont="1" applyFill="1">
      <alignment vertical="center"/>
    </xf>
    <xf numFmtId="0" fontId="250" fillId="59" borderId="0" xfId="0" applyFont="1" applyFill="1" applyAlignment="1">
      <alignment horizontal="right" vertical="center"/>
    </xf>
    <xf numFmtId="1" fontId="440" fillId="59" borderId="13" xfId="0" applyNumberFormat="1" applyFont="1" applyFill="1" applyBorder="1" applyAlignment="1">
      <alignment horizontal="right" vertical="center"/>
    </xf>
    <xf numFmtId="0" fontId="440" fillId="59" borderId="15" xfId="0" applyFont="1" applyFill="1" applyBorder="1" applyAlignment="1">
      <alignment horizontal="left" vertical="center"/>
    </xf>
    <xf numFmtId="1" fontId="440" fillId="59" borderId="14" xfId="0" applyNumberFormat="1" applyFont="1" applyFill="1" applyBorder="1" applyAlignment="1">
      <alignment horizontal="right" vertical="center"/>
    </xf>
    <xf numFmtId="0" fontId="439" fillId="59" borderId="62" xfId="0" applyFont="1" applyFill="1" applyBorder="1" applyAlignment="1">
      <alignment horizontal="center" vertical="center"/>
    </xf>
    <xf numFmtId="0" fontId="59" fillId="59" borderId="42" xfId="0" applyFont="1" applyFill="1" applyBorder="1" applyAlignment="1">
      <alignment horizontal="center" vertical="center"/>
    </xf>
    <xf numFmtId="0" fontId="440" fillId="59" borderId="15" xfId="0" applyFont="1" applyFill="1" applyBorder="1" applyAlignment="1">
      <alignment horizontal="center" vertical="center"/>
    </xf>
    <xf numFmtId="0" fontId="295" fillId="32" borderId="13" xfId="0" applyFont="1" applyFill="1" applyBorder="1">
      <alignment vertical="center"/>
    </xf>
    <xf numFmtId="0" fontId="295" fillId="32" borderId="15" xfId="0" applyFont="1" applyFill="1" applyBorder="1">
      <alignment vertical="center"/>
    </xf>
    <xf numFmtId="0" fontId="441" fillId="59" borderId="0" xfId="0" applyFont="1" applyFill="1">
      <alignment vertical="center"/>
    </xf>
    <xf numFmtId="0" fontId="442" fillId="59" borderId="0" xfId="0" applyFont="1" applyFill="1">
      <alignment vertical="center"/>
    </xf>
    <xf numFmtId="0" fontId="49" fillId="32" borderId="0" xfId="0" applyFont="1" applyFill="1" applyAlignment="1">
      <alignment vertical="top"/>
    </xf>
    <xf numFmtId="0" fontId="47" fillId="32" borderId="0" xfId="0" applyFont="1" applyFill="1" applyAlignment="1"/>
    <xf numFmtId="0" fontId="443" fillId="32" borderId="0" xfId="0" applyFont="1" applyFill="1" applyAlignment="1"/>
    <xf numFmtId="165" fontId="122" fillId="50" borderId="18" xfId="0" applyNumberFormat="1" applyFont="1" applyFill="1" applyBorder="1" applyAlignment="1"/>
    <xf numFmtId="0" fontId="18" fillId="32" borderId="0" xfId="0" applyFont="1" applyFill="1" applyAlignment="1">
      <alignment horizontal="left"/>
    </xf>
    <xf numFmtId="0" fontId="18" fillId="50" borderId="40" xfId="0" applyFont="1" applyFill="1" applyBorder="1" applyAlignment="1"/>
    <xf numFmtId="2" fontId="122" fillId="5" borderId="13" xfId="0" applyNumberFormat="1" applyFont="1" applyFill="1" applyBorder="1" applyAlignment="1" applyProtection="1">
      <protection locked="0"/>
    </xf>
    <xf numFmtId="0" fontId="18" fillId="5" borderId="15" xfId="0" applyFont="1" applyFill="1" applyBorder="1" applyAlignment="1"/>
    <xf numFmtId="0" fontId="131" fillId="27" borderId="13" xfId="0" applyFont="1" applyFill="1" applyBorder="1" applyAlignment="1"/>
    <xf numFmtId="165" fontId="122" fillId="27" borderId="13" xfId="0" applyNumberFormat="1" applyFont="1" applyFill="1" applyBorder="1" applyAlignment="1"/>
    <xf numFmtId="0" fontId="18" fillId="27" borderId="15" xfId="0" applyFont="1" applyFill="1" applyBorder="1" applyAlignment="1"/>
    <xf numFmtId="1" fontId="122" fillId="27" borderId="13" xfId="0" applyNumberFormat="1" applyFont="1" applyFill="1" applyBorder="1" applyAlignment="1"/>
    <xf numFmtId="0" fontId="135" fillId="32" borderId="0" xfId="0" applyFont="1" applyFill="1" applyAlignment="1">
      <alignment horizontal="center"/>
    </xf>
    <xf numFmtId="0" fontId="131" fillId="32" borderId="0" xfId="0" applyFont="1" applyFill="1" applyAlignment="1"/>
    <xf numFmtId="165" fontId="122" fillId="32" borderId="0" xfId="0" applyNumberFormat="1" applyFont="1" applyFill="1" applyAlignment="1" applyProtection="1">
      <protection locked="0"/>
    </xf>
    <xf numFmtId="0" fontId="131" fillId="20" borderId="8" xfId="0" applyFont="1" applyFill="1" applyBorder="1" applyAlignment="1"/>
    <xf numFmtId="0" fontId="18" fillId="20" borderId="13" xfId="0" applyFont="1" applyFill="1" applyBorder="1" applyAlignment="1"/>
    <xf numFmtId="166" fontId="111" fillId="32" borderId="0" xfId="0" applyNumberFormat="1" applyFont="1" applyFill="1" applyAlignment="1"/>
    <xf numFmtId="0" fontId="111" fillId="32" borderId="0" xfId="0" applyFont="1" applyFill="1" applyAlignment="1"/>
    <xf numFmtId="0" fontId="111" fillId="32" borderId="0" xfId="0" applyFont="1" applyFill="1" applyAlignment="1">
      <alignment horizontal="center"/>
    </xf>
    <xf numFmtId="0" fontId="130" fillId="49" borderId="46" xfId="0" applyFont="1" applyFill="1" applyBorder="1" applyAlignment="1">
      <alignment horizontal="center" wrapText="1"/>
    </xf>
    <xf numFmtId="0" fontId="130" fillId="10" borderId="10" xfId="0" applyFont="1" applyFill="1" applyBorder="1" applyAlignment="1" applyProtection="1">
      <alignment horizontal="center"/>
      <protection locked="0"/>
    </xf>
    <xf numFmtId="0" fontId="131" fillId="27" borderId="15" xfId="0" applyFont="1" applyFill="1" applyBorder="1" applyAlignment="1"/>
    <xf numFmtId="0" fontId="122" fillId="32" borderId="0" xfId="0" applyFont="1" applyFill="1" applyAlignment="1" applyProtection="1">
      <alignment horizontal="center"/>
      <protection locked="0"/>
    </xf>
    <xf numFmtId="1" fontId="446" fillId="74" borderId="13" xfId="0" applyNumberFormat="1" applyFont="1" applyFill="1" applyBorder="1">
      <alignment vertical="center"/>
    </xf>
    <xf numFmtId="0" fontId="189" fillId="74" borderId="15" xfId="0" applyFont="1" applyFill="1" applyBorder="1">
      <alignment vertical="center"/>
    </xf>
    <xf numFmtId="0" fontId="445" fillId="74" borderId="8" xfId="0" applyFont="1" applyFill="1" applyBorder="1" applyAlignment="1">
      <alignment horizontal="center" wrapText="1"/>
    </xf>
    <xf numFmtId="165" fontId="111" fillId="32" borderId="0" xfId="0" applyNumberFormat="1" applyFont="1" applyFill="1" applyAlignment="1"/>
    <xf numFmtId="165" fontId="111" fillId="32" borderId="0" xfId="0" applyNumberFormat="1" applyFont="1" applyFill="1" applyAlignment="1">
      <alignment horizontal="center" vertical="center"/>
    </xf>
    <xf numFmtId="0" fontId="363" fillId="32" borderId="0" xfId="0" applyFont="1" applyFill="1">
      <alignment vertical="center"/>
    </xf>
    <xf numFmtId="0" fontId="361" fillId="32" borderId="0" xfId="0" applyFont="1" applyFill="1" applyAlignment="1">
      <alignment horizontal="right" vertical="center"/>
    </xf>
    <xf numFmtId="0" fontId="449" fillId="32" borderId="0" xfId="0" applyFont="1" applyFill="1">
      <alignment vertical="center"/>
    </xf>
    <xf numFmtId="0" fontId="362" fillId="32" borderId="0" xfId="0" applyFont="1" applyFill="1" applyAlignment="1">
      <alignment horizontal="right" vertical="center"/>
    </xf>
    <xf numFmtId="0" fontId="450" fillId="29" borderId="0" xfId="0" applyFont="1" applyFill="1">
      <alignment vertical="center"/>
    </xf>
    <xf numFmtId="0" fontId="12" fillId="29" borderId="0" xfId="0" applyFont="1" applyFill="1" applyAlignment="1"/>
    <xf numFmtId="0" fontId="363" fillId="29" borderId="0" xfId="0" applyFont="1" applyFill="1">
      <alignment vertical="center"/>
    </xf>
    <xf numFmtId="0" fontId="449" fillId="29" borderId="0" xfId="0" applyFont="1" applyFill="1">
      <alignment vertical="center"/>
    </xf>
    <xf numFmtId="0" fontId="361" fillId="29" borderId="0" xfId="0" applyFont="1" applyFill="1" applyAlignment="1">
      <alignment horizontal="right" vertical="center"/>
    </xf>
    <xf numFmtId="0" fontId="362" fillId="29" borderId="0" xfId="0" applyFont="1" applyFill="1" applyAlignment="1">
      <alignment horizontal="right" vertical="center"/>
    </xf>
    <xf numFmtId="0" fontId="451" fillId="29" borderId="0" xfId="0" applyFont="1" applyFill="1" applyAlignment="1">
      <alignment horizontal="left" vertical="center"/>
    </xf>
    <xf numFmtId="0" fontId="0" fillId="16" borderId="0" xfId="0" applyFill="1" applyAlignment="1">
      <alignment horizontal="right" vertical="center"/>
    </xf>
    <xf numFmtId="0" fontId="0" fillId="16" borderId="0" xfId="0" applyFill="1" applyAlignment="1">
      <alignment horizontal="left" vertical="center"/>
    </xf>
    <xf numFmtId="0" fontId="91" fillId="16" borderId="0" xfId="0" applyFont="1" applyFill="1">
      <alignment vertical="center"/>
    </xf>
    <xf numFmtId="0" fontId="59" fillId="16" borderId="0" xfId="0" applyFont="1" applyFill="1">
      <alignment vertical="center"/>
    </xf>
    <xf numFmtId="0" fontId="35" fillId="16" borderId="17" xfId="0" applyFont="1" applyFill="1" applyBorder="1" applyAlignment="1">
      <alignment horizontal="left" vertical="center"/>
    </xf>
    <xf numFmtId="0" fontId="0" fillId="32" borderId="37" xfId="0" applyFill="1" applyBorder="1">
      <alignment vertical="center"/>
    </xf>
    <xf numFmtId="0" fontId="452" fillId="16" borderId="0" xfId="0" applyFont="1" applyFill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/>
    </xf>
    <xf numFmtId="0" fontId="98" fillId="16" borderId="0" xfId="0" applyFont="1" applyFill="1" applyAlignment="1">
      <alignment horizontal="right" vertical="center"/>
    </xf>
    <xf numFmtId="0" fontId="35" fillId="16" borderId="0" xfId="0" applyFont="1" applyFill="1" applyAlignment="1">
      <alignment horizontal="left" vertical="center"/>
    </xf>
    <xf numFmtId="0" fontId="455" fillId="16" borderId="0" xfId="0" applyFont="1" applyFill="1" applyAlignment="1">
      <alignment horizontal="center" vertical="center"/>
    </xf>
    <xf numFmtId="0" fontId="0" fillId="16" borderId="0" xfId="0" applyFill="1" applyAlignment="1"/>
    <xf numFmtId="0" fontId="184" fillId="16" borderId="0" xfId="0" applyFont="1" applyFill="1" applyAlignment="1">
      <alignment horizontal="center" vertical="center"/>
    </xf>
    <xf numFmtId="0" fontId="184" fillId="16" borderId="0" xfId="0" applyFont="1" applyFill="1">
      <alignment vertical="center"/>
    </xf>
    <xf numFmtId="0" fontId="0" fillId="16" borderId="38" xfId="0" applyFill="1" applyBorder="1">
      <alignment vertical="center"/>
    </xf>
    <xf numFmtId="0" fontId="0" fillId="16" borderId="39" xfId="0" applyFill="1" applyBorder="1">
      <alignment vertical="center"/>
    </xf>
    <xf numFmtId="0" fontId="0" fillId="16" borderId="40" xfId="0" applyFill="1" applyBorder="1">
      <alignment vertical="center"/>
    </xf>
    <xf numFmtId="0" fontId="0" fillId="16" borderId="18" xfId="0" applyFill="1" applyBorder="1">
      <alignment vertical="center"/>
    </xf>
    <xf numFmtId="0" fontId="453" fillId="16" borderId="0" xfId="0" applyFont="1" applyFill="1">
      <alignment vertical="center"/>
    </xf>
    <xf numFmtId="0" fontId="95" fillId="16" borderId="0" xfId="0" applyFont="1" applyFill="1">
      <alignment vertical="center"/>
    </xf>
    <xf numFmtId="0" fontId="93" fillId="16" borderId="0" xfId="0" applyFont="1" applyFill="1">
      <alignment vertical="center"/>
    </xf>
    <xf numFmtId="0" fontId="96" fillId="16" borderId="0" xfId="0" applyFont="1" applyFill="1">
      <alignment vertical="center"/>
    </xf>
    <xf numFmtId="0" fontId="60" fillId="16" borderId="0" xfId="0" applyFont="1" applyFill="1">
      <alignment vertical="center"/>
    </xf>
    <xf numFmtId="0" fontId="94" fillId="16" borderId="0" xfId="0" applyFont="1" applyFill="1">
      <alignment vertical="center"/>
    </xf>
    <xf numFmtId="0" fontId="0" fillId="16" borderId="19" xfId="0" applyFill="1" applyBorder="1">
      <alignment vertical="center"/>
    </xf>
    <xf numFmtId="0" fontId="0" fillId="16" borderId="20" xfId="0" applyFill="1" applyBorder="1">
      <alignment vertical="center"/>
    </xf>
    <xf numFmtId="165" fontId="99" fillId="16" borderId="20" xfId="0" applyNumberFormat="1" applyFont="1" applyFill="1" applyBorder="1">
      <alignment vertical="center"/>
    </xf>
    <xf numFmtId="0" fontId="94" fillId="16" borderId="20" xfId="0" applyFont="1" applyFill="1" applyBorder="1">
      <alignment vertical="center"/>
    </xf>
    <xf numFmtId="0" fontId="0" fillId="16" borderId="21" xfId="0" applyFill="1" applyBorder="1">
      <alignment vertical="center"/>
    </xf>
    <xf numFmtId="0" fontId="453" fillId="16" borderId="39" xfId="0" applyFont="1" applyFill="1" applyBorder="1">
      <alignment vertical="center"/>
    </xf>
    <xf numFmtId="0" fontId="455" fillId="16" borderId="17" xfId="0" applyFont="1" applyFill="1" applyBorder="1" applyAlignment="1">
      <alignment horizontal="center" vertical="center"/>
    </xf>
    <xf numFmtId="0" fontId="0" fillId="16" borderId="17" xfId="0" applyFill="1" applyBorder="1" applyAlignment="1"/>
    <xf numFmtId="0" fontId="59" fillId="16" borderId="0" xfId="0" applyFont="1" applyFill="1" applyAlignment="1">
      <alignment horizontal="right" vertical="center"/>
    </xf>
    <xf numFmtId="0" fontId="0" fillId="16" borderId="17" xfId="0" applyFill="1" applyBorder="1" applyAlignment="1">
      <alignment horizontal="left" vertical="center"/>
    </xf>
    <xf numFmtId="0" fontId="0" fillId="16" borderId="38" xfId="0" applyFill="1" applyBorder="1" applyAlignment="1">
      <alignment horizontal="left" vertical="center"/>
    </xf>
    <xf numFmtId="0" fontId="0" fillId="16" borderId="18" xfId="0" applyFill="1" applyBorder="1" applyAlignment="1">
      <alignment horizontal="left" vertical="center"/>
    </xf>
    <xf numFmtId="0" fontId="0" fillId="16" borderId="0" xfId="0" applyFill="1" applyAlignment="1">
      <alignment horizontal="center" vertical="center"/>
    </xf>
    <xf numFmtId="0" fontId="0" fillId="16" borderId="19" xfId="0" applyFill="1" applyBorder="1" applyAlignment="1">
      <alignment horizontal="left" vertical="center"/>
    </xf>
    <xf numFmtId="0" fontId="59" fillId="16" borderId="17" xfId="0" applyFont="1" applyFill="1" applyBorder="1">
      <alignment vertical="center"/>
    </xf>
    <xf numFmtId="1" fontId="99" fillId="32" borderId="37" xfId="0" applyNumberFormat="1" applyFont="1" applyFill="1" applyBorder="1" applyAlignment="1">
      <alignment horizontal="center" vertical="center"/>
    </xf>
    <xf numFmtId="165" fontId="99" fillId="32" borderId="37" xfId="0" applyNumberFormat="1" applyFont="1" applyFill="1" applyBorder="1" applyAlignment="1">
      <alignment horizontal="center" vertical="center"/>
    </xf>
    <xf numFmtId="0" fontId="456" fillId="16" borderId="0" xfId="0" applyFont="1" applyFill="1">
      <alignment vertical="center"/>
    </xf>
    <xf numFmtId="0" fontId="457" fillId="16" borderId="0" xfId="0" applyFont="1" applyFill="1">
      <alignment vertical="center"/>
    </xf>
    <xf numFmtId="0" fontId="457" fillId="16" borderId="39" xfId="0" applyFont="1" applyFill="1" applyBorder="1">
      <alignment vertical="center"/>
    </xf>
    <xf numFmtId="0" fontId="458" fillId="16" borderId="0" xfId="0" applyFont="1" applyFill="1" applyAlignment="1"/>
    <xf numFmtId="0" fontId="59" fillId="0" borderId="0" xfId="0" applyFont="1" applyAlignment="1"/>
    <xf numFmtId="0" fontId="59" fillId="16" borderId="18" xfId="0" applyFont="1" applyFill="1" applyBorder="1" applyAlignment="1">
      <alignment horizontal="right" vertical="center"/>
    </xf>
    <xf numFmtId="0" fontId="59" fillId="16" borderId="0" xfId="0" applyFont="1" applyFill="1" applyAlignment="1" applyProtection="1">
      <alignment horizontal="right" vertical="center"/>
      <protection locked="0"/>
    </xf>
    <xf numFmtId="0" fontId="98" fillId="16" borderId="15" xfId="0" applyFont="1" applyFill="1" applyBorder="1" applyAlignment="1">
      <alignment horizontal="left" vertical="center"/>
    </xf>
    <xf numFmtId="0" fontId="0" fillId="16" borderId="14" xfId="0" applyFill="1" applyBorder="1">
      <alignment vertical="center"/>
    </xf>
    <xf numFmtId="49" fontId="59" fillId="32" borderId="0" xfId="0" applyNumberFormat="1" applyFont="1" applyFill="1">
      <alignment vertical="center"/>
    </xf>
    <xf numFmtId="0" fontId="458" fillId="32" borderId="0" xfId="0" applyFont="1" applyFill="1">
      <alignment vertical="center"/>
    </xf>
    <xf numFmtId="0" fontId="458" fillId="16" borderId="0" xfId="0" applyFont="1" applyFill="1">
      <alignment vertical="center"/>
    </xf>
    <xf numFmtId="0" fontId="460" fillId="16" borderId="0" xfId="0" applyFont="1" applyFill="1" applyAlignment="1">
      <alignment horizontal="right" vertical="center"/>
    </xf>
    <xf numFmtId="0" fontId="460" fillId="16" borderId="0" xfId="0" applyFont="1" applyFill="1" applyAlignment="1">
      <alignment horizontal="left" vertical="center"/>
    </xf>
    <xf numFmtId="0" fontId="460" fillId="16" borderId="17" xfId="0" applyFont="1" applyFill="1" applyBorder="1" applyAlignment="1">
      <alignment horizontal="left" vertical="center"/>
    </xf>
    <xf numFmtId="0" fontId="461" fillId="16" borderId="17" xfId="0" applyFont="1" applyFill="1" applyBorder="1">
      <alignment vertical="center"/>
    </xf>
    <xf numFmtId="0" fontId="94" fillId="32" borderId="37" xfId="0" applyFont="1" applyFill="1" applyBorder="1" applyAlignment="1">
      <alignment horizontal="center" vertical="center"/>
    </xf>
    <xf numFmtId="0" fontId="150" fillId="32" borderId="0" xfId="0" applyFont="1" applyFill="1">
      <alignment vertical="center"/>
    </xf>
    <xf numFmtId="0" fontId="462" fillId="32" borderId="0" xfId="0" applyFont="1" applyFill="1" applyAlignment="1">
      <alignment horizontal="left" vertical="center"/>
    </xf>
    <xf numFmtId="0" fontId="148" fillId="32" borderId="0" xfId="0" applyFont="1" applyFill="1" applyAlignment="1"/>
    <xf numFmtId="0" fontId="148" fillId="32" borderId="0" xfId="0" applyFont="1" applyFill="1" applyAlignment="1">
      <alignment horizontal="center" vertical="center"/>
    </xf>
    <xf numFmtId="0" fontId="111" fillId="0" borderId="0" xfId="0" applyFont="1">
      <alignment vertical="center"/>
    </xf>
    <xf numFmtId="0" fontId="47" fillId="19" borderId="0" xfId="0" applyFont="1" applyFill="1" applyAlignment="1"/>
    <xf numFmtId="3" fontId="280" fillId="19" borderId="0" xfId="0" applyNumberFormat="1" applyFont="1" applyFill="1" applyAlignment="1">
      <alignment horizontal="center" vertical="center"/>
    </xf>
    <xf numFmtId="3" fontId="463" fillId="19" borderId="0" xfId="0" applyNumberFormat="1" applyFont="1" applyFill="1" applyAlignment="1">
      <alignment horizontal="center" vertical="center"/>
    </xf>
    <xf numFmtId="3" fontId="280" fillId="19" borderId="0" xfId="0" applyNumberFormat="1" applyFont="1" applyFill="1">
      <alignment vertical="center"/>
    </xf>
    <xf numFmtId="0" fontId="60" fillId="19" borderId="0" xfId="0" applyFont="1" applyFill="1" applyAlignment="1">
      <alignment horizontal="center"/>
    </xf>
    <xf numFmtId="0" fontId="47" fillId="19" borderId="0" xfId="0" applyFont="1" applyFill="1" applyAlignment="1">
      <alignment horizontal="center"/>
    </xf>
    <xf numFmtId="3" fontId="280" fillId="37" borderId="0" xfId="0" applyNumberFormat="1" applyFont="1" applyFill="1">
      <alignment vertical="center"/>
    </xf>
    <xf numFmtId="0" fontId="47" fillId="37" borderId="0" xfId="0" applyFont="1" applyFill="1" applyAlignment="1"/>
    <xf numFmtId="3" fontId="463" fillId="37" borderId="0" xfId="0" applyNumberFormat="1" applyFont="1" applyFill="1">
      <alignment vertical="center"/>
    </xf>
    <xf numFmtId="165" fontId="47" fillId="19" borderId="0" xfId="0" applyNumberFormat="1" applyFont="1" applyFill="1" applyAlignment="1"/>
    <xf numFmtId="0" fontId="60" fillId="32" borderId="1" xfId="0" applyFont="1" applyFill="1" applyBorder="1">
      <alignment vertical="center"/>
    </xf>
    <xf numFmtId="0" fontId="60" fillId="32" borderId="2" xfId="0" applyFont="1" applyFill="1" applyBorder="1" applyAlignment="1"/>
    <xf numFmtId="2" fontId="60" fillId="32" borderId="2" xfId="0" applyNumberFormat="1" applyFont="1" applyFill="1" applyBorder="1" applyAlignment="1"/>
    <xf numFmtId="0" fontId="60" fillId="32" borderId="3" xfId="0" applyFont="1" applyFill="1" applyBorder="1" applyAlignment="1"/>
    <xf numFmtId="0" fontId="12" fillId="37" borderId="26" xfId="0" applyFont="1" applyFill="1" applyBorder="1" applyAlignment="1"/>
    <xf numFmtId="0" fontId="12" fillId="37" borderId="27" xfId="0" applyFont="1" applyFill="1" applyBorder="1" applyAlignment="1"/>
    <xf numFmtId="0" fontId="12" fillId="37" borderId="35" xfId="0" applyFont="1" applyFill="1" applyBorder="1" applyAlignment="1"/>
    <xf numFmtId="0" fontId="12" fillId="36" borderId="56" xfId="0" applyFont="1" applyFill="1" applyBorder="1" applyAlignment="1"/>
    <xf numFmtId="0" fontId="12" fillId="36" borderId="14" xfId="0" applyFont="1" applyFill="1" applyBorder="1" applyAlignment="1"/>
    <xf numFmtId="0" fontId="12" fillId="36" borderId="33" xfId="0" applyFont="1" applyFill="1" applyBorder="1" applyAlignment="1"/>
    <xf numFmtId="0" fontId="12" fillId="26" borderId="0" xfId="0" applyFont="1" applyFill="1" applyAlignment="1"/>
    <xf numFmtId="3" fontId="1" fillId="26" borderId="0" xfId="0" applyNumberFormat="1" applyFont="1" applyFill="1" applyAlignment="1">
      <alignment horizontal="center" vertical="center"/>
    </xf>
    <xf numFmtId="3" fontId="1" fillId="26" borderId="0" xfId="0" applyNumberFormat="1" applyFont="1" applyFill="1">
      <alignment vertical="center"/>
    </xf>
    <xf numFmtId="0" fontId="345" fillId="26" borderId="0" xfId="0" applyFont="1" applyFill="1" applyAlignment="1"/>
    <xf numFmtId="0" fontId="47" fillId="26" borderId="0" xfId="0" applyFont="1" applyFill="1" applyAlignment="1"/>
    <xf numFmtId="3" fontId="463" fillId="26" borderId="0" xfId="0" applyNumberFormat="1" applyFont="1" applyFill="1" applyAlignment="1">
      <alignment horizontal="center" vertical="center"/>
    </xf>
    <xf numFmtId="3" fontId="280" fillId="26" borderId="0" xfId="0" applyNumberFormat="1" applyFont="1" applyFill="1">
      <alignment vertical="center"/>
    </xf>
    <xf numFmtId="0" fontId="26" fillId="26" borderId="0" xfId="0" applyFont="1" applyFill="1" applyAlignment="1"/>
    <xf numFmtId="0" fontId="26" fillId="26" borderId="0" xfId="0" applyFont="1" applyFill="1" applyAlignment="1">
      <alignment horizontal="center"/>
    </xf>
    <xf numFmtId="0" fontId="60" fillId="26" borderId="0" xfId="0" applyFont="1" applyFill="1" applyAlignment="1">
      <alignment horizontal="center"/>
    </xf>
    <xf numFmtId="0" fontId="12" fillId="26" borderId="0" xfId="0" applyFont="1" applyFill="1" applyAlignment="1">
      <alignment horizontal="left"/>
    </xf>
    <xf numFmtId="0" fontId="26" fillId="26" borderId="0" xfId="0" applyFont="1" applyFill="1" applyAlignment="1">
      <alignment horizontal="right"/>
    </xf>
    <xf numFmtId="0" fontId="12" fillId="26" borderId="0" xfId="0" applyFont="1" applyFill="1" applyAlignment="1">
      <alignment horizontal="right"/>
    </xf>
    <xf numFmtId="1" fontId="12" fillId="26" borderId="0" xfId="0" applyNumberFormat="1" applyFont="1" applyFill="1" applyAlignment="1"/>
    <xf numFmtId="0" fontId="31" fillId="26" borderId="0" xfId="0" applyFont="1" applyFill="1" applyAlignment="1">
      <alignment horizontal="right"/>
    </xf>
    <xf numFmtId="0" fontId="47" fillId="26" borderId="0" xfId="0" applyFont="1" applyFill="1" applyAlignment="1">
      <alignment horizontal="center"/>
    </xf>
    <xf numFmtId="0" fontId="12" fillId="37" borderId="25" xfId="0" applyFont="1" applyFill="1" applyBorder="1" applyAlignment="1"/>
    <xf numFmtId="0" fontId="12" fillId="37" borderId="16" xfId="0" applyFont="1" applyFill="1" applyBorder="1" applyAlignment="1"/>
    <xf numFmtId="0" fontId="12" fillId="40" borderId="1" xfId="0" applyFont="1" applyFill="1" applyBorder="1" applyAlignment="1"/>
    <xf numFmtId="0" fontId="12" fillId="40" borderId="3" xfId="0" applyFont="1" applyFill="1" applyBorder="1" applyAlignment="1"/>
    <xf numFmtId="0" fontId="12" fillId="50" borderId="54" xfId="0" applyFont="1" applyFill="1" applyBorder="1" applyAlignment="1"/>
    <xf numFmtId="0" fontId="12" fillId="50" borderId="32" xfId="0" applyFont="1" applyFill="1" applyBorder="1" applyAlignment="1"/>
    <xf numFmtId="2" fontId="12" fillId="50" borderId="32" xfId="0" applyNumberFormat="1" applyFont="1" applyFill="1" applyBorder="1" applyAlignment="1"/>
    <xf numFmtId="0" fontId="12" fillId="50" borderId="55" xfId="0" applyFont="1" applyFill="1" applyBorder="1" applyAlignment="1"/>
    <xf numFmtId="0" fontId="12" fillId="37" borderId="13" xfId="0" applyFont="1" applyFill="1" applyBorder="1" applyAlignment="1">
      <alignment horizontal="center"/>
    </xf>
    <xf numFmtId="0" fontId="12" fillId="37" borderId="14" xfId="0" applyFont="1" applyFill="1" applyBorder="1" applyAlignment="1">
      <alignment horizontal="right"/>
    </xf>
    <xf numFmtId="0" fontId="12" fillId="37" borderId="15" xfId="0" applyFont="1" applyFill="1" applyBorder="1" applyAlignment="1"/>
    <xf numFmtId="0" fontId="26" fillId="37" borderId="8" xfId="0" applyFont="1" applyFill="1" applyBorder="1" applyAlignment="1">
      <alignment horizontal="right" indent="2"/>
    </xf>
    <xf numFmtId="0" fontId="12" fillId="26" borderId="38" xfId="0" applyFont="1" applyFill="1" applyBorder="1" applyAlignment="1"/>
    <xf numFmtId="0" fontId="12" fillId="26" borderId="39" xfId="0" applyFont="1" applyFill="1" applyBorder="1" applyAlignment="1"/>
    <xf numFmtId="0" fontId="12" fillId="26" borderId="40" xfId="0" applyFont="1" applyFill="1" applyBorder="1" applyAlignment="1"/>
    <xf numFmtId="0" fontId="12" fillId="26" borderId="18" xfId="0" applyFont="1" applyFill="1" applyBorder="1" applyAlignment="1"/>
    <xf numFmtId="0" fontId="12" fillId="26" borderId="17" xfId="0" applyFont="1" applyFill="1" applyBorder="1" applyAlignment="1"/>
    <xf numFmtId="0" fontId="12" fillId="26" borderId="19" xfId="0" applyFont="1" applyFill="1" applyBorder="1" applyAlignment="1"/>
    <xf numFmtId="0" fontId="12" fillId="26" borderId="20" xfId="0" applyFont="1" applyFill="1" applyBorder="1" applyAlignment="1"/>
    <xf numFmtId="0" fontId="12" fillId="26" borderId="21" xfId="0" applyFont="1" applyFill="1" applyBorder="1" applyAlignment="1"/>
    <xf numFmtId="0" fontId="45" fillId="36" borderId="0" xfId="0" applyFont="1" applyFill="1" applyAlignment="1"/>
    <xf numFmtId="0" fontId="45" fillId="10" borderId="0" xfId="0" applyFont="1" applyFill="1" applyAlignment="1"/>
    <xf numFmtId="0" fontId="45" fillId="32" borderId="0" xfId="0" applyFont="1" applyFill="1" applyAlignment="1"/>
    <xf numFmtId="2" fontId="164" fillId="32" borderId="0" xfId="0" applyNumberFormat="1" applyFont="1" applyFill="1" applyAlignment="1"/>
    <xf numFmtId="0" fontId="164" fillId="32" borderId="0" xfId="0" applyFont="1" applyFill="1" applyAlignment="1"/>
    <xf numFmtId="3" fontId="1" fillId="26" borderId="0" xfId="0" applyNumberFormat="1" applyFont="1" applyFill="1" applyAlignment="1">
      <alignment horizontal="right" vertical="center"/>
    </xf>
    <xf numFmtId="3" fontId="10" fillId="26" borderId="0" xfId="0" applyNumberFormat="1" applyFont="1" applyFill="1" applyAlignment="1">
      <alignment horizontal="right" vertical="center"/>
    </xf>
    <xf numFmtId="1" fontId="11" fillId="26" borderId="0" xfId="0" applyNumberFormat="1" applyFont="1" applyFill="1" applyAlignment="1">
      <alignment horizontal="right" vertical="center"/>
    </xf>
    <xf numFmtId="0" fontId="45" fillId="10" borderId="0" xfId="0" applyFont="1" applyFill="1" applyAlignment="1" applyProtection="1">
      <protection locked="0"/>
    </xf>
    <xf numFmtId="0" fontId="466" fillId="26" borderId="0" xfId="0" applyFont="1" applyFill="1" applyAlignment="1"/>
    <xf numFmtId="0" fontId="12" fillId="26" borderId="0" xfId="0" applyFont="1" applyFill="1" applyAlignment="1" applyProtection="1">
      <protection locked="0"/>
    </xf>
    <xf numFmtId="0" fontId="0" fillId="33" borderId="0" xfId="0" applyFill="1" applyProtection="1">
      <alignment vertical="center"/>
      <protection locked="0"/>
    </xf>
    <xf numFmtId="0" fontId="47" fillId="36" borderId="0" xfId="0" applyFont="1" applyFill="1">
      <alignment vertical="center"/>
    </xf>
    <xf numFmtId="0" fontId="0" fillId="36" borderId="14" xfId="0" applyFill="1" applyBorder="1">
      <alignment vertical="center"/>
    </xf>
    <xf numFmtId="0" fontId="12" fillId="19" borderId="0" xfId="0" applyFont="1" applyFill="1" applyAlignment="1" applyProtection="1">
      <protection locked="0"/>
    </xf>
    <xf numFmtId="0" fontId="411" fillId="26" borderId="0" xfId="0" applyFont="1" applyFill="1" applyAlignment="1"/>
    <xf numFmtId="0" fontId="380" fillId="26" borderId="0" xfId="0" applyFont="1" applyFill="1" applyAlignment="1"/>
    <xf numFmtId="0" fontId="47" fillId="10" borderId="15" xfId="0" applyFont="1" applyFill="1" applyBorder="1">
      <alignment vertical="center"/>
    </xf>
    <xf numFmtId="0" fontId="47" fillId="10" borderId="14" xfId="0" applyFont="1" applyFill="1" applyBorder="1" applyProtection="1">
      <alignment vertical="center"/>
      <protection locked="0"/>
    </xf>
    <xf numFmtId="0" fontId="47" fillId="36" borderId="14" xfId="0" applyFont="1" applyFill="1" applyBorder="1">
      <alignment vertical="center"/>
    </xf>
    <xf numFmtId="0" fontId="47" fillId="36" borderId="15" xfId="0" applyFont="1" applyFill="1" applyBorder="1">
      <alignment vertical="center"/>
    </xf>
    <xf numFmtId="0" fontId="0" fillId="36" borderId="15" xfId="0" applyFill="1" applyBorder="1">
      <alignment vertical="center"/>
    </xf>
    <xf numFmtId="0" fontId="35" fillId="36" borderId="13" xfId="0" applyFont="1" applyFill="1" applyBorder="1">
      <alignment vertical="center"/>
    </xf>
    <xf numFmtId="1" fontId="60" fillId="36" borderId="13" xfId="0" applyNumberFormat="1" applyFont="1" applyFill="1" applyBorder="1" applyAlignment="1">
      <alignment horizontal="right" vertical="center"/>
    </xf>
    <xf numFmtId="0" fontId="60" fillId="36" borderId="15" xfId="0" applyFont="1" applyFill="1" applyBorder="1">
      <alignment vertical="center"/>
    </xf>
    <xf numFmtId="0" fontId="60" fillId="75" borderId="13" xfId="0" applyFont="1" applyFill="1" applyBorder="1">
      <alignment vertical="center"/>
    </xf>
    <xf numFmtId="0" fontId="60" fillId="75" borderId="15" xfId="0" applyFont="1" applyFill="1" applyBorder="1">
      <alignment vertical="center"/>
    </xf>
    <xf numFmtId="0" fontId="189" fillId="77" borderId="14" xfId="0" applyFont="1" applyFill="1" applyBorder="1" applyProtection="1">
      <alignment vertical="center"/>
      <protection locked="0"/>
    </xf>
    <xf numFmtId="0" fontId="189" fillId="77" borderId="15" xfId="0" applyFont="1" applyFill="1" applyBorder="1">
      <alignment vertical="center"/>
    </xf>
    <xf numFmtId="0" fontId="0" fillId="36" borderId="38" xfId="0" applyFill="1" applyBorder="1">
      <alignment vertical="center"/>
    </xf>
    <xf numFmtId="0" fontId="47" fillId="36" borderId="39" xfId="0" applyFont="1" applyFill="1" applyBorder="1">
      <alignment vertical="center"/>
    </xf>
    <xf numFmtId="0" fontId="47" fillId="36" borderId="40" xfId="0" applyFont="1" applyFill="1" applyBorder="1">
      <alignment vertical="center"/>
    </xf>
    <xf numFmtId="0" fontId="0" fillId="36" borderId="18" xfId="0" applyFill="1" applyBorder="1">
      <alignment vertical="center"/>
    </xf>
    <xf numFmtId="0" fontId="47" fillId="36" borderId="17" xfId="0" applyFont="1" applyFill="1" applyBorder="1">
      <alignment vertical="center"/>
    </xf>
    <xf numFmtId="0" fontId="0" fillId="36" borderId="19" xfId="0" applyFill="1" applyBorder="1">
      <alignment vertical="center"/>
    </xf>
    <xf numFmtId="0" fontId="0" fillId="36" borderId="20" xfId="0" applyFill="1" applyBorder="1">
      <alignment vertical="center"/>
    </xf>
    <xf numFmtId="0" fontId="47" fillId="36" borderId="20" xfId="0" applyFont="1" applyFill="1" applyBorder="1">
      <alignment vertical="center"/>
    </xf>
    <xf numFmtId="0" fontId="47" fillId="36" borderId="21" xfId="0" applyFont="1" applyFill="1" applyBorder="1">
      <alignment vertical="center"/>
    </xf>
    <xf numFmtId="0" fontId="0" fillId="36" borderId="39" xfId="0" applyFill="1" applyBorder="1">
      <alignment vertical="center"/>
    </xf>
    <xf numFmtId="0" fontId="471" fillId="36" borderId="0" xfId="0" applyFont="1" applyFill="1">
      <alignment vertical="center"/>
    </xf>
    <xf numFmtId="0" fontId="471" fillId="36" borderId="17" xfId="0" applyFont="1" applyFill="1" applyBorder="1">
      <alignment vertical="center"/>
    </xf>
    <xf numFmtId="0" fontId="471" fillId="36" borderId="17" xfId="0" applyFont="1" applyFill="1" applyBorder="1" applyAlignment="1">
      <alignment horizontal="right" vertical="center" indent="1"/>
    </xf>
    <xf numFmtId="0" fontId="471" fillId="36" borderId="21" xfId="0" applyFont="1" applyFill="1" applyBorder="1">
      <alignment vertical="center"/>
    </xf>
    <xf numFmtId="0" fontId="471" fillId="36" borderId="40" xfId="0" applyFont="1" applyFill="1" applyBorder="1">
      <alignment vertical="center"/>
    </xf>
    <xf numFmtId="0" fontId="472" fillId="36" borderId="0" xfId="0" applyFont="1" applyFill="1">
      <alignment vertical="center"/>
    </xf>
    <xf numFmtId="2" fontId="471" fillId="36" borderId="0" xfId="0" applyNumberFormat="1" applyFont="1" applyFill="1">
      <alignment vertical="center"/>
    </xf>
    <xf numFmtId="181" fontId="471" fillId="36" borderId="0" xfId="0" applyNumberFormat="1" applyFont="1" applyFill="1">
      <alignment vertical="center"/>
    </xf>
    <xf numFmtId="2" fontId="472" fillId="36" borderId="0" xfId="0" applyNumberFormat="1" applyFont="1" applyFill="1">
      <alignment vertical="center"/>
    </xf>
    <xf numFmtId="0" fontId="150" fillId="36" borderId="0" xfId="0" applyFont="1" applyFill="1">
      <alignment vertical="center"/>
    </xf>
    <xf numFmtId="0" fontId="60" fillId="10" borderId="13" xfId="0" applyFont="1" applyFill="1" applyBorder="1" applyProtection="1">
      <alignment vertical="center"/>
      <protection locked="0"/>
    </xf>
    <xf numFmtId="0" fontId="60" fillId="10" borderId="15" xfId="0" applyFont="1" applyFill="1" applyBorder="1">
      <alignment vertical="center"/>
    </xf>
    <xf numFmtId="0" fontId="47" fillId="10" borderId="13" xfId="0" applyFont="1" applyFill="1" applyBorder="1" applyAlignment="1" applyProtection="1">
      <alignment vertical="top"/>
      <protection locked="0"/>
    </xf>
    <xf numFmtId="0" fontId="47" fillId="10" borderId="15" xfId="0" applyFont="1" applyFill="1" applyBorder="1" applyAlignment="1">
      <alignment horizontal="left"/>
    </xf>
    <xf numFmtId="0" fontId="164" fillId="25" borderId="0" xfId="0" applyFont="1" applyFill="1">
      <alignment vertical="center"/>
    </xf>
    <xf numFmtId="0" fontId="387" fillId="25" borderId="0" xfId="0" applyFont="1" applyFill="1" applyAlignment="1">
      <alignment horizontal="left" vertical="center"/>
    </xf>
    <xf numFmtId="0" fontId="380" fillId="35" borderId="0" xfId="0" applyFont="1" applyFill="1" applyAlignment="1">
      <alignment horizontal="center" vertical="center"/>
    </xf>
    <xf numFmtId="0" fontId="164" fillId="35" borderId="0" xfId="0" applyFont="1" applyFill="1" applyAlignment="1">
      <alignment horizontal="center" vertical="center"/>
    </xf>
    <xf numFmtId="0" fontId="164" fillId="25" borderId="0" xfId="0" applyFont="1" applyFill="1" applyAlignment="1">
      <alignment horizontal="center" vertical="center"/>
    </xf>
    <xf numFmtId="0" fontId="47" fillId="25" borderId="0" xfId="0" applyFont="1" applyFill="1">
      <alignment vertical="center"/>
    </xf>
    <xf numFmtId="0" fontId="186" fillId="35" borderId="3" xfId="0" applyFont="1" applyFill="1" applyBorder="1" applyAlignment="1">
      <alignment horizontal="center" vertical="center"/>
    </xf>
    <xf numFmtId="165" fontId="101" fillId="42" borderId="1" xfId="0" applyNumberFormat="1" applyFont="1" applyFill="1" applyBorder="1">
      <alignment vertical="center"/>
    </xf>
    <xf numFmtId="0" fontId="146" fillId="25" borderId="0" xfId="0" applyFont="1" applyFill="1">
      <alignment vertical="center"/>
    </xf>
    <xf numFmtId="0" fontId="103" fillId="35" borderId="8" xfId="0" applyFont="1" applyFill="1" applyBorder="1" applyAlignment="1">
      <alignment horizontal="center" vertical="center"/>
    </xf>
    <xf numFmtId="0" fontId="0" fillId="35" borderId="38" xfId="0" applyFill="1" applyBorder="1">
      <alignment vertical="center"/>
    </xf>
    <xf numFmtId="0" fontId="0" fillId="35" borderId="39" xfId="0" applyFill="1" applyBorder="1">
      <alignment vertical="center"/>
    </xf>
    <xf numFmtId="0" fontId="0" fillId="35" borderId="40" xfId="0" applyFill="1" applyBorder="1">
      <alignment vertical="center"/>
    </xf>
    <xf numFmtId="0" fontId="120" fillId="35" borderId="0" xfId="0" applyFont="1" applyFill="1">
      <alignment vertical="center"/>
    </xf>
    <xf numFmtId="0" fontId="101" fillId="43" borderId="0" xfId="0" applyFont="1" applyFill="1" applyAlignment="1">
      <alignment horizontal="center" vertical="center"/>
    </xf>
    <xf numFmtId="0" fontId="101" fillId="43" borderId="0" xfId="0" applyFont="1" applyFill="1">
      <alignment vertical="center"/>
    </xf>
    <xf numFmtId="0" fontId="35" fillId="35" borderId="0" xfId="0" applyFont="1" applyFill="1">
      <alignment vertical="center"/>
    </xf>
    <xf numFmtId="0" fontId="0" fillId="35" borderId="19" xfId="0" applyFill="1" applyBorder="1">
      <alignment vertical="center"/>
    </xf>
    <xf numFmtId="0" fontId="0" fillId="35" borderId="20" xfId="0" applyFill="1" applyBorder="1">
      <alignment vertical="center"/>
    </xf>
    <xf numFmtId="0" fontId="0" fillId="35" borderId="21" xfId="0" applyFill="1" applyBorder="1">
      <alignment vertical="center"/>
    </xf>
    <xf numFmtId="0" fontId="169" fillId="35" borderId="0" xfId="0" applyFont="1" applyFill="1">
      <alignment vertical="center"/>
    </xf>
    <xf numFmtId="0" fontId="0" fillId="35" borderId="24" xfId="0" applyFill="1" applyBorder="1">
      <alignment vertical="center"/>
    </xf>
    <xf numFmtId="0" fontId="101" fillId="35" borderId="8" xfId="0" applyFont="1" applyFill="1" applyBorder="1" applyAlignment="1">
      <alignment horizontal="center" vertical="center"/>
    </xf>
    <xf numFmtId="0" fontId="47" fillId="37" borderId="0" xfId="0" applyFont="1" applyFill="1">
      <alignment vertical="center"/>
    </xf>
    <xf numFmtId="0" fontId="198" fillId="37" borderId="0" xfId="0" applyFont="1" applyFill="1" applyProtection="1">
      <alignment vertical="center"/>
      <protection hidden="1"/>
    </xf>
    <xf numFmtId="0" fontId="295" fillId="59" borderId="0" xfId="0" applyFont="1" applyFill="1">
      <alignment vertical="center"/>
    </xf>
    <xf numFmtId="0" fontId="324" fillId="59" borderId="0" xfId="0" applyFont="1" applyFill="1" applyAlignment="1">
      <alignment horizontal="center" vertical="center"/>
    </xf>
    <xf numFmtId="0" fontId="107" fillId="49" borderId="0" xfId="0" applyFont="1" applyFill="1" applyAlignment="1">
      <alignment horizontal="right" vertical="center"/>
    </xf>
    <xf numFmtId="0" fontId="478" fillId="49" borderId="0" xfId="0" applyFont="1" applyFill="1" applyAlignment="1">
      <alignment horizontal="right" vertical="center"/>
    </xf>
    <xf numFmtId="0" fontId="0" fillId="54" borderId="0" xfId="0" applyFill="1">
      <alignment vertical="center"/>
    </xf>
    <xf numFmtId="0" fontId="146" fillId="54" borderId="0" xfId="0" applyFont="1" applyFill="1" applyAlignment="1">
      <alignment horizontal="center"/>
    </xf>
    <xf numFmtId="0" fontId="0" fillId="35" borderId="14" xfId="0" applyFill="1" applyBorder="1">
      <alignment vertical="center"/>
    </xf>
    <xf numFmtId="0" fontId="0" fillId="35" borderId="15" xfId="0" applyFill="1" applyBorder="1">
      <alignment vertical="center"/>
    </xf>
    <xf numFmtId="0" fontId="436" fillId="35" borderId="13" xfId="0" applyFont="1" applyFill="1" applyBorder="1" applyAlignment="1"/>
    <xf numFmtId="0" fontId="370" fillId="35" borderId="14" xfId="0" applyFont="1" applyFill="1" applyBorder="1" applyAlignment="1"/>
    <xf numFmtId="0" fontId="370" fillId="35" borderId="33" xfId="0" applyFont="1" applyFill="1" applyBorder="1" applyAlignment="1"/>
    <xf numFmtId="0" fontId="479" fillId="54" borderId="0" xfId="0" applyFont="1" applyFill="1">
      <alignment vertical="center"/>
    </xf>
    <xf numFmtId="0" fontId="12" fillId="54" borderId="0" xfId="0" applyFont="1" applyFill="1" applyAlignment="1"/>
    <xf numFmtId="0" fontId="0" fillId="54" borderId="38" xfId="0" applyFill="1" applyBorder="1">
      <alignment vertical="center"/>
    </xf>
    <xf numFmtId="0" fontId="0" fillId="54" borderId="39" xfId="0" applyFill="1" applyBorder="1">
      <alignment vertical="center"/>
    </xf>
    <xf numFmtId="0" fontId="0" fillId="54" borderId="40" xfId="0" applyFill="1" applyBorder="1">
      <alignment vertical="center"/>
    </xf>
    <xf numFmtId="0" fontId="146" fillId="54" borderId="20" xfId="0" applyFont="1" applyFill="1" applyBorder="1" applyAlignment="1"/>
    <xf numFmtId="0" fontId="146" fillId="54" borderId="18" xfId="0" applyFont="1" applyFill="1" applyBorder="1" applyAlignment="1">
      <alignment horizontal="center"/>
    </xf>
    <xf numFmtId="0" fontId="146" fillId="54" borderId="19" xfId="0" applyFont="1" applyFill="1" applyBorder="1" applyAlignment="1">
      <alignment horizontal="center"/>
    </xf>
    <xf numFmtId="0" fontId="59" fillId="54" borderId="0" xfId="0" applyFont="1" applyFill="1">
      <alignment vertical="center"/>
    </xf>
    <xf numFmtId="0" fontId="47" fillId="54" borderId="18" xfId="0" applyFont="1" applyFill="1" applyBorder="1">
      <alignment vertical="center"/>
    </xf>
    <xf numFmtId="0" fontId="270" fillId="54" borderId="0" xfId="0" applyFont="1" applyFill="1" applyAlignment="1"/>
    <xf numFmtId="0" fontId="47" fillId="54" borderId="0" xfId="0" applyFont="1" applyFill="1" applyAlignment="1"/>
    <xf numFmtId="0" fontId="47" fillId="54" borderId="0" xfId="0" applyFont="1" applyFill="1">
      <alignment vertical="center"/>
    </xf>
    <xf numFmtId="0" fontId="47" fillId="54" borderId="17" xfId="0" applyFont="1" applyFill="1" applyBorder="1" applyAlignment="1"/>
    <xf numFmtId="0" fontId="47" fillId="54" borderId="17" xfId="0" applyFont="1" applyFill="1" applyBorder="1">
      <alignment vertical="center"/>
    </xf>
    <xf numFmtId="0" fontId="47" fillId="54" borderId="20" xfId="0" applyFont="1" applyFill="1" applyBorder="1">
      <alignment vertical="center"/>
    </xf>
    <xf numFmtId="0" fontId="270" fillId="54" borderId="20" xfId="0" applyFont="1" applyFill="1" applyBorder="1" applyAlignment="1"/>
    <xf numFmtId="0" fontId="47" fillId="54" borderId="21" xfId="0" applyFont="1" applyFill="1" applyBorder="1">
      <alignment vertical="center"/>
    </xf>
    <xf numFmtId="0" fontId="103" fillId="10" borderId="13" xfId="0" applyFont="1" applyFill="1" applyBorder="1" applyAlignment="1" applyProtection="1">
      <alignment horizontal="right"/>
      <protection locked="0"/>
    </xf>
    <xf numFmtId="0" fontId="103" fillId="10" borderId="15" xfId="0" applyFont="1" applyFill="1" applyBorder="1" applyAlignment="1"/>
    <xf numFmtId="0" fontId="155" fillId="10" borderId="14" xfId="0" applyFont="1" applyFill="1" applyBorder="1" applyAlignment="1" applyProtection="1">
      <alignment horizontal="left" vertical="center"/>
      <protection locked="0"/>
    </xf>
    <xf numFmtId="0" fontId="155" fillId="10" borderId="15" xfId="0" applyFont="1" applyFill="1" applyBorder="1">
      <alignment vertical="center"/>
    </xf>
    <xf numFmtId="0" fontId="155" fillId="10" borderId="13" xfId="0" applyFont="1" applyFill="1" applyBorder="1" applyAlignment="1">
      <alignment horizontal="right" vertical="center"/>
    </xf>
    <xf numFmtId="0" fontId="271" fillId="54" borderId="0" xfId="0" applyFont="1" applyFill="1">
      <alignment vertical="center"/>
    </xf>
    <xf numFmtId="0" fontId="146" fillId="54" borderId="0" xfId="0" applyFont="1" applyFill="1">
      <alignment vertical="center"/>
    </xf>
    <xf numFmtId="0" fontId="435" fillId="54" borderId="39" xfId="0" applyFont="1" applyFill="1" applyBorder="1">
      <alignment vertical="center"/>
    </xf>
    <xf numFmtId="0" fontId="480" fillId="54" borderId="0" xfId="0" applyFont="1" applyFill="1">
      <alignment vertical="center"/>
    </xf>
    <xf numFmtId="0" fontId="103" fillId="33" borderId="15" xfId="0" applyFont="1" applyFill="1" applyBorder="1" applyAlignment="1"/>
    <xf numFmtId="0" fontId="103" fillId="33" borderId="13" xfId="0" applyFont="1" applyFill="1" applyBorder="1" applyAlignment="1"/>
    <xf numFmtId="0" fontId="12" fillId="51" borderId="1" xfId="0" applyFont="1" applyFill="1" applyBorder="1" applyAlignment="1" applyProtection="1">
      <protection locked="0"/>
    </xf>
    <xf numFmtId="0" fontId="12" fillId="51" borderId="3" xfId="0" applyFont="1" applyFill="1" applyBorder="1" applyAlignment="1"/>
    <xf numFmtId="0" fontId="473" fillId="59" borderId="0" xfId="0" applyFont="1" applyFill="1">
      <alignment vertical="center"/>
    </xf>
    <xf numFmtId="0" fontId="146" fillId="54" borderId="20" xfId="0" applyFont="1" applyFill="1" applyBorder="1" applyAlignment="1">
      <alignment horizontal="center"/>
    </xf>
    <xf numFmtId="0" fontId="386" fillId="32" borderId="1" xfId="0" applyFont="1" applyFill="1" applyBorder="1" applyAlignment="1"/>
    <xf numFmtId="0" fontId="386" fillId="32" borderId="2" xfId="0" applyFont="1" applyFill="1" applyBorder="1" applyAlignment="1"/>
    <xf numFmtId="0" fontId="386" fillId="32" borderId="3" xfId="0" applyFont="1" applyFill="1" applyBorder="1" applyAlignment="1"/>
    <xf numFmtId="0" fontId="452" fillId="32" borderId="2" xfId="0" applyFont="1" applyFill="1" applyBorder="1">
      <alignment vertical="center"/>
    </xf>
    <xf numFmtId="0" fontId="452" fillId="32" borderId="3" xfId="0" applyFont="1" applyFill="1" applyBorder="1">
      <alignment vertical="center"/>
    </xf>
    <xf numFmtId="0" fontId="0" fillId="78" borderId="0" xfId="0" applyFill="1" applyAlignment="1"/>
    <xf numFmtId="0" fontId="0" fillId="78" borderId="0" xfId="0" applyFill="1" applyAlignment="1">
      <alignment horizontal="center"/>
    </xf>
    <xf numFmtId="0" fontId="59" fillId="78" borderId="0" xfId="0" applyFont="1" applyFill="1" applyAlignment="1">
      <alignment horizontal="center"/>
    </xf>
    <xf numFmtId="0" fontId="3" fillId="78" borderId="0" xfId="0" applyFont="1" applyFill="1" applyAlignment="1">
      <alignment horizontal="center" vertical="center"/>
    </xf>
    <xf numFmtId="0" fontId="59" fillId="78" borderId="0" xfId="0" applyFont="1" applyFill="1" applyAlignment="1"/>
    <xf numFmtId="0" fontId="0" fillId="78" borderId="0" xfId="0" applyFill="1" applyAlignment="1">
      <alignment horizontal="center" vertical="center"/>
    </xf>
    <xf numFmtId="0" fontId="12" fillId="32" borderId="3" xfId="0" applyFont="1" applyFill="1" applyBorder="1" applyAlignment="1"/>
    <xf numFmtId="0" fontId="489" fillId="32" borderId="0" xfId="0" applyFont="1" applyFill="1">
      <alignment vertical="center"/>
    </xf>
    <xf numFmtId="4" fontId="490" fillId="32" borderId="1" xfId="7" applyNumberFormat="1" applyFont="1" applyFill="1" applyBorder="1"/>
    <xf numFmtId="4" fontId="117" fillId="32" borderId="2" xfId="7" applyNumberFormat="1" applyFill="1" applyBorder="1"/>
    <xf numFmtId="4" fontId="117" fillId="32" borderId="3" xfId="7" applyNumberFormat="1" applyFill="1" applyBorder="1"/>
    <xf numFmtId="0" fontId="122" fillId="32" borderId="0" xfId="0" applyFont="1" applyFill="1" applyAlignment="1">
      <alignment horizontal="center"/>
    </xf>
    <xf numFmtId="0" fontId="111" fillId="32" borderId="0" xfId="0" applyFont="1" applyFill="1" applyAlignment="1">
      <alignment horizontal="right"/>
    </xf>
    <xf numFmtId="0" fontId="47" fillId="32" borderId="20" xfId="0" applyFont="1" applyFill="1" applyBorder="1">
      <alignment vertical="center"/>
    </xf>
    <xf numFmtId="0" fontId="47" fillId="32" borderId="21" xfId="0" applyFont="1" applyFill="1" applyBorder="1">
      <alignment vertical="center"/>
    </xf>
    <xf numFmtId="0" fontId="409" fillId="32" borderId="1" xfId="0" applyFont="1" applyFill="1" applyBorder="1" applyAlignment="1"/>
    <xf numFmtId="0" fontId="177" fillId="37" borderId="0" xfId="0" applyFont="1" applyFill="1">
      <alignment vertical="center"/>
    </xf>
    <xf numFmtId="0" fontId="67" fillId="32" borderId="14" xfId="0" applyFont="1" applyFill="1" applyBorder="1" applyAlignment="1"/>
    <xf numFmtId="166" fontId="65" fillId="32" borderId="14" xfId="0" applyNumberFormat="1" applyFont="1" applyFill="1" applyBorder="1" applyAlignment="1"/>
    <xf numFmtId="1" fontId="65" fillId="33" borderId="14" xfId="0" applyNumberFormat="1" applyFont="1" applyFill="1" applyBorder="1" applyAlignment="1"/>
    <xf numFmtId="1" fontId="65" fillId="32" borderId="14" xfId="0" applyNumberFormat="1" applyFont="1" applyFill="1" applyBorder="1" applyAlignment="1"/>
    <xf numFmtId="1" fontId="65" fillId="32" borderId="34" xfId="0" applyNumberFormat="1" applyFont="1" applyFill="1" applyBorder="1" applyAlignment="1"/>
    <xf numFmtId="0" fontId="59" fillId="32" borderId="37" xfId="0" applyFont="1" applyFill="1" applyBorder="1" applyAlignment="1">
      <alignment horizontal="center" vertical="center"/>
    </xf>
    <xf numFmtId="0" fontId="35" fillId="32" borderId="37" xfId="0" applyFont="1" applyFill="1" applyBorder="1" applyAlignment="1">
      <alignment horizontal="center" vertical="center"/>
    </xf>
    <xf numFmtId="0" fontId="35" fillId="34" borderId="37" xfId="0" applyFont="1" applyFill="1" applyBorder="1" applyAlignment="1">
      <alignment horizontal="center" vertical="center"/>
    </xf>
    <xf numFmtId="0" fontId="35" fillId="39" borderId="37" xfId="0" applyFont="1" applyFill="1" applyBorder="1" applyAlignment="1">
      <alignment horizontal="center" vertical="center"/>
    </xf>
    <xf numFmtId="16" fontId="0" fillId="49" borderId="59" xfId="0" applyNumberFormat="1" applyFill="1" applyBorder="1" applyAlignment="1">
      <alignment horizontal="center"/>
    </xf>
    <xf numFmtId="16" fontId="0" fillId="49" borderId="60" xfId="0" applyNumberFormat="1" applyFill="1" applyBorder="1" applyAlignment="1">
      <alignment horizontal="center"/>
    </xf>
    <xf numFmtId="16" fontId="0" fillId="49" borderId="61" xfId="0" applyNumberFormat="1" applyFill="1" applyBorder="1" applyAlignment="1">
      <alignment horizontal="center"/>
    </xf>
    <xf numFmtId="16" fontId="0" fillId="55" borderId="59" xfId="0" applyNumberFormat="1" applyFill="1" applyBorder="1" applyAlignment="1">
      <alignment horizontal="center"/>
    </xf>
    <xf numFmtId="16" fontId="0" fillId="55" borderId="60" xfId="0" applyNumberFormat="1" applyFill="1" applyBorder="1" applyAlignment="1">
      <alignment horizontal="center"/>
    </xf>
    <xf numFmtId="16" fontId="0" fillId="55" borderId="61" xfId="0" applyNumberFormat="1" applyFill="1" applyBorder="1" applyAlignment="1">
      <alignment horizontal="center"/>
    </xf>
    <xf numFmtId="16" fontId="0" fillId="51" borderId="59" xfId="0" applyNumberFormat="1" applyFill="1" applyBorder="1" applyAlignment="1">
      <alignment horizontal="center"/>
    </xf>
    <xf numFmtId="16" fontId="0" fillId="51" borderId="60" xfId="0" applyNumberFormat="1" applyFill="1" applyBorder="1" applyAlignment="1">
      <alignment horizontal="center"/>
    </xf>
    <xf numFmtId="16" fontId="0" fillId="51" borderId="61" xfId="0" applyNumberFormat="1" applyFill="1" applyBorder="1" applyAlignment="1">
      <alignment horizontal="center"/>
    </xf>
    <xf numFmtId="0" fontId="0" fillId="32" borderId="52" xfId="0" applyFill="1" applyBorder="1" applyAlignment="1">
      <alignment horizontal="center"/>
    </xf>
    <xf numFmtId="9" fontId="0" fillId="32" borderId="52" xfId="0" applyNumberFormat="1" applyFill="1" applyBorder="1" applyAlignment="1">
      <alignment horizontal="center"/>
    </xf>
    <xf numFmtId="2" fontId="0" fillId="72" borderId="52" xfId="0" applyNumberFormat="1" applyFill="1" applyBorder="1" applyAlignment="1">
      <alignment horizontal="center"/>
    </xf>
    <xf numFmtId="0" fontId="49" fillId="43" borderId="52" xfId="0" applyFont="1" applyFill="1" applyBorder="1" applyAlignment="1">
      <alignment horizontal="center"/>
    </xf>
    <xf numFmtId="0" fontId="49" fillId="43" borderId="17" xfId="0" applyFont="1" applyFill="1" applyBorder="1" applyAlignment="1">
      <alignment horizontal="center"/>
    </xf>
    <xf numFmtId="1" fontId="0" fillId="36" borderId="52" xfId="0" applyNumberFormat="1" applyFill="1" applyBorder="1" applyAlignment="1">
      <alignment horizontal="center"/>
    </xf>
    <xf numFmtId="2" fontId="0" fillId="36" borderId="52" xfId="0" applyNumberFormat="1" applyFill="1" applyBorder="1" applyAlignment="1">
      <alignment horizontal="center"/>
    </xf>
    <xf numFmtId="0" fontId="49" fillId="49" borderId="52" xfId="0" applyFont="1" applyFill="1" applyBorder="1" applyAlignment="1">
      <alignment horizontal="center"/>
    </xf>
    <xf numFmtId="2" fontId="49" fillId="49" borderId="52" xfId="0" applyNumberFormat="1" applyFont="1" applyFill="1" applyBorder="1" applyAlignment="1">
      <alignment horizontal="center"/>
    </xf>
    <xf numFmtId="2" fontId="0" fillId="49" borderId="52" xfId="0" applyNumberFormat="1" applyFill="1" applyBorder="1" applyAlignment="1">
      <alignment horizontal="center"/>
    </xf>
    <xf numFmtId="0" fontId="49" fillId="49" borderId="62" xfId="0" applyFont="1" applyFill="1" applyBorder="1" applyAlignment="1">
      <alignment horizontal="center"/>
    </xf>
    <xf numFmtId="0" fontId="49" fillId="43" borderId="62" xfId="0" applyFont="1" applyFill="1" applyBorder="1" applyAlignment="1">
      <alignment horizontal="center"/>
    </xf>
    <xf numFmtId="2" fontId="0" fillId="43" borderId="52" xfId="0" applyNumberFormat="1" applyFill="1" applyBorder="1" applyAlignment="1">
      <alignment horizontal="center"/>
    </xf>
    <xf numFmtId="2" fontId="0" fillId="36" borderId="62" xfId="0" applyNumberFormat="1" applyFill="1" applyBorder="1" applyAlignment="1">
      <alignment horizontal="center"/>
    </xf>
    <xf numFmtId="2" fontId="0" fillId="72" borderId="62" xfId="0" applyNumberFormat="1" applyFill="1" applyBorder="1" applyAlignment="1">
      <alignment horizontal="center"/>
    </xf>
    <xf numFmtId="0" fontId="498" fillId="49" borderId="62" xfId="0" applyFont="1" applyFill="1" applyBorder="1" applyAlignment="1">
      <alignment horizontal="center" vertical="center" wrapText="1"/>
    </xf>
    <xf numFmtId="0" fontId="498" fillId="43" borderId="62" xfId="0" applyFont="1" applyFill="1" applyBorder="1" applyAlignment="1">
      <alignment horizontal="center" vertical="center" wrapText="1"/>
    </xf>
    <xf numFmtId="0" fontId="18" fillId="36" borderId="62" xfId="0" applyFont="1" applyFill="1" applyBorder="1" applyAlignment="1">
      <alignment horizontal="center" vertical="center" wrapText="1"/>
    </xf>
    <xf numFmtId="0" fontId="18" fillId="72" borderId="62" xfId="0" applyFont="1" applyFill="1" applyBorder="1" applyAlignment="1">
      <alignment horizontal="center" vertical="center" wrapText="1"/>
    </xf>
    <xf numFmtId="0" fontId="118" fillId="50" borderId="62" xfId="0" applyFont="1" applyFill="1" applyBorder="1" applyAlignment="1">
      <alignment horizontal="center" vertical="center"/>
    </xf>
    <xf numFmtId="0" fontId="59" fillId="32" borderId="52" xfId="0" applyFont="1" applyFill="1" applyBorder="1" applyAlignment="1">
      <alignment horizontal="center"/>
    </xf>
    <xf numFmtId="0" fontId="0" fillId="32" borderId="39" xfId="0" applyFill="1" applyBorder="1" applyAlignment="1">
      <alignment horizontal="center"/>
    </xf>
    <xf numFmtId="0" fontId="156" fillId="43" borderId="8" xfId="0" applyFont="1" applyFill="1" applyBorder="1" applyAlignment="1">
      <alignment horizontal="center" vertical="center"/>
    </xf>
    <xf numFmtId="0" fontId="506" fillId="79" borderId="8" xfId="0" applyFont="1" applyFill="1" applyBorder="1" applyAlignment="1"/>
    <xf numFmtId="0" fontId="506" fillId="64" borderId="8" xfId="0" applyFont="1" applyFill="1" applyBorder="1" applyAlignment="1"/>
    <xf numFmtId="0" fontId="506" fillId="72" borderId="8" xfId="0" applyFont="1" applyFill="1" applyBorder="1" applyAlignment="1"/>
    <xf numFmtId="0" fontId="506" fillId="43" borderId="8" xfId="0" applyFont="1" applyFill="1" applyBorder="1" applyAlignment="1"/>
    <xf numFmtId="0" fontId="507" fillId="43" borderId="8" xfId="0" applyFont="1" applyFill="1" applyBorder="1" applyAlignment="1"/>
    <xf numFmtId="0" fontId="506" fillId="55" borderId="8" xfId="0" applyFont="1" applyFill="1" applyBorder="1" applyAlignment="1"/>
    <xf numFmtId="0" fontId="506" fillId="49" borderId="8" xfId="0" applyFont="1" applyFill="1" applyBorder="1" applyAlignment="1"/>
    <xf numFmtId="0" fontId="0" fillId="54" borderId="0" xfId="0" applyFill="1" applyAlignment="1"/>
    <xf numFmtId="0" fontId="0" fillId="54" borderId="0" xfId="0" applyFill="1" applyAlignment="1">
      <alignment horizontal="center"/>
    </xf>
    <xf numFmtId="0" fontId="54" fillId="54" borderId="0" xfId="0" applyFont="1" applyFill="1" applyAlignment="1"/>
    <xf numFmtId="182" fontId="117" fillId="54" borderId="0" xfId="0" applyNumberFormat="1" applyFont="1" applyFill="1" applyAlignment="1">
      <alignment horizontal="center"/>
    </xf>
    <xf numFmtId="0" fontId="508" fillId="54" borderId="0" xfId="0" applyFont="1" applyFill="1" applyAlignment="1"/>
    <xf numFmtId="0" fontId="130" fillId="54" borderId="0" xfId="0" applyFont="1" applyFill="1" applyAlignment="1">
      <alignment horizontal="center"/>
    </xf>
    <xf numFmtId="0" fontId="496" fillId="54" borderId="0" xfId="0" applyFont="1" applyFill="1" applyAlignment="1">
      <alignment horizontal="center"/>
    </xf>
    <xf numFmtId="0" fontId="35" fillId="54" borderId="0" xfId="0" applyFont="1" applyFill="1" applyAlignment="1">
      <alignment horizontal="center"/>
    </xf>
    <xf numFmtId="3" fontId="0" fillId="54" borderId="0" xfId="0" applyNumberFormat="1" applyFill="1" applyAlignment="1">
      <alignment horizontal="center"/>
    </xf>
    <xf numFmtId="0" fontId="118" fillId="54" borderId="0" xfId="0" applyFont="1" applyFill="1" applyAlignment="1">
      <alignment horizontal="center"/>
    </xf>
    <xf numFmtId="0" fontId="498" fillId="54" borderId="0" xfId="0" applyFont="1" applyFill="1" applyAlignment="1">
      <alignment horizontal="center"/>
    </xf>
    <xf numFmtId="0" fontId="18" fillId="54" borderId="0" xfId="0" applyFont="1" applyFill="1" applyAlignment="1">
      <alignment horizontal="center" wrapText="1"/>
    </xf>
    <xf numFmtId="183" fontId="499" fillId="54" borderId="0" xfId="0" applyNumberFormat="1" applyFont="1" applyFill="1" applyAlignment="1">
      <alignment horizontal="center"/>
    </xf>
    <xf numFmtId="4" fontId="0" fillId="54" borderId="0" xfId="0" applyNumberFormat="1" applyFill="1" applyAlignment="1"/>
    <xf numFmtId="2" fontId="0" fillId="54" borderId="0" xfId="0" applyNumberFormat="1" applyFill="1" applyAlignment="1"/>
    <xf numFmtId="183" fontId="0" fillId="54" borderId="0" xfId="0" applyNumberFormat="1" applyFill="1" applyAlignment="1"/>
    <xf numFmtId="0" fontId="59" fillId="54" borderId="0" xfId="0" applyFont="1" applyFill="1" applyAlignment="1"/>
    <xf numFmtId="4" fontId="0" fillId="54" borderId="0" xfId="0" applyNumberFormat="1" applyFill="1" applyAlignment="1">
      <alignment horizontal="center"/>
    </xf>
    <xf numFmtId="9" fontId="0" fillId="32" borderId="0" xfId="0" applyNumberFormat="1" applyFill="1" applyAlignment="1">
      <alignment horizontal="center"/>
    </xf>
    <xf numFmtId="0" fontId="6" fillId="16" borderId="18" xfId="0" applyFont="1" applyFill="1" applyBorder="1" applyAlignment="1">
      <alignment horizontal="left" vertical="center"/>
    </xf>
    <xf numFmtId="0" fontId="497" fillId="16" borderId="0" xfId="0" applyFont="1" applyFill="1" applyAlignment="1">
      <alignment horizontal="center"/>
    </xf>
    <xf numFmtId="0" fontId="499" fillId="16" borderId="0" xfId="0" applyFont="1" applyFill="1" applyAlignment="1">
      <alignment horizontal="left"/>
    </xf>
    <xf numFmtId="0" fontId="499" fillId="16" borderId="0" xfId="0" applyFont="1" applyFill="1" applyAlignment="1">
      <alignment horizontal="center"/>
    </xf>
    <xf numFmtId="0" fontId="503" fillId="16" borderId="0" xfId="0" applyFont="1" applyFill="1" applyAlignment="1">
      <alignment horizontal="center"/>
    </xf>
    <xf numFmtId="2" fontId="501" fillId="16" borderId="0" xfId="0" applyNumberFormat="1" applyFont="1" applyFill="1" applyAlignment="1">
      <alignment horizontal="center"/>
    </xf>
    <xf numFmtId="184" fontId="504" fillId="16" borderId="17" xfId="0" applyNumberFormat="1" applyFont="1" applyFill="1" applyBorder="1" applyAlignment="1">
      <alignment horizontal="center" vertical="center"/>
    </xf>
    <xf numFmtId="0" fontId="6" fillId="25" borderId="18" xfId="0" applyFont="1" applyFill="1" applyBorder="1" applyAlignment="1">
      <alignment horizontal="left" vertical="center"/>
    </xf>
    <xf numFmtId="0" fontId="497" fillId="25" borderId="0" xfId="0" applyFont="1" applyFill="1" applyAlignment="1">
      <alignment horizontal="center"/>
    </xf>
    <xf numFmtId="0" fontId="499" fillId="25" borderId="0" xfId="0" applyFont="1" applyFill="1" applyAlignment="1">
      <alignment horizontal="left"/>
    </xf>
    <xf numFmtId="0" fontId="499" fillId="25" borderId="0" xfId="0" applyFont="1" applyFill="1" applyAlignment="1">
      <alignment horizontal="center"/>
    </xf>
    <xf numFmtId="0" fontId="503" fillId="25" borderId="0" xfId="0" applyFont="1" applyFill="1" applyAlignment="1">
      <alignment horizontal="center"/>
    </xf>
    <xf numFmtId="2" fontId="501" fillId="25" borderId="0" xfId="0" applyNumberFormat="1" applyFont="1" applyFill="1" applyAlignment="1">
      <alignment horizontal="center"/>
    </xf>
    <xf numFmtId="184" fontId="504" fillId="25" borderId="17" xfId="0" applyNumberFormat="1" applyFont="1" applyFill="1" applyBorder="1" applyAlignment="1">
      <alignment horizontal="center"/>
    </xf>
    <xf numFmtId="0" fontId="6" fillId="28" borderId="18" xfId="0" applyFont="1" applyFill="1" applyBorder="1" applyAlignment="1">
      <alignment horizontal="left" vertical="center"/>
    </xf>
    <xf numFmtId="0" fontId="497" fillId="28" borderId="0" xfId="0" applyFont="1" applyFill="1" applyAlignment="1">
      <alignment horizontal="center"/>
    </xf>
    <xf numFmtId="0" fontId="499" fillId="28" borderId="0" xfId="0" applyFont="1" applyFill="1" applyAlignment="1">
      <alignment horizontal="left"/>
    </xf>
    <xf numFmtId="0" fontId="499" fillId="28" borderId="0" xfId="0" applyFont="1" applyFill="1" applyAlignment="1">
      <alignment horizontal="center"/>
    </xf>
    <xf numFmtId="0" fontId="503" fillId="28" borderId="0" xfId="0" applyFont="1" applyFill="1" applyAlignment="1">
      <alignment horizontal="center"/>
    </xf>
    <xf numFmtId="2" fontId="501" fillId="28" borderId="0" xfId="0" applyNumberFormat="1" applyFont="1" applyFill="1" applyAlignment="1">
      <alignment horizontal="center"/>
    </xf>
    <xf numFmtId="184" fontId="504" fillId="28" borderId="17" xfId="0" applyNumberFormat="1" applyFont="1" applyFill="1" applyBorder="1" applyAlignment="1">
      <alignment horizontal="center"/>
    </xf>
    <xf numFmtId="0" fontId="6" fillId="39" borderId="18" xfId="0" applyFont="1" applyFill="1" applyBorder="1" applyAlignment="1">
      <alignment horizontal="left" vertical="center"/>
    </xf>
    <xf numFmtId="0" fontId="497" fillId="39" borderId="0" xfId="0" applyFont="1" applyFill="1" applyAlignment="1">
      <alignment horizontal="center"/>
    </xf>
    <xf numFmtId="0" fontId="499" fillId="39" borderId="0" xfId="0" applyFont="1" applyFill="1" applyAlignment="1">
      <alignment horizontal="left"/>
    </xf>
    <xf numFmtId="0" fontId="499" fillId="39" borderId="0" xfId="0" applyFont="1" applyFill="1" applyAlignment="1">
      <alignment horizontal="center"/>
    </xf>
    <xf numFmtId="0" fontId="503" fillId="39" borderId="0" xfId="0" applyFont="1" applyFill="1" applyAlignment="1">
      <alignment horizontal="center"/>
    </xf>
    <xf numFmtId="2" fontId="501" fillId="39" borderId="0" xfId="0" applyNumberFormat="1" applyFont="1" applyFill="1" applyAlignment="1">
      <alignment horizontal="center"/>
    </xf>
    <xf numFmtId="185" fontId="502" fillId="39" borderId="17" xfId="0" applyNumberFormat="1" applyFont="1" applyFill="1" applyBorder="1" applyAlignment="1">
      <alignment horizontal="center"/>
    </xf>
    <xf numFmtId="185" fontId="505" fillId="28" borderId="17" xfId="0" applyNumberFormat="1" applyFont="1" applyFill="1" applyBorder="1" applyAlignment="1">
      <alignment horizontal="center"/>
    </xf>
    <xf numFmtId="0" fontId="6" fillId="25" borderId="19" xfId="0" applyFont="1" applyFill="1" applyBorder="1" applyAlignment="1">
      <alignment horizontal="left" vertical="center"/>
    </xf>
    <xf numFmtId="0" fontId="497" fillId="25" borderId="20" xfId="0" applyFont="1" applyFill="1" applyBorder="1" applyAlignment="1">
      <alignment horizontal="center"/>
    </xf>
    <xf numFmtId="0" fontId="499" fillId="25" borderId="20" xfId="0" applyFont="1" applyFill="1" applyBorder="1" applyAlignment="1">
      <alignment horizontal="left"/>
    </xf>
    <xf numFmtId="0" fontId="499" fillId="25" borderId="20" xfId="0" applyFont="1" applyFill="1" applyBorder="1" applyAlignment="1">
      <alignment horizontal="center"/>
    </xf>
    <xf numFmtId="0" fontId="503" fillId="25" borderId="20" xfId="0" applyFont="1" applyFill="1" applyBorder="1" applyAlignment="1">
      <alignment horizontal="center"/>
    </xf>
    <xf numFmtId="2" fontId="501" fillId="25" borderId="20" xfId="0" applyNumberFormat="1" applyFont="1" applyFill="1" applyBorder="1" applyAlignment="1">
      <alignment horizontal="center"/>
    </xf>
    <xf numFmtId="185" fontId="505" fillId="25" borderId="21" xfId="0" applyNumberFormat="1" applyFont="1" applyFill="1" applyBorder="1" applyAlignment="1">
      <alignment horizontal="center"/>
    </xf>
    <xf numFmtId="0" fontId="498" fillId="54" borderId="0" xfId="0" applyFont="1" applyFill="1" applyAlignment="1">
      <alignment horizontal="center" vertical="center" wrapText="1"/>
    </xf>
    <xf numFmtId="0" fontId="18" fillId="54" borderId="0" xfId="0" applyFont="1" applyFill="1" applyAlignment="1">
      <alignment horizontal="center" vertical="center" wrapText="1"/>
    </xf>
    <xf numFmtId="0" fontId="6" fillId="54" borderId="0" xfId="0" applyFont="1" applyFill="1" applyAlignment="1">
      <alignment horizontal="center" vertical="center"/>
    </xf>
    <xf numFmtId="0" fontId="479" fillId="54" borderId="0" xfId="0" applyFont="1" applyFill="1" applyAlignment="1"/>
    <xf numFmtId="0" fontId="103" fillId="54" borderId="0" xfId="0" applyFont="1" applyFill="1" applyAlignment="1">
      <alignment vertical="top"/>
    </xf>
    <xf numFmtId="0" fontId="435" fillId="54" borderId="8" xfId="0" applyFont="1" applyFill="1" applyBorder="1" applyAlignment="1">
      <alignment horizontal="center" vertical="center"/>
    </xf>
    <xf numFmtId="0" fontId="343" fillId="72" borderId="8" xfId="0" applyFont="1" applyFill="1" applyBorder="1" applyAlignment="1">
      <alignment horizontal="center" vertical="center"/>
    </xf>
    <xf numFmtId="0" fontId="162" fillId="54" borderId="0" xfId="0" applyFont="1" applyFill="1">
      <alignment vertical="center"/>
    </xf>
    <xf numFmtId="0" fontId="1" fillId="54" borderId="0" xfId="0" applyFont="1" applyFill="1" applyAlignment="1">
      <alignment horizontal="right" vertical="center"/>
    </xf>
    <xf numFmtId="0" fontId="512" fillId="54" borderId="0" xfId="0" applyFont="1" applyFill="1" applyAlignment="1">
      <alignment horizontal="center"/>
    </xf>
    <xf numFmtId="185" fontId="512" fillId="54" borderId="0" xfId="0" applyNumberFormat="1" applyFont="1" applyFill="1" applyAlignment="1"/>
    <xf numFmtId="0" fontId="137" fillId="66" borderId="62" xfId="0" applyFont="1" applyFill="1" applyBorder="1" applyAlignment="1" applyProtection="1">
      <alignment horizontal="center"/>
      <protection locked="0"/>
    </xf>
    <xf numFmtId="0" fontId="137" fillId="66" borderId="52" xfId="0" applyFont="1" applyFill="1" applyBorder="1" applyAlignment="1" applyProtection="1">
      <alignment horizontal="center"/>
      <protection locked="0"/>
    </xf>
    <xf numFmtId="185" fontId="295" fillId="66" borderId="8" xfId="0" applyNumberFormat="1" applyFont="1" applyFill="1" applyBorder="1" applyAlignment="1" applyProtection="1">
      <alignment horizontal="center" vertical="center"/>
      <protection locked="0"/>
    </xf>
    <xf numFmtId="3" fontId="0" fillId="66" borderId="18" xfId="0" applyNumberFormat="1" applyFill="1" applyBorder="1" applyAlignment="1" applyProtection="1">
      <alignment horizontal="center"/>
      <protection locked="0"/>
    </xf>
    <xf numFmtId="0" fontId="0" fillId="66" borderId="17" xfId="0" applyFill="1" applyBorder="1" applyAlignment="1" applyProtection="1">
      <alignment horizontal="center"/>
      <protection locked="0"/>
    </xf>
    <xf numFmtId="0" fontId="0" fillId="66" borderId="0" xfId="0" applyFill="1" applyAlignment="1" applyProtection="1">
      <alignment horizontal="center"/>
      <protection locked="0"/>
    </xf>
    <xf numFmtId="0" fontId="0" fillId="66" borderId="52" xfId="0" applyFill="1" applyBorder="1" applyAlignment="1" applyProtection="1">
      <alignment horizontal="center"/>
      <protection locked="0"/>
    </xf>
    <xf numFmtId="0" fontId="118" fillId="66" borderId="38" xfId="0" applyFont="1" applyFill="1" applyBorder="1" applyAlignment="1">
      <alignment horizontal="center" vertical="center"/>
    </xf>
    <xf numFmtId="0" fontId="137" fillId="66" borderId="52" xfId="0" applyFont="1" applyFill="1" applyBorder="1" applyAlignment="1">
      <alignment horizontal="center"/>
    </xf>
    <xf numFmtId="0" fontId="0" fillId="67" borderId="0" xfId="0" applyFill="1" applyAlignment="1"/>
    <xf numFmtId="1" fontId="0" fillId="67" borderId="0" xfId="0" applyNumberFormat="1" applyFill="1" applyAlignment="1"/>
    <xf numFmtId="0" fontId="0" fillId="66" borderId="13" xfId="0" applyFill="1" applyBorder="1" applyAlignment="1"/>
    <xf numFmtId="0" fontId="0" fillId="66" borderId="14" xfId="0" applyFill="1" applyBorder="1" applyAlignment="1"/>
    <xf numFmtId="0" fontId="59" fillId="66" borderId="14" xfId="0" applyFont="1" applyFill="1" applyBorder="1" applyAlignment="1"/>
    <xf numFmtId="0" fontId="59" fillId="66" borderId="15" xfId="0" applyFont="1" applyFill="1" applyBorder="1" applyAlignment="1"/>
    <xf numFmtId="0" fontId="35" fillId="67" borderId="0" xfId="0" applyFont="1" applyFill="1" applyAlignment="1"/>
    <xf numFmtId="0" fontId="0" fillId="66" borderId="15" xfId="0" applyFill="1" applyBorder="1" applyAlignment="1"/>
    <xf numFmtId="0" fontId="35" fillId="35" borderId="1" xfId="0" applyFont="1" applyFill="1" applyBorder="1" applyAlignment="1"/>
    <xf numFmtId="0" fontId="265" fillId="67" borderId="2" xfId="0" applyFont="1" applyFill="1" applyBorder="1" applyAlignment="1"/>
    <xf numFmtId="0" fontId="513" fillId="67" borderId="2" xfId="0" applyFont="1" applyFill="1" applyBorder="1" applyAlignment="1"/>
    <xf numFmtId="0" fontId="265" fillId="67" borderId="3" xfId="0" applyFont="1" applyFill="1" applyBorder="1" applyAlignment="1"/>
    <xf numFmtId="0" fontId="508" fillId="41" borderId="13" xfId="0" applyFont="1" applyFill="1" applyBorder="1" applyAlignment="1"/>
    <xf numFmtId="0" fontId="0" fillId="41" borderId="14" xfId="0" applyFill="1" applyBorder="1" applyAlignment="1"/>
    <xf numFmtId="0" fontId="0" fillId="41" borderId="15" xfId="0" applyFill="1" applyBorder="1" applyAlignment="1"/>
    <xf numFmtId="0" fontId="0" fillId="66" borderId="14" xfId="0" applyFill="1" applyBorder="1" applyAlignment="1" applyProtection="1">
      <protection locked="0"/>
    </xf>
    <xf numFmtId="1" fontId="0" fillId="66" borderId="14" xfId="0" applyNumberFormat="1" applyFill="1" applyBorder="1" applyAlignment="1" applyProtection="1">
      <protection locked="0"/>
    </xf>
    <xf numFmtId="0" fontId="0" fillId="72" borderId="0" xfId="0" applyFill="1" applyAlignment="1"/>
    <xf numFmtId="0" fontId="515" fillId="72" borderId="0" xfId="0" applyFont="1" applyFill="1" applyAlignment="1"/>
    <xf numFmtId="0" fontId="516" fillId="72" borderId="0" xfId="0" applyFont="1" applyFill="1" applyAlignment="1"/>
    <xf numFmtId="0" fontId="514" fillId="72" borderId="0" xfId="0" applyFont="1" applyFill="1" applyAlignment="1"/>
    <xf numFmtId="0" fontId="517" fillId="72" borderId="0" xfId="0" applyFont="1" applyFill="1" applyAlignment="1"/>
    <xf numFmtId="0" fontId="518" fillId="72" borderId="0" xfId="0" applyFont="1" applyFill="1" applyAlignment="1"/>
    <xf numFmtId="0" fontId="315" fillId="72" borderId="13" xfId="0" applyFont="1" applyFill="1" applyBorder="1" applyAlignment="1"/>
    <xf numFmtId="0" fontId="315" fillId="72" borderId="14" xfId="0" applyFont="1" applyFill="1" applyBorder="1" applyAlignment="1"/>
    <xf numFmtId="0" fontId="315" fillId="72" borderId="15" xfId="0" applyFont="1" applyFill="1" applyBorder="1" applyAlignment="1"/>
    <xf numFmtId="0" fontId="0" fillId="37" borderId="8" xfId="0" applyFill="1" applyBorder="1" applyAlignment="1"/>
    <xf numFmtId="0" fontId="101" fillId="72" borderId="0" xfId="0" applyFont="1" applyFill="1" applyAlignment="1"/>
    <xf numFmtId="0" fontId="101" fillId="67" borderId="0" xfId="0" applyFont="1" applyFill="1" applyAlignment="1"/>
    <xf numFmtId="0" fontId="47" fillId="16" borderId="0" xfId="0" applyFont="1" applyFill="1">
      <alignment vertical="center"/>
    </xf>
    <xf numFmtId="0" fontId="93" fillId="16" borderId="0" xfId="0" applyFont="1" applyFill="1" applyAlignment="1">
      <alignment horizontal="center" vertical="center"/>
    </xf>
    <xf numFmtId="0" fontId="0" fillId="53" borderId="0" xfId="0" applyFill="1">
      <alignment vertical="center"/>
    </xf>
    <xf numFmtId="0" fontId="150" fillId="51" borderId="0" xfId="0" applyFont="1" applyFill="1">
      <alignment vertical="center"/>
    </xf>
    <xf numFmtId="0" fontId="270" fillId="51" borderId="0" xfId="0" applyFont="1" applyFill="1" applyAlignment="1"/>
    <xf numFmtId="178" fontId="0" fillId="51" borderId="0" xfId="0" applyNumberFormat="1" applyFill="1">
      <alignment vertical="center"/>
    </xf>
    <xf numFmtId="0" fontId="331" fillId="51" borderId="0" xfId="0" applyFont="1" applyFill="1" applyAlignment="1">
      <alignment horizontal="left"/>
    </xf>
    <xf numFmtId="0" fontId="521" fillId="51" borderId="0" xfId="0" applyFont="1" applyFill="1">
      <alignment vertical="center"/>
    </xf>
    <xf numFmtId="0" fontId="522" fillId="51" borderId="0" xfId="0" applyFont="1" applyFill="1" applyAlignment="1"/>
    <xf numFmtId="165" fontId="12" fillId="19" borderId="0" xfId="0" applyNumberFormat="1" applyFont="1" applyFill="1" applyAlignment="1">
      <alignment horizontal="right"/>
    </xf>
    <xf numFmtId="1" fontId="26" fillId="19" borderId="0" xfId="0" applyNumberFormat="1" applyFont="1" applyFill="1" applyAlignment="1">
      <alignment horizontal="right"/>
    </xf>
    <xf numFmtId="0" fontId="12" fillId="19" borderId="22" xfId="0" applyFont="1" applyFill="1" applyBorder="1" applyAlignment="1">
      <alignment horizontal="right"/>
    </xf>
    <xf numFmtId="0" fontId="47" fillId="19" borderId="23" xfId="0" applyFont="1" applyFill="1" applyBorder="1" applyAlignment="1"/>
    <xf numFmtId="0" fontId="47" fillId="19" borderId="24" xfId="0" applyFont="1" applyFill="1" applyBorder="1" applyAlignment="1"/>
    <xf numFmtId="0" fontId="12" fillId="19" borderId="25" xfId="0" applyFont="1" applyFill="1" applyBorder="1" applyAlignment="1">
      <alignment horizontal="right"/>
    </xf>
    <xf numFmtId="0" fontId="47" fillId="19" borderId="16" xfId="0" applyFont="1" applyFill="1" applyBorder="1" applyAlignment="1"/>
    <xf numFmtId="0" fontId="12" fillId="19" borderId="25" xfId="0" applyFont="1" applyFill="1" applyBorder="1" applyAlignment="1">
      <alignment horizontal="left"/>
    </xf>
    <xf numFmtId="0" fontId="33" fillId="19" borderId="0" xfId="0" applyFont="1" applyFill="1" applyAlignment="1"/>
    <xf numFmtId="0" fontId="31" fillId="37" borderId="0" xfId="0" applyFont="1" applyFill="1" applyAlignment="1">
      <alignment horizontal="right"/>
    </xf>
    <xf numFmtId="0" fontId="12" fillId="37" borderId="0" xfId="0" applyFont="1" applyFill="1" applyAlignment="1">
      <alignment horizontal="center"/>
    </xf>
    <xf numFmtId="0" fontId="150" fillId="16" borderId="0" xfId="0" applyFont="1" applyFill="1">
      <alignment vertical="center"/>
    </xf>
    <xf numFmtId="0" fontId="35" fillId="16" borderId="0" xfId="0" applyFont="1" applyFill="1" applyAlignment="1">
      <alignment horizontal="right" vertical="center"/>
    </xf>
    <xf numFmtId="0" fontId="443" fillId="10" borderId="37" xfId="0" applyFont="1" applyFill="1" applyBorder="1" applyAlignment="1" applyProtection="1">
      <alignment horizontal="center" vertical="center"/>
      <protection locked="0"/>
    </xf>
    <xf numFmtId="0" fontId="523" fillId="16" borderId="17" xfId="0" applyFont="1" applyFill="1" applyBorder="1">
      <alignment vertical="center"/>
    </xf>
    <xf numFmtId="0" fontId="0" fillId="51" borderId="25" xfId="0" applyFill="1" applyBorder="1">
      <alignment vertical="center"/>
    </xf>
    <xf numFmtId="0" fontId="0" fillId="51" borderId="16" xfId="0" applyFill="1" applyBorder="1">
      <alignment vertical="center"/>
    </xf>
    <xf numFmtId="0" fontId="175" fillId="51" borderId="0" xfId="0" applyFont="1" applyFill="1" applyAlignment="1"/>
    <xf numFmtId="0" fontId="43" fillId="51" borderId="0" xfId="0" applyFont="1" applyFill="1" applyAlignment="1">
      <alignment horizontal="right"/>
    </xf>
    <xf numFmtId="0" fontId="43" fillId="51" borderId="0" xfId="0" applyFont="1" applyFill="1" applyAlignment="1">
      <alignment horizontal="center"/>
    </xf>
    <xf numFmtId="0" fontId="0" fillId="51" borderId="26" xfId="0" applyFill="1" applyBorder="1">
      <alignment vertical="center"/>
    </xf>
    <xf numFmtId="0" fontId="0" fillId="51" borderId="27" xfId="0" applyFill="1" applyBorder="1">
      <alignment vertical="center"/>
    </xf>
    <xf numFmtId="0" fontId="0" fillId="51" borderId="28" xfId="0" applyFill="1" applyBorder="1">
      <alignment vertical="center"/>
    </xf>
    <xf numFmtId="0" fontId="377" fillId="56" borderId="0" xfId="0" applyFont="1" applyFill="1">
      <alignment vertical="center"/>
    </xf>
    <xf numFmtId="0" fontId="0" fillId="76" borderId="0" xfId="0" applyFill="1">
      <alignment vertical="center"/>
    </xf>
    <xf numFmtId="0" fontId="333" fillId="76" borderId="0" xfId="0" applyFont="1" applyFill="1" applyAlignment="1">
      <alignment horizontal="center" vertical="top"/>
    </xf>
    <xf numFmtId="0" fontId="98" fillId="76" borderId="0" xfId="0" applyFont="1" applyFill="1" applyAlignment="1">
      <alignment horizontal="center" vertical="center"/>
    </xf>
    <xf numFmtId="0" fontId="47" fillId="76" borderId="0" xfId="0" applyFont="1" applyFill="1">
      <alignment vertical="center"/>
    </xf>
    <xf numFmtId="0" fontId="47" fillId="53" borderId="0" xfId="0" applyFont="1" applyFill="1">
      <alignment vertical="center"/>
    </xf>
    <xf numFmtId="0" fontId="47" fillId="51" borderId="0" xfId="0" applyFont="1" applyFill="1">
      <alignment vertical="center"/>
    </xf>
    <xf numFmtId="0" fontId="525" fillId="51" borderId="0" xfId="0" applyFont="1" applyFill="1" applyAlignment="1">
      <alignment horizontal="left" vertical="center"/>
    </xf>
    <xf numFmtId="0" fontId="526" fillId="53" borderId="0" xfId="0" applyFont="1" applyFill="1">
      <alignment vertical="center"/>
    </xf>
    <xf numFmtId="0" fontId="361" fillId="29" borderId="0" xfId="0" applyFont="1" applyFill="1" applyAlignment="1">
      <alignment horizontal="right" vertical="center"/>
    </xf>
    <xf numFmtId="0" fontId="361" fillId="32" borderId="0" xfId="0" applyFont="1" applyFill="1" applyAlignment="1">
      <alignment horizontal="right" vertical="center"/>
    </xf>
    <xf numFmtId="0" fontId="361" fillId="32" borderId="0" xfId="0" applyFont="1" applyFill="1">
      <alignment vertical="center"/>
    </xf>
    <xf numFmtId="0" fontId="333" fillId="32" borderId="0" xfId="0" applyFont="1" applyFill="1" applyAlignment="1">
      <alignment horizontal="left" vertical="center"/>
    </xf>
    <xf numFmtId="0" fontId="333" fillId="32" borderId="0" xfId="0" applyFont="1" applyFill="1" applyAlignment="1">
      <alignment horizontal="center" vertical="top"/>
    </xf>
    <xf numFmtId="0" fontId="98" fillId="32" borderId="0" xfId="0" applyFont="1" applyFill="1" applyAlignment="1">
      <alignment horizontal="center" vertical="center"/>
    </xf>
    <xf numFmtId="0" fontId="80" fillId="37" borderId="0" xfId="0" applyFont="1" applyFill="1" applyAlignment="1">
      <alignment horizontal="right" vertical="center"/>
    </xf>
    <xf numFmtId="0" fontId="98" fillId="37" borderId="0" xfId="0" applyFont="1" applyFill="1" applyAlignment="1">
      <alignment horizontal="right" vertical="center"/>
    </xf>
    <xf numFmtId="0" fontId="333" fillId="76" borderId="0" xfId="0" applyFont="1" applyFill="1" applyAlignment="1">
      <alignment horizontal="right" vertical="top"/>
    </xf>
    <xf numFmtId="0" fontId="98" fillId="76" borderId="0" xfId="0" applyFont="1" applyFill="1" applyAlignment="1">
      <alignment horizontal="right" vertical="center"/>
    </xf>
    <xf numFmtId="0" fontId="333" fillId="76" borderId="0" xfId="0" applyFont="1" applyFill="1" applyAlignment="1">
      <alignment horizontal="center" vertical="top"/>
    </xf>
    <xf numFmtId="0" fontId="98" fillId="76" borderId="0" xfId="0" applyFont="1" applyFill="1" applyAlignment="1">
      <alignment horizontal="center" vertical="center"/>
    </xf>
    <xf numFmtId="0" fontId="333" fillId="76" borderId="0" xfId="0" applyFont="1" applyFill="1" applyAlignment="1">
      <alignment horizontal="right"/>
    </xf>
    <xf numFmtId="0" fontId="333" fillId="51" borderId="0" xfId="0" applyFont="1" applyFill="1" applyAlignment="1">
      <alignment horizontal="left" vertical="center"/>
    </xf>
    <xf numFmtId="0" fontId="333" fillId="51" borderId="0" xfId="0" applyFont="1" applyFill="1" applyAlignment="1">
      <alignment horizontal="right" vertical="top"/>
    </xf>
    <xf numFmtId="0" fontId="524" fillId="51" borderId="0" xfId="0" applyFont="1" applyFill="1" applyAlignment="1">
      <alignment horizontal="right" vertical="center"/>
    </xf>
    <xf numFmtId="0" fontId="9" fillId="67" borderId="0" xfId="0" applyFont="1" applyFill="1" applyAlignment="1">
      <alignment horizontal="right"/>
    </xf>
    <xf numFmtId="0" fontId="0" fillId="67" borderId="0" xfId="0" applyFill="1" applyAlignment="1">
      <alignment horizontal="right"/>
    </xf>
    <xf numFmtId="0" fontId="9" fillId="36" borderId="0" xfId="0" applyFont="1" applyFill="1" applyAlignment="1">
      <alignment horizontal="right"/>
    </xf>
    <xf numFmtId="0" fontId="0" fillId="36" borderId="0" xfId="0" applyFill="1" applyAlignment="1">
      <alignment horizontal="right"/>
    </xf>
    <xf numFmtId="186" fontId="509" fillId="25" borderId="19" xfId="0" applyNumberFormat="1" applyFont="1" applyFill="1" applyBorder="1" applyAlignment="1">
      <alignment horizontal="center"/>
    </xf>
    <xf numFmtId="186" fontId="509" fillId="25" borderId="20" xfId="0" applyNumberFormat="1" applyFont="1" applyFill="1" applyBorder="1" applyAlignment="1">
      <alignment horizontal="center"/>
    </xf>
    <xf numFmtId="186" fontId="509" fillId="25" borderId="21" xfId="0" applyNumberFormat="1" applyFont="1" applyFill="1" applyBorder="1" applyAlignment="1">
      <alignment horizontal="center"/>
    </xf>
    <xf numFmtId="0" fontId="120" fillId="49" borderId="38" xfId="0" applyFont="1" applyFill="1" applyBorder="1" applyAlignment="1">
      <alignment horizontal="center" vertical="center"/>
    </xf>
    <xf numFmtId="0" fontId="120" fillId="49" borderId="39" xfId="0" applyFont="1" applyFill="1" applyBorder="1" applyAlignment="1">
      <alignment horizontal="center" vertical="center"/>
    </xf>
    <xf numFmtId="0" fontId="120" fillId="49" borderId="40" xfId="0" applyFont="1" applyFill="1" applyBorder="1" applyAlignment="1">
      <alignment horizontal="center" vertical="center"/>
    </xf>
    <xf numFmtId="0" fontId="120" fillId="49" borderId="18" xfId="0" applyFont="1" applyFill="1" applyBorder="1" applyAlignment="1">
      <alignment horizontal="center" vertical="center"/>
    </xf>
    <xf numFmtId="0" fontId="120" fillId="49" borderId="0" xfId="0" applyFont="1" applyFill="1" applyAlignment="1">
      <alignment horizontal="center" vertical="center"/>
    </xf>
    <xf numFmtId="0" fontId="120" fillId="49" borderId="17" xfId="0" applyFont="1" applyFill="1" applyBorder="1" applyAlignment="1">
      <alignment horizontal="center" vertical="center"/>
    </xf>
    <xf numFmtId="0" fontId="120" fillId="49" borderId="19" xfId="0" applyFont="1" applyFill="1" applyBorder="1" applyAlignment="1">
      <alignment horizontal="center" vertical="center"/>
    </xf>
    <xf numFmtId="0" fontId="120" fillId="49" borderId="20" xfId="0" applyFont="1" applyFill="1" applyBorder="1" applyAlignment="1">
      <alignment horizontal="center" vertical="center"/>
    </xf>
    <xf numFmtId="0" fontId="120" fillId="49" borderId="21" xfId="0" applyFont="1" applyFill="1" applyBorder="1" applyAlignment="1">
      <alignment horizontal="center" vertical="center"/>
    </xf>
    <xf numFmtId="0" fontId="511" fillId="43" borderId="13" xfId="0" applyFont="1" applyFill="1" applyBorder="1" applyAlignment="1">
      <alignment horizontal="center" vertical="center" wrapText="1"/>
    </xf>
    <xf numFmtId="0" fontId="511" fillId="43" borderId="15" xfId="0" applyFont="1" applyFill="1" applyBorder="1" applyAlignment="1">
      <alignment horizontal="center" vertical="center" wrapText="1"/>
    </xf>
    <xf numFmtId="0" fontId="250" fillId="54" borderId="38" xfId="0" applyFont="1" applyFill="1" applyBorder="1" applyAlignment="1">
      <alignment horizontal="center" vertical="center"/>
    </xf>
    <xf numFmtId="0" fontId="250" fillId="54" borderId="40" xfId="0" applyFont="1" applyFill="1" applyBorder="1" applyAlignment="1">
      <alignment horizontal="center" vertical="center"/>
    </xf>
    <xf numFmtId="0" fontId="250" fillId="54" borderId="19" xfId="0" applyFont="1" applyFill="1" applyBorder="1" applyAlignment="1">
      <alignment horizontal="center" vertical="center"/>
    </xf>
    <xf numFmtId="0" fontId="250" fillId="54" borderId="21" xfId="0" applyFont="1" applyFill="1" applyBorder="1" applyAlignment="1">
      <alignment horizontal="center" vertical="center"/>
    </xf>
    <xf numFmtId="185" fontId="509" fillId="25" borderId="19" xfId="0" applyNumberFormat="1" applyFont="1" applyFill="1" applyBorder="1" applyAlignment="1">
      <alignment horizontal="center"/>
    </xf>
    <xf numFmtId="185" fontId="509" fillId="25" borderId="20" xfId="0" applyNumberFormat="1" applyFont="1" applyFill="1" applyBorder="1" applyAlignment="1">
      <alignment horizontal="center"/>
    </xf>
    <xf numFmtId="185" fontId="509" fillId="25" borderId="21" xfId="0" applyNumberFormat="1" applyFont="1" applyFill="1" applyBorder="1" applyAlignment="1">
      <alignment horizontal="center"/>
    </xf>
    <xf numFmtId="0" fontId="510" fillId="72" borderId="38" xfId="0" applyFont="1" applyFill="1" applyBorder="1" applyAlignment="1">
      <alignment horizontal="center" vertical="center" wrapText="1"/>
    </xf>
    <xf numFmtId="0" fontId="510" fillId="72" borderId="39" xfId="0" applyFont="1" applyFill="1" applyBorder="1" applyAlignment="1">
      <alignment horizontal="center" vertical="center" wrapText="1"/>
    </xf>
    <xf numFmtId="0" fontId="510" fillId="72" borderId="40" xfId="0" applyFont="1" applyFill="1" applyBorder="1" applyAlignment="1">
      <alignment horizontal="center" vertical="center" wrapText="1"/>
    </xf>
    <xf numFmtId="0" fontId="9" fillId="54" borderId="0" xfId="0" applyFont="1" applyFill="1" applyAlignment="1">
      <alignment horizontal="right"/>
    </xf>
    <xf numFmtId="0" fontId="0" fillId="54" borderId="0" xfId="0" applyFill="1" applyAlignment="1">
      <alignment horizontal="right"/>
    </xf>
    <xf numFmtId="0" fontId="9" fillId="54" borderId="0" xfId="0" applyFont="1" applyFill="1" applyAlignment="1">
      <alignment horizontal="right" vertical="top"/>
    </xf>
    <xf numFmtId="0" fontId="9" fillId="54" borderId="0" xfId="0" applyFont="1" applyFill="1" applyAlignment="1">
      <alignment horizontal="right" vertical="center"/>
    </xf>
    <xf numFmtId="0" fontId="9" fillId="54" borderId="0" xfId="0" applyFont="1" applyFill="1" applyAlignment="1">
      <alignment horizontal="left" vertical="center"/>
    </xf>
    <xf numFmtId="0" fontId="9" fillId="54" borderId="0" xfId="0" applyFont="1" applyFill="1" applyAlignment="1">
      <alignment horizontal="center" vertical="top"/>
    </xf>
    <xf numFmtId="0" fontId="9" fillId="25" borderId="0" xfId="0" applyFont="1" applyFill="1" applyAlignment="1">
      <alignment horizontal="right" vertical="center"/>
    </xf>
    <xf numFmtId="0" fontId="326" fillId="25" borderId="0" xfId="0" applyFont="1" applyFill="1" applyAlignment="1">
      <alignment horizontal="center" vertical="center"/>
    </xf>
    <xf numFmtId="0" fontId="90" fillId="26" borderId="2" xfId="0" applyFont="1" applyFill="1" applyBorder="1" applyAlignment="1">
      <alignment horizontal="left"/>
    </xf>
    <xf numFmtId="0" fontId="90" fillId="26" borderId="3" xfId="0" applyFont="1" applyFill="1" applyBorder="1" applyAlignment="1">
      <alignment horizontal="left"/>
    </xf>
    <xf numFmtId="0" fontId="272" fillId="15" borderId="0" xfId="0" applyFont="1" applyFill="1" applyAlignment="1">
      <alignment horizontal="center"/>
    </xf>
    <xf numFmtId="0" fontId="26" fillId="10" borderId="1" xfId="0" applyFont="1" applyFill="1" applyBorder="1" applyAlignment="1" applyProtection="1">
      <alignment horizontal="center"/>
      <protection locked="0"/>
    </xf>
    <xf numFmtId="0" fontId="26" fillId="10" borderId="3" xfId="0" applyFont="1" applyFill="1" applyBorder="1" applyAlignment="1" applyProtection="1">
      <alignment horizontal="center"/>
      <protection locked="0"/>
    </xf>
    <xf numFmtId="0" fontId="149" fillId="15" borderId="0" xfId="0" applyFont="1" applyFill="1" applyAlignment="1">
      <alignment horizontal="center"/>
    </xf>
    <xf numFmtId="0" fontId="110" fillId="15" borderId="13" xfId="0" applyFont="1" applyFill="1" applyBorder="1" applyAlignment="1">
      <alignment horizontal="center"/>
    </xf>
    <xf numFmtId="0" fontId="110" fillId="15" borderId="15" xfId="0" applyFont="1" applyFill="1" applyBorder="1" applyAlignment="1">
      <alignment horizontal="center"/>
    </xf>
    <xf numFmtId="0" fontId="110" fillId="15" borderId="8" xfId="0" applyFont="1" applyFill="1" applyBorder="1" applyAlignment="1">
      <alignment horizontal="center"/>
    </xf>
    <xf numFmtId="0" fontId="35" fillId="15" borderId="8" xfId="0" applyFont="1" applyFill="1" applyBorder="1" applyAlignment="1">
      <alignment horizontal="center"/>
    </xf>
    <xf numFmtId="0" fontId="42" fillId="15" borderId="1" xfId="0" applyFont="1" applyFill="1" applyBorder="1" applyAlignment="1">
      <alignment horizontal="center"/>
    </xf>
    <xf numFmtId="0" fontId="42" fillId="15" borderId="3" xfId="0" applyFont="1" applyFill="1" applyBorder="1" applyAlignment="1">
      <alignment horizontal="center"/>
    </xf>
    <xf numFmtId="3" fontId="1" fillId="25" borderId="0" xfId="0" applyNumberFormat="1" applyFont="1" applyFill="1" applyAlignment="1">
      <alignment horizontal="center" vertical="center"/>
    </xf>
    <xf numFmtId="3" fontId="10" fillId="25" borderId="0" xfId="0" applyNumberFormat="1" applyFont="1" applyFill="1" applyAlignment="1">
      <alignment horizontal="center" vertical="center"/>
    </xf>
    <xf numFmtId="1" fontId="11" fillId="25" borderId="0" xfId="0" applyNumberFormat="1" applyFont="1" applyFill="1" applyAlignment="1">
      <alignment horizontal="center" vertical="center"/>
    </xf>
    <xf numFmtId="0" fontId="29" fillId="15" borderId="0" xfId="0" applyFont="1" applyFill="1" applyAlignment="1">
      <alignment horizontal="center"/>
    </xf>
    <xf numFmtId="0" fontId="35" fillId="15" borderId="23" xfId="0" applyFont="1" applyFill="1" applyBorder="1" applyAlignment="1">
      <alignment horizontal="center" wrapText="1"/>
    </xf>
    <xf numFmtId="0" fontId="35" fillId="15" borderId="0" xfId="0" applyFont="1" applyFill="1" applyAlignment="1">
      <alignment horizontal="center" wrapText="1"/>
    </xf>
    <xf numFmtId="0" fontId="165" fillId="15" borderId="23" xfId="0" applyFont="1" applyFill="1" applyBorder="1" applyAlignment="1">
      <alignment horizontal="center" wrapText="1"/>
    </xf>
    <xf numFmtId="0" fontId="165" fillId="15" borderId="0" xfId="0" applyFont="1" applyFill="1" applyAlignment="1">
      <alignment horizontal="center" wrapText="1"/>
    </xf>
    <xf numFmtId="0" fontId="166" fillId="15" borderId="22" xfId="0" applyFont="1" applyFill="1" applyBorder="1" applyAlignment="1">
      <alignment horizontal="left"/>
    </xf>
    <xf numFmtId="0" fontId="166" fillId="15" borderId="23" xfId="0" applyFont="1" applyFill="1" applyBorder="1" applyAlignment="1">
      <alignment horizontal="left"/>
    </xf>
    <xf numFmtId="0" fontId="29" fillId="15" borderId="0" xfId="0" applyFont="1" applyFill="1" applyAlignment="1">
      <alignment horizontal="center" wrapText="1"/>
    </xf>
    <xf numFmtId="0" fontId="26" fillId="15" borderId="27" xfId="0" applyFont="1" applyFill="1" applyBorder="1" applyAlignment="1">
      <alignment horizontal="center"/>
    </xf>
    <xf numFmtId="0" fontId="46" fillId="25" borderId="22" xfId="0" applyFont="1" applyFill="1" applyBorder="1" applyAlignment="1">
      <alignment horizontal="center"/>
    </xf>
    <xf numFmtId="0" fontId="46" fillId="25" borderId="23" xfId="0" applyFont="1" applyFill="1" applyBorder="1" applyAlignment="1">
      <alignment horizontal="center"/>
    </xf>
    <xf numFmtId="0" fontId="26" fillId="15" borderId="2" xfId="0" applyFont="1" applyFill="1" applyBorder="1" applyAlignment="1">
      <alignment horizontal="center"/>
    </xf>
    <xf numFmtId="0" fontId="44" fillId="15" borderId="27" xfId="0" applyFont="1" applyFill="1" applyBorder="1" applyAlignment="1">
      <alignment horizontal="center" wrapText="1"/>
    </xf>
    <xf numFmtId="0" fontId="43" fillId="15" borderId="0" xfId="0" applyFont="1" applyFill="1" applyAlignment="1">
      <alignment horizontal="center" wrapText="1"/>
    </xf>
    <xf numFmtId="0" fontId="26" fillId="15" borderId="0" xfId="0" applyFont="1" applyFill="1" applyAlignment="1">
      <alignment horizontal="center" wrapText="1"/>
    </xf>
    <xf numFmtId="0" fontId="26" fillId="25" borderId="23" xfId="0" applyFont="1" applyFill="1" applyBorder="1" applyAlignment="1">
      <alignment horizontal="center"/>
    </xf>
    <xf numFmtId="0" fontId="26" fillId="25" borderId="24" xfId="0" applyFont="1" applyFill="1" applyBorder="1" applyAlignment="1">
      <alignment horizontal="center"/>
    </xf>
    <xf numFmtId="0" fontId="26" fillId="25" borderId="0" xfId="0" applyFont="1" applyFill="1" applyAlignment="1">
      <alignment horizontal="center"/>
    </xf>
    <xf numFmtId="0" fontId="26" fillId="25" borderId="16" xfId="0" applyFont="1" applyFill="1" applyBorder="1" applyAlignment="1">
      <alignment horizontal="center"/>
    </xf>
    <xf numFmtId="0" fontId="26" fillId="15" borderId="27" xfId="0" applyFont="1" applyFill="1" applyBorder="1" applyAlignment="1">
      <alignment horizontal="center" wrapText="1"/>
    </xf>
    <xf numFmtId="0" fontId="26" fillId="15" borderId="2" xfId="0" applyFont="1" applyFill="1" applyBorder="1" applyAlignment="1">
      <alignment horizontal="center" wrapText="1"/>
    </xf>
    <xf numFmtId="0" fontId="35" fillId="15" borderId="1" xfId="0" applyFont="1" applyFill="1" applyBorder="1" applyAlignment="1">
      <alignment horizontal="center"/>
    </xf>
    <xf numFmtId="0" fontId="35" fillId="15" borderId="2" xfId="0" applyFont="1" applyFill="1" applyBorder="1" applyAlignment="1">
      <alignment horizontal="center"/>
    </xf>
    <xf numFmtId="0" fontId="35" fillId="15" borderId="3" xfId="0" applyFont="1" applyFill="1" applyBorder="1" applyAlignment="1">
      <alignment horizontal="center"/>
    </xf>
    <xf numFmtId="0" fontId="60" fillId="25" borderId="23" xfId="0" applyFont="1" applyFill="1" applyBorder="1" applyAlignment="1">
      <alignment horizontal="center"/>
    </xf>
    <xf numFmtId="0" fontId="437" fillId="34" borderId="1" xfId="0" applyFont="1" applyFill="1" applyBorder="1" applyAlignment="1">
      <alignment horizontal="center"/>
    </xf>
    <xf numFmtId="0" fontId="438" fillId="34" borderId="2" xfId="0" applyFont="1" applyFill="1" applyBorder="1" applyAlignment="1">
      <alignment horizontal="center"/>
    </xf>
    <xf numFmtId="0" fontId="438" fillId="34" borderId="3" xfId="0" applyFont="1" applyFill="1" applyBorder="1" applyAlignment="1">
      <alignment horizontal="center"/>
    </xf>
    <xf numFmtId="0" fontId="35" fillId="15" borderId="22" xfId="0" applyFont="1" applyFill="1" applyBorder="1" applyAlignment="1">
      <alignment horizontal="center" vertical="center" wrapText="1"/>
    </xf>
    <xf numFmtId="0" fontId="35" fillId="15" borderId="23" xfId="0" applyFont="1" applyFill="1" applyBorder="1" applyAlignment="1">
      <alignment horizontal="center" vertical="center" wrapText="1"/>
    </xf>
    <xf numFmtId="0" fontId="60" fillId="15" borderId="0" xfId="0" applyFont="1" applyFill="1" applyAlignment="1">
      <alignment horizontal="center"/>
    </xf>
    <xf numFmtId="0" fontId="484" fillId="15" borderId="0" xfId="0" applyFont="1" applyFill="1" applyAlignment="1">
      <alignment horizontal="right"/>
    </xf>
    <xf numFmtId="0" fontId="484" fillId="15" borderId="16" xfId="0" applyFont="1" applyFill="1" applyBorder="1" applyAlignment="1">
      <alignment horizontal="right"/>
    </xf>
    <xf numFmtId="0" fontId="30" fillId="15" borderId="0" xfId="0" applyFont="1" applyFill="1" applyAlignment="1">
      <alignment horizontal="center"/>
    </xf>
    <xf numFmtId="165" fontId="110" fillId="15" borderId="26" xfId="0" applyNumberFormat="1" applyFont="1" applyFill="1" applyBorder="1" applyAlignment="1">
      <alignment horizontal="center"/>
    </xf>
    <xf numFmtId="165" fontId="110" fillId="15" borderId="27" xfId="0" applyNumberFormat="1" applyFont="1" applyFill="1" applyBorder="1" applyAlignment="1">
      <alignment horizontal="center"/>
    </xf>
    <xf numFmtId="165" fontId="110" fillId="15" borderId="28" xfId="0" applyNumberFormat="1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2" fillId="15" borderId="5" xfId="0" applyFont="1" applyFill="1" applyBorder="1" applyAlignment="1">
      <alignment horizontal="center"/>
    </xf>
    <xf numFmtId="0" fontId="12" fillId="15" borderId="6" xfId="0" applyFont="1" applyFill="1" applyBorder="1" applyAlignment="1">
      <alignment horizontal="center"/>
    </xf>
    <xf numFmtId="0" fontId="151" fillId="15" borderId="39" xfId="0" applyFont="1" applyFill="1" applyBorder="1" applyAlignment="1">
      <alignment horizontal="center"/>
    </xf>
    <xf numFmtId="0" fontId="12" fillId="15" borderId="7" xfId="0" applyFont="1" applyFill="1" applyBorder="1" applyAlignment="1">
      <alignment horizontal="center"/>
    </xf>
    <xf numFmtId="0" fontId="12" fillId="15" borderId="8" xfId="0" applyFont="1" applyFill="1" applyBorder="1" applyAlignment="1">
      <alignment horizontal="center"/>
    </xf>
    <xf numFmtId="0" fontId="12" fillId="15" borderId="9" xfId="0" applyFont="1" applyFill="1" applyBorder="1" applyAlignment="1">
      <alignment horizontal="center"/>
    </xf>
    <xf numFmtId="0" fontId="12" fillId="15" borderId="10" xfId="0" applyFont="1" applyFill="1" applyBorder="1" applyAlignment="1">
      <alignment horizontal="center"/>
    </xf>
    <xf numFmtId="0" fontId="12" fillId="15" borderId="11" xfId="0" applyFont="1" applyFill="1" applyBorder="1" applyAlignment="1">
      <alignment horizontal="center"/>
    </xf>
    <xf numFmtId="0" fontId="12" fillId="15" borderId="12" xfId="0" applyFont="1" applyFill="1" applyBorder="1" applyAlignment="1">
      <alignment horizontal="center"/>
    </xf>
    <xf numFmtId="0" fontId="266" fillId="25" borderId="0" xfId="0" applyFont="1" applyFill="1" applyAlignment="1">
      <alignment horizontal="right" vertical="center"/>
    </xf>
    <xf numFmtId="0" fontId="253" fillId="15" borderId="0" xfId="0" applyFont="1" applyFill="1" applyAlignment="1">
      <alignment horizontal="center" vertical="center" wrapText="1"/>
    </xf>
    <xf numFmtId="0" fontId="278" fillId="25" borderId="0" xfId="0" applyFont="1" applyFill="1" applyAlignment="1">
      <alignment horizontal="right" vertical="center"/>
    </xf>
    <xf numFmtId="0" fontId="12" fillId="32" borderId="13" xfId="0" applyFont="1" applyFill="1" applyBorder="1" applyAlignment="1">
      <alignment horizontal="right"/>
    </xf>
    <xf numFmtId="0" fontId="12" fillId="32" borderId="14" xfId="0" applyFont="1" applyFill="1" applyBorder="1" applyAlignment="1">
      <alignment horizontal="right"/>
    </xf>
    <xf numFmtId="0" fontId="12" fillId="32" borderId="53" xfId="0" applyFont="1" applyFill="1" applyBorder="1" applyAlignment="1">
      <alignment horizontal="right"/>
    </xf>
    <xf numFmtId="0" fontId="12" fillId="32" borderId="34" xfId="0" applyFont="1" applyFill="1" applyBorder="1" applyAlignment="1">
      <alignment horizontal="right"/>
    </xf>
    <xf numFmtId="0" fontId="149" fillId="15" borderId="27" xfId="0" applyFont="1" applyFill="1" applyBorder="1" applyAlignment="1">
      <alignment horizontal="center"/>
    </xf>
    <xf numFmtId="0" fontId="47" fillId="15" borderId="23" xfId="0" applyFont="1" applyFill="1" applyBorder="1" applyAlignment="1">
      <alignment horizontal="right"/>
    </xf>
    <xf numFmtId="0" fontId="47" fillId="15" borderId="1" xfId="0" applyFont="1" applyFill="1" applyBorder="1" applyAlignment="1">
      <alignment horizontal="center"/>
    </xf>
    <xf numFmtId="0" fontId="47" fillId="15" borderId="2" xfId="0" applyFont="1" applyFill="1" applyBorder="1" applyAlignment="1">
      <alignment horizontal="center"/>
    </xf>
    <xf numFmtId="0" fontId="120" fillId="59" borderId="0" xfId="0" applyFont="1" applyFill="1" applyAlignment="1">
      <alignment horizontal="center" vertical="center"/>
    </xf>
    <xf numFmtId="0" fontId="120" fillId="72" borderId="13" xfId="0" applyFont="1" applyFill="1" applyBorder="1" applyAlignment="1">
      <alignment horizontal="center" vertical="center"/>
    </xf>
    <xf numFmtId="0" fontId="120" fillId="72" borderId="14" xfId="0" applyFont="1" applyFill="1" applyBorder="1" applyAlignment="1">
      <alignment horizontal="center" vertical="center"/>
    </xf>
    <xf numFmtId="0" fontId="120" fillId="72" borderId="15" xfId="0" applyFont="1" applyFill="1" applyBorder="1" applyAlignment="1">
      <alignment horizontal="center" vertical="center"/>
    </xf>
    <xf numFmtId="0" fontId="120" fillId="35" borderId="38" xfId="0" applyFont="1" applyFill="1" applyBorder="1" applyAlignment="1">
      <alignment horizontal="center" vertical="center"/>
    </xf>
    <xf numFmtId="0" fontId="120" fillId="35" borderId="40" xfId="0" applyFont="1" applyFill="1" applyBorder="1" applyAlignment="1">
      <alignment horizontal="center" vertical="center"/>
    </xf>
    <xf numFmtId="0" fontId="120" fillId="35" borderId="19" xfId="0" applyFont="1" applyFill="1" applyBorder="1" applyAlignment="1">
      <alignment horizontal="center" vertical="center"/>
    </xf>
    <xf numFmtId="0" fontId="120" fillId="35" borderId="21" xfId="0" applyFont="1" applyFill="1" applyBorder="1" applyAlignment="1">
      <alignment horizontal="center" vertical="center"/>
    </xf>
    <xf numFmtId="0" fontId="343" fillId="10" borderId="38" xfId="0" applyFont="1" applyFill="1" applyBorder="1" applyAlignment="1" applyProtection="1">
      <alignment horizontal="right" vertical="center"/>
      <protection locked="0"/>
    </xf>
    <xf numFmtId="0" fontId="343" fillId="10" borderId="19" xfId="0" applyFont="1" applyFill="1" applyBorder="1" applyAlignment="1" applyProtection="1">
      <alignment horizontal="right" vertical="center"/>
      <protection locked="0"/>
    </xf>
    <xf numFmtId="0" fontId="435" fillId="10" borderId="40" xfId="0" applyFont="1" applyFill="1" applyBorder="1" applyAlignment="1">
      <alignment horizontal="left" vertical="center"/>
    </xf>
    <xf numFmtId="0" fontId="435" fillId="10" borderId="21" xfId="0" applyFont="1" applyFill="1" applyBorder="1" applyAlignment="1">
      <alignment horizontal="left" vertical="center"/>
    </xf>
    <xf numFmtId="0" fontId="436" fillId="43" borderId="1" xfId="0" applyFont="1" applyFill="1" applyBorder="1" applyAlignment="1">
      <alignment horizontal="center"/>
    </xf>
    <xf numFmtId="0" fontId="370" fillId="43" borderId="2" xfId="0" applyFont="1" applyFill="1" applyBorder="1" applyAlignment="1">
      <alignment horizontal="center"/>
    </xf>
    <xf numFmtId="0" fontId="370" fillId="43" borderId="3" xfId="0" applyFont="1" applyFill="1" applyBorder="1" applyAlignment="1">
      <alignment horizontal="center"/>
    </xf>
    <xf numFmtId="0" fontId="418" fillId="72" borderId="13" xfId="0" applyFont="1" applyFill="1" applyBorder="1" applyAlignment="1">
      <alignment horizontal="center" vertical="center"/>
    </xf>
    <xf numFmtId="0" fontId="418" fillId="72" borderId="14" xfId="0" applyFont="1" applyFill="1" applyBorder="1" applyAlignment="1">
      <alignment horizontal="center" vertical="center"/>
    </xf>
    <xf numFmtId="0" fontId="418" fillId="72" borderId="15" xfId="0" applyFont="1" applyFill="1" applyBorder="1" applyAlignment="1">
      <alignment horizontal="center" vertical="center"/>
    </xf>
    <xf numFmtId="0" fontId="418" fillId="59" borderId="0" xfId="0" applyFont="1" applyFill="1" applyAlignment="1">
      <alignment horizontal="center" vertical="center"/>
    </xf>
    <xf numFmtId="0" fontId="306" fillId="72" borderId="13" xfId="0" applyFont="1" applyFill="1" applyBorder="1" applyAlignment="1">
      <alignment horizontal="center" vertical="center"/>
    </xf>
    <xf numFmtId="0" fontId="306" fillId="72" borderId="14" xfId="0" applyFont="1" applyFill="1" applyBorder="1" applyAlignment="1">
      <alignment horizontal="center" vertical="center"/>
    </xf>
    <xf numFmtId="0" fontId="306" fillId="72" borderId="15" xfId="0" applyFont="1" applyFill="1" applyBorder="1" applyAlignment="1">
      <alignment horizontal="center" vertical="center"/>
    </xf>
    <xf numFmtId="0" fontId="120" fillId="59" borderId="16" xfId="0" applyFont="1" applyFill="1" applyBorder="1" applyAlignment="1">
      <alignment horizontal="center" vertical="center"/>
    </xf>
    <xf numFmtId="0" fontId="419" fillId="72" borderId="13" xfId="0" applyFont="1" applyFill="1" applyBorder="1" applyAlignment="1">
      <alignment horizontal="center" vertical="center"/>
    </xf>
    <xf numFmtId="0" fontId="419" fillId="72" borderId="14" xfId="0" applyFont="1" applyFill="1" applyBorder="1" applyAlignment="1">
      <alignment horizontal="center" vertical="center"/>
    </xf>
    <xf numFmtId="0" fontId="419" fillId="72" borderId="15" xfId="0" applyFont="1" applyFill="1" applyBorder="1" applyAlignment="1">
      <alignment horizontal="center" vertical="center"/>
    </xf>
    <xf numFmtId="0" fontId="168" fillId="59" borderId="16" xfId="0" applyFont="1" applyFill="1" applyBorder="1" applyAlignment="1">
      <alignment horizontal="center" vertical="center"/>
    </xf>
    <xf numFmtId="0" fontId="168" fillId="32" borderId="38" xfId="0" applyFont="1" applyFill="1" applyBorder="1" applyAlignment="1">
      <alignment horizontal="right" vertical="center"/>
    </xf>
    <xf numFmtId="0" fontId="168" fillId="32" borderId="19" xfId="0" applyFont="1" applyFill="1" applyBorder="1" applyAlignment="1">
      <alignment horizontal="right" vertical="center"/>
    </xf>
    <xf numFmtId="0" fontId="295" fillId="32" borderId="40" xfId="0" applyFont="1" applyFill="1" applyBorder="1" applyAlignment="1">
      <alignment horizontal="left" vertical="center"/>
    </xf>
    <xf numFmtId="0" fontId="295" fillId="32" borderId="21" xfId="0" applyFont="1" applyFill="1" applyBorder="1" applyAlignment="1">
      <alignment horizontal="left" vertical="center"/>
    </xf>
    <xf numFmtId="0" fontId="343" fillId="40" borderId="0" xfId="0" applyFont="1" applyFill="1" applyAlignment="1">
      <alignment horizontal="center" vertical="center"/>
    </xf>
    <xf numFmtId="0" fontId="343" fillId="40" borderId="17" xfId="0" applyFont="1" applyFill="1" applyBorder="1" applyAlignment="1">
      <alignment horizontal="center" vertical="center"/>
    </xf>
    <xf numFmtId="0" fontId="270" fillId="35" borderId="62" xfId="0" applyFont="1" applyFill="1" applyBorder="1" applyAlignment="1">
      <alignment horizontal="center" vertical="center"/>
    </xf>
    <xf numFmtId="0" fontId="270" fillId="35" borderId="42" xfId="0" applyFont="1" applyFill="1" applyBorder="1" applyAlignment="1">
      <alignment horizontal="center" vertical="center"/>
    </xf>
    <xf numFmtId="0" fontId="168" fillId="59" borderId="0" xfId="0" applyFont="1" applyFill="1" applyAlignment="1">
      <alignment horizontal="center" vertical="center"/>
    </xf>
    <xf numFmtId="0" fontId="168" fillId="10" borderId="38" xfId="0" applyFont="1" applyFill="1" applyBorder="1" applyAlignment="1" applyProtection="1">
      <alignment horizontal="right" vertical="center"/>
      <protection locked="0"/>
    </xf>
    <xf numFmtId="0" fontId="168" fillId="10" borderId="19" xfId="0" applyFont="1" applyFill="1" applyBorder="1" applyAlignment="1" applyProtection="1">
      <alignment horizontal="right" vertical="center"/>
      <protection locked="0"/>
    </xf>
    <xf numFmtId="0" fontId="168" fillId="10" borderId="40" xfId="0" applyFont="1" applyFill="1" applyBorder="1" applyAlignment="1">
      <alignment horizontal="left" vertical="center"/>
    </xf>
    <xf numFmtId="0" fontId="168" fillId="10" borderId="21" xfId="0" applyFont="1" applyFill="1" applyBorder="1" applyAlignment="1">
      <alignment horizontal="left" vertical="center"/>
    </xf>
    <xf numFmtId="165" fontId="168" fillId="20" borderId="38" xfId="0" applyNumberFormat="1" applyFont="1" applyFill="1" applyBorder="1" applyAlignment="1">
      <alignment horizontal="right" vertical="center"/>
    </xf>
    <xf numFmtId="165" fontId="168" fillId="20" borderId="19" xfId="0" applyNumberFormat="1" applyFont="1" applyFill="1" applyBorder="1" applyAlignment="1">
      <alignment horizontal="right" vertical="center"/>
    </xf>
    <xf numFmtId="0" fontId="168" fillId="20" borderId="40" xfId="0" applyFont="1" applyFill="1" applyBorder="1" applyAlignment="1">
      <alignment horizontal="left" vertical="center"/>
    </xf>
    <xf numFmtId="0" fontId="168" fillId="20" borderId="21" xfId="0" applyFont="1" applyFill="1" applyBorder="1" applyAlignment="1">
      <alignment horizontal="left" vertical="center"/>
    </xf>
    <xf numFmtId="0" fontId="120" fillId="35" borderId="62" xfId="0" applyFont="1" applyFill="1" applyBorder="1" applyAlignment="1">
      <alignment horizontal="center" vertical="center"/>
    </xf>
    <xf numFmtId="0" fontId="120" fillId="35" borderId="42" xfId="0" applyFont="1" applyFill="1" applyBorder="1" applyAlignment="1">
      <alignment horizontal="center" vertical="center"/>
    </xf>
    <xf numFmtId="0" fontId="250" fillId="35" borderId="62" xfId="0" applyFont="1" applyFill="1" applyBorder="1" applyAlignment="1">
      <alignment horizontal="center" vertical="center"/>
    </xf>
    <xf numFmtId="0" fontId="250" fillId="35" borderId="42" xfId="0" applyFont="1" applyFill="1" applyBorder="1" applyAlignment="1">
      <alignment horizontal="center" vertical="center"/>
    </xf>
    <xf numFmtId="0" fontId="250" fillId="35" borderId="52" xfId="0" applyFont="1" applyFill="1" applyBorder="1" applyAlignment="1">
      <alignment horizontal="center" vertical="center"/>
    </xf>
    <xf numFmtId="0" fontId="120" fillId="10" borderId="40" xfId="0" applyFont="1" applyFill="1" applyBorder="1" applyAlignment="1">
      <alignment horizontal="left" vertical="center"/>
    </xf>
    <xf numFmtId="0" fontId="120" fillId="10" borderId="21" xfId="0" applyFont="1" applyFill="1" applyBorder="1" applyAlignment="1">
      <alignment horizontal="left" vertical="center"/>
    </xf>
    <xf numFmtId="0" fontId="434" fillId="59" borderId="0" xfId="0" applyFont="1" applyFill="1" applyAlignment="1">
      <alignment horizontal="right" vertical="center"/>
    </xf>
    <xf numFmtId="0" fontId="120" fillId="40" borderId="0" xfId="0" applyFont="1" applyFill="1" applyAlignment="1">
      <alignment horizontal="center" vertical="center"/>
    </xf>
    <xf numFmtId="0" fontId="120" fillId="40" borderId="17" xfId="0" applyFont="1" applyFill="1" applyBorder="1" applyAlignment="1">
      <alignment horizontal="center" vertical="center"/>
    </xf>
    <xf numFmtId="0" fontId="418" fillId="59" borderId="0" xfId="0" applyFont="1" applyFill="1" applyAlignment="1">
      <alignment horizontal="right" vertical="center"/>
    </xf>
    <xf numFmtId="0" fontId="295" fillId="10" borderId="13" xfId="0" applyFont="1" applyFill="1" applyBorder="1" applyAlignment="1" applyProtection="1">
      <alignment horizontal="center" vertical="center"/>
      <protection locked="0"/>
    </xf>
    <xf numFmtId="0" fontId="295" fillId="10" borderId="15" xfId="0" applyFont="1" applyFill="1" applyBorder="1" applyAlignment="1" applyProtection="1">
      <alignment horizontal="center" vertical="center"/>
      <protection locked="0"/>
    </xf>
    <xf numFmtId="0" fontId="270" fillId="59" borderId="18" xfId="0" applyFont="1" applyFill="1" applyBorder="1" applyAlignment="1">
      <alignment horizontal="center" vertical="center"/>
    </xf>
    <xf numFmtId="0" fontId="295" fillId="54" borderId="0" xfId="0" applyFont="1" applyFill="1" applyAlignment="1">
      <alignment horizontal="center" vertical="center"/>
    </xf>
    <xf numFmtId="0" fontId="485" fillId="54" borderId="22" xfId="0" applyFont="1" applyFill="1" applyBorder="1" applyAlignment="1">
      <alignment horizontal="center" vertical="center"/>
    </xf>
    <xf numFmtId="0" fontId="485" fillId="54" borderId="23" xfId="0" applyFont="1" applyFill="1" applyBorder="1" applyAlignment="1">
      <alignment horizontal="center" vertical="center"/>
    </xf>
    <xf numFmtId="0" fontId="485" fillId="54" borderId="31" xfId="0" applyFont="1" applyFill="1" applyBorder="1" applyAlignment="1">
      <alignment horizontal="center" vertical="center"/>
    </xf>
    <xf numFmtId="0" fontId="485" fillId="54" borderId="25" xfId="0" applyFont="1" applyFill="1" applyBorder="1" applyAlignment="1">
      <alignment horizontal="center" vertical="center"/>
    </xf>
    <xf numFmtId="0" fontId="485" fillId="54" borderId="0" xfId="0" applyFont="1" applyFill="1" applyAlignment="1">
      <alignment horizontal="center" vertical="center"/>
    </xf>
    <xf numFmtId="0" fontId="485" fillId="54" borderId="17" xfId="0" applyFont="1" applyFill="1" applyBorder="1" applyAlignment="1">
      <alignment horizontal="center" vertical="center"/>
    </xf>
    <xf numFmtId="0" fontId="485" fillId="54" borderId="26" xfId="0" applyFont="1" applyFill="1" applyBorder="1" applyAlignment="1">
      <alignment horizontal="center" vertical="center"/>
    </xf>
    <xf numFmtId="0" fontId="485" fillId="54" borderId="27" xfId="0" applyFont="1" applyFill="1" applyBorder="1" applyAlignment="1">
      <alignment horizontal="center" vertical="center"/>
    </xf>
    <xf numFmtId="0" fontId="485" fillId="54" borderId="36" xfId="0" applyFont="1" applyFill="1" applyBorder="1" applyAlignment="1">
      <alignment horizontal="center" vertical="center"/>
    </xf>
    <xf numFmtId="0" fontId="120" fillId="39" borderId="45" xfId="0" applyFont="1" applyFill="1" applyBorder="1" applyAlignment="1">
      <alignment horizontal="center" vertical="center" wrapText="1"/>
    </xf>
    <xf numFmtId="0" fontId="120" fillId="39" borderId="23" xfId="0" applyFont="1" applyFill="1" applyBorder="1" applyAlignment="1">
      <alignment horizontal="center" vertical="center" wrapText="1"/>
    </xf>
    <xf numFmtId="0" fontId="120" fillId="39" borderId="31" xfId="0" applyFont="1" applyFill="1" applyBorder="1" applyAlignment="1">
      <alignment horizontal="center" vertical="center" wrapText="1"/>
    </xf>
    <xf numFmtId="0" fontId="120" fillId="39" borderId="18" xfId="0" applyFont="1" applyFill="1" applyBorder="1" applyAlignment="1">
      <alignment horizontal="center" vertical="center" wrapText="1"/>
    </xf>
    <xf numFmtId="0" fontId="120" fillId="39" borderId="0" xfId="0" applyFont="1" applyFill="1" applyAlignment="1">
      <alignment horizontal="center" vertical="center" wrapText="1"/>
    </xf>
    <xf numFmtId="0" fontId="120" fillId="39" borderId="17" xfId="0" applyFont="1" applyFill="1" applyBorder="1" applyAlignment="1">
      <alignment horizontal="center" vertical="center" wrapText="1"/>
    </xf>
    <xf numFmtId="0" fontId="120" fillId="39" borderId="50" xfId="0" applyFont="1" applyFill="1" applyBorder="1" applyAlignment="1">
      <alignment horizontal="center" vertical="center" wrapText="1"/>
    </xf>
    <xf numFmtId="0" fontId="120" fillId="39" borderId="27" xfId="0" applyFont="1" applyFill="1" applyBorder="1" applyAlignment="1">
      <alignment horizontal="center" vertical="center" wrapText="1"/>
    </xf>
    <xf numFmtId="0" fontId="120" fillId="39" borderId="36" xfId="0" applyFont="1" applyFill="1" applyBorder="1" applyAlignment="1">
      <alignment horizontal="center" vertical="center" wrapText="1"/>
    </xf>
    <xf numFmtId="0" fontId="291" fillId="39" borderId="45" xfId="0" applyFont="1" applyFill="1" applyBorder="1" applyAlignment="1">
      <alignment horizontal="right" vertical="center"/>
    </xf>
    <xf numFmtId="0" fontId="291" fillId="39" borderId="23" xfId="0" applyFont="1" applyFill="1" applyBorder="1" applyAlignment="1">
      <alignment horizontal="right" vertical="center"/>
    </xf>
    <xf numFmtId="0" fontId="291" fillId="39" borderId="18" xfId="0" applyFont="1" applyFill="1" applyBorder="1" applyAlignment="1">
      <alignment horizontal="right" vertical="center"/>
    </xf>
    <xf numFmtId="0" fontId="291" fillId="39" borderId="0" xfId="0" applyFont="1" applyFill="1" applyAlignment="1">
      <alignment horizontal="right" vertical="center"/>
    </xf>
    <xf numFmtId="0" fontId="291" fillId="39" borderId="50" xfId="0" applyFont="1" applyFill="1" applyBorder="1" applyAlignment="1">
      <alignment horizontal="right" vertical="center"/>
    </xf>
    <xf numFmtId="0" fontId="291" fillId="39" borderId="27" xfId="0" applyFont="1" applyFill="1" applyBorder="1" applyAlignment="1">
      <alignment horizontal="right" vertical="center"/>
    </xf>
    <xf numFmtId="0" fontId="291" fillId="39" borderId="23" xfId="0" applyFont="1" applyFill="1" applyBorder="1" applyAlignment="1">
      <alignment horizontal="left" vertical="center"/>
    </xf>
    <xf numFmtId="0" fontId="291" fillId="39" borderId="31" xfId="0" applyFont="1" applyFill="1" applyBorder="1" applyAlignment="1">
      <alignment horizontal="left" vertical="center"/>
    </xf>
    <xf numFmtId="0" fontId="291" fillId="39" borderId="0" xfId="0" applyFont="1" applyFill="1" applyAlignment="1">
      <alignment horizontal="left" vertical="center"/>
    </xf>
    <xf numFmtId="0" fontId="291" fillId="39" borderId="17" xfId="0" applyFont="1" applyFill="1" applyBorder="1" applyAlignment="1">
      <alignment horizontal="left" vertical="center"/>
    </xf>
    <xf numFmtId="0" fontId="291" fillId="39" borderId="27" xfId="0" applyFont="1" applyFill="1" applyBorder="1" applyAlignment="1">
      <alignment horizontal="left" vertical="center"/>
    </xf>
    <xf numFmtId="0" fontId="291" fillId="39" borderId="36" xfId="0" applyFont="1" applyFill="1" applyBorder="1" applyAlignment="1">
      <alignment horizontal="left" vertical="center"/>
    </xf>
    <xf numFmtId="0" fontId="120" fillId="28" borderId="38" xfId="0" applyFont="1" applyFill="1" applyBorder="1" applyAlignment="1">
      <alignment horizontal="center" vertical="center" wrapText="1"/>
    </xf>
    <xf numFmtId="0" fontId="120" fillId="28" borderId="39" xfId="0" applyFont="1" applyFill="1" applyBorder="1" applyAlignment="1">
      <alignment horizontal="center" vertical="center" wrapText="1"/>
    </xf>
    <xf numFmtId="0" fontId="120" fillId="28" borderId="40" xfId="0" applyFont="1" applyFill="1" applyBorder="1" applyAlignment="1">
      <alignment horizontal="center" vertical="center" wrapText="1"/>
    </xf>
    <xf numFmtId="0" fontId="120" fillId="28" borderId="18" xfId="0" applyFont="1" applyFill="1" applyBorder="1" applyAlignment="1">
      <alignment horizontal="center" vertical="center" wrapText="1"/>
    </xf>
    <xf numFmtId="0" fontId="120" fillId="28" borderId="0" xfId="0" applyFont="1" applyFill="1" applyAlignment="1">
      <alignment horizontal="center" vertical="center" wrapText="1"/>
    </xf>
    <xf numFmtId="0" fontId="120" fillId="28" borderId="17" xfId="0" applyFont="1" applyFill="1" applyBorder="1" applyAlignment="1">
      <alignment horizontal="center" vertical="center" wrapText="1"/>
    </xf>
    <xf numFmtId="0" fontId="291" fillId="10" borderId="38" xfId="0" applyFont="1" applyFill="1" applyBorder="1" applyAlignment="1" applyProtection="1">
      <alignment horizontal="right" vertical="center"/>
      <protection locked="0"/>
    </xf>
    <xf numFmtId="0" fontId="291" fillId="10" borderId="39" xfId="0" applyFont="1" applyFill="1" applyBorder="1" applyAlignment="1" applyProtection="1">
      <alignment horizontal="right" vertical="center"/>
      <protection locked="0"/>
    </xf>
    <xf numFmtId="0" fontId="291" fillId="10" borderId="18" xfId="0" applyFont="1" applyFill="1" applyBorder="1" applyAlignment="1" applyProtection="1">
      <alignment horizontal="right" vertical="center"/>
      <protection locked="0"/>
    </xf>
    <xf numFmtId="0" fontId="291" fillId="10" borderId="0" xfId="0" applyFont="1" applyFill="1" applyAlignment="1" applyProtection="1">
      <alignment horizontal="right" vertical="center"/>
      <protection locked="0"/>
    </xf>
    <xf numFmtId="0" fontId="291" fillId="10" borderId="39" xfId="0" applyFont="1" applyFill="1" applyBorder="1" applyAlignment="1">
      <alignment horizontal="left" vertical="center"/>
    </xf>
    <xf numFmtId="0" fontId="291" fillId="10" borderId="40" xfId="0" applyFont="1" applyFill="1" applyBorder="1" applyAlignment="1">
      <alignment horizontal="left" vertical="center"/>
    </xf>
    <xf numFmtId="0" fontId="291" fillId="10" borderId="0" xfId="0" applyFont="1" applyFill="1" applyAlignment="1">
      <alignment horizontal="left" vertical="center"/>
    </xf>
    <xf numFmtId="0" fontId="291" fillId="10" borderId="17" xfId="0" applyFont="1" applyFill="1" applyBorder="1" applyAlignment="1">
      <alignment horizontal="left" vertical="center"/>
    </xf>
    <xf numFmtId="0" fontId="483" fillId="54" borderId="0" xfId="0" applyFont="1" applyFill="1" applyAlignment="1">
      <alignment horizontal="center" vertical="center" wrapText="1"/>
    </xf>
    <xf numFmtId="0" fontId="324" fillId="54" borderId="0" xfId="0" applyFont="1" applyFill="1" applyAlignment="1">
      <alignment horizontal="right" vertical="center"/>
    </xf>
    <xf numFmtId="0" fontId="167" fillId="54" borderId="0" xfId="0" applyFont="1" applyFill="1" applyAlignment="1">
      <alignment horizontal="right" vertical="center"/>
    </xf>
    <xf numFmtId="0" fontId="295" fillId="35" borderId="38" xfId="0" applyFont="1" applyFill="1" applyBorder="1" applyAlignment="1">
      <alignment horizontal="center" vertical="center"/>
    </xf>
    <xf numFmtId="0" fontId="295" fillId="35" borderId="39" xfId="0" applyFont="1" applyFill="1" applyBorder="1" applyAlignment="1">
      <alignment horizontal="center" vertical="center"/>
    </xf>
    <xf numFmtId="0" fontId="295" fillId="35" borderId="19" xfId="0" applyFont="1" applyFill="1" applyBorder="1" applyAlignment="1">
      <alignment horizontal="center" vertical="center"/>
    </xf>
    <xf numFmtId="0" fontId="295" fillId="35" borderId="20" xfId="0" applyFont="1" applyFill="1" applyBorder="1" applyAlignment="1">
      <alignment horizontal="center" vertical="center"/>
    </xf>
    <xf numFmtId="0" fontId="291" fillId="35" borderId="38" xfId="0" applyFont="1" applyFill="1" applyBorder="1" applyAlignment="1">
      <alignment horizontal="right" vertical="center"/>
    </xf>
    <xf numFmtId="0" fontId="291" fillId="35" borderId="39" xfId="0" applyFont="1" applyFill="1" applyBorder="1" applyAlignment="1">
      <alignment horizontal="right" vertical="center"/>
    </xf>
    <xf numFmtId="0" fontId="291" fillId="35" borderId="19" xfId="0" applyFont="1" applyFill="1" applyBorder="1" applyAlignment="1">
      <alignment horizontal="right" vertical="center"/>
    </xf>
    <xf numFmtId="0" fontId="291" fillId="35" borderId="20" xfId="0" applyFont="1" applyFill="1" applyBorder="1" applyAlignment="1">
      <alignment horizontal="right" vertical="center"/>
    </xf>
    <xf numFmtId="0" fontId="291" fillId="35" borderId="39" xfId="0" applyFont="1" applyFill="1" applyBorder="1" applyAlignment="1">
      <alignment horizontal="left" vertical="center"/>
    </xf>
    <xf numFmtId="0" fontId="291" fillId="35" borderId="40" xfId="0" applyFont="1" applyFill="1" applyBorder="1" applyAlignment="1">
      <alignment horizontal="left" vertical="center"/>
    </xf>
    <xf numFmtId="0" fontId="291" fillId="35" borderId="20" xfId="0" applyFont="1" applyFill="1" applyBorder="1" applyAlignment="1">
      <alignment horizontal="left" vertical="center"/>
    </xf>
    <xf numFmtId="0" fontId="291" fillId="35" borderId="21" xfId="0" applyFont="1" applyFill="1" applyBorder="1" applyAlignment="1">
      <alignment horizontal="left" vertical="center"/>
    </xf>
    <xf numFmtId="0" fontId="324" fillId="49" borderId="38" xfId="0" applyFont="1" applyFill="1" applyBorder="1" applyAlignment="1">
      <alignment horizontal="center" vertical="center" wrapText="1"/>
    </xf>
    <xf numFmtId="0" fontId="324" fillId="49" borderId="39" xfId="0" applyFont="1" applyFill="1" applyBorder="1" applyAlignment="1">
      <alignment horizontal="center" vertical="center" wrapText="1"/>
    </xf>
    <xf numFmtId="0" fontId="324" fillId="49" borderId="19" xfId="0" applyFont="1" applyFill="1" applyBorder="1" applyAlignment="1">
      <alignment horizontal="center" vertical="center" wrapText="1"/>
    </xf>
    <xf numFmtId="0" fontId="324" fillId="49" borderId="20" xfId="0" applyFont="1" applyFill="1" applyBorder="1" applyAlignment="1">
      <alignment horizontal="center" vertical="center" wrapText="1"/>
    </xf>
    <xf numFmtId="0" fontId="324" fillId="28" borderId="38" xfId="0" applyFont="1" applyFill="1" applyBorder="1" applyAlignment="1">
      <alignment horizontal="center" vertical="center" wrapText="1"/>
    </xf>
    <xf numFmtId="0" fontId="324" fillId="28" borderId="39" xfId="0" applyFont="1" applyFill="1" applyBorder="1" applyAlignment="1">
      <alignment horizontal="center" vertical="center" wrapText="1"/>
    </xf>
    <xf numFmtId="0" fontId="324" fillId="28" borderId="19" xfId="0" applyFont="1" applyFill="1" applyBorder="1" applyAlignment="1">
      <alignment horizontal="center" vertical="center" wrapText="1"/>
    </xf>
    <xf numFmtId="0" fontId="324" fillId="28" borderId="20" xfId="0" applyFont="1" applyFill="1" applyBorder="1" applyAlignment="1">
      <alignment horizontal="center" vertical="center" wrapText="1"/>
    </xf>
    <xf numFmtId="0" fontId="324" fillId="28" borderId="40" xfId="0" applyFont="1" applyFill="1" applyBorder="1" applyAlignment="1">
      <alignment horizontal="center" vertical="center" wrapText="1"/>
    </xf>
    <xf numFmtId="0" fontId="324" fillId="28" borderId="21" xfId="0" applyFont="1" applyFill="1" applyBorder="1" applyAlignment="1">
      <alignment horizontal="center" vertical="center" wrapText="1"/>
    </xf>
    <xf numFmtId="0" fontId="291" fillId="10" borderId="21" xfId="0" applyFont="1" applyFill="1" applyBorder="1" applyAlignment="1">
      <alignment horizontal="left" vertical="center"/>
    </xf>
    <xf numFmtId="0" fontId="291" fillId="10" borderId="19" xfId="0" applyFont="1" applyFill="1" applyBorder="1" applyAlignment="1" applyProtection="1">
      <alignment horizontal="right" vertical="center"/>
      <protection locked="0"/>
    </xf>
    <xf numFmtId="0" fontId="324" fillId="54" borderId="62" xfId="0" applyFont="1" applyFill="1" applyBorder="1" applyAlignment="1">
      <alignment horizontal="center" vertical="center"/>
    </xf>
    <xf numFmtId="0" fontId="324" fillId="54" borderId="42" xfId="0" applyFont="1" applyFill="1" applyBorder="1" applyAlignment="1">
      <alignment horizontal="center" vertical="center"/>
    </xf>
    <xf numFmtId="0" fontId="295" fillId="10" borderId="38" xfId="0" applyFont="1" applyFill="1" applyBorder="1" applyAlignment="1" applyProtection="1">
      <alignment horizontal="center" vertical="center"/>
      <protection locked="0"/>
    </xf>
    <xf numFmtId="0" fontId="295" fillId="10" borderId="39" xfId="0" applyFont="1" applyFill="1" applyBorder="1" applyAlignment="1" applyProtection="1">
      <alignment horizontal="center" vertical="center"/>
      <protection locked="0"/>
    </xf>
    <xf numFmtId="0" fontId="295" fillId="10" borderId="19" xfId="0" applyFont="1" applyFill="1" applyBorder="1" applyAlignment="1" applyProtection="1">
      <alignment horizontal="center" vertical="center"/>
      <protection locked="0"/>
    </xf>
    <xf numFmtId="0" fontId="295" fillId="10" borderId="20" xfId="0" applyFont="1" applyFill="1" applyBorder="1" applyAlignment="1" applyProtection="1">
      <alignment horizontal="center" vertical="center"/>
      <protection locked="0"/>
    </xf>
    <xf numFmtId="0" fontId="324" fillId="63" borderId="62" xfId="0" applyFont="1" applyFill="1" applyBorder="1" applyAlignment="1">
      <alignment horizontal="center" vertical="center"/>
    </xf>
    <xf numFmtId="0" fontId="324" fillId="63" borderId="42" xfId="0" applyFont="1" applyFill="1" applyBorder="1" applyAlignment="1">
      <alignment horizontal="center" vertical="center"/>
    </xf>
    <xf numFmtId="0" fontId="168" fillId="35" borderId="38" xfId="0" applyFont="1" applyFill="1" applyBorder="1" applyAlignment="1">
      <alignment horizontal="center" vertical="center" wrapText="1"/>
    </xf>
    <xf numFmtId="0" fontId="168" fillId="35" borderId="39" xfId="0" applyFont="1" applyFill="1" applyBorder="1" applyAlignment="1">
      <alignment horizontal="center" vertical="center" wrapText="1"/>
    </xf>
    <xf numFmtId="0" fontId="168" fillId="35" borderId="40" xfId="0" applyFont="1" applyFill="1" applyBorder="1" applyAlignment="1">
      <alignment horizontal="center" vertical="center" wrapText="1"/>
    </xf>
    <xf numFmtId="0" fontId="168" fillId="35" borderId="19" xfId="0" applyFont="1" applyFill="1" applyBorder="1" applyAlignment="1">
      <alignment horizontal="center" vertical="center" wrapText="1"/>
    </xf>
    <xf numFmtId="0" fontId="168" fillId="35" borderId="20" xfId="0" applyFont="1" applyFill="1" applyBorder="1" applyAlignment="1">
      <alignment horizontal="center" vertical="center" wrapText="1"/>
    </xf>
    <xf numFmtId="0" fontId="168" fillId="35" borderId="21" xfId="0" applyFont="1" applyFill="1" applyBorder="1" applyAlignment="1">
      <alignment horizontal="center" vertical="center" wrapText="1"/>
    </xf>
    <xf numFmtId="0" fontId="324" fillId="25" borderId="38" xfId="0" applyFont="1" applyFill="1" applyBorder="1" applyAlignment="1">
      <alignment horizontal="center" vertical="center"/>
    </xf>
    <xf numFmtId="0" fontId="324" fillId="25" borderId="40" xfId="0" applyFont="1" applyFill="1" applyBorder="1" applyAlignment="1">
      <alignment horizontal="center" vertical="center"/>
    </xf>
    <xf numFmtId="0" fontId="324" fillId="25" borderId="19" xfId="0" applyFont="1" applyFill="1" applyBorder="1" applyAlignment="1">
      <alignment horizontal="center" vertical="center"/>
    </xf>
    <xf numFmtId="0" fontId="324" fillId="25" borderId="21" xfId="0" applyFont="1" applyFill="1" applyBorder="1" applyAlignment="1">
      <alignment horizontal="center" vertical="center"/>
    </xf>
    <xf numFmtId="0" fontId="324" fillId="59" borderId="38" xfId="0" applyFont="1" applyFill="1" applyBorder="1" applyAlignment="1">
      <alignment horizontal="center" vertical="center"/>
    </xf>
    <xf numFmtId="0" fontId="324" fillId="59" borderId="40" xfId="0" applyFont="1" applyFill="1" applyBorder="1" applyAlignment="1">
      <alignment horizontal="center" vertical="center"/>
    </xf>
    <xf numFmtId="0" fontId="324" fillId="59" borderId="19" xfId="0" applyFont="1" applyFill="1" applyBorder="1" applyAlignment="1">
      <alignment horizontal="center" vertical="center"/>
    </xf>
    <xf numFmtId="0" fontId="324" fillId="59" borderId="21" xfId="0" applyFont="1" applyFill="1" applyBorder="1" applyAlignment="1">
      <alignment horizontal="center" vertical="center"/>
    </xf>
    <xf numFmtId="165" fontId="103" fillId="54" borderId="38" xfId="0" applyNumberFormat="1" applyFont="1" applyFill="1" applyBorder="1" applyAlignment="1">
      <alignment horizontal="right" vertical="center"/>
    </xf>
    <xf numFmtId="165" fontId="103" fillId="54" borderId="19" xfId="0" applyNumberFormat="1" applyFont="1" applyFill="1" applyBorder="1" applyAlignment="1">
      <alignment horizontal="right" vertical="center"/>
    </xf>
    <xf numFmtId="0" fontId="167" fillId="54" borderId="40" xfId="0" applyFont="1" applyFill="1" applyBorder="1" applyAlignment="1">
      <alignment horizontal="left" vertical="center"/>
    </xf>
    <xf numFmtId="0" fontId="167" fillId="54" borderId="21" xfId="0" applyFont="1" applyFill="1" applyBorder="1" applyAlignment="1">
      <alignment horizontal="left" vertical="center"/>
    </xf>
    <xf numFmtId="0" fontId="103" fillId="54" borderId="38" xfId="0" applyFont="1" applyFill="1" applyBorder="1" applyAlignment="1">
      <alignment horizontal="right" vertical="center"/>
    </xf>
    <xf numFmtId="0" fontId="103" fillId="54" borderId="19" xfId="0" applyFont="1" applyFill="1" applyBorder="1" applyAlignment="1">
      <alignment horizontal="right" vertical="center"/>
    </xf>
    <xf numFmtId="0" fontId="167" fillId="35" borderId="24" xfId="0" applyFont="1" applyFill="1" applyBorder="1" applyAlignment="1">
      <alignment horizontal="left" vertical="center"/>
    </xf>
    <xf numFmtId="0" fontId="167" fillId="35" borderId="16" xfId="0" applyFont="1" applyFill="1" applyBorder="1" applyAlignment="1">
      <alignment horizontal="left" vertical="center"/>
    </xf>
    <xf numFmtId="0" fontId="167" fillId="35" borderId="28" xfId="0" applyFont="1" applyFill="1" applyBorder="1" applyAlignment="1">
      <alignment horizontal="left" vertical="center"/>
    </xf>
    <xf numFmtId="0" fontId="481" fillId="54" borderId="0" xfId="0" applyFont="1" applyFill="1" applyAlignment="1">
      <alignment horizontal="center" vertical="center" wrapText="1"/>
    </xf>
    <xf numFmtId="0" fontId="482" fillId="54" borderId="0" xfId="0" applyFont="1" applyFill="1" applyAlignment="1">
      <alignment horizontal="center" vertical="center" wrapText="1"/>
    </xf>
    <xf numFmtId="0" fontId="482" fillId="54" borderId="18" xfId="0" applyFont="1" applyFill="1" applyBorder="1" applyAlignment="1">
      <alignment horizontal="center" vertical="center" wrapText="1"/>
    </xf>
    <xf numFmtId="165" fontId="103" fillId="35" borderId="45" xfId="0" applyNumberFormat="1" applyFont="1" applyFill="1" applyBorder="1" applyAlignment="1">
      <alignment horizontal="right" vertical="center"/>
    </xf>
    <xf numFmtId="165" fontId="103" fillId="35" borderId="18" xfId="0" applyNumberFormat="1" applyFont="1" applyFill="1" applyBorder="1" applyAlignment="1">
      <alignment horizontal="right" vertical="center"/>
    </xf>
    <xf numFmtId="165" fontId="103" fillId="35" borderId="50" xfId="0" applyNumberFormat="1" applyFont="1" applyFill="1" applyBorder="1" applyAlignment="1">
      <alignment horizontal="right" vertical="center"/>
    </xf>
    <xf numFmtId="0" fontId="167" fillId="35" borderId="31" xfId="0" applyFont="1" applyFill="1" applyBorder="1" applyAlignment="1">
      <alignment horizontal="left" vertical="center"/>
    </xf>
    <xf numFmtId="0" fontId="167" fillId="35" borderId="17" xfId="0" applyFont="1" applyFill="1" applyBorder="1" applyAlignment="1">
      <alignment horizontal="left" vertical="center"/>
    </xf>
    <xf numFmtId="0" fontId="167" fillId="35" borderId="36" xfId="0" applyFont="1" applyFill="1" applyBorder="1" applyAlignment="1">
      <alignment horizontal="left" vertical="center"/>
    </xf>
    <xf numFmtId="0" fontId="103" fillId="35" borderId="45" xfId="0" applyFont="1" applyFill="1" applyBorder="1" applyAlignment="1">
      <alignment horizontal="right" vertical="center"/>
    </xf>
    <xf numFmtId="0" fontId="103" fillId="35" borderId="18" xfId="0" applyFont="1" applyFill="1" applyBorder="1" applyAlignment="1">
      <alignment horizontal="right" vertical="center"/>
    </xf>
    <xf numFmtId="0" fontId="103" fillId="35" borderId="50" xfId="0" applyFont="1" applyFill="1" applyBorder="1" applyAlignment="1">
      <alignment horizontal="right" vertical="center"/>
    </xf>
    <xf numFmtId="165" fontId="103" fillId="54" borderId="18" xfId="0" applyNumberFormat="1" applyFont="1" applyFill="1" applyBorder="1" applyAlignment="1">
      <alignment horizontal="right" vertical="center"/>
    </xf>
    <xf numFmtId="0" fontId="167" fillId="54" borderId="17" xfId="0" applyFont="1" applyFill="1" applyBorder="1" applyAlignment="1">
      <alignment horizontal="left" vertical="center"/>
    </xf>
    <xf numFmtId="0" fontId="103" fillId="54" borderId="18" xfId="0" applyFont="1" applyFill="1" applyBorder="1" applyAlignment="1">
      <alignment horizontal="right" vertical="center"/>
    </xf>
    <xf numFmtId="1" fontId="11" fillId="36" borderId="0" xfId="0" applyNumberFormat="1" applyFont="1" applyFill="1" applyAlignment="1">
      <alignment horizontal="center" vertical="center"/>
    </xf>
    <xf numFmtId="0" fontId="150" fillId="2" borderId="0" xfId="0" applyFont="1" applyFill="1" applyAlignment="1">
      <alignment horizontal="right"/>
    </xf>
    <xf numFmtId="0" fontId="148" fillId="2" borderId="0" xfId="0" applyFont="1" applyFill="1" applyAlignment="1">
      <alignment horizontal="right" vertical="center"/>
    </xf>
    <xf numFmtId="0" fontId="249" fillId="2" borderId="0" xfId="0" applyFont="1" applyFill="1" applyAlignment="1">
      <alignment horizontal="right"/>
    </xf>
    <xf numFmtId="0" fontId="12" fillId="2" borderId="0" xfId="0" applyFont="1" applyFill="1" applyAlignment="1">
      <alignment horizontal="left" vertical="center"/>
    </xf>
    <xf numFmtId="0" fontId="321" fillId="66" borderId="4" xfId="0" applyFont="1" applyFill="1" applyBorder="1" applyAlignment="1">
      <alignment horizontal="center" vertical="center"/>
    </xf>
    <xf numFmtId="0" fontId="321" fillId="66" borderId="5" xfId="0" applyFont="1" applyFill="1" applyBorder="1" applyAlignment="1">
      <alignment horizontal="center" vertical="center"/>
    </xf>
    <xf numFmtId="0" fontId="321" fillId="66" borderId="6" xfId="0" applyFont="1" applyFill="1" applyBorder="1" applyAlignment="1">
      <alignment horizontal="center" vertical="center"/>
    </xf>
    <xf numFmtId="0" fontId="321" fillId="66" borderId="7" xfId="0" applyFont="1" applyFill="1" applyBorder="1" applyAlignment="1">
      <alignment horizontal="center" vertical="center"/>
    </xf>
    <xf numFmtId="0" fontId="321" fillId="66" borderId="8" xfId="0" applyFont="1" applyFill="1" applyBorder="1" applyAlignment="1">
      <alignment horizontal="center" vertical="center"/>
    </xf>
    <xf numFmtId="0" fontId="321" fillId="66" borderId="9" xfId="0" applyFont="1" applyFill="1" applyBorder="1" applyAlignment="1">
      <alignment horizontal="center" vertical="center"/>
    </xf>
    <xf numFmtId="0" fontId="111" fillId="2" borderId="0" xfId="0" applyFont="1" applyFill="1" applyAlignment="1">
      <alignment horizontal="right"/>
    </xf>
    <xf numFmtId="0" fontId="189" fillId="2" borderId="0" xfId="0" applyFont="1" applyFill="1" applyAlignment="1">
      <alignment horizontal="right" vertical="center"/>
    </xf>
    <xf numFmtId="0" fontId="355" fillId="2" borderId="0" xfId="0" applyFont="1" applyFill="1" applyAlignment="1">
      <alignment horizontal="right"/>
    </xf>
    <xf numFmtId="0" fontId="0" fillId="32" borderId="8" xfId="0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/>
    </xf>
    <xf numFmtId="0" fontId="45" fillId="2" borderId="2" xfId="0" applyFont="1" applyFill="1" applyBorder="1" applyAlignment="1">
      <alignment horizontal="center"/>
    </xf>
    <xf numFmtId="0" fontId="45" fillId="2" borderId="3" xfId="0" applyFont="1" applyFill="1" applyBorder="1" applyAlignment="1">
      <alignment horizontal="center"/>
    </xf>
    <xf numFmtId="0" fontId="12" fillId="2" borderId="0" xfId="0" applyFont="1" applyFill="1" applyAlignment="1">
      <alignment horizontal="right"/>
    </xf>
    <xf numFmtId="0" fontId="12" fillId="2" borderId="0" xfId="0" applyFont="1" applyFill="1" applyAlignment="1">
      <alignment horizontal="right" vertical="center"/>
    </xf>
    <xf numFmtId="0" fontId="155" fillId="2" borderId="0" xfId="0" applyFont="1" applyFill="1" applyAlignment="1">
      <alignment horizontal="right"/>
    </xf>
    <xf numFmtId="0" fontId="319" fillId="32" borderId="96" xfId="0" applyFont="1" applyFill="1" applyBorder="1" applyAlignment="1">
      <alignment horizontal="center"/>
    </xf>
    <xf numFmtId="0" fontId="319" fillId="32" borderId="95" xfId="0" applyFont="1" applyFill="1" applyBorder="1" applyAlignment="1">
      <alignment horizontal="center"/>
    </xf>
    <xf numFmtId="0" fontId="319" fillId="32" borderId="97" xfId="0" applyFont="1" applyFill="1" applyBorder="1" applyAlignment="1">
      <alignment horizontal="center"/>
    </xf>
    <xf numFmtId="0" fontId="321" fillId="33" borderId="23" xfId="0" applyFont="1" applyFill="1" applyBorder="1" applyAlignment="1">
      <alignment horizontal="center" vertical="center"/>
    </xf>
    <xf numFmtId="0" fontId="321" fillId="33" borderId="103" xfId="0" applyFont="1" applyFill="1" applyBorder="1" applyAlignment="1">
      <alignment horizontal="center" vertical="center"/>
    </xf>
    <xf numFmtId="0" fontId="321" fillId="33" borderId="20" xfId="0" applyFont="1" applyFill="1" applyBorder="1" applyAlignment="1">
      <alignment horizontal="center" vertical="center"/>
    </xf>
    <xf numFmtId="0" fontId="321" fillId="33" borderId="104" xfId="0" applyFont="1" applyFill="1" applyBorder="1" applyAlignment="1">
      <alignment horizontal="center" vertical="center"/>
    </xf>
    <xf numFmtId="0" fontId="317" fillId="2" borderId="56" xfId="0" applyFont="1" applyFill="1" applyBorder="1" applyAlignment="1">
      <alignment horizontal="right"/>
    </xf>
    <xf numFmtId="0" fontId="317" fillId="2" borderId="15" xfId="0" applyFont="1" applyFill="1" applyBorder="1" applyAlignment="1">
      <alignment horizontal="right"/>
    </xf>
    <xf numFmtId="0" fontId="117" fillId="0" borderId="13" xfId="5" applyBorder="1" applyAlignment="1">
      <alignment horizontal="center" vertical="center" wrapText="1"/>
    </xf>
    <xf numFmtId="0" fontId="117" fillId="0" borderId="14" xfId="5" applyBorder="1" applyAlignment="1">
      <alignment horizontal="center" vertical="center" wrapText="1"/>
    </xf>
    <xf numFmtId="0" fontId="117" fillId="0" borderId="15" xfId="5" applyBorder="1" applyAlignment="1">
      <alignment horizontal="center" vertical="center" wrapText="1"/>
    </xf>
    <xf numFmtId="0" fontId="45" fillId="2" borderId="0" xfId="0" applyFont="1" applyFill="1" applyAlignment="1">
      <alignment horizontal="left"/>
    </xf>
    <xf numFmtId="0" fontId="45" fillId="2" borderId="16" xfId="0" applyFont="1" applyFill="1" applyBorder="1" applyAlignment="1">
      <alignment horizontal="left"/>
    </xf>
    <xf numFmtId="0" fontId="318" fillId="63" borderId="43" xfId="0" applyFont="1" applyFill="1" applyBorder="1" applyAlignment="1">
      <alignment horizontal="center" vertical="center" wrapText="1"/>
    </xf>
    <xf numFmtId="0" fontId="318" fillId="63" borderId="44" xfId="0" applyFont="1" applyFill="1" applyBorder="1" applyAlignment="1">
      <alignment horizontal="center" vertical="center" wrapText="1"/>
    </xf>
    <xf numFmtId="0" fontId="318" fillId="63" borderId="66" xfId="0" applyFont="1" applyFill="1" applyBorder="1" applyAlignment="1">
      <alignment horizontal="center" vertical="center" wrapText="1"/>
    </xf>
    <xf numFmtId="0" fontId="321" fillId="43" borderId="4" xfId="0" applyFont="1" applyFill="1" applyBorder="1" applyAlignment="1">
      <alignment horizontal="center" vertical="center"/>
    </xf>
    <xf numFmtId="0" fontId="321" fillId="43" borderId="5" xfId="0" applyFont="1" applyFill="1" applyBorder="1" applyAlignment="1">
      <alignment horizontal="center" vertical="center"/>
    </xf>
    <xf numFmtId="0" fontId="321" fillId="43" borderId="6" xfId="0" applyFont="1" applyFill="1" applyBorder="1" applyAlignment="1">
      <alignment horizontal="center" vertical="center"/>
    </xf>
    <xf numFmtId="0" fontId="321" fillId="43" borderId="7" xfId="0" applyFont="1" applyFill="1" applyBorder="1" applyAlignment="1">
      <alignment horizontal="center" vertical="center"/>
    </xf>
    <xf numFmtId="0" fontId="321" fillId="43" borderId="8" xfId="0" applyFont="1" applyFill="1" applyBorder="1" applyAlignment="1">
      <alignment horizontal="center" vertical="center"/>
    </xf>
    <xf numFmtId="0" fontId="321" fillId="43" borderId="9" xfId="0" applyFont="1" applyFill="1" applyBorder="1" applyAlignment="1">
      <alignment horizontal="center" vertical="center"/>
    </xf>
    <xf numFmtId="0" fontId="492" fillId="2" borderId="0" xfId="0" applyFont="1" applyFill="1" applyAlignment="1">
      <alignment horizontal="right"/>
    </xf>
    <xf numFmtId="0" fontId="321" fillId="65" borderId="4" xfId="0" applyFont="1" applyFill="1" applyBorder="1" applyAlignment="1">
      <alignment horizontal="center" vertical="center"/>
    </xf>
    <xf numFmtId="0" fontId="321" fillId="65" borderId="5" xfId="0" applyFont="1" applyFill="1" applyBorder="1" applyAlignment="1">
      <alignment horizontal="center" vertical="center"/>
    </xf>
    <xf numFmtId="0" fontId="321" fillId="65" borderId="6" xfId="0" applyFont="1" applyFill="1" applyBorder="1" applyAlignment="1">
      <alignment horizontal="center" vertical="center"/>
    </xf>
    <xf numFmtId="0" fontId="321" fillId="65" borderId="7" xfId="0" applyFont="1" applyFill="1" applyBorder="1" applyAlignment="1">
      <alignment horizontal="center" vertical="center"/>
    </xf>
    <xf numFmtId="0" fontId="321" fillId="65" borderId="8" xfId="0" applyFont="1" applyFill="1" applyBorder="1" applyAlignment="1">
      <alignment horizontal="center" vertical="center"/>
    </xf>
    <xf numFmtId="0" fontId="321" fillId="65" borderId="9" xfId="0" applyFont="1" applyFill="1" applyBorder="1" applyAlignment="1">
      <alignment horizontal="center" vertical="center"/>
    </xf>
    <xf numFmtId="0" fontId="321" fillId="66" borderId="110" xfId="0" applyFont="1" applyFill="1" applyBorder="1" applyAlignment="1">
      <alignment horizontal="center" vertical="center"/>
    </xf>
    <xf numFmtId="0" fontId="321" fillId="66" borderId="105" xfId="0" applyFont="1" applyFill="1" applyBorder="1" applyAlignment="1">
      <alignment horizontal="center" vertical="center"/>
    </xf>
    <xf numFmtId="0" fontId="322" fillId="32" borderId="23" xfId="0" applyFont="1" applyFill="1" applyBorder="1" applyAlignment="1">
      <alignment horizontal="center" vertical="center"/>
    </xf>
    <xf numFmtId="0" fontId="322" fillId="32" borderId="24" xfId="0" applyFont="1" applyFill="1" applyBorder="1" applyAlignment="1">
      <alignment horizontal="center" vertical="center"/>
    </xf>
    <xf numFmtId="0" fontId="322" fillId="32" borderId="20" xfId="0" applyFont="1" applyFill="1" applyBorder="1" applyAlignment="1">
      <alignment horizontal="center" vertical="center"/>
    </xf>
    <xf numFmtId="0" fontId="322" fillId="32" borderId="82" xfId="0" applyFont="1" applyFill="1" applyBorder="1" applyAlignment="1">
      <alignment horizontal="center" vertical="center"/>
    </xf>
    <xf numFmtId="1" fontId="22" fillId="2" borderId="0" xfId="0" applyNumberFormat="1" applyFont="1" applyFill="1" applyAlignment="1">
      <alignment horizontal="center" vertical="center"/>
    </xf>
    <xf numFmtId="0" fontId="23" fillId="2" borderId="0" xfId="0" applyFont="1" applyFill="1" applyAlignment="1">
      <alignment horizontal="center"/>
    </xf>
    <xf numFmtId="0" fontId="0" fillId="32" borderId="7" xfId="0" applyFill="1" applyBorder="1" applyAlignment="1">
      <alignment horizontal="center" vertical="center"/>
    </xf>
    <xf numFmtId="0" fontId="192" fillId="29" borderId="1" xfId="0" applyFont="1" applyFill="1" applyBorder="1" applyAlignment="1">
      <alignment horizontal="left" vertical="center"/>
    </xf>
    <xf numFmtId="0" fontId="192" fillId="29" borderId="2" xfId="0" applyFont="1" applyFill="1" applyBorder="1" applyAlignment="1">
      <alignment horizontal="left" vertical="center"/>
    </xf>
    <xf numFmtId="0" fontId="192" fillId="29" borderId="3" xfId="0" applyFont="1" applyFill="1" applyBorder="1" applyAlignment="1">
      <alignment horizontal="left" vertical="center"/>
    </xf>
    <xf numFmtId="0" fontId="250" fillId="2" borderId="73" xfId="0" applyFont="1" applyFill="1" applyBorder="1" applyAlignment="1">
      <alignment horizontal="center" vertical="center" wrapText="1"/>
    </xf>
    <xf numFmtId="0" fontId="250" fillId="2" borderId="40" xfId="0" applyFont="1" applyFill="1" applyBorder="1" applyAlignment="1">
      <alignment horizontal="center" vertical="center" wrapText="1"/>
    </xf>
    <xf numFmtId="0" fontId="250" fillId="2" borderId="25" xfId="0" applyFont="1" applyFill="1" applyBorder="1" applyAlignment="1">
      <alignment horizontal="center" vertical="center" wrapText="1"/>
    </xf>
    <xf numFmtId="0" fontId="250" fillId="2" borderId="17" xfId="0" applyFont="1" applyFill="1" applyBorder="1" applyAlignment="1">
      <alignment horizontal="center" vertical="center" wrapText="1"/>
    </xf>
    <xf numFmtId="0" fontId="250" fillId="2" borderId="26" xfId="0" applyFont="1" applyFill="1" applyBorder="1" applyAlignment="1">
      <alignment horizontal="center" vertical="center" wrapText="1"/>
    </xf>
    <xf numFmtId="0" fontId="250" fillId="2" borderId="36" xfId="0" applyFont="1" applyFill="1" applyBorder="1" applyAlignment="1">
      <alignment horizontal="center" vertical="center" wrapText="1"/>
    </xf>
    <xf numFmtId="0" fontId="45" fillId="2" borderId="0" xfId="0" applyFont="1" applyFill="1" applyAlignment="1">
      <alignment horizontal="right"/>
    </xf>
    <xf numFmtId="0" fontId="45" fillId="2" borderId="16" xfId="0" applyFont="1" applyFill="1" applyBorder="1" applyAlignment="1">
      <alignment horizontal="right"/>
    </xf>
    <xf numFmtId="0" fontId="12" fillId="2" borderId="25" xfId="0" applyFont="1" applyFill="1" applyBorder="1" applyAlignment="1">
      <alignment horizontal="right"/>
    </xf>
    <xf numFmtId="0" fontId="12" fillId="2" borderId="0" xfId="0" applyFont="1" applyFill="1" applyAlignment="1">
      <alignment horizontal="left"/>
    </xf>
    <xf numFmtId="0" fontId="12" fillId="2" borderId="16" xfId="0" applyFont="1" applyFill="1" applyBorder="1" applyAlignment="1">
      <alignment horizontal="left"/>
    </xf>
    <xf numFmtId="0" fontId="9" fillId="51" borderId="0" xfId="0" applyFont="1" applyFill="1" applyAlignment="1">
      <alignment horizontal="center" vertical="center"/>
    </xf>
    <xf numFmtId="0" fontId="59" fillId="51" borderId="13" xfId="0" applyFont="1" applyFill="1" applyBorder="1" applyAlignment="1">
      <alignment horizontal="right" vertical="center"/>
    </xf>
    <xf numFmtId="0" fontId="59" fillId="51" borderId="15" xfId="0" applyFont="1" applyFill="1" applyBorder="1" applyAlignment="1">
      <alignment horizontal="right" vertical="center"/>
    </xf>
    <xf numFmtId="0" fontId="138" fillId="51" borderId="18" xfId="0" applyFont="1" applyFill="1" applyBorder="1" applyAlignment="1">
      <alignment horizontal="left" vertical="center"/>
    </xf>
    <xf numFmtId="0" fontId="138" fillId="51" borderId="0" xfId="0" applyFont="1" applyFill="1" applyAlignment="1">
      <alignment horizontal="left" vertical="center"/>
    </xf>
    <xf numFmtId="0" fontId="0" fillId="51" borderId="18" xfId="0" applyFill="1" applyBorder="1" applyAlignment="1">
      <alignment horizontal="center" vertical="center"/>
    </xf>
    <xf numFmtId="0" fontId="0" fillId="51" borderId="0" xfId="0" applyFill="1" applyAlignment="1">
      <alignment horizontal="center" vertical="center"/>
    </xf>
    <xf numFmtId="0" fontId="9" fillId="51" borderId="18" xfId="0" applyFont="1" applyFill="1" applyBorder="1" applyAlignment="1">
      <alignment horizontal="center" vertical="center"/>
    </xf>
    <xf numFmtId="0" fontId="1" fillId="51" borderId="0" xfId="0" applyFont="1" applyFill="1" applyAlignment="1">
      <alignment horizontal="center" vertical="center"/>
    </xf>
    <xf numFmtId="0" fontId="9" fillId="49" borderId="0" xfId="0" applyFont="1" applyFill="1" applyAlignment="1">
      <alignment horizontal="right" vertical="center"/>
    </xf>
    <xf numFmtId="0" fontId="389" fillId="73" borderId="0" xfId="0" applyFont="1" applyFill="1" applyAlignment="1">
      <alignment horizontal="center" vertical="center"/>
    </xf>
    <xf numFmtId="0" fontId="96" fillId="73" borderId="0" xfId="0" applyFont="1" applyFill="1" applyAlignment="1">
      <alignment horizontal="center" vertical="center"/>
    </xf>
    <xf numFmtId="0" fontId="96" fillId="73" borderId="16" xfId="0" applyFont="1" applyFill="1" applyBorder="1" applyAlignment="1">
      <alignment horizontal="center" vertical="center"/>
    </xf>
    <xf numFmtId="0" fontId="96" fillId="73" borderId="0" xfId="0" applyFont="1" applyFill="1" applyAlignment="1">
      <alignment horizontal="left" vertical="center"/>
    </xf>
    <xf numFmtId="0" fontId="0" fillId="73" borderId="0" xfId="0" applyFill="1" applyAlignment="1">
      <alignment horizontal="right" vertical="center"/>
    </xf>
    <xf numFmtId="0" fontId="93" fillId="73" borderId="0" xfId="0" applyFont="1" applyFill="1" applyAlignment="1">
      <alignment horizontal="center" vertical="center"/>
    </xf>
    <xf numFmtId="0" fontId="93" fillId="73" borderId="16" xfId="0" applyFont="1" applyFill="1" applyBorder="1" applyAlignment="1">
      <alignment horizontal="center" vertical="center"/>
    </xf>
    <xf numFmtId="0" fontId="9" fillId="69" borderId="0" xfId="0" applyFont="1" applyFill="1" applyAlignment="1">
      <alignment horizontal="right" vertical="center"/>
    </xf>
    <xf numFmtId="0" fontId="348" fillId="69" borderId="0" xfId="0" applyFont="1" applyFill="1" applyAlignment="1">
      <alignment horizontal="right" vertical="center"/>
    </xf>
    <xf numFmtId="0" fontId="111" fillId="20" borderId="0" xfId="0" applyFont="1" applyFill="1" applyAlignment="1">
      <alignment horizontal="right"/>
    </xf>
    <xf numFmtId="0" fontId="9" fillId="50" borderId="0" xfId="0" applyFont="1" applyFill="1" applyAlignment="1">
      <alignment horizontal="right" vertical="center"/>
    </xf>
    <xf numFmtId="0" fontId="265" fillId="50" borderId="13" xfId="0" applyFont="1" applyFill="1" applyBorder="1" applyAlignment="1">
      <alignment horizontal="right" vertical="center"/>
    </xf>
    <xf numFmtId="0" fontId="265" fillId="50" borderId="14" xfId="0" applyFont="1" applyFill="1" applyBorder="1" applyAlignment="1">
      <alignment horizontal="right" vertical="center"/>
    </xf>
    <xf numFmtId="0" fontId="35" fillId="50" borderId="0" xfId="0" applyFont="1" applyFill="1" applyAlignment="1">
      <alignment horizontal="center" vertical="center"/>
    </xf>
    <xf numFmtId="0" fontId="35" fillId="50" borderId="17" xfId="0" applyFont="1" applyFill="1" applyBorder="1" applyAlignment="1">
      <alignment horizontal="center" vertical="center"/>
    </xf>
    <xf numFmtId="0" fontId="35" fillId="50" borderId="0" xfId="0" applyFont="1" applyFill="1" applyAlignment="1">
      <alignment horizontal="right" vertical="center"/>
    </xf>
    <xf numFmtId="0" fontId="265" fillId="50" borderId="0" xfId="0" applyFont="1" applyFill="1" applyAlignment="1">
      <alignment horizontal="right" vertical="center"/>
    </xf>
    <xf numFmtId="0" fontId="312" fillId="49" borderId="22" xfId="0" applyFont="1" applyFill="1" applyBorder="1" applyAlignment="1">
      <alignment horizontal="center" vertical="center"/>
    </xf>
    <xf numFmtId="0" fontId="312" fillId="49" borderId="23" xfId="0" applyFont="1" applyFill="1" applyBorder="1" applyAlignment="1">
      <alignment horizontal="center" vertical="center"/>
    </xf>
    <xf numFmtId="0" fontId="312" fillId="49" borderId="24" xfId="0" applyFont="1" applyFill="1" applyBorder="1" applyAlignment="1">
      <alignment horizontal="center" vertical="center"/>
    </xf>
    <xf numFmtId="0" fontId="59" fillId="25" borderId="54" xfId="0" applyFont="1" applyFill="1" applyBorder="1" applyAlignment="1">
      <alignment horizontal="center" vertical="center"/>
    </xf>
    <xf numFmtId="0" fontId="0" fillId="25" borderId="32" xfId="0" applyFill="1" applyBorder="1" applyAlignment="1">
      <alignment horizontal="center" vertical="center"/>
    </xf>
    <xf numFmtId="0" fontId="0" fillId="25" borderId="55" xfId="0" applyFill="1" applyBorder="1" applyAlignment="1">
      <alignment horizontal="center" vertical="center"/>
    </xf>
    <xf numFmtId="0" fontId="406" fillId="32" borderId="1" xfId="0" applyFont="1" applyFill="1" applyBorder="1" applyAlignment="1">
      <alignment horizontal="center" vertical="center"/>
    </xf>
    <xf numFmtId="0" fontId="406" fillId="32" borderId="2" xfId="0" applyFont="1" applyFill="1" applyBorder="1" applyAlignment="1">
      <alignment horizontal="center" vertical="center"/>
    </xf>
    <xf numFmtId="0" fontId="406" fillId="32" borderId="3" xfId="0" applyFont="1" applyFill="1" applyBorder="1" applyAlignment="1">
      <alignment horizontal="center" vertical="center"/>
    </xf>
    <xf numFmtId="0" fontId="314" fillId="43" borderId="0" xfId="0" applyFont="1" applyFill="1" applyAlignment="1">
      <alignment horizontal="left" vertical="center"/>
    </xf>
    <xf numFmtId="0" fontId="9" fillId="43" borderId="0" xfId="0" applyFont="1" applyFill="1" applyAlignment="1">
      <alignment horizontal="right" vertical="center"/>
    </xf>
    <xf numFmtId="0" fontId="314" fillId="43" borderId="23" xfId="0" applyFont="1" applyFill="1" applyBorder="1" applyAlignment="1">
      <alignment horizontal="left" vertical="center"/>
    </xf>
    <xf numFmtId="3" fontId="299" fillId="10" borderId="1" xfId="0" applyNumberFormat="1" applyFont="1" applyFill="1" applyBorder="1" applyAlignment="1" applyProtection="1">
      <alignment horizontal="right" vertical="center"/>
      <protection locked="0"/>
    </xf>
    <xf numFmtId="3" fontId="299" fillId="10" borderId="3" xfId="0" applyNumberFormat="1" applyFont="1" applyFill="1" applyBorder="1" applyAlignment="1" applyProtection="1">
      <alignment horizontal="right" vertical="center"/>
      <protection locked="0"/>
    </xf>
    <xf numFmtId="2" fontId="297" fillId="62" borderId="13" xfId="0" applyNumberFormat="1" applyFont="1" applyFill="1" applyBorder="1" applyAlignment="1">
      <alignment horizontal="right"/>
    </xf>
    <xf numFmtId="2" fontId="297" fillId="62" borderId="14" xfId="0" applyNumberFormat="1" applyFont="1" applyFill="1" applyBorder="1" applyAlignment="1">
      <alignment horizontal="right"/>
    </xf>
    <xf numFmtId="0" fontId="297" fillId="62" borderId="25" xfId="0" applyFont="1" applyFill="1" applyBorder="1" applyAlignment="1">
      <alignment horizontal="center" vertical="center"/>
    </xf>
    <xf numFmtId="0" fontId="297" fillId="62" borderId="0" xfId="0" applyFont="1" applyFill="1" applyAlignment="1">
      <alignment horizontal="center" vertical="center"/>
    </xf>
    <xf numFmtId="0" fontId="308" fillId="62" borderId="0" xfId="0" applyFont="1" applyFill="1" applyAlignment="1">
      <alignment horizontal="center" vertical="center"/>
    </xf>
    <xf numFmtId="0" fontId="308" fillId="62" borderId="0" xfId="0" applyFont="1" applyFill="1" applyAlignment="1">
      <alignment horizontal="left"/>
    </xf>
    <xf numFmtId="0" fontId="292" fillId="62" borderId="1" xfId="0" applyFont="1" applyFill="1" applyBorder="1" applyAlignment="1">
      <alignment horizontal="center" vertical="center"/>
    </xf>
    <xf numFmtId="0" fontId="292" fillId="62" borderId="2" xfId="0" applyFont="1" applyFill="1" applyBorder="1" applyAlignment="1">
      <alignment horizontal="center" vertical="center"/>
    </xf>
    <xf numFmtId="0" fontId="294" fillId="62" borderId="2" xfId="0" applyFont="1" applyFill="1" applyBorder="1" applyAlignment="1">
      <alignment horizontal="left"/>
    </xf>
    <xf numFmtId="0" fontId="294" fillId="62" borderId="3" xfId="0" applyFont="1" applyFill="1" applyBorder="1" applyAlignment="1">
      <alignment horizontal="left"/>
    </xf>
    <xf numFmtId="0" fontId="299" fillId="62" borderId="0" xfId="0" applyFont="1" applyFill="1" applyAlignment="1">
      <alignment horizontal="left" vertical="center"/>
    </xf>
    <xf numFmtId="0" fontId="295" fillId="62" borderId="0" xfId="0" applyFont="1" applyFill="1" applyAlignment="1">
      <alignment horizontal="center" vertical="center"/>
    </xf>
    <xf numFmtId="0" fontId="306" fillId="62" borderId="0" xfId="0" applyFont="1" applyFill="1" applyAlignment="1">
      <alignment horizontal="center" vertical="top"/>
    </xf>
    <xf numFmtId="0" fontId="0" fillId="62" borderId="0" xfId="0" applyFill="1" applyAlignment="1">
      <alignment horizontal="center" vertical="center"/>
    </xf>
    <xf numFmtId="0" fontId="287" fillId="10" borderId="13" xfId="0" applyFont="1" applyFill="1" applyBorder="1" applyAlignment="1" applyProtection="1">
      <alignment horizontal="center" vertical="center"/>
      <protection locked="0"/>
    </xf>
    <xf numFmtId="0" fontId="287" fillId="10" borderId="14" xfId="0" applyFont="1" applyFill="1" applyBorder="1" applyAlignment="1" applyProtection="1">
      <alignment horizontal="center" vertical="center"/>
      <protection locked="0"/>
    </xf>
    <xf numFmtId="0" fontId="287" fillId="10" borderId="15" xfId="0" applyFont="1" applyFill="1" applyBorder="1" applyAlignment="1" applyProtection="1">
      <alignment horizontal="center" vertical="center"/>
      <protection locked="0"/>
    </xf>
    <xf numFmtId="0" fontId="288" fillId="62" borderId="0" xfId="0" applyFont="1" applyFill="1" applyAlignment="1">
      <alignment horizontal="right"/>
    </xf>
    <xf numFmtId="0" fontId="288" fillId="62" borderId="16" xfId="0" applyFont="1" applyFill="1" applyBorder="1" applyAlignment="1">
      <alignment horizontal="right"/>
    </xf>
    <xf numFmtId="0" fontId="307" fillId="62" borderId="0" xfId="0" applyFont="1" applyFill="1" applyAlignment="1">
      <alignment horizontal="center" vertical="center"/>
    </xf>
    <xf numFmtId="1" fontId="292" fillId="62" borderId="1" xfId="0" applyNumberFormat="1" applyFont="1" applyFill="1" applyBorder="1" applyAlignment="1">
      <alignment horizontal="center" vertical="center"/>
    </xf>
    <xf numFmtId="1" fontId="292" fillId="62" borderId="2" xfId="0" applyNumberFormat="1" applyFont="1" applyFill="1" applyBorder="1" applyAlignment="1">
      <alignment horizontal="center" vertical="center"/>
    </xf>
    <xf numFmtId="0" fontId="292" fillId="10" borderId="1" xfId="0" applyFont="1" applyFill="1" applyBorder="1" applyAlignment="1" applyProtection="1">
      <alignment horizontal="center" vertical="center"/>
      <protection locked="0"/>
    </xf>
    <xf numFmtId="0" fontId="292" fillId="10" borderId="2" xfId="0" applyFont="1" applyFill="1" applyBorder="1" applyAlignment="1" applyProtection="1">
      <alignment horizontal="center" vertical="center"/>
      <protection locked="0"/>
    </xf>
    <xf numFmtId="0" fontId="294" fillId="10" borderId="2" xfId="0" applyFont="1" applyFill="1" applyBorder="1" applyAlignment="1">
      <alignment horizontal="left"/>
    </xf>
    <xf numFmtId="0" fontId="294" fillId="10" borderId="3" xfId="0" applyFont="1" applyFill="1" applyBorder="1" applyAlignment="1">
      <alignment horizontal="left"/>
    </xf>
    <xf numFmtId="0" fontId="296" fillId="62" borderId="0" xfId="0" applyFont="1" applyFill="1" applyAlignment="1">
      <alignment horizontal="left"/>
    </xf>
    <xf numFmtId="0" fontId="298" fillId="62" borderId="0" xfId="0" applyFont="1" applyFill="1" applyAlignment="1">
      <alignment horizontal="center" vertical="center"/>
    </xf>
    <xf numFmtId="0" fontId="297" fillId="62" borderId="0" xfId="0" applyFont="1" applyFill="1" applyAlignment="1">
      <alignment horizontal="left" vertical="center"/>
    </xf>
    <xf numFmtId="0" fontId="12" fillId="62" borderId="0" xfId="0" applyFont="1" applyFill="1" applyAlignment="1">
      <alignment horizontal="right"/>
    </xf>
    <xf numFmtId="0" fontId="299" fillId="62" borderId="0" xfId="0" applyFont="1" applyFill="1" applyAlignment="1">
      <alignment horizontal="right"/>
    </xf>
    <xf numFmtId="3" fontId="297" fillId="62" borderId="13" xfId="0" applyNumberFormat="1" applyFont="1" applyFill="1" applyBorder="1" applyAlignment="1">
      <alignment horizontal="right"/>
    </xf>
    <xf numFmtId="3" fontId="297" fillId="62" borderId="14" xfId="0" applyNumberFormat="1" applyFont="1" applyFill="1" applyBorder="1" applyAlignment="1">
      <alignment horizontal="right"/>
    </xf>
    <xf numFmtId="0" fontId="297" fillId="62" borderId="0" xfId="0" applyFont="1" applyFill="1" applyAlignment="1">
      <alignment horizontal="right"/>
    </xf>
    <xf numFmtId="2" fontId="299" fillId="62" borderId="0" xfId="0" applyNumberFormat="1" applyFont="1" applyFill="1" applyAlignment="1">
      <alignment horizontal="right" vertical="center"/>
    </xf>
    <xf numFmtId="0" fontId="298" fillId="62" borderId="0" xfId="0" applyFont="1" applyFill="1" applyAlignment="1">
      <alignment horizontal="left" vertical="center"/>
    </xf>
    <xf numFmtId="0" fontId="294" fillId="62" borderId="0" xfId="0" applyFont="1" applyFill="1" applyAlignment="1">
      <alignment horizontal="right" vertical="top"/>
    </xf>
    <xf numFmtId="0" fontId="70" fillId="37" borderId="22" xfId="0" applyFont="1" applyFill="1" applyBorder="1" applyAlignment="1">
      <alignment horizontal="center" vertical="center" readingOrder="1"/>
    </xf>
    <xf numFmtId="0" fontId="70" fillId="37" borderId="23" xfId="0" applyFont="1" applyFill="1" applyBorder="1" applyAlignment="1">
      <alignment horizontal="center" vertical="center" readingOrder="1"/>
    </xf>
    <xf numFmtId="0" fontId="70" fillId="37" borderId="24" xfId="0" applyFont="1" applyFill="1" applyBorder="1" applyAlignment="1">
      <alignment horizontal="center" vertical="center" readingOrder="1"/>
    </xf>
    <xf numFmtId="0" fontId="69" fillId="37" borderId="25" xfId="0" applyFont="1" applyFill="1" applyBorder="1" applyAlignment="1">
      <alignment horizontal="center" vertical="center" readingOrder="1"/>
    </xf>
    <xf numFmtId="0" fontId="69" fillId="37" borderId="0" xfId="0" applyFont="1" applyFill="1" applyAlignment="1">
      <alignment horizontal="center" vertical="center" readingOrder="1"/>
    </xf>
    <xf numFmtId="0" fontId="69" fillId="37" borderId="16" xfId="0" applyFont="1" applyFill="1" applyBorder="1" applyAlignment="1">
      <alignment horizontal="center" vertical="center" readingOrder="1"/>
    </xf>
    <xf numFmtId="0" fontId="70" fillId="37" borderId="26" xfId="0" applyFont="1" applyFill="1" applyBorder="1" applyAlignment="1">
      <alignment horizontal="center" readingOrder="1"/>
    </xf>
    <xf numFmtId="0" fontId="70" fillId="37" borderId="27" xfId="0" applyFont="1" applyFill="1" applyBorder="1" applyAlignment="1">
      <alignment horizontal="center" readingOrder="1"/>
    </xf>
    <xf numFmtId="0" fontId="70" fillId="37" borderId="28" xfId="0" applyFont="1" applyFill="1" applyBorder="1" applyAlignment="1">
      <alignment horizontal="center" readingOrder="1"/>
    </xf>
    <xf numFmtId="0" fontId="0" fillId="32" borderId="0" xfId="0" applyFill="1" applyAlignment="1">
      <alignment horizontal="right"/>
    </xf>
    <xf numFmtId="1" fontId="0" fillId="32" borderId="0" xfId="0" applyNumberFormat="1" applyFill="1" applyAlignment="1">
      <alignment horizontal="left"/>
    </xf>
    <xf numFmtId="0" fontId="0" fillId="32" borderId="0" xfId="0" applyFill="1" applyAlignment="1">
      <alignment horizontal="left"/>
    </xf>
    <xf numFmtId="0" fontId="89" fillId="32" borderId="0" xfId="0" applyFont="1" applyFill="1" applyAlignment="1">
      <alignment horizontal="center" vertical="center"/>
    </xf>
    <xf numFmtId="0" fontId="0" fillId="32" borderId="0" xfId="0" applyFill="1" applyAlignment="1">
      <alignment horizontal="center"/>
    </xf>
    <xf numFmtId="1" fontId="0" fillId="32" borderId="0" xfId="0" applyNumberFormat="1" applyFill="1" applyAlignment="1">
      <alignment horizontal="center"/>
    </xf>
    <xf numFmtId="0" fontId="120" fillId="44" borderId="23" xfId="0" applyFont="1" applyFill="1" applyBorder="1" applyAlignment="1">
      <alignment horizontal="center"/>
    </xf>
    <xf numFmtId="0" fontId="73" fillId="4" borderId="38" xfId="0" applyFont="1" applyFill="1" applyBorder="1" applyAlignment="1">
      <alignment horizontal="left" vertical="center"/>
    </xf>
    <xf numFmtId="0" fontId="73" fillId="4" borderId="39" xfId="0" applyFont="1" applyFill="1" applyBorder="1" applyAlignment="1">
      <alignment horizontal="left" vertical="center"/>
    </xf>
    <xf numFmtId="3" fontId="74" fillId="5" borderId="13" xfId="0" applyNumberFormat="1" applyFont="1" applyFill="1" applyBorder="1" applyAlignment="1">
      <alignment horizontal="right" vertical="center"/>
    </xf>
    <xf numFmtId="3" fontId="74" fillId="5" borderId="14" xfId="0" applyNumberFormat="1" applyFont="1" applyFill="1" applyBorder="1" applyAlignment="1">
      <alignment horizontal="right" vertical="center"/>
    </xf>
    <xf numFmtId="0" fontId="75" fillId="7" borderId="14" xfId="0" applyFont="1" applyFill="1" applyBorder="1" applyAlignment="1">
      <alignment horizontal="left" vertical="center"/>
    </xf>
    <xf numFmtId="0" fontId="75" fillId="7" borderId="15" xfId="0" applyFont="1" applyFill="1" applyBorder="1" applyAlignment="1">
      <alignment horizontal="left" vertical="center"/>
    </xf>
    <xf numFmtId="0" fontId="143" fillId="44" borderId="0" xfId="0" applyFont="1" applyFill="1" applyAlignment="1">
      <alignment horizontal="left" vertical="center"/>
    </xf>
    <xf numFmtId="3" fontId="75" fillId="7" borderId="14" xfId="0" applyNumberFormat="1" applyFont="1" applyFill="1" applyBorder="1" applyAlignment="1">
      <alignment horizontal="right" vertical="center"/>
    </xf>
    <xf numFmtId="0" fontId="73" fillId="4" borderId="13" xfId="0" applyFont="1" applyFill="1" applyBorder="1" applyAlignment="1">
      <alignment horizontal="left" vertical="center"/>
    </xf>
    <xf numFmtId="0" fontId="73" fillId="4" borderId="14" xfId="0" applyFont="1" applyFill="1" applyBorder="1" applyAlignment="1">
      <alignment horizontal="left" vertical="center"/>
    </xf>
    <xf numFmtId="0" fontId="73" fillId="4" borderId="15" xfId="0" applyFont="1" applyFill="1" applyBorder="1" applyAlignment="1">
      <alignment horizontal="left" vertical="center"/>
    </xf>
    <xf numFmtId="0" fontId="75" fillId="5" borderId="13" xfId="0" applyFont="1" applyFill="1" applyBorder="1" applyAlignment="1">
      <alignment horizontal="center" vertical="center"/>
    </xf>
    <xf numFmtId="0" fontId="75" fillId="5" borderId="15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75" fillId="0" borderId="18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73" fillId="4" borderId="13" xfId="0" applyFont="1" applyFill="1" applyBorder="1" applyAlignment="1">
      <alignment horizontal="center" vertical="center"/>
    </xf>
    <xf numFmtId="0" fontId="73" fillId="4" borderId="15" xfId="0" applyFont="1" applyFill="1" applyBorder="1" applyAlignment="1">
      <alignment horizontal="center" vertical="center"/>
    </xf>
    <xf numFmtId="0" fontId="82" fillId="4" borderId="13" xfId="0" applyFont="1" applyFill="1" applyBorder="1" applyAlignment="1">
      <alignment horizontal="center" vertical="center"/>
    </xf>
    <xf numFmtId="0" fontId="82" fillId="4" borderId="14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75" fillId="3" borderId="13" xfId="0" applyFont="1" applyFill="1" applyBorder="1" applyAlignment="1">
      <alignment horizontal="center" vertical="center"/>
    </xf>
    <xf numFmtId="0" fontId="75" fillId="3" borderId="14" xfId="0" applyFont="1" applyFill="1" applyBorder="1" applyAlignment="1">
      <alignment horizontal="center" vertical="center"/>
    </xf>
    <xf numFmtId="0" fontId="75" fillId="3" borderId="15" xfId="0" applyFont="1" applyFill="1" applyBorder="1" applyAlignment="1">
      <alignment horizontal="center" vertical="center"/>
    </xf>
    <xf numFmtId="3" fontId="73" fillId="4" borderId="8" xfId="0" applyNumberFormat="1" applyFont="1" applyFill="1" applyBorder="1" applyAlignment="1">
      <alignment horizontal="center" vertical="center"/>
    </xf>
    <xf numFmtId="165" fontId="73" fillId="4" borderId="8" xfId="0" applyNumberFormat="1" applyFont="1" applyFill="1" applyBorder="1" applyAlignment="1">
      <alignment horizontal="center" vertical="center"/>
    </xf>
    <xf numFmtId="3" fontId="1" fillId="32" borderId="22" xfId="0" applyNumberFormat="1" applyFont="1" applyFill="1" applyBorder="1" applyAlignment="1">
      <alignment horizontal="center" vertical="center"/>
    </xf>
    <xf numFmtId="3" fontId="1" fillId="32" borderId="23" xfId="0" applyNumberFormat="1" applyFont="1" applyFill="1" applyBorder="1" applyAlignment="1">
      <alignment horizontal="center" vertical="center"/>
    </xf>
    <xf numFmtId="3" fontId="1" fillId="32" borderId="24" xfId="0" applyNumberFormat="1" applyFont="1" applyFill="1" applyBorder="1" applyAlignment="1">
      <alignment horizontal="center" vertical="center"/>
    </xf>
    <xf numFmtId="3" fontId="10" fillId="32" borderId="25" xfId="0" applyNumberFormat="1" applyFont="1" applyFill="1" applyBorder="1" applyAlignment="1">
      <alignment horizontal="center" vertical="center"/>
    </xf>
    <xf numFmtId="3" fontId="10" fillId="32" borderId="0" xfId="0" applyNumberFormat="1" applyFont="1" applyFill="1" applyAlignment="1">
      <alignment horizontal="center" vertical="center"/>
    </xf>
    <xf numFmtId="3" fontId="10" fillId="32" borderId="16" xfId="0" applyNumberFormat="1" applyFont="1" applyFill="1" applyBorder="1" applyAlignment="1">
      <alignment horizontal="center" vertical="center"/>
    </xf>
    <xf numFmtId="1" fontId="11" fillId="32" borderId="26" xfId="0" applyNumberFormat="1" applyFont="1" applyFill="1" applyBorder="1" applyAlignment="1">
      <alignment horizontal="center" vertical="center"/>
    </xf>
    <xf numFmtId="1" fontId="11" fillId="32" borderId="27" xfId="0" applyNumberFormat="1" applyFont="1" applyFill="1" applyBorder="1" applyAlignment="1">
      <alignment horizontal="center" vertical="center"/>
    </xf>
    <xf numFmtId="1" fontId="11" fillId="32" borderId="28" xfId="0" applyNumberFormat="1" applyFont="1" applyFill="1" applyBorder="1" applyAlignment="1">
      <alignment horizontal="center" vertical="center"/>
    </xf>
    <xf numFmtId="164" fontId="75" fillId="3" borderId="8" xfId="0" applyNumberFormat="1" applyFont="1" applyFill="1" applyBorder="1" applyAlignment="1">
      <alignment horizontal="center" vertical="center"/>
    </xf>
    <xf numFmtId="165" fontId="75" fillId="3" borderId="8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right"/>
    </xf>
    <xf numFmtId="0" fontId="59" fillId="0" borderId="0" xfId="0" applyFont="1" applyAlignment="1">
      <alignment horizontal="center" vertical="center"/>
    </xf>
    <xf numFmtId="0" fontId="473" fillId="25" borderId="23" xfId="0" applyFont="1" applyFill="1" applyBorder="1" applyAlignment="1">
      <alignment horizontal="center" vertical="top"/>
    </xf>
    <xf numFmtId="0" fontId="101" fillId="42" borderId="1" xfId="0" applyFont="1" applyFill="1" applyBorder="1" applyAlignment="1">
      <alignment horizontal="center" vertical="center"/>
    </xf>
    <xf numFmtId="0" fontId="101" fillId="42" borderId="2" xfId="0" applyFont="1" applyFill="1" applyBorder="1" applyAlignment="1">
      <alignment horizontal="center" vertical="center"/>
    </xf>
    <xf numFmtId="0" fontId="250" fillId="35" borderId="1" xfId="0" applyFont="1" applyFill="1" applyBorder="1" applyAlignment="1">
      <alignment horizontal="center"/>
    </xf>
    <xf numFmtId="0" fontId="250" fillId="35" borderId="2" xfId="0" applyFont="1" applyFill="1" applyBorder="1" applyAlignment="1">
      <alignment horizontal="center"/>
    </xf>
    <xf numFmtId="0" fontId="250" fillId="35" borderId="3" xfId="0" applyFont="1" applyFill="1" applyBorder="1" applyAlignment="1">
      <alignment horizontal="center"/>
    </xf>
    <xf numFmtId="0" fontId="90" fillId="25" borderId="0" xfId="0" applyFont="1" applyFill="1" applyAlignment="1">
      <alignment horizontal="center" vertical="center"/>
    </xf>
    <xf numFmtId="0" fontId="101" fillId="35" borderId="18" xfId="0" applyFont="1" applyFill="1" applyBorder="1" applyAlignment="1">
      <alignment horizontal="center" vertical="center"/>
    </xf>
    <xf numFmtId="0" fontId="101" fillId="35" borderId="0" xfId="0" applyFont="1" applyFill="1" applyAlignment="1">
      <alignment horizontal="center" vertical="center"/>
    </xf>
    <xf numFmtId="0" fontId="101" fillId="35" borderId="19" xfId="0" applyFont="1" applyFill="1" applyBorder="1" applyAlignment="1">
      <alignment horizontal="center" vertical="center"/>
    </xf>
    <xf numFmtId="0" fontId="101" fillId="35" borderId="20" xfId="0" applyFont="1" applyFill="1" applyBorder="1" applyAlignment="1">
      <alignment horizontal="center" vertical="center"/>
    </xf>
    <xf numFmtId="0" fontId="164" fillId="35" borderId="38" xfId="0" applyFont="1" applyFill="1" applyBorder="1">
      <alignment vertical="center"/>
    </xf>
    <xf numFmtId="0" fontId="164" fillId="35" borderId="39" xfId="0" applyFont="1" applyFill="1" applyBorder="1">
      <alignment vertical="center"/>
    </xf>
    <xf numFmtId="0" fontId="151" fillId="25" borderId="0" xfId="0" applyFont="1" applyFill="1" applyAlignment="1">
      <alignment horizontal="right" vertical="center" wrapText="1" shrinkToFit="1"/>
    </xf>
    <xf numFmtId="0" fontId="164" fillId="25" borderId="0" xfId="0" applyFont="1" applyFill="1">
      <alignment vertical="center"/>
    </xf>
    <xf numFmtId="0" fontId="164" fillId="25" borderId="0" xfId="0" applyFont="1" applyFill="1" applyAlignment="1">
      <alignment horizontal="center" vertical="center"/>
    </xf>
    <xf numFmtId="0" fontId="250" fillId="35" borderId="13" xfId="0" applyFont="1" applyFill="1" applyBorder="1" applyAlignment="1">
      <alignment horizontal="center" vertical="center"/>
    </xf>
    <xf numFmtId="0" fontId="250" fillId="35" borderId="14" xfId="0" applyFont="1" applyFill="1" applyBorder="1" applyAlignment="1">
      <alignment horizontal="center" vertical="center"/>
    </xf>
    <xf numFmtId="0" fontId="250" fillId="35" borderId="15" xfId="0" applyFont="1" applyFill="1" applyBorder="1" applyAlignment="1">
      <alignment horizontal="center" vertical="center"/>
    </xf>
    <xf numFmtId="0" fontId="166" fillId="35" borderId="18" xfId="0" applyFont="1" applyFill="1" applyBorder="1" applyAlignment="1">
      <alignment horizontal="right" vertical="center" wrapText="1" shrinkToFit="1"/>
    </xf>
    <xf numFmtId="0" fontId="166" fillId="35" borderId="0" xfId="0" applyFont="1" applyFill="1" applyAlignment="1">
      <alignment horizontal="right" vertical="center" wrapText="1" shrinkToFit="1"/>
    </xf>
    <xf numFmtId="0" fontId="164" fillId="35" borderId="18" xfId="0" applyFont="1" applyFill="1" applyBorder="1">
      <alignment vertical="center"/>
    </xf>
    <xf numFmtId="0" fontId="164" fillId="35" borderId="0" xfId="0" applyFont="1" applyFill="1">
      <alignment vertical="center"/>
    </xf>
    <xf numFmtId="0" fontId="164" fillId="35" borderId="16" xfId="0" applyFont="1" applyFill="1" applyBorder="1">
      <alignment vertical="center"/>
    </xf>
    <xf numFmtId="0" fontId="101" fillId="35" borderId="16" xfId="0" applyFont="1" applyFill="1" applyBorder="1" applyAlignment="1">
      <alignment horizontal="center" vertical="center"/>
    </xf>
    <xf numFmtId="0" fontId="101" fillId="25" borderId="0" xfId="0" applyFont="1" applyFill="1" applyAlignment="1">
      <alignment horizontal="center" vertical="center"/>
    </xf>
    <xf numFmtId="0" fontId="101" fillId="25" borderId="16" xfId="0" applyFont="1" applyFill="1" applyBorder="1" applyAlignment="1">
      <alignment horizontal="center" vertical="center"/>
    </xf>
    <xf numFmtId="0" fontId="475" fillId="32" borderId="22" xfId="0" applyFont="1" applyFill="1" applyBorder="1" applyAlignment="1">
      <alignment horizontal="center" vertical="center"/>
    </xf>
    <xf numFmtId="0" fontId="475" fillId="32" borderId="23" xfId="0" applyFont="1" applyFill="1" applyBorder="1" applyAlignment="1">
      <alignment horizontal="center" vertical="center"/>
    </xf>
    <xf numFmtId="0" fontId="475" fillId="32" borderId="24" xfId="0" applyFont="1" applyFill="1" applyBorder="1" applyAlignment="1">
      <alignment horizontal="center" vertical="center"/>
    </xf>
    <xf numFmtId="0" fontId="475" fillId="32" borderId="26" xfId="0" applyFont="1" applyFill="1" applyBorder="1" applyAlignment="1">
      <alignment horizontal="center" vertical="center"/>
    </xf>
    <xf numFmtId="0" fontId="475" fillId="32" borderId="27" xfId="0" applyFont="1" applyFill="1" applyBorder="1" applyAlignment="1">
      <alignment horizontal="center" vertical="center"/>
    </xf>
    <xf numFmtId="0" fontId="475" fillId="32" borderId="28" xfId="0" applyFont="1" applyFill="1" applyBorder="1" applyAlignment="1">
      <alignment horizontal="center" vertical="center"/>
    </xf>
    <xf numFmtId="0" fontId="120" fillId="42" borderId="13" xfId="0" applyFont="1" applyFill="1" applyBorder="1" applyAlignment="1">
      <alignment horizontal="center" vertical="center"/>
    </xf>
    <xf numFmtId="0" fontId="120" fillId="42" borderId="15" xfId="0" applyFont="1" applyFill="1" applyBorder="1" applyAlignment="1">
      <alignment horizontal="center" vertical="center"/>
    </xf>
    <xf numFmtId="0" fontId="146" fillId="10" borderId="8" xfId="0" applyFont="1" applyFill="1" applyBorder="1" applyAlignment="1" applyProtection="1">
      <alignment horizontal="center" vertical="center"/>
      <protection locked="0"/>
    </xf>
    <xf numFmtId="0" fontId="103" fillId="35" borderId="13" xfId="0" applyFont="1" applyFill="1" applyBorder="1" applyAlignment="1">
      <alignment horizontal="center" vertical="center"/>
    </xf>
    <xf numFmtId="0" fontId="103" fillId="35" borderId="15" xfId="0" applyFont="1" applyFill="1" applyBorder="1" applyAlignment="1">
      <alignment horizontal="center" vertical="center"/>
    </xf>
    <xf numFmtId="0" fontId="146" fillId="35" borderId="8" xfId="0" applyFont="1" applyFill="1" applyBorder="1" applyAlignment="1">
      <alignment horizontal="center" vertical="center"/>
    </xf>
    <xf numFmtId="0" fontId="120" fillId="42" borderId="14" xfId="0" applyFont="1" applyFill="1" applyBorder="1" applyAlignment="1">
      <alignment horizontal="left" vertical="center"/>
    </xf>
    <xf numFmtId="0" fontId="120" fillId="42" borderId="15" xfId="0" applyFont="1" applyFill="1" applyBorder="1" applyAlignment="1">
      <alignment horizontal="left" vertical="center"/>
    </xf>
    <xf numFmtId="0" fontId="103" fillId="35" borderId="14" xfId="0" applyFont="1" applyFill="1" applyBorder="1" applyAlignment="1">
      <alignment horizontal="center" vertical="center"/>
    </xf>
    <xf numFmtId="0" fontId="103" fillId="35" borderId="8" xfId="0" applyFont="1" applyFill="1" applyBorder="1" applyAlignment="1">
      <alignment horizontal="center" vertical="center"/>
    </xf>
    <xf numFmtId="0" fontId="473" fillId="35" borderId="23" xfId="0" applyFont="1" applyFill="1" applyBorder="1" applyAlignment="1">
      <alignment horizontal="center" vertical="top"/>
    </xf>
    <xf numFmtId="0" fontId="470" fillId="35" borderId="13" xfId="0" applyFont="1" applyFill="1" applyBorder="1" applyAlignment="1">
      <alignment horizontal="center" vertical="center"/>
    </xf>
    <xf numFmtId="0" fontId="470" fillId="35" borderId="14" xfId="0" applyFont="1" applyFill="1" applyBorder="1" applyAlignment="1">
      <alignment horizontal="center" vertical="center"/>
    </xf>
    <xf numFmtId="0" fontId="470" fillId="35" borderId="15" xfId="0" applyFont="1" applyFill="1" applyBorder="1" applyAlignment="1">
      <alignment horizontal="center" vertical="center"/>
    </xf>
    <xf numFmtId="0" fontId="101" fillId="35" borderId="8" xfId="0" applyFont="1" applyFill="1" applyBorder="1" applyAlignment="1">
      <alignment horizontal="center" vertical="center"/>
    </xf>
    <xf numFmtId="0" fontId="101" fillId="35" borderId="38" xfId="0" applyFont="1" applyFill="1" applyBorder="1" applyAlignment="1">
      <alignment horizontal="center" vertical="center"/>
    </xf>
    <xf numFmtId="0" fontId="101" fillId="35" borderId="39" xfId="0" applyFont="1" applyFill="1" applyBorder="1" applyAlignment="1">
      <alignment horizontal="center" vertical="center"/>
    </xf>
    <xf numFmtId="0" fontId="101" fillId="35" borderId="40" xfId="0" applyFont="1" applyFill="1" applyBorder="1" applyAlignment="1">
      <alignment horizontal="center" vertical="center"/>
    </xf>
    <xf numFmtId="0" fontId="44" fillId="35" borderId="27" xfId="0" applyFont="1" applyFill="1" applyBorder="1" applyAlignment="1">
      <alignment horizontal="center" vertical="center"/>
    </xf>
    <xf numFmtId="0" fontId="44" fillId="35" borderId="28" xfId="0" applyFont="1" applyFill="1" applyBorder="1" applyAlignment="1">
      <alignment horizontal="center" vertical="center"/>
    </xf>
    <xf numFmtId="0" fontId="474" fillId="35" borderId="0" xfId="0" applyFont="1" applyFill="1" applyAlignment="1">
      <alignment horizontal="center" vertical="center"/>
    </xf>
    <xf numFmtId="0" fontId="120" fillId="35" borderId="23" xfId="0" applyFont="1" applyFill="1" applyBorder="1" applyAlignment="1">
      <alignment horizontal="center" vertical="center"/>
    </xf>
    <xf numFmtId="0" fontId="164" fillId="35" borderId="0" xfId="0" applyFont="1" applyFill="1" applyAlignment="1">
      <alignment horizontal="center" vertical="center"/>
    </xf>
    <xf numFmtId="0" fontId="371" fillId="35" borderId="25" xfId="0" applyFont="1" applyFill="1" applyBorder="1" applyAlignment="1">
      <alignment horizontal="center" vertical="center" wrapText="1" shrinkToFit="1"/>
    </xf>
    <xf numFmtId="0" fontId="371" fillId="35" borderId="0" xfId="0" applyFont="1" applyFill="1" applyAlignment="1">
      <alignment horizontal="center" vertical="center" wrapText="1" shrinkToFit="1"/>
    </xf>
    <xf numFmtId="0" fontId="101" fillId="35" borderId="13" xfId="0" applyFont="1" applyFill="1" applyBorder="1" applyAlignment="1">
      <alignment horizontal="center" vertical="center"/>
    </xf>
    <xf numFmtId="0" fontId="101" fillId="35" borderId="15" xfId="0" applyFont="1" applyFill="1" applyBorder="1" applyAlignment="1">
      <alignment horizontal="center" vertical="center"/>
    </xf>
    <xf numFmtId="0" fontId="103" fillId="35" borderId="20" xfId="0" applyFont="1" applyFill="1" applyBorder="1" applyAlignment="1">
      <alignment horizontal="center" vertical="center"/>
    </xf>
    <xf numFmtId="0" fontId="186" fillId="35" borderId="14" xfId="0" applyFont="1" applyFill="1" applyBorder="1" applyAlignment="1" applyProtection="1">
      <alignment horizontal="center" vertical="top"/>
      <protection locked="0"/>
    </xf>
    <xf numFmtId="3" fontId="9" fillId="32" borderId="92" xfId="0" applyNumberFormat="1" applyFont="1" applyFill="1" applyBorder="1" applyAlignment="1">
      <alignment horizontal="center" vertical="center"/>
    </xf>
    <xf numFmtId="3" fontId="9" fillId="32" borderId="30" xfId="0" applyNumberFormat="1" applyFont="1" applyFill="1" applyBorder="1" applyAlignment="1">
      <alignment horizontal="center" vertical="center"/>
    </xf>
    <xf numFmtId="4" fontId="1" fillId="35" borderId="5" xfId="0" applyNumberFormat="1" applyFont="1" applyFill="1" applyBorder="1" applyAlignment="1">
      <alignment horizontal="center" vertical="center"/>
    </xf>
    <xf numFmtId="3" fontId="1" fillId="34" borderId="0" xfId="0" applyNumberFormat="1" applyFont="1" applyFill="1" applyAlignment="1">
      <alignment horizontal="center" vertical="center"/>
    </xf>
    <xf numFmtId="3" fontId="10" fillId="34" borderId="0" xfId="0" applyNumberFormat="1" applyFont="1" applyFill="1" applyAlignment="1">
      <alignment horizontal="right" vertical="center"/>
    </xf>
    <xf numFmtId="1" fontId="109" fillId="34" borderId="0" xfId="0" applyNumberFormat="1" applyFont="1" applyFill="1" applyAlignment="1">
      <alignment horizontal="right" vertical="center"/>
    </xf>
    <xf numFmtId="3" fontId="9" fillId="32" borderId="112" xfId="0" applyNumberFormat="1" applyFont="1" applyFill="1" applyBorder="1" applyAlignment="1">
      <alignment horizontal="center" vertical="center"/>
    </xf>
    <xf numFmtId="3" fontId="9" fillId="32" borderId="2" xfId="0" applyNumberFormat="1" applyFont="1" applyFill="1" applyBorder="1" applyAlignment="1">
      <alignment horizontal="center" vertical="center"/>
    </xf>
    <xf numFmtId="3" fontId="9" fillId="32" borderId="3" xfId="0" applyNumberFormat="1" applyFont="1" applyFill="1" applyBorder="1" applyAlignment="1">
      <alignment horizontal="center" vertical="center"/>
    </xf>
    <xf numFmtId="0" fontId="6" fillId="34" borderId="0" xfId="0" applyFont="1" applyFill="1" applyAlignment="1">
      <alignment horizontal="right" vertical="center"/>
    </xf>
    <xf numFmtId="0" fontId="6" fillId="34" borderId="17" xfId="0" applyFont="1" applyFill="1" applyBorder="1" applyAlignment="1">
      <alignment horizontal="right" vertical="center"/>
    </xf>
    <xf numFmtId="3" fontId="7" fillId="32" borderId="1" xfId="0" applyNumberFormat="1" applyFont="1" applyFill="1" applyBorder="1" applyAlignment="1">
      <alignment horizontal="center" vertical="center"/>
    </xf>
    <xf numFmtId="3" fontId="7" fillId="32" borderId="2" xfId="0" applyNumberFormat="1" applyFont="1" applyFill="1" applyBorder="1" applyAlignment="1">
      <alignment horizontal="center" vertical="center"/>
    </xf>
    <xf numFmtId="3" fontId="7" fillId="32" borderId="3" xfId="0" applyNumberFormat="1" applyFont="1" applyFill="1" applyBorder="1" applyAlignment="1">
      <alignment horizontal="center" vertical="center"/>
    </xf>
    <xf numFmtId="0" fontId="6" fillId="34" borderId="0" xfId="0" applyFont="1" applyFill="1" applyAlignment="1">
      <alignment horizontal="center" vertical="center"/>
    </xf>
    <xf numFmtId="0" fontId="6" fillId="34" borderId="17" xfId="0" applyFont="1" applyFill="1" applyBorder="1" applyAlignment="1">
      <alignment horizontal="center" vertical="center"/>
    </xf>
    <xf numFmtId="4" fontId="1" fillId="35" borderId="47" xfId="0" applyNumberFormat="1" applyFont="1" applyFill="1" applyBorder="1" applyAlignment="1">
      <alignment horizontal="center" vertical="center"/>
    </xf>
    <xf numFmtId="4" fontId="1" fillId="35" borderId="32" xfId="0" applyNumberFormat="1" applyFont="1" applyFill="1" applyBorder="1" applyAlignment="1">
      <alignment horizontal="center" vertical="center"/>
    </xf>
    <xf numFmtId="4" fontId="1" fillId="35" borderId="55" xfId="0" applyNumberFormat="1" applyFont="1" applyFill="1" applyBorder="1" applyAlignment="1">
      <alignment horizontal="center" vertical="center"/>
    </xf>
    <xf numFmtId="0" fontId="6" fillId="34" borderId="16" xfId="0" applyFont="1" applyFill="1" applyBorder="1" applyAlignment="1">
      <alignment horizontal="right" vertical="center"/>
    </xf>
    <xf numFmtId="0" fontId="430" fillId="41" borderId="57" xfId="0" applyFont="1" applyFill="1" applyBorder="1" applyAlignment="1">
      <alignment horizontal="right" vertical="center"/>
    </xf>
    <xf numFmtId="0" fontId="430" fillId="41" borderId="34" xfId="0" applyFont="1" applyFill="1" applyBorder="1" applyAlignment="1">
      <alignment horizontal="right" vertical="center"/>
    </xf>
    <xf numFmtId="0" fontId="430" fillId="41" borderId="90" xfId="0" applyFont="1" applyFill="1" applyBorder="1" applyAlignment="1">
      <alignment horizontal="right" vertical="center"/>
    </xf>
    <xf numFmtId="4" fontId="1" fillId="41" borderId="11" xfId="0" applyNumberFormat="1" applyFont="1" applyFill="1" applyBorder="1" applyAlignment="1">
      <alignment horizontal="center" vertical="center"/>
    </xf>
    <xf numFmtId="4" fontId="1" fillId="41" borderId="53" xfId="0" applyNumberFormat="1" applyFont="1" applyFill="1" applyBorder="1" applyAlignment="1">
      <alignment horizontal="center" vertical="center"/>
    </xf>
    <xf numFmtId="4" fontId="1" fillId="41" borderId="34" xfId="0" applyNumberFormat="1" applyFont="1" applyFill="1" applyBorder="1" applyAlignment="1">
      <alignment horizontal="center" vertical="center"/>
    </xf>
    <xf numFmtId="4" fontId="1" fillId="41" borderId="35" xfId="0" applyNumberFormat="1" applyFont="1" applyFill="1" applyBorder="1" applyAlignment="1">
      <alignment horizontal="center" vertical="center"/>
    </xf>
    <xf numFmtId="0" fontId="35" fillId="35" borderId="54" xfId="0" applyFont="1" applyFill="1" applyBorder="1" applyAlignment="1">
      <alignment horizontal="right" vertical="center"/>
    </xf>
    <xf numFmtId="0" fontId="35" fillId="35" borderId="32" xfId="0" applyFont="1" applyFill="1" applyBorder="1" applyAlignment="1">
      <alignment horizontal="right" vertical="center"/>
    </xf>
    <xf numFmtId="0" fontId="35" fillId="35" borderId="67" xfId="0" applyFont="1" applyFill="1" applyBorder="1" applyAlignment="1">
      <alignment horizontal="right" vertical="center"/>
    </xf>
    <xf numFmtId="3" fontId="9" fillId="35" borderId="5" xfId="0" applyNumberFormat="1" applyFont="1" applyFill="1" applyBorder="1" applyAlignment="1">
      <alignment horizontal="center" vertical="center"/>
    </xf>
    <xf numFmtId="3" fontId="349" fillId="34" borderId="0" xfId="0" applyNumberFormat="1" applyFont="1" applyFill="1" applyAlignment="1">
      <alignment horizontal="right" vertical="center"/>
    </xf>
    <xf numFmtId="3" fontId="6" fillId="32" borderId="1" xfId="0" applyNumberFormat="1" applyFont="1" applyFill="1" applyBorder="1" applyAlignment="1">
      <alignment horizontal="center" vertical="center"/>
    </xf>
    <xf numFmtId="3" fontId="6" fillId="32" borderId="2" xfId="0" applyNumberFormat="1" applyFont="1" applyFill="1" applyBorder="1" applyAlignment="1">
      <alignment horizontal="center" vertical="center"/>
    </xf>
    <xf numFmtId="3" fontId="6" fillId="32" borderId="3" xfId="0" applyNumberFormat="1" applyFont="1" applyFill="1" applyBorder="1" applyAlignment="1">
      <alignment horizontal="center" vertical="center"/>
    </xf>
    <xf numFmtId="3" fontId="156" fillId="32" borderId="1" xfId="0" applyNumberFormat="1" applyFont="1" applyFill="1" applyBorder="1" applyAlignment="1">
      <alignment horizontal="center" vertical="center"/>
    </xf>
    <xf numFmtId="3" fontId="156" fillId="32" borderId="2" xfId="0" applyNumberFormat="1" applyFont="1" applyFill="1" applyBorder="1" applyAlignment="1">
      <alignment horizontal="center" vertical="center"/>
    </xf>
    <xf numFmtId="3" fontId="347" fillId="34" borderId="0" xfId="0" applyNumberFormat="1" applyFont="1" applyFill="1" applyAlignment="1">
      <alignment horizontal="right" vertical="center"/>
    </xf>
    <xf numFmtId="3" fontId="6" fillId="32" borderId="1" xfId="0" applyNumberFormat="1" applyFont="1" applyFill="1" applyBorder="1" applyAlignment="1">
      <alignment horizontal="right" vertical="center"/>
    </xf>
    <xf numFmtId="3" fontId="6" fillId="32" borderId="2" xfId="0" applyNumberFormat="1" applyFont="1" applyFill="1" applyBorder="1" applyAlignment="1">
      <alignment horizontal="right" vertical="center"/>
    </xf>
    <xf numFmtId="3" fontId="6" fillId="32" borderId="3" xfId="0" applyNumberFormat="1" applyFont="1" applyFill="1" applyBorder="1" applyAlignment="1">
      <alignment horizontal="right" vertical="center"/>
    </xf>
    <xf numFmtId="4" fontId="107" fillId="32" borderId="1" xfId="0" applyNumberFormat="1" applyFont="1" applyFill="1" applyBorder="1" applyAlignment="1">
      <alignment horizontal="center" vertical="center"/>
    </xf>
    <xf numFmtId="4" fontId="107" fillId="32" borderId="2" xfId="0" applyNumberFormat="1" applyFont="1" applyFill="1" applyBorder="1" applyAlignment="1">
      <alignment horizontal="center" vertical="center"/>
    </xf>
    <xf numFmtId="3" fontId="107" fillId="32" borderId="2" xfId="0" applyNumberFormat="1" applyFont="1" applyFill="1" applyBorder="1" applyAlignment="1">
      <alignment horizontal="center" vertical="center"/>
    </xf>
    <xf numFmtId="3" fontId="107" fillId="32" borderId="3" xfId="0" applyNumberFormat="1" applyFont="1" applyFill="1" applyBorder="1" applyAlignment="1">
      <alignment horizontal="center" vertical="center"/>
    </xf>
    <xf numFmtId="0" fontId="6" fillId="32" borderId="1" xfId="0" applyFont="1" applyFill="1" applyBorder="1" applyAlignment="1">
      <alignment horizontal="center" vertical="center"/>
    </xf>
    <xf numFmtId="0" fontId="6" fillId="32" borderId="2" xfId="0" applyFont="1" applyFill="1" applyBorder="1" applyAlignment="1">
      <alignment horizontal="center" vertical="center"/>
    </xf>
    <xf numFmtId="0" fontId="6" fillId="32" borderId="3" xfId="0" applyFont="1" applyFill="1" applyBorder="1" applyAlignment="1">
      <alignment horizontal="center" vertical="center"/>
    </xf>
    <xf numFmtId="3" fontId="107" fillId="10" borderId="1" xfId="0" applyNumberFormat="1" applyFont="1" applyFill="1" applyBorder="1" applyAlignment="1" applyProtection="1">
      <alignment horizontal="center" vertical="center"/>
      <protection locked="0"/>
    </xf>
    <xf numFmtId="3" fontId="107" fillId="10" borderId="2" xfId="0" applyNumberFormat="1" applyFont="1" applyFill="1" applyBorder="1" applyAlignment="1" applyProtection="1">
      <alignment horizontal="center" vertical="center"/>
      <protection locked="0"/>
    </xf>
    <xf numFmtId="3" fontId="107" fillId="10" borderId="2" xfId="0" applyNumberFormat="1" applyFont="1" applyFill="1" applyBorder="1" applyAlignment="1">
      <alignment horizontal="center" vertical="center"/>
    </xf>
    <xf numFmtId="3" fontId="107" fillId="10" borderId="3" xfId="0" applyNumberFormat="1" applyFont="1" applyFill="1" applyBorder="1" applyAlignment="1">
      <alignment horizontal="center" vertical="center"/>
    </xf>
    <xf numFmtId="0" fontId="141" fillId="34" borderId="0" xfId="0" applyFont="1" applyFill="1" applyAlignment="1">
      <alignment horizontal="center" vertical="top"/>
    </xf>
    <xf numFmtId="1" fontId="348" fillId="34" borderId="0" xfId="0" applyNumberFormat="1" applyFont="1" applyFill="1" applyAlignment="1">
      <alignment horizontal="right" vertical="center"/>
    </xf>
    <xf numFmtId="0" fontId="241" fillId="10" borderId="13" xfId="0" applyFont="1" applyFill="1" applyBorder="1" applyAlignment="1" applyProtection="1">
      <alignment horizontal="center"/>
      <protection locked="0"/>
    </xf>
    <xf numFmtId="0" fontId="241" fillId="10" borderId="15" xfId="0" applyFont="1" applyFill="1" applyBorder="1" applyAlignment="1" applyProtection="1">
      <alignment horizontal="center"/>
      <protection locked="0"/>
    </xf>
    <xf numFmtId="0" fontId="12" fillId="35" borderId="1" xfId="0" applyFont="1" applyFill="1" applyBorder="1" applyAlignment="1">
      <alignment horizontal="center"/>
    </xf>
    <xf numFmtId="0" fontId="12" fillId="35" borderId="2" xfId="0" applyFont="1" applyFill="1" applyBorder="1" applyAlignment="1">
      <alignment horizontal="center"/>
    </xf>
    <xf numFmtId="0" fontId="12" fillId="35" borderId="3" xfId="0" applyFont="1" applyFill="1" applyBorder="1" applyAlignment="1">
      <alignment horizontal="center"/>
    </xf>
    <xf numFmtId="0" fontId="272" fillId="26" borderId="18" xfId="0" applyFont="1" applyFill="1" applyBorder="1" applyAlignment="1">
      <alignment horizontal="left"/>
    </xf>
    <xf numFmtId="0" fontId="272" fillId="26" borderId="0" xfId="0" applyFont="1" applyFill="1" applyAlignment="1">
      <alignment horizontal="left"/>
    </xf>
    <xf numFmtId="0" fontId="272" fillId="26" borderId="17" xfId="0" applyFont="1" applyFill="1" applyBorder="1" applyAlignment="1">
      <alignment horizontal="left"/>
    </xf>
    <xf numFmtId="1" fontId="464" fillId="26" borderId="0" xfId="0" applyNumberFormat="1" applyFont="1" applyFill="1" applyAlignment="1">
      <alignment horizontal="center" vertical="center"/>
    </xf>
    <xf numFmtId="0" fontId="12" fillId="35" borderId="58" xfId="0" applyFont="1" applyFill="1" applyBorder="1" applyAlignment="1">
      <alignment horizontal="left" vertical="center" textRotation="180" wrapText="1"/>
    </xf>
    <xf numFmtId="0" fontId="12" fillId="35" borderId="113" xfId="0" applyFont="1" applyFill="1" applyBorder="1" applyAlignment="1">
      <alignment horizontal="left" vertical="center" textRotation="180" wrapText="1"/>
    </xf>
    <xf numFmtId="0" fontId="12" fillId="35" borderId="63" xfId="0" applyFont="1" applyFill="1" applyBorder="1" applyAlignment="1">
      <alignment horizontal="left" vertical="center" textRotation="180" wrapText="1"/>
    </xf>
    <xf numFmtId="0" fontId="12" fillId="54" borderId="13" xfId="0" applyFont="1" applyFill="1" applyBorder="1" applyAlignment="1">
      <alignment horizontal="center"/>
    </xf>
    <xf numFmtId="0" fontId="12" fillId="54" borderId="14" xfId="0" applyFont="1" applyFill="1" applyBorder="1" applyAlignment="1">
      <alignment horizontal="center"/>
    </xf>
    <xf numFmtId="0" fontId="12" fillId="54" borderId="15" xfId="0" applyFont="1" applyFill="1" applyBorder="1" applyAlignment="1">
      <alignment horizontal="center"/>
    </xf>
    <xf numFmtId="0" fontId="12" fillId="35" borderId="13" xfId="0" applyFont="1" applyFill="1" applyBorder="1" applyAlignment="1">
      <alignment horizontal="center"/>
    </xf>
    <xf numFmtId="0" fontId="12" fillId="35" borderId="14" xfId="0" applyFont="1" applyFill="1" applyBorder="1" applyAlignment="1">
      <alignment horizontal="center"/>
    </xf>
    <xf numFmtId="0" fontId="12" fillId="35" borderId="15" xfId="0" applyFont="1" applyFill="1" applyBorder="1" applyAlignment="1">
      <alignment horizontal="center"/>
    </xf>
    <xf numFmtId="0" fontId="465" fillId="37" borderId="25" xfId="0" applyFont="1" applyFill="1" applyBorder="1" applyAlignment="1">
      <alignment horizontal="center"/>
    </xf>
    <xf numFmtId="0" fontId="465" fillId="37" borderId="0" xfId="0" applyFont="1" applyFill="1" applyAlignment="1">
      <alignment horizontal="center"/>
    </xf>
    <xf numFmtId="0" fontId="465" fillId="37" borderId="16" xfId="0" applyFont="1" applyFill="1" applyBorder="1" applyAlignment="1">
      <alignment horizontal="center"/>
    </xf>
    <xf numFmtId="0" fontId="486" fillId="32" borderId="0" xfId="0" applyFont="1" applyFill="1" applyAlignment="1">
      <alignment horizontal="center"/>
    </xf>
    <xf numFmtId="3" fontId="1" fillId="37" borderId="0" xfId="0" applyNumberFormat="1" applyFont="1" applyFill="1" applyAlignment="1">
      <alignment horizontal="right" vertical="center"/>
    </xf>
    <xf numFmtId="3" fontId="10" fillId="37" borderId="0" xfId="0" applyNumberFormat="1" applyFont="1" applyFill="1" applyAlignment="1">
      <alignment horizontal="right" vertical="center"/>
    </xf>
    <xf numFmtId="1" fontId="11" fillId="37" borderId="0" xfId="0" applyNumberFormat="1" applyFont="1" applyFill="1" applyAlignment="1">
      <alignment horizontal="right" vertical="center"/>
    </xf>
    <xf numFmtId="0" fontId="12" fillId="19" borderId="0" xfId="0" applyFont="1" applyFill="1" applyAlignment="1">
      <alignment horizontal="left"/>
    </xf>
    <xf numFmtId="0" fontId="34" fillId="19" borderId="22" xfId="0" applyFont="1" applyFill="1" applyBorder="1" applyAlignment="1">
      <alignment horizontal="center"/>
    </xf>
    <xf numFmtId="0" fontId="34" fillId="19" borderId="23" xfId="0" applyFont="1" applyFill="1" applyBorder="1" applyAlignment="1">
      <alignment horizontal="center"/>
    </xf>
    <xf numFmtId="1" fontId="464" fillId="19" borderId="0" xfId="0" applyNumberFormat="1" applyFont="1" applyFill="1" applyAlignment="1">
      <alignment horizontal="center" vertical="center"/>
    </xf>
    <xf numFmtId="0" fontId="32" fillId="19" borderId="0" xfId="0" applyFont="1" applyFill="1" applyAlignment="1">
      <alignment horizontal="right"/>
    </xf>
    <xf numFmtId="1" fontId="464" fillId="37" borderId="0" xfId="0" applyNumberFormat="1" applyFont="1" applyFill="1" applyAlignment="1">
      <alignment horizontal="right" vertical="center"/>
    </xf>
    <xf numFmtId="0" fontId="32" fillId="19" borderId="23" xfId="0" applyFont="1" applyFill="1" applyBorder="1" applyAlignment="1">
      <alignment horizontal="right"/>
    </xf>
    <xf numFmtId="1" fontId="22" fillId="19" borderId="0" xfId="0" applyNumberFormat="1" applyFont="1" applyFill="1" applyAlignment="1">
      <alignment horizontal="center" vertical="center"/>
    </xf>
    <xf numFmtId="0" fontId="23" fillId="19" borderId="0" xfId="0" applyFont="1" applyFill="1" applyAlignment="1">
      <alignment horizontal="center"/>
    </xf>
    <xf numFmtId="0" fontId="381" fillId="60" borderId="0" xfId="0" applyFont="1" applyFill="1" applyAlignment="1">
      <alignment horizontal="center"/>
    </xf>
    <xf numFmtId="0" fontId="35" fillId="59" borderId="38" xfId="0" applyFont="1" applyFill="1" applyBorder="1" applyAlignment="1">
      <alignment horizontal="center" vertical="center"/>
    </xf>
    <xf numFmtId="0" fontId="35" fillId="59" borderId="19" xfId="0" applyFont="1" applyFill="1" applyBorder="1" applyAlignment="1">
      <alignment horizontal="center" vertical="center"/>
    </xf>
    <xf numFmtId="0" fontId="9" fillId="59" borderId="0" xfId="0" applyFont="1" applyFill="1" applyAlignment="1">
      <alignment horizontal="right" vertical="center"/>
    </xf>
    <xf numFmtId="0" fontId="410" fillId="57" borderId="0" xfId="0" applyFont="1" applyFill="1" applyAlignment="1">
      <alignment horizontal="center" vertical="center"/>
    </xf>
    <xf numFmtId="0" fontId="256" fillId="57" borderId="0" xfId="0" applyFont="1" applyFill="1" applyAlignment="1">
      <alignment horizontal="center" vertical="center"/>
    </xf>
    <xf numFmtId="0" fontId="9" fillId="57" borderId="0" xfId="0" applyFont="1" applyFill="1" applyAlignment="1">
      <alignment horizontal="right" vertical="center"/>
    </xf>
    <xf numFmtId="0" fontId="410" fillId="32" borderId="22" xfId="0" applyFont="1" applyFill="1" applyBorder="1" applyAlignment="1">
      <alignment horizontal="center" vertical="center"/>
    </xf>
    <xf numFmtId="0" fontId="256" fillId="32" borderId="23" xfId="0" applyFont="1" applyFill="1" applyBorder="1" applyAlignment="1">
      <alignment horizontal="center" vertical="center"/>
    </xf>
    <xf numFmtId="0" fontId="256" fillId="32" borderId="24" xfId="0" applyFont="1" applyFill="1" applyBorder="1" applyAlignment="1">
      <alignment horizontal="center" vertical="center"/>
    </xf>
    <xf numFmtId="0" fontId="256" fillId="32" borderId="26" xfId="0" applyFont="1" applyFill="1" applyBorder="1" applyAlignment="1">
      <alignment horizontal="center" vertical="center"/>
    </xf>
    <xf numFmtId="0" fontId="256" fillId="32" borderId="27" xfId="0" applyFont="1" applyFill="1" applyBorder="1" applyAlignment="1">
      <alignment horizontal="center" vertical="center"/>
    </xf>
    <xf numFmtId="0" fontId="256" fillId="32" borderId="28" xfId="0" applyFont="1" applyFill="1" applyBorder="1" applyAlignment="1">
      <alignment horizontal="center" vertical="center"/>
    </xf>
    <xf numFmtId="0" fontId="156" fillId="28" borderId="0" xfId="0" applyFont="1" applyFill="1" applyAlignment="1">
      <alignment horizontal="right" vertical="center"/>
    </xf>
    <xf numFmtId="0" fontId="1" fillId="28" borderId="0" xfId="0" applyFont="1" applyFill="1" applyAlignment="1">
      <alignment horizontal="right" vertical="center"/>
    </xf>
    <xf numFmtId="0" fontId="9" fillId="28" borderId="0" xfId="0" applyFont="1" applyFill="1" applyAlignment="1">
      <alignment horizontal="right" vertical="center"/>
    </xf>
    <xf numFmtId="0" fontId="238" fillId="28" borderId="0" xfId="11" applyFont="1" applyFill="1" applyAlignment="1">
      <alignment horizontal="center"/>
    </xf>
    <xf numFmtId="0" fontId="235" fillId="28" borderId="0" xfId="9" applyFont="1" applyFill="1" applyAlignment="1">
      <alignment horizontal="center" vertical="center"/>
    </xf>
    <xf numFmtId="0" fontId="238" fillId="28" borderId="0" xfId="11" applyFont="1" applyFill="1" applyAlignment="1">
      <alignment horizontal="center" wrapText="1"/>
    </xf>
    <xf numFmtId="0" fontId="235" fillId="28" borderId="0" xfId="8" applyFont="1" applyFill="1" applyAlignment="1">
      <alignment horizontal="center" vertical="center"/>
    </xf>
    <xf numFmtId="173" fontId="235" fillId="28" borderId="0" xfId="10" applyFont="1" applyFill="1" applyAlignment="1">
      <alignment horizontal="center" vertical="center" wrapText="1"/>
    </xf>
    <xf numFmtId="0" fontId="235" fillId="28" borderId="0" xfId="9" applyFont="1" applyFill="1" applyAlignment="1">
      <alignment horizontal="center" vertical="center" wrapText="1"/>
    </xf>
    <xf numFmtId="167" fontId="241" fillId="28" borderId="0" xfId="11" applyNumberFormat="1" applyFont="1" applyFill="1" applyAlignment="1">
      <alignment horizontal="center" vertical="center"/>
    </xf>
    <xf numFmtId="49" fontId="235" fillId="28" borderId="0" xfId="8" applyNumberFormat="1" applyFont="1" applyFill="1" applyAlignment="1">
      <alignment horizontal="center" vertical="center" textRotation="90" wrapText="1"/>
    </xf>
    <xf numFmtId="3" fontId="235" fillId="28" borderId="0" xfId="8" applyNumberFormat="1" applyFont="1" applyFill="1" applyAlignment="1">
      <alignment horizontal="center" vertical="center" textRotation="90" wrapText="1"/>
    </xf>
    <xf numFmtId="4" fontId="18" fillId="28" borderId="0" xfId="7" applyNumberFormat="1" applyFont="1" applyFill="1" applyAlignment="1">
      <alignment horizontal="center" vertical="center" wrapText="1"/>
    </xf>
    <xf numFmtId="4" fontId="117" fillId="28" borderId="0" xfId="7" applyNumberFormat="1" applyFill="1" applyAlignment="1">
      <alignment horizontal="left"/>
    </xf>
    <xf numFmtId="4" fontId="117" fillId="28" borderId="0" xfId="7" applyNumberFormat="1" applyFill="1" applyAlignment="1">
      <alignment horizontal="left" vertical="center"/>
    </xf>
    <xf numFmtId="0" fontId="238" fillId="28" borderId="0" xfId="11" applyFont="1" applyFill="1" applyAlignment="1">
      <alignment horizontal="left"/>
    </xf>
    <xf numFmtId="174" fontId="238" fillId="28" borderId="0" xfId="11" applyNumberFormat="1" applyFont="1" applyFill="1" applyAlignment="1">
      <alignment horizontal="right"/>
    </xf>
    <xf numFmtId="3" fontId="242" fillId="28" borderId="0" xfId="11" applyNumberFormat="1" applyFont="1" applyFill="1" applyAlignment="1">
      <alignment horizontal="center"/>
    </xf>
    <xf numFmtId="0" fontId="240" fillId="28" borderId="0" xfId="8" applyFont="1" applyFill="1" applyAlignment="1">
      <alignment horizontal="center" vertical="center" textRotation="90" wrapText="1"/>
    </xf>
    <xf numFmtId="0" fontId="237" fillId="28" borderId="0" xfId="8" applyFont="1" applyFill="1" applyAlignment="1">
      <alignment horizontal="right" vertical="center" wrapText="1"/>
    </xf>
    <xf numFmtId="0" fontId="79" fillId="28" borderId="0" xfId="8" applyFont="1" applyFill="1" applyAlignment="1">
      <alignment horizontal="left" vertical="center" wrapText="1"/>
    </xf>
    <xf numFmtId="174" fontId="238" fillId="42" borderId="69" xfId="11" applyNumberFormat="1" applyFont="1" applyFill="1" applyBorder="1" applyAlignment="1">
      <alignment horizontal="right"/>
    </xf>
    <xf numFmtId="174" fontId="238" fillId="42" borderId="71" xfId="11" applyNumberFormat="1" applyFont="1" applyFill="1" applyBorder="1" applyAlignment="1">
      <alignment horizontal="right"/>
    </xf>
    <xf numFmtId="167" fontId="241" fillId="28" borderId="79" xfId="11" applyNumberFormat="1" applyFont="1" applyFill="1" applyBorder="1" applyAlignment="1">
      <alignment horizontal="center" vertical="center"/>
    </xf>
    <xf numFmtId="167" fontId="241" fillId="28" borderId="21" xfId="11" applyNumberFormat="1" applyFont="1" applyFill="1" applyBorder="1" applyAlignment="1">
      <alignment horizontal="center" vertical="center"/>
    </xf>
    <xf numFmtId="0" fontId="235" fillId="28" borderId="38" xfId="8" applyFont="1" applyFill="1" applyBorder="1" applyAlignment="1">
      <alignment horizontal="center" vertical="center"/>
    </xf>
    <xf numFmtId="0" fontId="235" fillId="28" borderId="39" xfId="8" applyFont="1" applyFill="1" applyBorder="1" applyAlignment="1">
      <alignment horizontal="center" vertical="center"/>
    </xf>
    <xf numFmtId="0" fontId="235" fillId="28" borderId="40" xfId="8" applyFont="1" applyFill="1" applyBorder="1" applyAlignment="1">
      <alignment horizontal="center" vertical="center"/>
    </xf>
    <xf numFmtId="49" fontId="235" fillId="42" borderId="62" xfId="8" applyNumberFormat="1" applyFont="1" applyFill="1" applyBorder="1" applyAlignment="1">
      <alignment horizontal="center" vertical="center" textRotation="90" wrapText="1"/>
    </xf>
    <xf numFmtId="49" fontId="235" fillId="42" borderId="52" xfId="8" applyNumberFormat="1" applyFont="1" applyFill="1" applyBorder="1" applyAlignment="1">
      <alignment horizontal="center" vertical="center" textRotation="90" wrapText="1"/>
    </xf>
    <xf numFmtId="49" fontId="235" fillId="42" borderId="42" xfId="8" applyNumberFormat="1" applyFont="1" applyFill="1" applyBorder="1" applyAlignment="1">
      <alignment horizontal="center" vertical="center" textRotation="90" wrapText="1"/>
    </xf>
    <xf numFmtId="0" fontId="237" fillId="28" borderId="0" xfId="8" applyFont="1" applyFill="1" applyAlignment="1">
      <alignment horizontal="left" vertical="center" wrapText="1"/>
    </xf>
    <xf numFmtId="0" fontId="240" fillId="28" borderId="0" xfId="8" applyFont="1" applyFill="1" applyAlignment="1">
      <alignment horizontal="center" vertical="top" textRotation="90" wrapText="1"/>
    </xf>
    <xf numFmtId="0" fontId="238" fillId="28" borderId="38" xfId="11" applyFont="1" applyFill="1" applyBorder="1" applyAlignment="1">
      <alignment horizontal="center" wrapText="1"/>
    </xf>
    <xf numFmtId="0" fontId="238" fillId="28" borderId="39" xfId="11" applyFont="1" applyFill="1" applyBorder="1" applyAlignment="1">
      <alignment horizontal="center" wrapText="1"/>
    </xf>
    <xf numFmtId="0" fontId="238" fillId="28" borderId="74" xfId="11" applyFont="1" applyFill="1" applyBorder="1" applyAlignment="1">
      <alignment horizontal="center" wrapText="1"/>
    </xf>
    <xf numFmtId="0" fontId="238" fillId="28" borderId="75" xfId="11" applyFont="1" applyFill="1" applyBorder="1" applyAlignment="1">
      <alignment horizontal="center"/>
    </xf>
    <xf numFmtId="0" fontId="238" fillId="28" borderId="76" xfId="11" applyFont="1" applyFill="1" applyBorder="1" applyAlignment="1">
      <alignment horizontal="center"/>
    </xf>
    <xf numFmtId="0" fontId="238" fillId="28" borderId="8" xfId="11" applyFont="1" applyFill="1" applyBorder="1" applyAlignment="1">
      <alignment horizontal="center"/>
    </xf>
    <xf numFmtId="4" fontId="117" fillId="28" borderId="13" xfId="7" applyNumberFormat="1" applyFill="1" applyBorder="1" applyAlignment="1">
      <alignment horizontal="left"/>
    </xf>
    <xf numFmtId="4" fontId="117" fillId="28" borderId="14" xfId="7" applyNumberFormat="1" applyFill="1" applyBorder="1" applyAlignment="1">
      <alignment horizontal="left"/>
    </xf>
    <xf numFmtId="4" fontId="117" fillId="28" borderId="15" xfId="7" applyNumberFormat="1" applyFill="1" applyBorder="1" applyAlignment="1">
      <alignment horizontal="left"/>
    </xf>
    <xf numFmtId="4" fontId="117" fillId="28" borderId="13" xfId="7" applyNumberFormat="1" applyFill="1" applyBorder="1" applyAlignment="1">
      <alignment horizontal="left" vertical="center"/>
    </xf>
    <xf numFmtId="4" fontId="117" fillId="28" borderId="15" xfId="7" applyNumberFormat="1" applyFill="1" applyBorder="1" applyAlignment="1">
      <alignment horizontal="left" vertical="center"/>
    </xf>
    <xf numFmtId="49" fontId="248" fillId="28" borderId="84" xfId="8" applyNumberFormat="1" applyFont="1" applyFill="1" applyBorder="1" applyAlignment="1">
      <alignment horizontal="left" vertical="center" wrapText="1"/>
    </xf>
    <xf numFmtId="49" fontId="248" fillId="28" borderId="0" xfId="8" applyNumberFormat="1" applyFont="1" applyFill="1" applyAlignment="1">
      <alignment horizontal="left" vertical="center" wrapText="1"/>
    </xf>
    <xf numFmtId="0" fontId="238" fillId="28" borderId="69" xfId="11" applyFont="1" applyFill="1" applyBorder="1" applyAlignment="1">
      <alignment horizontal="left"/>
    </xf>
    <xf numFmtId="0" fontId="238" fillId="28" borderId="70" xfId="11" applyFont="1" applyFill="1" applyBorder="1" applyAlignment="1">
      <alignment horizontal="left"/>
    </xf>
    <xf numFmtId="0" fontId="238" fillId="28" borderId="71" xfId="11" applyFont="1" applyFill="1" applyBorder="1" applyAlignment="1">
      <alignment horizontal="left"/>
    </xf>
    <xf numFmtId="174" fontId="238" fillId="28" borderId="69" xfId="11" applyNumberFormat="1" applyFont="1" applyFill="1" applyBorder="1" applyAlignment="1">
      <alignment horizontal="right"/>
    </xf>
    <xf numFmtId="174" fontId="238" fillId="28" borderId="71" xfId="11" applyNumberFormat="1" applyFont="1" applyFill="1" applyBorder="1" applyAlignment="1">
      <alignment horizontal="right"/>
    </xf>
    <xf numFmtId="0" fontId="238" fillId="28" borderId="69" xfId="11" applyFont="1" applyFill="1" applyBorder="1" applyAlignment="1">
      <alignment horizontal="center" wrapText="1"/>
    </xf>
    <xf numFmtId="0" fontId="238" fillId="28" borderId="70" xfId="11" applyFont="1" applyFill="1" applyBorder="1" applyAlignment="1">
      <alignment horizontal="center" wrapText="1"/>
    </xf>
    <xf numFmtId="0" fontId="238" fillId="28" borderId="71" xfId="11" applyFont="1" applyFill="1" applyBorder="1" applyAlignment="1">
      <alignment horizontal="center" wrapText="1"/>
    </xf>
    <xf numFmtId="4" fontId="18" fillId="28" borderId="13" xfId="7" applyNumberFormat="1" applyFont="1" applyFill="1" applyBorder="1" applyAlignment="1">
      <alignment horizontal="center" vertical="center" wrapText="1"/>
    </xf>
    <xf numFmtId="4" fontId="18" fillId="28" borderId="14" xfId="7" applyNumberFormat="1" applyFont="1" applyFill="1" applyBorder="1" applyAlignment="1">
      <alignment horizontal="center" vertical="center" wrapText="1"/>
    </xf>
    <xf numFmtId="4" fontId="18" fillId="28" borderId="15" xfId="7" applyNumberFormat="1" applyFont="1" applyFill="1" applyBorder="1" applyAlignment="1">
      <alignment horizontal="center" vertical="center" wrapText="1"/>
    </xf>
    <xf numFmtId="0" fontId="249" fillId="15" borderId="0" xfId="0" applyFont="1" applyFill="1" applyAlignment="1">
      <alignment horizontal="center"/>
    </xf>
    <xf numFmtId="0" fontId="249" fillId="15" borderId="16" xfId="0" applyFont="1" applyFill="1" applyBorder="1" applyAlignment="1">
      <alignment horizontal="center"/>
    </xf>
    <xf numFmtId="0" fontId="29" fillId="15" borderId="0" xfId="0" applyFont="1" applyFill="1" applyAlignment="1">
      <alignment horizontal="right"/>
    </xf>
    <xf numFmtId="0" fontId="29" fillId="15" borderId="16" xfId="0" applyFont="1" applyFill="1" applyBorder="1" applyAlignment="1">
      <alignment horizontal="right"/>
    </xf>
    <xf numFmtId="0" fontId="9" fillId="37" borderId="0" xfId="0" applyFont="1" applyFill="1" applyAlignment="1">
      <alignment horizontal="right" vertical="center"/>
    </xf>
    <xf numFmtId="0" fontId="394" fillId="4" borderId="13" xfId="0" applyFont="1" applyFill="1" applyBorder="1" applyAlignment="1">
      <alignment horizontal="center" vertical="center"/>
    </xf>
    <xf numFmtId="3" fontId="74" fillId="5" borderId="13" xfId="0" applyNumberFormat="1" applyFont="1" applyFill="1" applyBorder="1" applyAlignment="1" applyProtection="1">
      <alignment horizontal="right" vertical="center"/>
      <protection locked="0"/>
    </xf>
    <xf numFmtId="3" fontId="74" fillId="5" borderId="14" xfId="0" applyNumberFormat="1" applyFont="1" applyFill="1" applyBorder="1" applyAlignment="1" applyProtection="1">
      <alignment horizontal="right" vertical="center"/>
      <protection locked="0"/>
    </xf>
    <xf numFmtId="0" fontId="75" fillId="0" borderId="18" xfId="0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/>
      <protection locked="0"/>
    </xf>
    <xf numFmtId="0" fontId="75" fillId="5" borderId="13" xfId="0" applyFont="1" applyFill="1" applyBorder="1" applyAlignment="1" applyProtection="1">
      <alignment horizontal="center" vertical="center"/>
      <protection locked="0"/>
    </xf>
    <xf numFmtId="0" fontId="75" fillId="5" borderId="15" xfId="0" applyFont="1" applyFill="1" applyBorder="1" applyAlignment="1" applyProtection="1">
      <alignment horizontal="center" vertical="center"/>
      <protection locked="0"/>
    </xf>
    <xf numFmtId="165" fontId="73" fillId="4" borderId="13" xfId="0" applyNumberFormat="1" applyFont="1" applyFill="1" applyBorder="1" applyAlignment="1">
      <alignment horizontal="center" vertical="center"/>
    </xf>
    <xf numFmtId="165" fontId="73" fillId="4" borderId="14" xfId="0" applyNumberFormat="1" applyFont="1" applyFill="1" applyBorder="1" applyAlignment="1">
      <alignment horizontal="center" vertical="center"/>
    </xf>
    <xf numFmtId="165" fontId="73" fillId="4" borderId="15" xfId="0" applyNumberFormat="1" applyFont="1" applyFill="1" applyBorder="1" applyAlignment="1">
      <alignment horizontal="center" vertical="center"/>
    </xf>
    <xf numFmtId="2" fontId="73" fillId="4" borderId="8" xfId="0" applyNumberFormat="1" applyFont="1" applyFill="1" applyBorder="1" applyAlignment="1">
      <alignment horizontal="center" vertical="center"/>
    </xf>
    <xf numFmtId="0" fontId="90" fillId="44" borderId="0" xfId="0" applyFont="1" applyFill="1" applyAlignment="1">
      <alignment horizontal="right"/>
    </xf>
    <xf numFmtId="0" fontId="0" fillId="44" borderId="0" xfId="0" applyFill="1" applyAlignment="1">
      <alignment horizontal="right"/>
    </xf>
    <xf numFmtId="0" fontId="395" fillId="36" borderId="0" xfId="0" applyFont="1" applyFill="1" applyAlignment="1">
      <alignment horizontal="center"/>
    </xf>
    <xf numFmtId="0" fontId="181" fillId="32" borderId="0" xfId="0" applyFont="1" applyFill="1" applyAlignment="1">
      <alignment horizontal="right" vertical="center" readingOrder="1"/>
    </xf>
    <xf numFmtId="0" fontId="69" fillId="32" borderId="0" xfId="0" applyFont="1" applyFill="1" applyAlignment="1">
      <alignment horizontal="right" vertical="center" readingOrder="1"/>
    </xf>
    <xf numFmtId="0" fontId="70" fillId="32" borderId="0" xfId="0" applyFont="1" applyFill="1" applyAlignment="1">
      <alignment horizontal="right" readingOrder="1"/>
    </xf>
    <xf numFmtId="0" fontId="352" fillId="44" borderId="0" xfId="0" applyFont="1" applyFill="1" applyAlignment="1">
      <alignment horizontal="center" vertical="center" readingOrder="1"/>
    </xf>
    <xf numFmtId="0" fontId="353" fillId="44" borderId="0" xfId="0" applyFont="1" applyFill="1" applyAlignment="1">
      <alignment horizontal="right" vertical="center" readingOrder="1"/>
    </xf>
    <xf numFmtId="0" fontId="353" fillId="44" borderId="0" xfId="0" applyFont="1" applyFill="1" applyAlignment="1">
      <alignment horizontal="right" readingOrder="1"/>
    </xf>
    <xf numFmtId="0" fontId="101" fillId="10" borderId="1" xfId="0" applyFont="1" applyFill="1" applyBorder="1" applyAlignment="1">
      <alignment horizontal="center" vertical="center"/>
    </xf>
    <xf numFmtId="0" fontId="101" fillId="10" borderId="2" xfId="0" applyFont="1" applyFill="1" applyBorder="1" applyAlignment="1">
      <alignment horizontal="center" vertical="center"/>
    </xf>
    <xf numFmtId="0" fontId="101" fillId="10" borderId="3" xfId="0" applyFont="1" applyFill="1" applyBorder="1" applyAlignment="1">
      <alignment horizontal="center" vertical="center"/>
    </xf>
    <xf numFmtId="0" fontId="141" fillId="44" borderId="0" xfId="0" applyFont="1" applyFill="1" applyAlignment="1">
      <alignment horizontal="right" vertical="center"/>
    </xf>
    <xf numFmtId="0" fontId="59" fillId="0" borderId="1" xfId="0" applyFont="1" applyBorder="1" applyAlignment="1">
      <alignment horizontal="right" vertical="center"/>
    </xf>
    <xf numFmtId="0" fontId="59" fillId="0" borderId="2" xfId="0" applyFont="1" applyBorder="1" applyAlignment="1">
      <alignment horizontal="right" vertical="center"/>
    </xf>
    <xf numFmtId="0" fontId="59" fillId="0" borderId="3" xfId="0" applyFont="1" applyBorder="1" applyAlignment="1">
      <alignment horizontal="right" vertical="center"/>
    </xf>
    <xf numFmtId="0" fontId="59" fillId="32" borderId="1" xfId="0" applyFont="1" applyFill="1" applyBorder="1" applyAlignment="1">
      <alignment horizontal="right" vertical="center"/>
    </xf>
    <xf numFmtId="0" fontId="59" fillId="32" borderId="2" xfId="0" applyFont="1" applyFill="1" applyBorder="1" applyAlignment="1">
      <alignment horizontal="right" vertical="center"/>
    </xf>
    <xf numFmtId="0" fontId="59" fillId="32" borderId="3" xfId="0" applyFont="1" applyFill="1" applyBorder="1" applyAlignment="1">
      <alignment horizontal="right" vertical="center"/>
    </xf>
    <xf numFmtId="0" fontId="353" fillId="44" borderId="0" xfId="0" applyFont="1" applyFill="1" applyAlignment="1">
      <alignment horizontal="center" vertical="center" readingOrder="1"/>
    </xf>
    <xf numFmtId="0" fontId="111" fillId="78" borderId="0" xfId="0" applyFont="1" applyFill="1" applyAlignment="1">
      <alignment horizontal="right"/>
    </xf>
    <xf numFmtId="0" fontId="386" fillId="32" borderId="1" xfId="0" applyFont="1" applyFill="1" applyBorder="1" applyAlignment="1">
      <alignment horizontal="center" vertical="center"/>
    </xf>
    <xf numFmtId="0" fontId="487" fillId="32" borderId="2" xfId="0" applyFont="1" applyFill="1" applyBorder="1" applyAlignment="1">
      <alignment horizontal="center" vertical="center"/>
    </xf>
    <xf numFmtId="0" fontId="487" fillId="32" borderId="3" xfId="0" applyFont="1" applyFill="1" applyBorder="1" applyAlignment="1">
      <alignment horizontal="center" vertical="center"/>
    </xf>
    <xf numFmtId="0" fontId="111" fillId="20" borderId="0" xfId="0" applyFont="1" applyFill="1" applyAlignment="1">
      <alignment horizontal="center"/>
    </xf>
    <xf numFmtId="0" fontId="383" fillId="20" borderId="0" xfId="0" applyFont="1" applyFill="1" applyAlignment="1">
      <alignment horizontal="center" vertical="center"/>
    </xf>
    <xf numFmtId="0" fontId="144" fillId="20" borderId="0" xfId="0" applyFont="1" applyFill="1" applyAlignment="1">
      <alignment horizontal="center" vertical="center"/>
    </xf>
    <xf numFmtId="0" fontId="12" fillId="9" borderId="1" xfId="0" applyFont="1" applyFill="1" applyBorder="1" applyAlignment="1">
      <alignment horizontal="left"/>
    </xf>
    <xf numFmtId="0" fontId="12" fillId="9" borderId="29" xfId="0" applyFont="1" applyFill="1" applyBorder="1" applyAlignment="1">
      <alignment horizontal="left"/>
    </xf>
    <xf numFmtId="0" fontId="12" fillId="8" borderId="0" xfId="0" applyFont="1" applyFill="1" applyAlignment="1">
      <alignment horizontal="right"/>
    </xf>
    <xf numFmtId="1" fontId="22" fillId="8" borderId="0" xfId="0" applyNumberFormat="1" applyFont="1" applyFill="1" applyAlignment="1">
      <alignment horizontal="center" vertical="center"/>
    </xf>
    <xf numFmtId="0" fontId="23" fillId="8" borderId="0" xfId="0" applyFont="1" applyFill="1" applyAlignment="1">
      <alignment horizontal="center"/>
    </xf>
    <xf numFmtId="0" fontId="12" fillId="9" borderId="22" xfId="0" applyFont="1" applyFill="1" applyBorder="1" applyAlignment="1">
      <alignment horizontal="center"/>
    </xf>
    <xf numFmtId="0" fontId="12" fillId="9" borderId="23" xfId="0" applyFont="1" applyFill="1" applyBorder="1" applyAlignment="1">
      <alignment horizontal="center"/>
    </xf>
    <xf numFmtId="0" fontId="12" fillId="9" borderId="31" xfId="0" applyFont="1" applyFill="1" applyBorder="1" applyAlignment="1">
      <alignment horizontal="center"/>
    </xf>
    <xf numFmtId="0" fontId="12" fillId="8" borderId="2" xfId="0" applyFont="1" applyFill="1" applyBorder="1" applyAlignment="1">
      <alignment horizontal="right"/>
    </xf>
    <xf numFmtId="0" fontId="12" fillId="9" borderId="26" xfId="0" applyFont="1" applyFill="1" applyBorder="1" applyAlignment="1">
      <alignment horizontal="center"/>
    </xf>
    <xf numFmtId="0" fontId="12" fillId="9" borderId="36" xfId="0" applyFont="1" applyFill="1" applyBorder="1" applyAlignment="1">
      <alignment horizontal="center"/>
    </xf>
    <xf numFmtId="0" fontId="399" fillId="32" borderId="25" xfId="0" applyFont="1" applyFill="1" applyBorder="1" applyAlignment="1">
      <alignment horizontal="center"/>
    </xf>
    <xf numFmtId="0" fontId="399" fillId="32" borderId="0" xfId="0" applyFont="1" applyFill="1" applyAlignment="1">
      <alignment horizontal="center"/>
    </xf>
    <xf numFmtId="0" fontId="13" fillId="8" borderId="0" xfId="0" applyFont="1" applyFill="1" applyAlignment="1">
      <alignment horizontal="center"/>
    </xf>
    <xf numFmtId="0" fontId="171" fillId="8" borderId="0" xfId="0" applyFont="1" applyFill="1" applyAlignment="1">
      <alignment horizontal="right"/>
    </xf>
    <xf numFmtId="0" fontId="493" fillId="32" borderId="25" xfId="0" applyFont="1" applyFill="1" applyBorder="1" applyAlignment="1">
      <alignment horizontal="center"/>
    </xf>
    <xf numFmtId="0" fontId="493" fillId="32" borderId="0" xfId="0" applyFont="1" applyFill="1" applyAlignment="1">
      <alignment horizontal="center"/>
    </xf>
    <xf numFmtId="0" fontId="17" fillId="8" borderId="25" xfId="0" applyFont="1" applyFill="1" applyBorder="1" applyAlignment="1">
      <alignment horizontal="center"/>
    </xf>
    <xf numFmtId="0" fontId="17" fillId="8" borderId="0" xfId="0" applyFont="1" applyFill="1" applyAlignment="1">
      <alignment horizontal="center"/>
    </xf>
    <xf numFmtId="0" fontId="12" fillId="8" borderId="23" xfId="0" applyFont="1" applyFill="1" applyBorder="1" applyAlignment="1">
      <alignment horizontal="right"/>
    </xf>
    <xf numFmtId="0" fontId="12" fillId="8" borderId="24" xfId="0" applyFont="1" applyFill="1" applyBorder="1" applyAlignment="1">
      <alignment horizontal="right"/>
    </xf>
    <xf numFmtId="0" fontId="12" fillId="12" borderId="25" xfId="0" applyFont="1" applyFill="1" applyBorder="1" applyAlignment="1">
      <alignment horizontal="right"/>
    </xf>
    <xf numFmtId="0" fontId="12" fillId="12" borderId="0" xfId="0" applyFont="1" applyFill="1" applyAlignment="1">
      <alignment horizontal="right"/>
    </xf>
    <xf numFmtId="0" fontId="12" fillId="12" borderId="16" xfId="0" applyFont="1" applyFill="1" applyBorder="1" applyAlignment="1">
      <alignment horizontal="right"/>
    </xf>
    <xf numFmtId="0" fontId="26" fillId="8" borderId="0" xfId="0" applyFont="1" applyFill="1" applyAlignment="1">
      <alignment horizontal="left"/>
    </xf>
    <xf numFmtId="0" fontId="170" fillId="33" borderId="22" xfId="0" applyFont="1" applyFill="1" applyBorder="1" applyAlignment="1">
      <alignment horizontal="center" vertical="center"/>
    </xf>
    <xf numFmtId="0" fontId="170" fillId="33" borderId="23" xfId="0" applyFont="1" applyFill="1" applyBorder="1" applyAlignment="1">
      <alignment horizontal="center" vertical="center"/>
    </xf>
    <xf numFmtId="0" fontId="170" fillId="33" borderId="24" xfId="0" applyFont="1" applyFill="1" applyBorder="1" applyAlignment="1">
      <alignment horizontal="center" vertical="center"/>
    </xf>
    <xf numFmtId="0" fontId="77" fillId="33" borderId="62" xfId="0" applyFont="1" applyFill="1" applyBorder="1" applyAlignment="1">
      <alignment horizontal="center" vertical="center"/>
    </xf>
    <xf numFmtId="0" fontId="77" fillId="33" borderId="52" xfId="0" applyFont="1" applyFill="1" applyBorder="1" applyAlignment="1">
      <alignment horizontal="center" vertical="center"/>
    </xf>
    <xf numFmtId="3" fontId="174" fillId="10" borderId="62" xfId="0" applyNumberFormat="1" applyFont="1" applyFill="1" applyBorder="1" applyAlignment="1" applyProtection="1">
      <alignment horizontal="center" vertical="center"/>
      <protection locked="0"/>
    </xf>
    <xf numFmtId="3" fontId="174" fillId="10" borderId="52" xfId="0" applyNumberFormat="1" applyFont="1" applyFill="1" applyBorder="1" applyAlignment="1" applyProtection="1">
      <alignment horizontal="center" vertical="center"/>
      <protection locked="0"/>
    </xf>
    <xf numFmtId="0" fontId="77" fillId="33" borderId="9" xfId="0" applyFont="1" applyFill="1" applyBorder="1" applyAlignment="1">
      <alignment horizontal="center" vertical="center"/>
    </xf>
    <xf numFmtId="0" fontId="77" fillId="33" borderId="65" xfId="0" applyFont="1" applyFill="1" applyBorder="1" applyAlignment="1">
      <alignment horizontal="center" vertical="center"/>
    </xf>
    <xf numFmtId="0" fontId="117" fillId="32" borderId="13" xfId="5" applyFill="1" applyBorder="1" applyAlignment="1">
      <alignment horizontal="center" vertical="center" wrapText="1"/>
    </xf>
    <xf numFmtId="0" fontId="117" fillId="32" borderId="14" xfId="5" applyFill="1" applyBorder="1" applyAlignment="1">
      <alignment horizontal="center" vertical="center" wrapText="1"/>
    </xf>
    <xf numFmtId="0" fontId="117" fillId="32" borderId="15" xfId="5" applyFill="1" applyBorder="1" applyAlignment="1">
      <alignment horizontal="center" vertical="center" wrapText="1"/>
    </xf>
    <xf numFmtId="0" fontId="175" fillId="33" borderId="0" xfId="0" applyFont="1" applyFill="1" applyAlignment="1">
      <alignment horizontal="right"/>
    </xf>
    <xf numFmtId="0" fontId="154" fillId="33" borderId="7" xfId="0" applyFont="1" applyFill="1" applyBorder="1" applyAlignment="1">
      <alignment horizontal="left" vertical="center"/>
    </xf>
    <xf numFmtId="0" fontId="154" fillId="33" borderId="8" xfId="0" applyFont="1" applyFill="1" applyBorder="1" applyAlignment="1">
      <alignment horizontal="left" vertical="center"/>
    </xf>
    <xf numFmtId="0" fontId="154" fillId="33" borderId="10" xfId="0" applyFont="1" applyFill="1" applyBorder="1" applyAlignment="1">
      <alignment horizontal="left" vertical="center"/>
    </xf>
    <xf numFmtId="0" fontId="154" fillId="33" borderId="11" xfId="0" applyFont="1" applyFill="1" applyBorder="1" applyAlignment="1">
      <alignment horizontal="left" vertical="center"/>
    </xf>
    <xf numFmtId="0" fontId="117" fillId="33" borderId="0" xfId="5" applyFill="1" applyAlignment="1">
      <alignment horizontal="center" vertical="center" wrapText="1"/>
    </xf>
    <xf numFmtId="0" fontId="35" fillId="10" borderId="0" xfId="0" applyFont="1" applyFill="1" applyAlignment="1">
      <alignment horizontal="center" vertical="center"/>
    </xf>
    <xf numFmtId="0" fontId="47" fillId="43" borderId="13" xfId="0" applyFont="1" applyFill="1" applyBorder="1" applyAlignment="1">
      <alignment horizontal="center" vertical="center"/>
    </xf>
    <xf numFmtId="0" fontId="47" fillId="43" borderId="15" xfId="0" applyFont="1" applyFill="1" applyBorder="1" applyAlignment="1">
      <alignment horizontal="center" vertical="center"/>
    </xf>
    <xf numFmtId="0" fontId="35" fillId="32" borderId="19" xfId="0" applyFont="1" applyFill="1" applyBorder="1" applyAlignment="1">
      <alignment horizontal="center" vertical="center"/>
    </xf>
    <xf numFmtId="0" fontId="35" fillId="32" borderId="20" xfId="0" applyFont="1" applyFill="1" applyBorder="1" applyAlignment="1">
      <alignment horizontal="center" vertical="center"/>
    </xf>
    <xf numFmtId="0" fontId="0" fillId="32" borderId="18" xfId="0" applyFill="1" applyBorder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35" fillId="10" borderId="38" xfId="0" applyFont="1" applyFill="1" applyBorder="1" applyAlignment="1">
      <alignment horizontal="center" vertical="center"/>
    </xf>
    <xf numFmtId="0" fontId="35" fillId="10" borderId="40" xfId="0" applyFont="1" applyFill="1" applyBorder="1" applyAlignment="1">
      <alignment horizontal="center" vertical="center"/>
    </xf>
    <xf numFmtId="0" fontId="70" fillId="32" borderId="0" xfId="0" applyFont="1" applyFill="1" applyAlignment="1">
      <alignment horizontal="center" vertical="center" readingOrder="1"/>
    </xf>
    <xf numFmtId="0" fontId="69" fillId="32" borderId="0" xfId="0" applyFont="1" applyFill="1" applyAlignment="1">
      <alignment horizontal="center" vertical="center" readingOrder="1"/>
    </xf>
    <xf numFmtId="0" fontId="70" fillId="32" borderId="0" xfId="0" applyFont="1" applyFill="1" applyAlignment="1">
      <alignment horizontal="center" readingOrder="1"/>
    </xf>
    <xf numFmtId="0" fontId="0" fillId="32" borderId="0" xfId="0" applyFill="1" applyAlignment="1">
      <alignment horizontal="left" vertical="center"/>
    </xf>
    <xf numFmtId="0" fontId="35" fillId="32" borderId="0" xfId="0" applyFont="1" applyFill="1" applyAlignment="1">
      <alignment horizontal="center" vertical="center"/>
    </xf>
    <xf numFmtId="0" fontId="70" fillId="32" borderId="18" xfId="0" applyFont="1" applyFill="1" applyBorder="1" applyAlignment="1">
      <alignment horizontal="right" vertical="center" readingOrder="1"/>
    </xf>
    <xf numFmtId="0" fontId="70" fillId="32" borderId="0" xfId="0" applyFont="1" applyFill="1" applyAlignment="1">
      <alignment horizontal="right" vertical="center" readingOrder="1"/>
    </xf>
    <xf numFmtId="1" fontId="11" fillId="32" borderId="0" xfId="0" applyNumberFormat="1" applyFont="1" applyFill="1" applyAlignment="1">
      <alignment horizontal="center" vertical="center"/>
    </xf>
    <xf numFmtId="3" fontId="1" fillId="32" borderId="0" xfId="0" applyNumberFormat="1" applyFont="1" applyFill="1" applyAlignment="1">
      <alignment horizontal="right" vertical="center"/>
    </xf>
    <xf numFmtId="3" fontId="10" fillId="32" borderId="0" xfId="0" applyNumberFormat="1" applyFont="1" applyFill="1" applyAlignment="1">
      <alignment horizontal="right" vertical="center"/>
    </xf>
    <xf numFmtId="1" fontId="11" fillId="32" borderId="0" xfId="0" applyNumberFormat="1" applyFont="1" applyFill="1" applyAlignment="1">
      <alignment horizontal="right" vertical="center"/>
    </xf>
    <xf numFmtId="0" fontId="120" fillId="32" borderId="1" xfId="0" applyFont="1" applyFill="1" applyBorder="1" applyAlignment="1">
      <alignment horizontal="center" vertical="center"/>
    </xf>
    <xf numFmtId="0" fontId="120" fillId="32" borderId="2" xfId="0" applyFont="1" applyFill="1" applyBorder="1" applyAlignment="1">
      <alignment horizontal="center" vertical="center"/>
    </xf>
    <xf numFmtId="0" fontId="120" fillId="32" borderId="3" xfId="0" applyFont="1" applyFill="1" applyBorder="1" applyAlignment="1">
      <alignment horizontal="center" vertical="center"/>
    </xf>
    <xf numFmtId="0" fontId="59" fillId="32" borderId="1" xfId="0" applyFont="1" applyFill="1" applyBorder="1" applyAlignment="1">
      <alignment horizontal="right"/>
    </xf>
    <xf numFmtId="0" fontId="0" fillId="32" borderId="2" xfId="0" applyFill="1" applyBorder="1" applyAlignment="1">
      <alignment horizontal="right"/>
    </xf>
    <xf numFmtId="0" fontId="120" fillId="42" borderId="22" xfId="0" applyFont="1" applyFill="1" applyBorder="1" applyAlignment="1">
      <alignment horizontal="center" vertical="center"/>
    </xf>
    <xf numFmtId="0" fontId="120" fillId="42" borderId="23" xfId="0" applyFont="1" applyFill="1" applyBorder="1" applyAlignment="1">
      <alignment horizontal="center" vertical="center"/>
    </xf>
    <xf numFmtId="0" fontId="120" fillId="42" borderId="25" xfId="0" applyFont="1" applyFill="1" applyBorder="1" applyAlignment="1">
      <alignment horizontal="center" vertical="center"/>
    </xf>
    <xf numFmtId="0" fontId="120" fillId="42" borderId="0" xfId="0" applyFont="1" applyFill="1" applyAlignment="1">
      <alignment horizontal="center" vertical="center"/>
    </xf>
    <xf numFmtId="0" fontId="117" fillId="42" borderId="38" xfId="0" applyFont="1" applyFill="1" applyBorder="1" applyAlignment="1">
      <alignment horizontal="center"/>
    </xf>
    <xf numFmtId="0" fontId="117" fillId="42" borderId="40" xfId="0" applyFont="1" applyFill="1" applyBorder="1" applyAlignment="1">
      <alignment horizontal="center"/>
    </xf>
    <xf numFmtId="0" fontId="117" fillId="42" borderId="39" xfId="0" applyFont="1" applyFill="1" applyBorder="1" applyAlignment="1">
      <alignment horizontal="center"/>
    </xf>
    <xf numFmtId="0" fontId="35" fillId="20" borderId="38" xfId="0" applyFont="1" applyFill="1" applyBorder="1" applyAlignment="1">
      <alignment horizontal="center" vertical="center"/>
    </xf>
    <xf numFmtId="0" fontId="35" fillId="20" borderId="40" xfId="0" applyFont="1" applyFill="1" applyBorder="1" applyAlignment="1">
      <alignment horizontal="center" vertical="center"/>
    </xf>
    <xf numFmtId="0" fontId="117" fillId="32" borderId="0" xfId="0" applyFont="1" applyFill="1" applyAlignment="1">
      <alignment horizontal="center"/>
    </xf>
    <xf numFmtId="0" fontId="0" fillId="29" borderId="0" xfId="0" applyFill="1" applyAlignment="1">
      <alignment horizontal="right" vertical="center"/>
    </xf>
    <xf numFmtId="0" fontId="35" fillId="29" borderId="0" xfId="0" applyFont="1" applyFill="1" applyAlignment="1">
      <alignment horizontal="right" vertical="center"/>
    </xf>
    <xf numFmtId="0" fontId="0" fillId="29" borderId="25" xfId="0" applyFill="1" applyBorder="1" applyAlignment="1">
      <alignment horizontal="left" vertical="center"/>
    </xf>
    <xf numFmtId="0" fontId="0" fillId="29" borderId="0" xfId="0" applyFill="1" applyAlignment="1">
      <alignment horizontal="left" vertical="center"/>
    </xf>
    <xf numFmtId="0" fontId="62" fillId="29" borderId="0" xfId="0" applyFont="1" applyFill="1" applyAlignment="1">
      <alignment horizontal="center"/>
    </xf>
    <xf numFmtId="0" fontId="61" fillId="29" borderId="43" xfId="0" applyFont="1" applyFill="1" applyBorder="1" applyAlignment="1">
      <alignment horizontal="center" vertical="center"/>
    </xf>
    <xf numFmtId="0" fontId="61" fillId="29" borderId="48" xfId="0" applyFont="1" applyFill="1" applyBorder="1" applyAlignment="1">
      <alignment horizontal="center" vertical="center"/>
    </xf>
    <xf numFmtId="0" fontId="61" fillId="29" borderId="44" xfId="0" applyFont="1" applyFill="1" applyBorder="1" applyAlignment="1">
      <alignment horizontal="center" vertical="center"/>
    </xf>
    <xf numFmtId="0" fontId="61" fillId="29" borderId="49" xfId="0" applyFont="1" applyFill="1" applyBorder="1" applyAlignment="1">
      <alignment horizontal="center" vertical="center"/>
    </xf>
    <xf numFmtId="0" fontId="61" fillId="29" borderId="44" xfId="0" applyFont="1" applyFill="1" applyBorder="1" applyAlignment="1">
      <alignment horizontal="center" vertical="center" wrapText="1"/>
    </xf>
    <xf numFmtId="0" fontId="61" fillId="29" borderId="49" xfId="0" applyFont="1" applyFill="1" applyBorder="1" applyAlignment="1">
      <alignment horizontal="center" vertical="center" wrapText="1"/>
    </xf>
    <xf numFmtId="0" fontId="61" fillId="29" borderId="45" xfId="0" applyFont="1" applyFill="1" applyBorder="1" applyAlignment="1">
      <alignment horizontal="center" vertical="center" wrapText="1"/>
    </xf>
    <xf numFmtId="0" fontId="61" fillId="29" borderId="24" xfId="0" applyFont="1" applyFill="1" applyBorder="1" applyAlignment="1">
      <alignment horizontal="center" vertical="center" wrapText="1"/>
    </xf>
    <xf numFmtId="0" fontId="61" fillId="29" borderId="50" xfId="0" applyFont="1" applyFill="1" applyBorder="1" applyAlignment="1">
      <alignment horizontal="center" vertical="center" wrapText="1"/>
    </xf>
    <xf numFmtId="0" fontId="61" fillId="29" borderId="28" xfId="0" applyFont="1" applyFill="1" applyBorder="1" applyAlignment="1">
      <alignment horizontal="center" vertical="center" wrapText="1"/>
    </xf>
    <xf numFmtId="0" fontId="61" fillId="29" borderId="4" xfId="0" applyFont="1" applyFill="1" applyBorder="1" applyAlignment="1">
      <alignment horizontal="center" vertical="center"/>
    </xf>
    <xf numFmtId="0" fontId="61" fillId="29" borderId="10" xfId="0" applyFont="1" applyFill="1" applyBorder="1" applyAlignment="1">
      <alignment horizontal="center" vertical="center"/>
    </xf>
    <xf numFmtId="0" fontId="61" fillId="29" borderId="5" xfId="0" applyFont="1" applyFill="1" applyBorder="1" applyAlignment="1">
      <alignment horizontal="center" vertical="center"/>
    </xf>
    <xf numFmtId="0" fontId="61" fillId="29" borderId="11" xfId="0" applyFont="1" applyFill="1" applyBorder="1" applyAlignment="1">
      <alignment horizontal="center" vertical="center"/>
    </xf>
    <xf numFmtId="0" fontId="61" fillId="29" borderId="5" xfId="0" applyFont="1" applyFill="1" applyBorder="1" applyAlignment="1">
      <alignment horizontal="center" vertical="center" wrapText="1"/>
    </xf>
    <xf numFmtId="0" fontId="61" fillId="29" borderId="11" xfId="0" applyFont="1" applyFill="1" applyBorder="1" applyAlignment="1">
      <alignment horizontal="center" vertical="center" wrapText="1"/>
    </xf>
    <xf numFmtId="0" fontId="62" fillId="30" borderId="1" xfId="0" applyFont="1" applyFill="1" applyBorder="1" applyAlignment="1">
      <alignment horizontal="center"/>
    </xf>
    <xf numFmtId="0" fontId="62" fillId="30" borderId="2" xfId="0" applyFont="1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61" fillId="29" borderId="22" xfId="0" applyFont="1" applyFill="1" applyBorder="1" applyAlignment="1">
      <alignment horizontal="center" vertical="center" wrapText="1"/>
    </xf>
    <xf numFmtId="0" fontId="61" fillId="29" borderId="23" xfId="0" applyFont="1" applyFill="1" applyBorder="1" applyAlignment="1">
      <alignment horizontal="center" vertical="center" wrapText="1"/>
    </xf>
    <xf numFmtId="0" fontId="61" fillId="29" borderId="26" xfId="0" applyFont="1" applyFill="1" applyBorder="1" applyAlignment="1">
      <alignment horizontal="center" vertical="center" wrapText="1"/>
    </xf>
    <xf numFmtId="0" fontId="61" fillId="29" borderId="27" xfId="0" applyFont="1" applyFill="1" applyBorder="1" applyAlignment="1">
      <alignment horizontal="center" vertical="center" wrapText="1"/>
    </xf>
    <xf numFmtId="0" fontId="62" fillId="28" borderId="1" xfId="0" applyFont="1" applyFill="1" applyBorder="1" applyAlignment="1">
      <alignment horizontal="center"/>
    </xf>
    <xf numFmtId="0" fontId="62" fillId="28" borderId="2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center"/>
    </xf>
    <xf numFmtId="0" fontId="62" fillId="31" borderId="1" xfId="0" applyFont="1" applyFill="1" applyBorder="1" applyAlignment="1">
      <alignment horizontal="center"/>
    </xf>
    <xf numFmtId="0" fontId="62" fillId="31" borderId="2" xfId="0" applyFont="1" applyFill="1" applyBorder="1" applyAlignment="1">
      <alignment horizontal="center"/>
    </xf>
    <xf numFmtId="0" fontId="62" fillId="31" borderId="3" xfId="0" applyFont="1" applyFill="1" applyBorder="1" applyAlignment="1">
      <alignment horizontal="center"/>
    </xf>
    <xf numFmtId="0" fontId="61" fillId="29" borderId="6" xfId="0" applyFont="1" applyFill="1" applyBorder="1" applyAlignment="1">
      <alignment horizontal="center" vertical="center" wrapText="1"/>
    </xf>
    <xf numFmtId="0" fontId="61" fillId="29" borderId="12" xfId="0" applyFont="1" applyFill="1" applyBorder="1" applyAlignment="1">
      <alignment horizontal="center" vertical="center" wrapText="1"/>
    </xf>
    <xf numFmtId="0" fontId="192" fillId="32" borderId="1" xfId="0" applyFont="1" applyFill="1" applyBorder="1" applyAlignment="1">
      <alignment horizontal="left" vertical="center"/>
    </xf>
    <xf numFmtId="0" fontId="192" fillId="32" borderId="2" xfId="0" applyFont="1" applyFill="1" applyBorder="1" applyAlignment="1">
      <alignment horizontal="left" vertical="center"/>
    </xf>
    <xf numFmtId="0" fontId="192" fillId="32" borderId="3" xfId="0" applyFont="1" applyFill="1" applyBorder="1" applyAlignment="1">
      <alignment horizontal="left" vertical="center"/>
    </xf>
    <xf numFmtId="0" fontId="61" fillId="29" borderId="47" xfId="0" applyFont="1" applyFill="1" applyBorder="1" applyAlignment="1">
      <alignment horizontal="center" vertical="center" wrapText="1"/>
    </xf>
    <xf numFmtId="0" fontId="61" fillId="29" borderId="53" xfId="0" applyFont="1" applyFill="1" applyBorder="1" applyAlignment="1">
      <alignment horizontal="center" vertical="center" wrapText="1"/>
    </xf>
    <xf numFmtId="0" fontId="6" fillId="49" borderId="0" xfId="0" applyFont="1" applyFill="1" applyAlignment="1">
      <alignment horizontal="right" vertical="center"/>
    </xf>
    <xf numFmtId="0" fontId="488" fillId="32" borderId="1" xfId="0" applyFont="1" applyFill="1" applyBorder="1" applyAlignment="1">
      <alignment horizontal="center" vertical="center"/>
    </xf>
    <xf numFmtId="0" fontId="488" fillId="32" borderId="2" xfId="0" applyFont="1" applyFill="1" applyBorder="1" applyAlignment="1">
      <alignment horizontal="center" vertical="center"/>
    </xf>
    <xf numFmtId="0" fontId="488" fillId="32" borderId="3" xfId="0" applyFont="1" applyFill="1" applyBorder="1" applyAlignment="1">
      <alignment horizontal="center" vertical="center"/>
    </xf>
    <xf numFmtId="0" fontId="101" fillId="49" borderId="0" xfId="0" applyFont="1" applyFill="1" applyAlignment="1">
      <alignment horizontal="center" vertical="center"/>
    </xf>
    <xf numFmtId="0" fontId="101" fillId="49" borderId="17" xfId="0" applyFont="1" applyFill="1" applyBorder="1" applyAlignment="1">
      <alignment horizontal="center" vertical="center"/>
    </xf>
    <xf numFmtId="0" fontId="35" fillId="49" borderId="0" xfId="0" applyFont="1" applyFill="1" applyAlignment="1">
      <alignment horizontal="right" vertical="center"/>
    </xf>
    <xf numFmtId="0" fontId="35" fillId="49" borderId="17" xfId="0" applyFont="1" applyFill="1" applyBorder="1" applyAlignment="1">
      <alignment horizontal="right" vertical="center"/>
    </xf>
    <xf numFmtId="165" fontId="90" fillId="16" borderId="19" xfId="0" applyNumberFormat="1" applyFont="1" applyFill="1" applyBorder="1">
      <alignment vertical="center"/>
    </xf>
    <xf numFmtId="165" fontId="90" fillId="16" borderId="20" xfId="0" applyNumberFormat="1" applyFont="1" applyFill="1" applyBorder="1">
      <alignment vertical="center"/>
    </xf>
    <xf numFmtId="0" fontId="0" fillId="20" borderId="18" xfId="0" applyFill="1" applyBorder="1">
      <alignment vertical="center"/>
    </xf>
    <xf numFmtId="0" fontId="0" fillId="20" borderId="0" xfId="0" applyFill="1">
      <alignment vertical="center"/>
    </xf>
    <xf numFmtId="0" fontId="0" fillId="16" borderId="18" xfId="0" applyFill="1" applyBorder="1" applyAlignment="1">
      <alignment horizontal="right" vertical="center"/>
    </xf>
    <xf numFmtId="0" fontId="0" fillId="16" borderId="0" xfId="0" applyFill="1" applyAlignment="1">
      <alignment horizontal="right" vertical="center"/>
    </xf>
    <xf numFmtId="2" fontId="35" fillId="10" borderId="18" xfId="0" applyNumberFormat="1" applyFont="1" applyFill="1" applyBorder="1" applyAlignment="1" applyProtection="1">
      <alignment horizontal="right" vertical="center"/>
      <protection locked="0"/>
    </xf>
    <xf numFmtId="2" fontId="35" fillId="10" borderId="0" xfId="0" applyNumberFormat="1" applyFont="1" applyFill="1" applyAlignment="1" applyProtection="1">
      <alignment horizontal="right" vertical="center"/>
      <protection locked="0"/>
    </xf>
    <xf numFmtId="0" fontId="120" fillId="49" borderId="22" xfId="0" applyFont="1" applyFill="1" applyBorder="1" applyAlignment="1">
      <alignment horizontal="center" vertical="center"/>
    </xf>
    <xf numFmtId="0" fontId="120" fillId="49" borderId="23" xfId="0" applyFont="1" applyFill="1" applyBorder="1" applyAlignment="1">
      <alignment horizontal="center" vertical="center"/>
    </xf>
    <xf numFmtId="0" fontId="120" fillId="49" borderId="24" xfId="0" applyFont="1" applyFill="1" applyBorder="1" applyAlignment="1">
      <alignment horizontal="center" vertical="center"/>
    </xf>
    <xf numFmtId="0" fontId="120" fillId="49" borderId="25" xfId="0" applyFont="1" applyFill="1" applyBorder="1" applyAlignment="1">
      <alignment horizontal="center" vertical="center"/>
    </xf>
    <xf numFmtId="0" fontId="120" fillId="49" borderId="16" xfId="0" applyFont="1" applyFill="1" applyBorder="1" applyAlignment="1">
      <alignment horizontal="center" vertical="center"/>
    </xf>
    <xf numFmtId="2" fontId="0" fillId="20" borderId="19" xfId="0" applyNumberFormat="1" applyFill="1" applyBorder="1" applyAlignment="1">
      <alignment horizontal="right" vertical="center"/>
    </xf>
    <xf numFmtId="2" fontId="0" fillId="20" borderId="20" xfId="0" applyNumberFormat="1" applyFill="1" applyBorder="1" applyAlignment="1">
      <alignment horizontal="right" vertical="center"/>
    </xf>
    <xf numFmtId="0" fontId="101" fillId="10" borderId="18" xfId="0" applyFont="1" applyFill="1" applyBorder="1" applyAlignment="1" applyProtection="1">
      <alignment horizontal="right" vertical="center"/>
      <protection locked="0"/>
    </xf>
    <xf numFmtId="0" fontId="101" fillId="10" borderId="0" xfId="0" applyFont="1" applyFill="1" applyAlignment="1" applyProtection="1">
      <alignment horizontal="right" vertical="center"/>
      <protection locked="0"/>
    </xf>
    <xf numFmtId="0" fontId="400" fillId="40" borderId="1" xfId="0" applyFont="1" applyFill="1" applyBorder="1" applyAlignment="1">
      <alignment horizontal="center" vertical="center"/>
    </xf>
    <xf numFmtId="0" fontId="400" fillId="40" borderId="2" xfId="0" applyFont="1" applyFill="1" applyBorder="1" applyAlignment="1">
      <alignment horizontal="center" vertical="center"/>
    </xf>
    <xf numFmtId="0" fontId="400" fillId="40" borderId="3" xfId="0" applyFont="1" applyFill="1" applyBorder="1" applyAlignment="1">
      <alignment horizontal="center" vertical="center"/>
    </xf>
    <xf numFmtId="0" fontId="101" fillId="32" borderId="0" xfId="0" applyFont="1" applyFill="1" applyAlignment="1">
      <alignment horizontal="center"/>
    </xf>
    <xf numFmtId="0" fontId="59" fillId="32" borderId="0" xfId="0" applyFont="1" applyFill="1" applyAlignment="1">
      <alignment horizontal="center" vertical="center"/>
    </xf>
    <xf numFmtId="0" fontId="60" fillId="32" borderId="0" xfId="0" applyFont="1" applyFill="1" applyAlignment="1">
      <alignment horizontal="center" vertical="center"/>
    </xf>
    <xf numFmtId="179" fontId="59" fillId="36" borderId="13" xfId="0" applyNumberFormat="1" applyFont="1" applyFill="1" applyBorder="1" applyAlignment="1">
      <alignment horizontal="center" vertical="center"/>
    </xf>
    <xf numFmtId="179" fontId="59" fillId="36" borderId="14" xfId="0" applyNumberFormat="1" applyFont="1" applyFill="1" applyBorder="1" applyAlignment="1">
      <alignment horizontal="center" vertical="center"/>
    </xf>
    <xf numFmtId="179" fontId="59" fillId="36" borderId="15" xfId="0" applyNumberFormat="1" applyFont="1" applyFill="1" applyBorder="1" applyAlignment="1">
      <alignment horizontal="center" vertical="center"/>
    </xf>
    <xf numFmtId="0" fontId="59" fillId="10" borderId="8" xfId="0" applyFont="1" applyFill="1" applyBorder="1" applyAlignment="1" applyProtection="1">
      <alignment horizontal="center" vertical="center"/>
      <protection locked="0"/>
    </xf>
    <xf numFmtId="0" fontId="59" fillId="10" borderId="13" xfId="0" applyFont="1" applyFill="1" applyBorder="1" applyAlignment="1" applyProtection="1">
      <alignment horizontal="center" vertical="center"/>
      <protection locked="0"/>
    </xf>
    <xf numFmtId="0" fontId="59" fillId="10" borderId="15" xfId="0" applyFont="1" applyFill="1" applyBorder="1" applyAlignment="1" applyProtection="1">
      <alignment horizontal="center" vertical="center"/>
      <protection locked="0"/>
    </xf>
    <xf numFmtId="0" fontId="396" fillId="32" borderId="1" xfId="0" applyFont="1" applyFill="1" applyBorder="1" applyAlignment="1">
      <alignment horizontal="center" vertical="center"/>
    </xf>
    <xf numFmtId="0" fontId="396" fillId="32" borderId="2" xfId="0" applyFont="1" applyFill="1" applyBorder="1" applyAlignment="1">
      <alignment horizontal="center" vertical="center"/>
    </xf>
    <xf numFmtId="0" fontId="396" fillId="32" borderId="3" xfId="0" applyFont="1" applyFill="1" applyBorder="1" applyAlignment="1">
      <alignment horizontal="center" vertical="center"/>
    </xf>
    <xf numFmtId="0" fontId="101" fillId="37" borderId="0" xfId="0" applyFont="1" applyFill="1" applyAlignment="1">
      <alignment horizontal="center" vertical="center"/>
    </xf>
    <xf numFmtId="0" fontId="101" fillId="37" borderId="22" xfId="0" applyFont="1" applyFill="1" applyBorder="1" applyAlignment="1">
      <alignment horizontal="center" vertical="center"/>
    </xf>
    <xf numFmtId="0" fontId="101" fillId="37" borderId="23" xfId="0" applyFont="1" applyFill="1" applyBorder="1" applyAlignment="1">
      <alignment horizontal="center" vertical="center"/>
    </xf>
    <xf numFmtId="0" fontId="101" fillId="37" borderId="24" xfId="0" applyFont="1" applyFill="1" applyBorder="1" applyAlignment="1">
      <alignment horizontal="center" vertical="center"/>
    </xf>
    <xf numFmtId="0" fontId="0" fillId="37" borderId="0" xfId="0" applyFill="1" applyAlignment="1">
      <alignment horizontal="right" vertical="center"/>
    </xf>
    <xf numFmtId="0" fontId="1" fillId="37" borderId="0" xfId="0" applyFont="1" applyFill="1" applyAlignment="1">
      <alignment horizontal="right" vertical="center"/>
    </xf>
    <xf numFmtId="0" fontId="175" fillId="51" borderId="0" xfId="0" applyFont="1" applyFill="1" applyAlignment="1">
      <alignment horizontal="right"/>
    </xf>
    <xf numFmtId="0" fontId="175" fillId="32" borderId="0" xfId="0" applyFont="1" applyFill="1" applyAlignment="1">
      <alignment horizontal="right"/>
    </xf>
    <xf numFmtId="0" fontId="18" fillId="46" borderId="8" xfId="0" applyFont="1" applyFill="1" applyBorder="1" applyAlignment="1"/>
    <xf numFmtId="0" fontId="0" fillId="48" borderId="8" xfId="0" applyFill="1" applyBorder="1" applyAlignment="1">
      <alignment horizontal="center"/>
    </xf>
    <xf numFmtId="0" fontId="18" fillId="46" borderId="13" xfId="0" applyFont="1" applyFill="1" applyBorder="1" applyAlignment="1"/>
    <xf numFmtId="0" fontId="18" fillId="46" borderId="14" xfId="0" applyFont="1" applyFill="1" applyBorder="1" applyAlignment="1"/>
    <xf numFmtId="0" fontId="18" fillId="46" borderId="15" xfId="0" applyFont="1" applyFill="1" applyBorder="1" applyAlignment="1"/>
    <xf numFmtId="0" fontId="124" fillId="46" borderId="13" xfId="0" applyFont="1" applyFill="1" applyBorder="1" applyAlignment="1"/>
    <xf numFmtId="0" fontId="124" fillId="46" borderId="14" xfId="0" applyFont="1" applyFill="1" applyBorder="1" applyAlignment="1"/>
    <xf numFmtId="0" fontId="124" fillId="46" borderId="15" xfId="0" applyFont="1" applyFill="1" applyBorder="1" applyAlignment="1"/>
    <xf numFmtId="0" fontId="0" fillId="0" borderId="14" xfId="0" applyBorder="1" applyAlignment="1"/>
    <xf numFmtId="0" fontId="0" fillId="0" borderId="15" xfId="0" applyBorder="1" applyAlignment="1"/>
    <xf numFmtId="0" fontId="122" fillId="45" borderId="8" xfId="0" applyFont="1" applyFill="1" applyBorder="1" applyAlignment="1"/>
    <xf numFmtId="0" fontId="0" fillId="45" borderId="8" xfId="0" applyFill="1" applyBorder="1" applyAlignment="1"/>
    <xf numFmtId="0" fontId="0" fillId="0" borderId="8" xfId="0" applyBorder="1" applyAlignment="1"/>
    <xf numFmtId="0" fontId="0" fillId="0" borderId="62" xfId="0" applyBorder="1" applyAlignment="1"/>
    <xf numFmtId="0" fontId="0" fillId="0" borderId="42" xfId="0" applyBorder="1" applyAlignment="1"/>
    <xf numFmtId="0" fontId="18" fillId="46" borderId="18" xfId="0" applyFont="1" applyFill="1" applyBorder="1" applyAlignment="1">
      <alignment wrapText="1"/>
    </xf>
    <xf numFmtId="0" fontId="18" fillId="46" borderId="0" xfId="0" applyFont="1" applyFill="1" applyAlignment="1"/>
    <xf numFmtId="0" fontId="18" fillId="46" borderId="17" xfId="0" applyFont="1" applyFill="1" applyBorder="1" applyAlignment="1"/>
    <xf numFmtId="0" fontId="18" fillId="46" borderId="19" xfId="0" applyFont="1" applyFill="1" applyBorder="1" applyAlignment="1"/>
    <xf numFmtId="0" fontId="18" fillId="46" borderId="20" xfId="0" applyFont="1" applyFill="1" applyBorder="1" applyAlignment="1"/>
    <xf numFmtId="0" fontId="18" fillId="46" borderId="21" xfId="0" applyFont="1" applyFill="1" applyBorder="1" applyAlignment="1"/>
    <xf numFmtId="0" fontId="0" fillId="47" borderId="8" xfId="0" applyFill="1" applyBorder="1" applyAlignment="1">
      <alignment horizontal="center" wrapText="1"/>
    </xf>
    <xf numFmtId="0" fontId="0" fillId="47" borderId="8" xfId="0" applyFill="1" applyBorder="1" applyAlignment="1">
      <alignment horizontal="center"/>
    </xf>
    <xf numFmtId="0" fontId="343" fillId="72" borderId="25" xfId="0" applyFont="1" applyFill="1" applyBorder="1" applyAlignment="1">
      <alignment horizontal="center" vertical="center"/>
    </xf>
    <xf numFmtId="0" fontId="343" fillId="72" borderId="0" xfId="0" applyFont="1" applyFill="1" applyAlignment="1">
      <alignment horizontal="center" vertical="center"/>
    </xf>
    <xf numFmtId="0" fontId="343" fillId="72" borderId="16" xfId="0" applyFont="1" applyFill="1" applyBorder="1" applyAlignment="1">
      <alignment horizontal="center" vertical="center"/>
    </xf>
    <xf numFmtId="0" fontId="113" fillId="32" borderId="25" xfId="0" applyFont="1" applyFill="1" applyBorder="1" applyAlignment="1">
      <alignment horizontal="right" vertical="center"/>
    </xf>
    <xf numFmtId="0" fontId="113" fillId="32" borderId="0" xfId="0" applyFont="1" applyFill="1" applyAlignment="1">
      <alignment horizontal="right" vertical="center"/>
    </xf>
    <xf numFmtId="0" fontId="105" fillId="32" borderId="0" xfId="0" applyFont="1" applyFill="1" applyAlignment="1">
      <alignment horizontal="right" vertical="center"/>
    </xf>
    <xf numFmtId="0" fontId="47" fillId="32" borderId="0" xfId="0" applyFont="1" applyFill="1" applyAlignment="1">
      <alignment horizontal="left" vertical="center"/>
    </xf>
    <xf numFmtId="0" fontId="35" fillId="32" borderId="25" xfId="0" applyFont="1" applyFill="1" applyBorder="1" applyAlignment="1">
      <alignment horizontal="center" vertical="center"/>
    </xf>
    <xf numFmtId="0" fontId="18" fillId="49" borderId="13" xfId="0" applyFont="1" applyFill="1" applyBorder="1" applyAlignment="1"/>
    <xf numFmtId="0" fontId="0" fillId="49" borderId="14" xfId="0" applyFill="1" applyBorder="1" applyAlignment="1"/>
    <xf numFmtId="0" fontId="18" fillId="49" borderId="14" xfId="0" applyFont="1" applyFill="1" applyBorder="1" applyAlignment="1"/>
    <xf numFmtId="0" fontId="268" fillId="51" borderId="13" xfId="0" applyFont="1" applyFill="1" applyBorder="1" applyAlignment="1">
      <alignment horizontal="center" vertical="center"/>
    </xf>
    <xf numFmtId="0" fontId="268" fillId="51" borderId="14" xfId="0" applyFont="1" applyFill="1" applyBorder="1" applyAlignment="1">
      <alignment horizontal="center" vertical="center"/>
    </xf>
    <xf numFmtId="0" fontId="268" fillId="51" borderId="15" xfId="0" applyFont="1" applyFill="1" applyBorder="1" applyAlignment="1">
      <alignment horizontal="center" vertical="center"/>
    </xf>
    <xf numFmtId="0" fontId="270" fillId="32" borderId="38" xfId="0" applyFont="1" applyFill="1" applyBorder="1" applyAlignment="1">
      <alignment horizontal="center" vertical="center"/>
    </xf>
    <xf numFmtId="0" fontId="270" fillId="32" borderId="40" xfId="0" applyFont="1" applyFill="1" applyBorder="1" applyAlignment="1">
      <alignment horizontal="center" vertical="center"/>
    </xf>
    <xf numFmtId="0" fontId="270" fillId="32" borderId="19" xfId="0" applyFont="1" applyFill="1" applyBorder="1" applyAlignment="1">
      <alignment horizontal="center" vertical="center"/>
    </xf>
    <xf numFmtId="0" fontId="270" fillId="32" borderId="21" xfId="0" applyFont="1" applyFill="1" applyBorder="1" applyAlignment="1">
      <alignment horizontal="center" vertical="center"/>
    </xf>
    <xf numFmtId="0" fontId="269" fillId="49" borderId="38" xfId="0" applyFont="1" applyFill="1" applyBorder="1" applyAlignment="1">
      <alignment horizontal="center" vertical="center"/>
    </xf>
    <xf numFmtId="0" fontId="269" fillId="49" borderId="40" xfId="0" applyFont="1" applyFill="1" applyBorder="1" applyAlignment="1">
      <alignment horizontal="center" vertical="center"/>
    </xf>
    <xf numFmtId="0" fontId="269" fillId="49" borderId="19" xfId="0" applyFont="1" applyFill="1" applyBorder="1" applyAlignment="1">
      <alignment horizontal="center" vertical="center"/>
    </xf>
    <xf numFmtId="0" fontId="269" fillId="49" borderId="21" xfId="0" applyFont="1" applyFill="1" applyBorder="1" applyAlignment="1">
      <alignment horizontal="center" vertical="center"/>
    </xf>
    <xf numFmtId="0" fontId="103" fillId="43" borderId="0" xfId="0" applyFont="1" applyFill="1" applyAlignment="1">
      <alignment horizontal="center" vertical="center"/>
    </xf>
    <xf numFmtId="0" fontId="59" fillId="32" borderId="0" xfId="0" applyFont="1" applyFill="1" applyAlignment="1">
      <alignment horizontal="right" vertical="center"/>
    </xf>
    <xf numFmtId="0" fontId="59" fillId="32" borderId="17" xfId="0" applyFont="1" applyFill="1" applyBorder="1" applyAlignment="1">
      <alignment horizontal="right" vertical="center"/>
    </xf>
    <xf numFmtId="0" fontId="59" fillId="61" borderId="14" xfId="0" applyFont="1" applyFill="1" applyBorder="1" applyAlignment="1">
      <alignment horizontal="center"/>
    </xf>
    <xf numFmtId="0" fontId="59" fillId="61" borderId="15" xfId="0" applyFont="1" applyFill="1" applyBorder="1" applyAlignment="1">
      <alignment horizontal="center"/>
    </xf>
    <xf numFmtId="0" fontId="124" fillId="49" borderId="13" xfId="0" applyFont="1" applyFill="1" applyBorder="1" applyAlignment="1"/>
    <xf numFmtId="0" fontId="124" fillId="49" borderId="14" xfId="0" applyFont="1" applyFill="1" applyBorder="1" applyAlignment="1"/>
    <xf numFmtId="0" fontId="18" fillId="49" borderId="8" xfId="0" applyFont="1" applyFill="1" applyBorder="1" applyAlignment="1"/>
    <xf numFmtId="0" fontId="60" fillId="43" borderId="0" xfId="0" applyFont="1" applyFill="1" applyAlignment="1">
      <alignment horizontal="right" vertical="center"/>
    </xf>
    <xf numFmtId="0" fontId="60" fillId="43" borderId="17" xfId="0" applyFont="1" applyFill="1" applyBorder="1" applyAlignment="1">
      <alignment horizontal="right" vertical="center"/>
    </xf>
    <xf numFmtId="0" fontId="18" fillId="49" borderId="13" xfId="0" applyFont="1" applyFill="1" applyBorder="1" applyAlignment="1">
      <alignment horizontal="left"/>
    </xf>
    <xf numFmtId="0" fontId="18" fillId="49" borderId="14" xfId="0" applyFont="1" applyFill="1" applyBorder="1" applyAlignment="1">
      <alignment horizontal="left"/>
    </xf>
    <xf numFmtId="0" fontId="122" fillId="32" borderId="22" xfId="0" applyFont="1" applyFill="1" applyBorder="1" applyAlignment="1"/>
    <xf numFmtId="0" fontId="0" fillId="32" borderId="23" xfId="0" applyFill="1" applyBorder="1" applyAlignment="1"/>
    <xf numFmtId="0" fontId="0" fillId="32" borderId="2" xfId="0" applyFill="1" applyBorder="1" applyAlignment="1"/>
    <xf numFmtId="0" fontId="0" fillId="32" borderId="3" xfId="0" applyFill="1" applyBorder="1" applyAlignment="1"/>
    <xf numFmtId="0" fontId="18" fillId="32" borderId="38" xfId="0" applyFont="1" applyFill="1" applyBorder="1" applyAlignment="1">
      <alignment wrapText="1"/>
    </xf>
    <xf numFmtId="0" fontId="18" fillId="32" borderId="40" xfId="0" applyFont="1" applyFill="1" applyBorder="1" applyAlignment="1"/>
    <xf numFmtId="0" fontId="18" fillId="32" borderId="18" xfId="0" applyFont="1" applyFill="1" applyBorder="1" applyAlignment="1"/>
    <xf numFmtId="0" fontId="18" fillId="32" borderId="17" xfId="0" applyFont="1" applyFill="1" applyBorder="1" applyAlignment="1"/>
    <xf numFmtId="0" fontId="35" fillId="32" borderId="44" xfId="0" applyFont="1" applyFill="1" applyBorder="1" applyAlignment="1">
      <alignment horizontal="center" wrapText="1"/>
    </xf>
    <xf numFmtId="0" fontId="35" fillId="32" borderId="52" xfId="0" applyFont="1" applyFill="1" applyBorder="1" applyAlignment="1">
      <alignment horizontal="center" wrapText="1"/>
    </xf>
    <xf numFmtId="0" fontId="0" fillId="32" borderId="51" xfId="0" applyFill="1" applyBorder="1" applyAlignment="1"/>
    <xf numFmtId="0" fontId="0" fillId="32" borderId="65" xfId="0" applyFill="1" applyBorder="1" applyAlignment="1"/>
    <xf numFmtId="0" fontId="59" fillId="32" borderId="44" xfId="0" applyFont="1" applyFill="1" applyBorder="1" applyAlignment="1">
      <alignment horizontal="center" wrapText="1"/>
    </xf>
    <xf numFmtId="0" fontId="59" fillId="32" borderId="42" xfId="0" applyFont="1" applyFill="1" applyBorder="1" applyAlignment="1">
      <alignment horizontal="center" wrapText="1"/>
    </xf>
    <xf numFmtId="0" fontId="0" fillId="16" borderId="22" xfId="0" applyFill="1" applyBorder="1" applyAlignment="1">
      <alignment horizontal="center" vertical="center"/>
    </xf>
    <xf numFmtId="0" fontId="0" fillId="16" borderId="24" xfId="0" applyFill="1" applyBorder="1" applyAlignment="1">
      <alignment horizontal="center" vertical="center"/>
    </xf>
    <xf numFmtId="0" fontId="356" fillId="32" borderId="0" xfId="0" applyFont="1" applyFill="1" applyAlignment="1">
      <alignment horizontal="right" vertical="center" readingOrder="1"/>
    </xf>
    <xf numFmtId="0" fontId="359" fillId="32" borderId="0" xfId="0" applyFont="1" applyFill="1" applyAlignment="1">
      <alignment horizontal="right" readingOrder="1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42" borderId="38" xfId="0" applyFill="1" applyBorder="1" applyAlignment="1">
      <alignment horizontal="center" vertical="center"/>
    </xf>
    <xf numFmtId="0" fontId="0" fillId="42" borderId="39" xfId="0" applyFill="1" applyBorder="1" applyAlignment="1">
      <alignment horizontal="center" vertical="center"/>
    </xf>
    <xf numFmtId="0" fontId="0" fillId="42" borderId="40" xfId="0" applyFill="1" applyBorder="1" applyAlignment="1">
      <alignment horizontal="center" vertical="center"/>
    </xf>
    <xf numFmtId="0" fontId="494" fillId="32" borderId="1" xfId="0" applyFont="1" applyFill="1" applyBorder="1" applyAlignment="1">
      <alignment horizontal="center" vertical="center"/>
    </xf>
    <xf numFmtId="0" fontId="494" fillId="32" borderId="2" xfId="0" applyFont="1" applyFill="1" applyBorder="1" applyAlignment="1">
      <alignment horizontal="center" vertical="center"/>
    </xf>
    <xf numFmtId="0" fontId="494" fillId="32" borderId="3" xfId="0" applyFont="1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38" xfId="0" applyFill="1" applyBorder="1" applyAlignment="1">
      <alignment horizontal="center" vertical="center"/>
    </xf>
    <xf numFmtId="0" fontId="0" fillId="32" borderId="40" xfId="0" applyFill="1" applyBorder="1" applyAlignment="1">
      <alignment horizontal="center" vertical="center"/>
    </xf>
    <xf numFmtId="0" fontId="103" fillId="42" borderId="0" xfId="0" applyFont="1" applyFill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59" fillId="44" borderId="0" xfId="0" applyFont="1" applyFill="1" applyAlignment="1">
      <alignment horizontal="center" vertical="center"/>
    </xf>
    <xf numFmtId="0" fontId="260" fillId="44" borderId="0" xfId="0" applyFont="1" applyFill="1" applyAlignment="1">
      <alignment horizontal="right" vertical="center"/>
    </xf>
    <xf numFmtId="0" fontId="0" fillId="44" borderId="0" xfId="0" applyFill="1" applyAlignment="1">
      <alignment horizontal="right" vertical="center"/>
    </xf>
    <xf numFmtId="0" fontId="122" fillId="10" borderId="13" xfId="0" applyFont="1" applyFill="1" applyBorder="1" applyAlignment="1" applyProtection="1">
      <alignment horizontal="center"/>
      <protection locked="0"/>
    </xf>
    <xf numFmtId="0" fontId="122" fillId="10" borderId="15" xfId="0" applyFont="1" applyFill="1" applyBorder="1" applyAlignment="1" applyProtection="1">
      <alignment horizontal="center"/>
      <protection locked="0"/>
    </xf>
    <xf numFmtId="0" fontId="360" fillId="32" borderId="0" xfId="0" applyFont="1" applyFill="1" applyAlignment="1">
      <alignment horizontal="right" vertical="center" readingOrder="1"/>
    </xf>
    <xf numFmtId="0" fontId="131" fillId="32" borderId="0" xfId="0" applyFont="1" applyFill="1" applyAlignment="1">
      <alignment horizontal="right"/>
    </xf>
    <xf numFmtId="0" fontId="405" fillId="20" borderId="8" xfId="0" applyFont="1" applyFill="1" applyBorder="1" applyAlignment="1"/>
    <xf numFmtId="0" fontId="404" fillId="20" borderId="8" xfId="0" applyFont="1" applyFill="1" applyBorder="1" applyAlignment="1"/>
    <xf numFmtId="0" fontId="405" fillId="25" borderId="8" xfId="0" applyFont="1" applyFill="1" applyBorder="1" applyAlignment="1"/>
    <xf numFmtId="0" fontId="404" fillId="25" borderId="8" xfId="0" applyFont="1" applyFill="1" applyBorder="1" applyAlignment="1"/>
    <xf numFmtId="0" fontId="132" fillId="32" borderId="8" xfId="0" applyFont="1" applyFill="1" applyBorder="1" applyAlignment="1"/>
    <xf numFmtId="0" fontId="133" fillId="32" borderId="8" xfId="0" applyFont="1" applyFill="1" applyBorder="1" applyAlignment="1"/>
    <xf numFmtId="0" fontId="178" fillId="32" borderId="0" xfId="0" applyFont="1" applyFill="1" applyAlignment="1">
      <alignment horizontal="right" vertical="center" readingOrder="1"/>
    </xf>
    <xf numFmtId="0" fontId="448" fillId="0" borderId="0" xfId="0" applyFont="1" applyAlignment="1">
      <alignment horizontal="right"/>
    </xf>
    <xf numFmtId="0" fontId="122" fillId="10" borderId="38" xfId="0" applyFont="1" applyFill="1" applyBorder="1" applyAlignment="1" applyProtection="1">
      <alignment horizontal="center"/>
      <protection locked="0"/>
    </xf>
    <xf numFmtId="0" fontId="122" fillId="10" borderId="40" xfId="0" applyFont="1" applyFill="1" applyBorder="1" applyAlignment="1" applyProtection="1">
      <alignment horizontal="center"/>
      <protection locked="0"/>
    </xf>
    <xf numFmtId="0" fontId="49" fillId="32" borderId="0" xfId="0" applyFont="1" applyFill="1" applyAlignment="1">
      <alignment wrapText="1"/>
    </xf>
    <xf numFmtId="0" fontId="49" fillId="32" borderId="0" xfId="0" applyFont="1" applyFill="1" applyAlignment="1"/>
    <xf numFmtId="0" fontId="130" fillId="30" borderId="22" xfId="0" applyFont="1" applyFill="1" applyBorder="1" applyAlignment="1">
      <alignment horizontal="center"/>
    </xf>
    <xf numFmtId="0" fontId="130" fillId="30" borderId="23" xfId="0" applyFont="1" applyFill="1" applyBorder="1" applyAlignment="1">
      <alignment horizontal="center"/>
    </xf>
    <xf numFmtId="0" fontId="130" fillId="30" borderId="24" xfId="0" applyFont="1" applyFill="1" applyBorder="1" applyAlignment="1">
      <alignment horizontal="center"/>
    </xf>
    <xf numFmtId="0" fontId="444" fillId="30" borderId="26" xfId="0" applyFont="1" applyFill="1" applyBorder="1" applyAlignment="1">
      <alignment horizontal="center" vertical="center"/>
    </xf>
    <xf numFmtId="0" fontId="444" fillId="30" borderId="27" xfId="0" applyFont="1" applyFill="1" applyBorder="1" applyAlignment="1">
      <alignment horizontal="center" vertical="center"/>
    </xf>
    <xf numFmtId="0" fontId="444" fillId="30" borderId="28" xfId="0" applyFont="1" applyFill="1" applyBorder="1" applyAlignment="1">
      <alignment horizontal="center" vertical="center"/>
    </xf>
    <xf numFmtId="0" fontId="354" fillId="32" borderId="0" xfId="0" applyFont="1" applyFill="1" applyAlignment="1">
      <alignment horizontal="right" readingOrder="1"/>
    </xf>
    <xf numFmtId="0" fontId="18" fillId="50" borderId="18" xfId="0" applyFont="1" applyFill="1" applyBorder="1" applyAlignment="1">
      <alignment horizontal="center" wrapText="1"/>
    </xf>
    <xf numFmtId="0" fontId="18" fillId="50" borderId="16" xfId="0" applyFont="1" applyFill="1" applyBorder="1" applyAlignment="1">
      <alignment horizontal="center" wrapText="1"/>
    </xf>
    <xf numFmtId="0" fontId="130" fillId="50" borderId="53" xfId="0" applyFont="1" applyFill="1" applyBorder="1" applyAlignment="1">
      <alignment horizontal="center"/>
    </xf>
    <xf numFmtId="0" fontId="130" fillId="50" borderId="35" xfId="0" applyFont="1" applyFill="1" applyBorder="1" applyAlignment="1">
      <alignment horizontal="center"/>
    </xf>
    <xf numFmtId="0" fontId="136" fillId="32" borderId="54" xfId="0" applyFont="1" applyFill="1" applyBorder="1" applyAlignment="1">
      <alignment horizontal="center" wrapText="1"/>
    </xf>
    <xf numFmtId="0" fontId="136" fillId="32" borderId="32" xfId="0" applyFont="1" applyFill="1" applyBorder="1" applyAlignment="1">
      <alignment horizontal="center" wrapText="1"/>
    </xf>
    <xf numFmtId="0" fontId="136" fillId="32" borderId="55" xfId="0" applyFont="1" applyFill="1" applyBorder="1" applyAlignment="1">
      <alignment horizontal="center" wrapText="1"/>
    </xf>
    <xf numFmtId="0" fontId="134" fillId="32" borderId="0" xfId="0" applyFont="1" applyFill="1" applyAlignment="1">
      <alignment horizontal="center"/>
    </xf>
    <xf numFmtId="0" fontId="135" fillId="32" borderId="0" xfId="0" applyFont="1" applyFill="1" applyAlignment="1">
      <alignment horizontal="center"/>
    </xf>
    <xf numFmtId="0" fontId="49" fillId="32" borderId="0" xfId="0" applyFont="1" applyFill="1" applyAlignment="1">
      <alignment vertical="top" wrapText="1"/>
    </xf>
    <xf numFmtId="0" fontId="49" fillId="32" borderId="0" xfId="0" applyFont="1" applyFill="1" applyAlignment="1">
      <alignment vertical="top"/>
    </xf>
    <xf numFmtId="0" fontId="136" fillId="32" borderId="8" xfId="0" applyFont="1" applyFill="1" applyBorder="1" applyAlignment="1">
      <alignment horizontal="center" wrapText="1"/>
    </xf>
    <xf numFmtId="0" fontId="47" fillId="32" borderId="8" xfId="0" applyFont="1" applyFill="1" applyBorder="1" applyAlignment="1"/>
    <xf numFmtId="0" fontId="13" fillId="5" borderId="1" xfId="0" applyFont="1" applyFill="1" applyBorder="1" applyAlignment="1">
      <alignment horizontal="center"/>
    </xf>
    <xf numFmtId="0" fontId="13" fillId="5" borderId="3" xfId="0" applyFont="1" applyFill="1" applyBorder="1" applyAlignment="1">
      <alignment horizontal="center"/>
    </xf>
    <xf numFmtId="1" fontId="22" fillId="21" borderId="0" xfId="0" applyNumberFormat="1" applyFont="1" applyFill="1" applyAlignment="1">
      <alignment horizontal="center" vertical="center"/>
    </xf>
    <xf numFmtId="0" fontId="23" fillId="21" borderId="0" xfId="0" applyFont="1" applyFill="1" applyAlignment="1">
      <alignment horizontal="center"/>
    </xf>
    <xf numFmtId="3" fontId="1" fillId="21" borderId="0" xfId="0" applyNumberFormat="1" applyFont="1" applyFill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/>
    </xf>
    <xf numFmtId="3" fontId="1" fillId="5" borderId="3" xfId="0" applyNumberFormat="1" applyFont="1" applyFill="1" applyBorder="1" applyAlignment="1">
      <alignment horizontal="center" vertical="center"/>
    </xf>
    <xf numFmtId="0" fontId="12" fillId="23" borderId="1" xfId="0" applyFont="1" applyFill="1" applyBorder="1" applyAlignment="1">
      <alignment horizontal="center"/>
    </xf>
    <xf numFmtId="0" fontId="12" fillId="23" borderId="2" xfId="0" applyFont="1" applyFill="1" applyBorder="1" applyAlignment="1">
      <alignment horizontal="center"/>
    </xf>
    <xf numFmtId="0" fontId="12" fillId="23" borderId="3" xfId="0" applyFont="1" applyFill="1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12" fillId="21" borderId="0" xfId="0" applyFont="1" applyFill="1" applyAlignment="1">
      <alignment horizontal="right"/>
    </xf>
    <xf numFmtId="3" fontId="1" fillId="21" borderId="0" xfId="0" applyNumberFormat="1" applyFont="1" applyFill="1" applyAlignment="1">
      <alignment horizontal="right" vertical="center"/>
    </xf>
    <xf numFmtId="0" fontId="1" fillId="21" borderId="0" xfId="0" applyFont="1" applyFill="1" applyAlignment="1">
      <alignment horizontal="right" vertical="center"/>
    </xf>
    <xf numFmtId="0" fontId="59" fillId="36" borderId="13" xfId="0" applyFont="1" applyFill="1" applyBorder="1" applyAlignment="1">
      <alignment horizontal="center" vertical="center"/>
    </xf>
    <xf numFmtId="0" fontId="59" fillId="36" borderId="14" xfId="0" applyFont="1" applyFill="1" applyBorder="1" applyAlignment="1">
      <alignment horizontal="center" vertical="center"/>
    </xf>
    <xf numFmtId="0" fontId="59" fillId="36" borderId="15" xfId="0" applyFont="1" applyFill="1" applyBorder="1" applyAlignment="1">
      <alignment horizontal="center" vertical="center"/>
    </xf>
    <xf numFmtId="0" fontId="110" fillId="36" borderId="13" xfId="0" applyFont="1" applyFill="1" applyBorder="1" applyAlignment="1">
      <alignment horizontal="center" vertical="center"/>
    </xf>
    <xf numFmtId="0" fontId="110" fillId="36" borderId="14" xfId="0" applyFont="1" applyFill="1" applyBorder="1" applyAlignment="1">
      <alignment horizontal="center" vertical="center"/>
    </xf>
    <xf numFmtId="0" fontId="110" fillId="36" borderId="15" xfId="0" applyFont="1" applyFill="1" applyBorder="1" applyAlignment="1">
      <alignment horizontal="center" vertical="center"/>
    </xf>
    <xf numFmtId="0" fontId="47" fillId="10" borderId="13" xfId="0" applyFont="1" applyFill="1" applyBorder="1" applyAlignment="1" applyProtection="1">
      <alignment horizontal="center" vertical="center"/>
      <protection locked="0"/>
    </xf>
    <xf numFmtId="0" fontId="47" fillId="10" borderId="15" xfId="0" applyFont="1" applyFill="1" applyBorder="1" applyAlignment="1" applyProtection="1">
      <alignment horizontal="center" vertical="center"/>
      <protection locked="0"/>
    </xf>
    <xf numFmtId="0" fontId="189" fillId="77" borderId="40" xfId="0" applyFont="1" applyFill="1" applyBorder="1" applyAlignment="1">
      <alignment horizontal="left" vertical="center"/>
    </xf>
    <xf numFmtId="0" fontId="189" fillId="77" borderId="21" xfId="0" applyFont="1" applyFill="1" applyBorder="1" applyAlignment="1">
      <alignment horizontal="left" vertical="center"/>
    </xf>
    <xf numFmtId="2" fontId="189" fillId="77" borderId="38" xfId="0" applyNumberFormat="1" applyFont="1" applyFill="1" applyBorder="1" applyAlignment="1">
      <alignment horizontal="right" vertical="center"/>
    </xf>
    <xf numFmtId="2" fontId="189" fillId="77" borderId="19" xfId="0" applyNumberFormat="1" applyFont="1" applyFill="1" applyBorder="1" applyAlignment="1">
      <alignment horizontal="right" vertical="center"/>
    </xf>
    <xf numFmtId="0" fontId="101" fillId="33" borderId="0" xfId="0" applyFont="1" applyFill="1" applyAlignment="1">
      <alignment horizontal="center" vertical="center"/>
    </xf>
    <xf numFmtId="0" fontId="101" fillId="33" borderId="17" xfId="0" applyFont="1" applyFill="1" applyBorder="1" applyAlignment="1">
      <alignment horizontal="center" vertical="center"/>
    </xf>
    <xf numFmtId="0" fontId="103" fillId="36" borderId="38" xfId="0" applyFont="1" applyFill="1" applyBorder="1" applyAlignment="1">
      <alignment horizontal="center" vertical="center"/>
    </xf>
    <xf numFmtId="0" fontId="103" fillId="36" borderId="39" xfId="0" applyFont="1" applyFill="1" applyBorder="1" applyAlignment="1">
      <alignment horizontal="center" vertical="center"/>
    </xf>
    <xf numFmtId="0" fontId="103" fillId="36" borderId="40" xfId="0" applyFont="1" applyFill="1" applyBorder="1" applyAlignment="1">
      <alignment horizontal="center" vertical="center"/>
    </xf>
    <xf numFmtId="0" fontId="103" fillId="36" borderId="19" xfId="0" applyFont="1" applyFill="1" applyBorder="1" applyAlignment="1">
      <alignment horizontal="center" vertical="center"/>
    </xf>
    <xf numFmtId="0" fontId="103" fillId="36" borderId="20" xfId="0" applyFont="1" applyFill="1" applyBorder="1" applyAlignment="1">
      <alignment horizontal="center" vertical="center"/>
    </xf>
    <xf numFmtId="0" fontId="103" fillId="36" borderId="21" xfId="0" applyFont="1" applyFill="1" applyBorder="1" applyAlignment="1">
      <alignment horizontal="center" vertical="center"/>
    </xf>
    <xf numFmtId="0" fontId="35" fillId="36" borderId="0" xfId="0" applyFont="1" applyFill="1" applyAlignment="1">
      <alignment horizontal="center" vertical="center"/>
    </xf>
    <xf numFmtId="0" fontId="59" fillId="60" borderId="0" xfId="0" applyFont="1" applyFill="1" applyAlignment="1">
      <alignment horizontal="center" vertical="center"/>
    </xf>
    <xf numFmtId="0" fontId="111" fillId="76" borderId="0" xfId="0" applyFont="1" applyFill="1" applyAlignment="1">
      <alignment horizontal="center" vertical="center"/>
    </xf>
    <xf numFmtId="0" fontId="402" fillId="32" borderId="39" xfId="0" applyFont="1" applyFill="1" applyBorder="1" applyAlignment="1">
      <alignment horizontal="center" vertical="center"/>
    </xf>
    <xf numFmtId="0" fontId="402" fillId="32" borderId="20" xfId="0" applyFont="1" applyFill="1" applyBorder="1" applyAlignment="1">
      <alignment horizontal="center" vertical="center"/>
    </xf>
    <xf numFmtId="0" fontId="430" fillId="10" borderId="38" xfId="0" applyFont="1" applyFill="1" applyBorder="1" applyAlignment="1" applyProtection="1">
      <alignment horizontal="right" vertical="center"/>
      <protection locked="0"/>
    </xf>
    <xf numFmtId="0" fontId="430" fillId="10" borderId="19" xfId="0" applyFont="1" applyFill="1" applyBorder="1" applyAlignment="1" applyProtection="1">
      <alignment horizontal="right" vertical="center"/>
      <protection locked="0"/>
    </xf>
    <xf numFmtId="0" fontId="430" fillId="10" borderId="40" xfId="0" applyFont="1" applyFill="1" applyBorder="1" applyAlignment="1">
      <alignment horizontal="left" vertical="center"/>
    </xf>
    <xf numFmtId="0" fontId="430" fillId="10" borderId="21" xfId="0" applyFont="1" applyFill="1" applyBorder="1" applyAlignment="1">
      <alignment horizontal="left" vertical="center"/>
    </xf>
    <xf numFmtId="0" fontId="47" fillId="10" borderId="38" xfId="0" applyFont="1" applyFill="1" applyBorder="1" applyAlignment="1" applyProtection="1">
      <alignment horizontal="right" vertical="top"/>
      <protection locked="0"/>
    </xf>
    <xf numFmtId="0" fontId="47" fillId="10" borderId="19" xfId="0" applyFont="1" applyFill="1" applyBorder="1" applyAlignment="1" applyProtection="1">
      <alignment horizontal="right" vertical="top"/>
      <protection locked="0"/>
    </xf>
    <xf numFmtId="0" fontId="47" fillId="10" borderId="40" xfId="0" applyFont="1" applyFill="1" applyBorder="1" applyAlignment="1">
      <alignment horizontal="left" vertical="center"/>
    </xf>
    <xf numFmtId="0" fontId="47" fillId="10" borderId="21" xfId="0" applyFont="1" applyFill="1" applyBorder="1" applyAlignment="1">
      <alignment horizontal="left" vertical="center"/>
    </xf>
    <xf numFmtId="0" fontId="469" fillId="77" borderId="38" xfId="0" applyFont="1" applyFill="1" applyBorder="1" applyAlignment="1">
      <alignment horizontal="center" vertical="center" wrapText="1"/>
    </xf>
    <xf numFmtId="0" fontId="469" fillId="77" borderId="40" xfId="0" applyFont="1" applyFill="1" applyBorder="1" applyAlignment="1">
      <alignment horizontal="center" vertical="center" wrapText="1"/>
    </xf>
    <xf numFmtId="0" fontId="469" fillId="77" borderId="19" xfId="0" applyFont="1" applyFill="1" applyBorder="1" applyAlignment="1">
      <alignment horizontal="center" vertical="center" wrapText="1"/>
    </xf>
    <xf numFmtId="0" fontId="469" fillId="77" borderId="21" xfId="0" applyFont="1" applyFill="1" applyBorder="1" applyAlignment="1">
      <alignment horizontal="center" vertical="center" wrapText="1"/>
    </xf>
    <xf numFmtId="0" fontId="467" fillId="36" borderId="13" xfId="0" applyFont="1" applyFill="1" applyBorder="1" applyAlignment="1">
      <alignment horizontal="center" vertical="center"/>
    </xf>
    <xf numFmtId="0" fontId="467" fillId="36" borderId="14" xfId="0" applyFont="1" applyFill="1" applyBorder="1" applyAlignment="1">
      <alignment horizontal="center" vertical="center"/>
    </xf>
    <xf numFmtId="0" fontId="467" fillId="36" borderId="15" xfId="0" applyFont="1" applyFill="1" applyBorder="1" applyAlignment="1">
      <alignment horizontal="center" vertical="center"/>
    </xf>
    <xf numFmtId="0" fontId="59" fillId="36" borderId="39" xfId="0" applyFont="1" applyFill="1" applyBorder="1" applyAlignment="1">
      <alignment horizontal="center" vertical="center"/>
    </xf>
    <xf numFmtId="0" fontId="0" fillId="36" borderId="39" xfId="0" applyFill="1" applyBorder="1" applyAlignment="1">
      <alignment horizontal="center" vertical="center"/>
    </xf>
    <xf numFmtId="0" fontId="355" fillId="76" borderId="38" xfId="0" applyFont="1" applyFill="1" applyBorder="1" applyAlignment="1">
      <alignment horizontal="center" vertical="center"/>
    </xf>
    <xf numFmtId="0" fontId="355" fillId="76" borderId="39" xfId="0" applyFont="1" applyFill="1" applyBorder="1" applyAlignment="1">
      <alignment horizontal="center" vertical="center"/>
    </xf>
    <xf numFmtId="0" fontId="355" fillId="76" borderId="40" xfId="0" applyFont="1" applyFill="1" applyBorder="1" applyAlignment="1">
      <alignment horizontal="center" vertical="center"/>
    </xf>
    <xf numFmtId="0" fontId="355" fillId="76" borderId="19" xfId="0" applyFont="1" applyFill="1" applyBorder="1" applyAlignment="1">
      <alignment horizontal="center" vertical="center"/>
    </xf>
    <xf numFmtId="0" fontId="355" fillId="76" borderId="20" xfId="0" applyFont="1" applyFill="1" applyBorder="1" applyAlignment="1">
      <alignment horizontal="center" vertical="center"/>
    </xf>
    <xf numFmtId="0" fontId="355" fillId="76" borderId="21" xfId="0" applyFont="1" applyFill="1" applyBorder="1" applyAlignment="1">
      <alignment horizontal="center" vertical="center"/>
    </xf>
    <xf numFmtId="0" fontId="103" fillId="36" borderId="13" xfId="0" applyFont="1" applyFill="1" applyBorder="1" applyAlignment="1">
      <alignment horizontal="center" vertical="center"/>
    </xf>
    <xf numFmtId="0" fontId="103" fillId="36" borderId="14" xfId="0" applyFont="1" applyFill="1" applyBorder="1" applyAlignment="1">
      <alignment horizontal="center" vertical="center"/>
    </xf>
    <xf numFmtId="0" fontId="103" fillId="36" borderId="15" xfId="0" applyFont="1" applyFill="1" applyBorder="1" applyAlignment="1">
      <alignment horizontal="center" vertical="center"/>
    </xf>
    <xf numFmtId="0" fontId="101" fillId="55" borderId="0" xfId="0" applyFont="1" applyFill="1" applyAlignment="1">
      <alignment horizontal="center" vertical="center"/>
    </xf>
    <xf numFmtId="0" fontId="468" fillId="77" borderId="38" xfId="0" applyFont="1" applyFill="1" applyBorder="1" applyAlignment="1">
      <alignment horizontal="center" vertical="center"/>
    </xf>
    <xf numFmtId="0" fontId="468" fillId="77" borderId="39" xfId="0" applyFont="1" applyFill="1" applyBorder="1" applyAlignment="1">
      <alignment horizontal="center" vertical="center"/>
    </xf>
    <xf numFmtId="0" fontId="468" fillId="77" borderId="40" xfId="0" applyFont="1" applyFill="1" applyBorder="1" applyAlignment="1">
      <alignment horizontal="center" vertical="center"/>
    </xf>
    <xf numFmtId="0" fontId="468" fillId="77" borderId="19" xfId="0" applyFont="1" applyFill="1" applyBorder="1" applyAlignment="1">
      <alignment horizontal="center" vertical="center"/>
    </xf>
    <xf numFmtId="0" fontId="468" fillId="77" borderId="20" xfId="0" applyFont="1" applyFill="1" applyBorder="1" applyAlignment="1">
      <alignment horizontal="center" vertical="center"/>
    </xf>
    <xf numFmtId="0" fontId="468" fillId="77" borderId="21" xfId="0" applyFont="1" applyFill="1" applyBorder="1" applyAlignment="1">
      <alignment horizontal="center" vertical="center"/>
    </xf>
    <xf numFmtId="0" fontId="150" fillId="36" borderId="0" xfId="0" applyFont="1" applyFill="1" applyAlignment="1">
      <alignment horizontal="right" vertical="center"/>
    </xf>
    <xf numFmtId="0" fontId="47" fillId="36" borderId="0" xfId="0" applyFont="1" applyFill="1" applyAlignment="1">
      <alignment horizontal="right" vertical="center"/>
    </xf>
    <xf numFmtId="0" fontId="249" fillId="16" borderId="0" xfId="0" applyFont="1" applyFill="1" applyAlignment="1">
      <alignment horizontal="left" vertical="center"/>
    </xf>
    <xf numFmtId="0" fontId="93" fillId="16" borderId="0" xfId="0" applyFont="1" applyFill="1" applyAlignment="1">
      <alignment horizontal="center" vertical="center"/>
    </xf>
    <xf numFmtId="0" fontId="93" fillId="16" borderId="16" xfId="0" applyFont="1" applyFill="1" applyBorder="1" applyAlignment="1">
      <alignment horizontal="center" vertical="center"/>
    </xf>
    <xf numFmtId="0" fontId="186" fillId="16" borderId="0" xfId="0" applyFont="1" applyFill="1" applyAlignment="1">
      <alignment horizontal="center" vertical="center"/>
    </xf>
    <xf numFmtId="0" fontId="94" fillId="10" borderId="1" xfId="0" applyFont="1" applyFill="1" applyBorder="1" applyAlignment="1" applyProtection="1">
      <alignment horizontal="center" vertical="center"/>
      <protection locked="0"/>
    </xf>
    <xf numFmtId="0" fontId="94" fillId="10" borderId="3" xfId="0" applyFont="1" applyFill="1" applyBorder="1" applyAlignment="1" applyProtection="1">
      <alignment horizontal="center" vertical="center"/>
      <protection locked="0"/>
    </xf>
    <xf numFmtId="0" fontId="0" fillId="38" borderId="0" xfId="0" applyFill="1" applyAlignment="1">
      <alignment horizontal="right" vertical="center"/>
    </xf>
    <xf numFmtId="0" fontId="184" fillId="38" borderId="25" xfId="0" applyFont="1" applyFill="1" applyBorder="1" applyAlignment="1">
      <alignment horizontal="center" vertical="center"/>
    </xf>
    <xf numFmtId="0" fontId="184" fillId="38" borderId="0" xfId="0" applyFont="1" applyFill="1" applyAlignment="1">
      <alignment horizontal="center" vertical="center"/>
    </xf>
    <xf numFmtId="0" fontId="184" fillId="38" borderId="16" xfId="0" applyFont="1" applyFill="1" applyBorder="1" applyAlignment="1">
      <alignment horizontal="center" vertical="center"/>
    </xf>
    <xf numFmtId="0" fontId="100" fillId="39" borderId="0" xfId="0" applyFont="1" applyFill="1" applyAlignment="1">
      <alignment horizontal="center" vertical="center"/>
    </xf>
    <xf numFmtId="0" fontId="100" fillId="39" borderId="16" xfId="0" applyFont="1" applyFill="1" applyBorder="1" applyAlignment="1">
      <alignment horizontal="center" vertical="center"/>
    </xf>
    <xf numFmtId="0" fontId="59" fillId="39" borderId="0" xfId="0" applyFont="1" applyFill="1" applyAlignment="1">
      <alignment horizontal="right" vertical="center"/>
    </xf>
    <xf numFmtId="0" fontId="104" fillId="39" borderId="0" xfId="0" applyFont="1" applyFill="1" applyAlignment="1">
      <alignment horizontal="right"/>
    </xf>
    <xf numFmtId="0" fontId="189" fillId="39" borderId="0" xfId="0" applyFont="1" applyFill="1" applyAlignment="1">
      <alignment horizontal="center"/>
    </xf>
    <xf numFmtId="0" fontId="189" fillId="39" borderId="25" xfId="0" applyFont="1" applyFill="1" applyBorder="1" applyAlignment="1">
      <alignment horizontal="center"/>
    </xf>
    <xf numFmtId="0" fontId="102" fillId="39" borderId="0" xfId="0" applyFont="1" applyFill="1" applyAlignment="1">
      <alignment horizontal="center" vertical="center"/>
    </xf>
    <xf numFmtId="0" fontId="103" fillId="39" borderId="25" xfId="0" applyFont="1" applyFill="1" applyBorder="1" applyAlignment="1">
      <alignment horizontal="center" vertical="center"/>
    </xf>
    <xf numFmtId="0" fontId="103" fillId="39" borderId="0" xfId="0" applyFont="1" applyFill="1" applyAlignment="1">
      <alignment horizontal="center" vertical="center"/>
    </xf>
    <xf numFmtId="0" fontId="0" fillId="39" borderId="0" xfId="0" applyFill="1" applyAlignment="1">
      <alignment horizontal="right" vertical="center"/>
    </xf>
    <xf numFmtId="0" fontId="150" fillId="39" borderId="0" xfId="0" applyFont="1" applyFill="1" applyAlignment="1">
      <alignment horizontal="right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10" borderId="3" xfId="0" applyFill="1" applyBorder="1" applyAlignment="1" applyProtection="1">
      <alignment horizontal="center" vertical="center"/>
      <protection locked="0"/>
    </xf>
    <xf numFmtId="0" fontId="35" fillId="39" borderId="0" xfId="0" applyFont="1" applyFill="1" applyAlignment="1">
      <alignment horizontal="center" vertical="center"/>
    </xf>
    <xf numFmtId="0" fontId="35" fillId="39" borderId="16" xfId="0" applyFont="1" applyFill="1" applyBorder="1" applyAlignment="1">
      <alignment horizontal="center" vertical="center"/>
    </xf>
    <xf numFmtId="0" fontId="59" fillId="33" borderId="18" xfId="0" applyFont="1" applyFill="1" applyBorder="1" applyAlignment="1">
      <alignment horizontal="center" vertical="center"/>
    </xf>
    <xf numFmtId="0" fontId="59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101" fillId="33" borderId="1" xfId="0" applyFont="1" applyFill="1" applyBorder="1" applyAlignment="1">
      <alignment horizontal="center" vertical="center"/>
    </xf>
    <xf numFmtId="0" fontId="101" fillId="33" borderId="2" xfId="0" applyFont="1" applyFill="1" applyBorder="1" applyAlignment="1">
      <alignment horizontal="center" vertical="center"/>
    </xf>
    <xf numFmtId="0" fontId="101" fillId="33" borderId="3" xfId="0" applyFont="1" applyFill="1" applyBorder="1" applyAlignment="1">
      <alignment horizontal="center" vertical="center"/>
    </xf>
    <xf numFmtId="0" fontId="35" fillId="33" borderId="0" xfId="0" applyFont="1" applyFill="1" applyAlignment="1">
      <alignment horizontal="right" vertical="center"/>
    </xf>
    <xf numFmtId="0" fontId="35" fillId="33" borderId="18" xfId="0" applyFont="1" applyFill="1" applyBorder="1" applyAlignment="1">
      <alignment horizontal="center" vertical="center"/>
    </xf>
    <xf numFmtId="0" fontId="35" fillId="33" borderId="0" xfId="0" applyFont="1" applyFill="1" applyAlignment="1">
      <alignment horizontal="center" vertical="center"/>
    </xf>
    <xf numFmtId="0" fontId="0" fillId="26" borderId="0" xfId="0" applyFill="1" applyAlignment="1">
      <alignment horizontal="right" vertical="center"/>
    </xf>
    <xf numFmtId="0" fontId="111" fillId="27" borderId="0" xfId="0" applyFont="1" applyFill="1" applyAlignment="1">
      <alignment horizontal="right"/>
    </xf>
    <xf numFmtId="0" fontId="65" fillId="32" borderId="57" xfId="0" applyFont="1" applyFill="1" applyBorder="1" applyAlignment="1">
      <alignment horizontal="right"/>
    </xf>
    <xf numFmtId="0" fontId="65" fillId="32" borderId="34" xfId="0" applyFont="1" applyFill="1" applyBorder="1" applyAlignment="1">
      <alignment horizontal="right"/>
    </xf>
    <xf numFmtId="0" fontId="67" fillId="32" borderId="56" xfId="0" applyFont="1" applyFill="1" applyBorder="1" applyAlignment="1">
      <alignment horizontal="right"/>
    </xf>
    <xf numFmtId="0" fontId="67" fillId="32" borderId="14" xfId="0" applyFont="1" applyFill="1" applyBorder="1" applyAlignment="1">
      <alignment horizontal="right"/>
    </xf>
    <xf numFmtId="0" fontId="65" fillId="33" borderId="56" xfId="0" applyFont="1" applyFill="1" applyBorder="1" applyAlignment="1">
      <alignment horizontal="right"/>
    </xf>
    <xf numFmtId="0" fontId="65" fillId="33" borderId="14" xfId="0" applyFont="1" applyFill="1" applyBorder="1" applyAlignment="1">
      <alignment horizontal="right"/>
    </xf>
    <xf numFmtId="0" fontId="65" fillId="32" borderId="56" xfId="0" applyFont="1" applyFill="1" applyBorder="1" applyAlignment="1">
      <alignment horizontal="right"/>
    </xf>
    <xf numFmtId="0" fontId="65" fillId="32" borderId="14" xfId="0" applyFont="1" applyFill="1" applyBorder="1" applyAlignment="1">
      <alignment horizontal="right"/>
    </xf>
    <xf numFmtId="0" fontId="491" fillId="32" borderId="22" xfId="0" applyFont="1" applyFill="1" applyBorder="1" applyAlignment="1">
      <alignment horizontal="center"/>
    </xf>
    <xf numFmtId="0" fontId="491" fillId="32" borderId="23" xfId="0" applyFont="1" applyFill="1" applyBorder="1" applyAlignment="1">
      <alignment horizontal="center"/>
    </xf>
    <xf numFmtId="0" fontId="491" fillId="32" borderId="24" xfId="0" applyFont="1" applyFill="1" applyBorder="1" applyAlignment="1">
      <alignment horizontal="center"/>
    </xf>
    <xf numFmtId="0" fontId="65" fillId="10" borderId="54" xfId="0" applyFont="1" applyFill="1" applyBorder="1" applyAlignment="1">
      <alignment horizontal="right"/>
    </xf>
    <xf numFmtId="0" fontId="65" fillId="10" borderId="32" xfId="0" applyFont="1" applyFill="1" applyBorder="1" applyAlignment="1">
      <alignment horizontal="right"/>
    </xf>
    <xf numFmtId="0" fontId="65" fillId="10" borderId="56" xfId="0" applyFont="1" applyFill="1" applyBorder="1" applyAlignment="1">
      <alignment horizontal="right"/>
    </xf>
    <xf numFmtId="0" fontId="65" fillId="10" borderId="14" xfId="0" applyFont="1" applyFill="1" applyBorder="1" applyAlignment="1">
      <alignment horizontal="right"/>
    </xf>
    <xf numFmtId="0" fontId="0" fillId="32" borderId="0" xfId="0" applyFill="1" applyAlignment="1">
      <alignment horizontal="right" vertical="center"/>
    </xf>
  </cellXfs>
  <cellStyles count="14">
    <cellStyle name="Excel Built-in Normal" xfId="3" xr:uid="{00000000-0005-0000-0000-000000000000}"/>
    <cellStyle name="Köprü" xfId="1" xr:uid="{00000000-0005-0000-0000-000001000000}"/>
    <cellStyle name="Normal" xfId="0" builtinId="0"/>
    <cellStyle name="Normal 2" xfId="2" xr:uid="{00000000-0005-0000-0000-000003000000}"/>
    <cellStyle name="Normal_Dizayn" xfId="5" xr:uid="{00000000-0005-0000-0000-000004000000}"/>
    <cellStyle name="Normal_formüller genel" xfId="13" xr:uid="{00000000-0005-0000-0000-000005000000}"/>
    <cellStyle name="Normal_GÜRSU ISI HESAP ŞABLONU" xfId="10" xr:uid="{00000000-0005-0000-0000-000006000000}"/>
    <cellStyle name="Normal_HESAPLAR" xfId="7" xr:uid="{00000000-0005-0000-0000-000007000000}"/>
    <cellStyle name="Normal_Kitap1" xfId="12" xr:uid="{00000000-0005-0000-0000-000008000000}"/>
    <cellStyle name="Normal_Klima ve havalandırma genel" xfId="8" xr:uid="{00000000-0005-0000-0000-000009000000}"/>
    <cellStyle name="Normal_Proje Başlığı" xfId="9" xr:uid="{00000000-0005-0000-0000-00000A000000}"/>
    <cellStyle name="Normal_Yeni Microsoft Excel Çalışma Sayfası" xfId="11" xr:uid="{00000000-0005-0000-0000-00000B000000}"/>
    <cellStyle name="Stil 1" xfId="4" xr:uid="{00000000-0005-0000-0000-00000C000000}"/>
    <cellStyle name="Virgül" xfId="6" builtinId="3"/>
  </cellStyles>
  <dxfs count="0"/>
  <tableStyles count="0" defaultTableStyle="TableStyleMedium9" defaultPivotStyle="PivotStyleLight16"/>
  <colors>
    <mruColors>
      <color rgb="FF990000"/>
      <color rgb="FF4D4D4D"/>
      <color rgb="FFFFFF99"/>
      <color rgb="FFFF6600"/>
      <color rgb="FF42D2AC"/>
      <color rgb="FFFFFFCC"/>
      <color rgb="FF006600"/>
      <color rgb="FF58D32D"/>
      <color rgb="FFFF3300"/>
      <color rgb="FFE4E4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#mimarl&#305;k!A1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1.png"/><Relationship Id="rId16" Type="http://schemas.openxmlformats.org/officeDocument/2006/relationships/image" Target="../media/image18.png"/><Relationship Id="rId20" Type="http://schemas.openxmlformats.org/officeDocument/2006/relationships/image" Target="../media/image4.png"/><Relationship Id="rId1" Type="http://schemas.openxmlformats.org/officeDocument/2006/relationships/hyperlink" Target="#mimarl&#305;k!A1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hyperlink" Target="#'Yns ANA SAYFA'!A1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1.png"/><Relationship Id="rId1" Type="http://schemas.openxmlformats.org/officeDocument/2006/relationships/hyperlink" Target="#mimarl&#305;k!A1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4.png"/><Relationship Id="rId4" Type="http://schemas.openxmlformats.org/officeDocument/2006/relationships/image" Target="../media/image22.png"/><Relationship Id="rId9" Type="http://schemas.openxmlformats.org/officeDocument/2006/relationships/hyperlink" Target="#'Yns ANA SAYFA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hyperlink" Target="#'Yns ANA SAYFA'!A1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1.png"/><Relationship Id="rId1" Type="http://schemas.openxmlformats.org/officeDocument/2006/relationships/hyperlink" Target="#mimarl&#305;k!A1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hyperlink" Target="#'Klozet Montaj &#214;l&#231;&#252;leri'!A1"/><Relationship Id="rId18" Type="http://schemas.openxmlformats.org/officeDocument/2006/relationships/hyperlink" Target="#'Lavabo Montaj &#214;l&#231;&#252;leri '!A1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hyperlink" Target="#'Banyo Montaj &#214;l&#231;&#252;leri '!A1"/><Relationship Id="rId2" Type="http://schemas.openxmlformats.org/officeDocument/2006/relationships/image" Target="../media/image38.png"/><Relationship Id="rId16" Type="http://schemas.openxmlformats.org/officeDocument/2006/relationships/hyperlink" Target="#'Du&#351; &amp; K&#252;vet Montaj &#214;l&#231;&#252;leri'!A1"/><Relationship Id="rId20" Type="http://schemas.openxmlformats.org/officeDocument/2006/relationships/image" Target="../media/image4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1.png"/><Relationship Id="rId10" Type="http://schemas.openxmlformats.org/officeDocument/2006/relationships/image" Target="../media/image46.png"/><Relationship Id="rId19" Type="http://schemas.openxmlformats.org/officeDocument/2006/relationships/hyperlink" Target="#'Yns ANA SAYFA'!A1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hyperlink" Target="#'YnS Ana Sayfa'!A1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hyperlink" Target="#'Rehau ile vitrifiye temiz su'!A1"/><Relationship Id="rId21" Type="http://schemas.openxmlformats.org/officeDocument/2006/relationships/hyperlink" Target="#'Is&#305;tma Hatt&#305; Genle&#351;me Tank&#305; se&#231;'!A1"/><Relationship Id="rId42" Type="http://schemas.openxmlformats.org/officeDocument/2006/relationships/hyperlink" Target="#'ISI GER&#304; KAZANIM C&#304;HAZI HESABI'!A1"/><Relationship Id="rId47" Type="http://schemas.openxmlformats.org/officeDocument/2006/relationships/image" Target="../media/image56.png"/><Relationship Id="rId63" Type="http://schemas.openxmlformats.org/officeDocument/2006/relationships/image" Target="../media/image72.png"/><Relationship Id="rId68" Type="http://schemas.openxmlformats.org/officeDocument/2006/relationships/image" Target="../media/image77.png"/><Relationship Id="rId84" Type="http://schemas.openxmlformats.org/officeDocument/2006/relationships/image" Target="../media/image84.png"/><Relationship Id="rId89" Type="http://schemas.openxmlformats.org/officeDocument/2006/relationships/hyperlink" Target="#'Boru &#199;ap&#305; Hesab&#305;'!A1"/><Relationship Id="rId16" Type="http://schemas.openxmlformats.org/officeDocument/2006/relationships/hyperlink" Target="#'hidrolik kar&#305;&#351;t&#305;r&#305;c&#305;-denge kab&#305;'!A1"/><Relationship Id="rId107" Type="http://schemas.openxmlformats.org/officeDocument/2006/relationships/image" Target="../media/image94.png"/><Relationship Id="rId11" Type="http://schemas.openxmlformats.org/officeDocument/2006/relationships/hyperlink" Target="#'G&#252;ne&#351; Kollekt&#246;r Hesap&#305;'!A1"/><Relationship Id="rId32" Type="http://schemas.openxmlformats.org/officeDocument/2006/relationships/hyperlink" Target="#'Davlumbaz Hesab&#305;'!A1"/><Relationship Id="rId37" Type="http://schemas.openxmlformats.org/officeDocument/2006/relationships/hyperlink" Target="#'ar&#305;tma cihaz&#305; &#231;al&#305;&#351;ma prensibi'!A1"/><Relationship Id="rId53" Type="http://schemas.openxmlformats.org/officeDocument/2006/relationships/image" Target="../media/image62.png"/><Relationship Id="rId58" Type="http://schemas.openxmlformats.org/officeDocument/2006/relationships/image" Target="../media/image67.png"/><Relationship Id="rId74" Type="http://schemas.openxmlformats.org/officeDocument/2006/relationships/hyperlink" Target="https://www.linkedin.com/feed/update/urn:li:activity:7154909907488587777/" TargetMode="External"/><Relationship Id="rId79" Type="http://schemas.openxmlformats.org/officeDocument/2006/relationships/image" Target="../media/image82.png"/><Relationship Id="rId102" Type="http://schemas.openxmlformats.org/officeDocument/2006/relationships/hyperlink" Target="#mimarl&#305;k!A1"/><Relationship Id="rId5" Type="http://schemas.openxmlformats.org/officeDocument/2006/relationships/hyperlink" Target="#'yerden &#305;s&#305;tma '!A1"/><Relationship Id="rId90" Type="http://schemas.openxmlformats.org/officeDocument/2006/relationships/hyperlink" Target="https://www.linkedin.com/feed/update/urn:li:activity:7157856595022938112/" TargetMode="External"/><Relationship Id="rId95" Type="http://schemas.openxmlformats.org/officeDocument/2006/relationships/hyperlink" Target="https://www.tesisat.org/" TargetMode="External"/><Relationship Id="rId22" Type="http://schemas.openxmlformats.org/officeDocument/2006/relationships/hyperlink" Target="#'Temiz Su Genle&#351;me Tank&#305; Se&#231;imi'!A1"/><Relationship Id="rId27" Type="http://schemas.openxmlformats.org/officeDocument/2006/relationships/hyperlink" Target="#'At&#305;k su kelep&#231;e adet hesab&#305;'!A1"/><Relationship Id="rId43" Type="http://schemas.openxmlformats.org/officeDocument/2006/relationships/hyperlink" Target="#'&#304;n&#351;aat Hafriyat Hesab&#305;'!A1"/><Relationship Id="rId48" Type="http://schemas.openxmlformats.org/officeDocument/2006/relationships/image" Target="../media/image57.png"/><Relationship Id="rId64" Type="http://schemas.openxmlformats.org/officeDocument/2006/relationships/image" Target="../media/image73.png"/><Relationship Id="rId69" Type="http://schemas.openxmlformats.org/officeDocument/2006/relationships/image" Target="../media/image78.png"/><Relationship Id="rId80" Type="http://schemas.openxmlformats.org/officeDocument/2006/relationships/hyperlink" Target="#'Is&#305; Pompas&#305; Hesab&#305;-2'!A1"/><Relationship Id="rId85" Type="http://schemas.openxmlformats.org/officeDocument/2006/relationships/hyperlink" Target="#Kelep&#231;eler!A1"/><Relationship Id="rId12" Type="http://schemas.openxmlformats.org/officeDocument/2006/relationships/hyperlink" Target="#'G&#252;ne&#351; Pompa Ve Boru &#199;ap&#305; Se&#231;imi'!A1"/><Relationship Id="rId17" Type="http://schemas.openxmlformats.org/officeDocument/2006/relationships/hyperlink" Target="#'Re-Sirk&#252;lasyon Pompa se&#231;imi'!A1"/><Relationship Id="rId33" Type="http://schemas.openxmlformats.org/officeDocument/2006/relationships/hyperlink" Target="#'H&#304;DROFOR Hesab&#305;'!A1"/><Relationship Id="rId38" Type="http://schemas.openxmlformats.org/officeDocument/2006/relationships/hyperlink" Target="#'Balkon Ve Teras S&#252;zge&#231; Hesab&#305;'!A1"/><Relationship Id="rId59" Type="http://schemas.openxmlformats.org/officeDocument/2006/relationships/image" Target="../media/image68.png"/><Relationship Id="rId103" Type="http://schemas.openxmlformats.org/officeDocument/2006/relationships/image" Target="../media/image1.png"/><Relationship Id="rId108" Type="http://schemas.openxmlformats.org/officeDocument/2006/relationships/image" Target="../media/image95.png"/><Relationship Id="rId54" Type="http://schemas.openxmlformats.org/officeDocument/2006/relationships/image" Target="../media/image63.png"/><Relationship Id="rId70" Type="http://schemas.openxmlformats.org/officeDocument/2006/relationships/image" Target="../media/image79.png"/><Relationship Id="rId75" Type="http://schemas.openxmlformats.org/officeDocument/2006/relationships/image" Target="../media/image81.png"/><Relationship Id="rId91" Type="http://schemas.openxmlformats.org/officeDocument/2006/relationships/hyperlink" Target="#'Buhar Odas&#305; Buh.Jenert&#246;r Hesab&#305;'!A1"/><Relationship Id="rId96" Type="http://schemas.openxmlformats.org/officeDocument/2006/relationships/image" Target="../media/image89.png"/><Relationship Id="rId1" Type="http://schemas.openxmlformats.org/officeDocument/2006/relationships/hyperlink" Target="#'Kazan dairesi hesab&#305; YNS-2023'!A1"/><Relationship Id="rId6" Type="http://schemas.openxmlformats.org/officeDocument/2006/relationships/hyperlink" Target="#'Radyat&#246;r Hesab&#305;'!A1"/><Relationship Id="rId15" Type="http://schemas.openxmlformats.org/officeDocument/2006/relationships/hyperlink" Target="#'PomPa ve Genle&#351;me Tk Hesb&#305;'!A1"/><Relationship Id="rId23" Type="http://schemas.openxmlformats.org/officeDocument/2006/relationships/hyperlink" Target="#'C-kollekt&#246;r Hesab&#305;'!A1"/><Relationship Id="rId28" Type="http://schemas.openxmlformats.org/officeDocument/2006/relationships/hyperlink" Target="#'so&#287;uk su- s&#305;cak su-pis su hesap'!A1"/><Relationship Id="rId36" Type="http://schemas.openxmlformats.org/officeDocument/2006/relationships/hyperlink" Target="#'Ya&#287;mur Suyu Hesab&#305;-2'!A1"/><Relationship Id="rId49" Type="http://schemas.openxmlformats.org/officeDocument/2006/relationships/image" Target="../media/image58.png"/><Relationship Id="rId57" Type="http://schemas.openxmlformats.org/officeDocument/2006/relationships/image" Target="../media/image66.png"/><Relationship Id="rId106" Type="http://schemas.openxmlformats.org/officeDocument/2006/relationships/hyperlink" Target="#'Islak Hacim &#304;&#351;&#231;ilik H'!A1"/><Relationship Id="rId10" Type="http://schemas.openxmlformats.org/officeDocument/2006/relationships/hyperlink" Target="#'Klima Hesab&#305; '!A1"/><Relationship Id="rId31" Type="http://schemas.openxmlformats.org/officeDocument/2006/relationships/hyperlink" Target="#'Kanal Kesit Hesab&#305;'!A1"/><Relationship Id="rId44" Type="http://schemas.openxmlformats.org/officeDocument/2006/relationships/image" Target="../media/image53.png"/><Relationship Id="rId52" Type="http://schemas.openxmlformats.org/officeDocument/2006/relationships/image" Target="../media/image61.png"/><Relationship Id="rId60" Type="http://schemas.openxmlformats.org/officeDocument/2006/relationships/image" Target="../media/image69.png"/><Relationship Id="rId65" Type="http://schemas.openxmlformats.org/officeDocument/2006/relationships/image" Target="../media/image74.png"/><Relationship Id="rId73" Type="http://schemas.openxmlformats.org/officeDocument/2006/relationships/image" Target="../media/image80.png"/><Relationship Id="rId78" Type="http://schemas.openxmlformats.org/officeDocument/2006/relationships/hyperlink" Target="#'Boyler genle&#351;me Tank&#305; Se&#231;imi'!A1"/><Relationship Id="rId81" Type="http://schemas.openxmlformats.org/officeDocument/2006/relationships/hyperlink" Target="#'Tesisat sembolleri'!A1"/><Relationship Id="rId86" Type="http://schemas.openxmlformats.org/officeDocument/2006/relationships/image" Target="../media/image85.png"/><Relationship Id="rId94" Type="http://schemas.openxmlformats.org/officeDocument/2006/relationships/image" Target="../media/image88.png"/><Relationship Id="rId99" Type="http://schemas.openxmlformats.org/officeDocument/2006/relationships/image" Target="../media/image91.png"/><Relationship Id="rId101" Type="http://schemas.openxmlformats.org/officeDocument/2006/relationships/image" Target="../media/image92.png"/><Relationship Id="rId4" Type="http://schemas.openxmlformats.org/officeDocument/2006/relationships/image" Target="../media/image51.png"/><Relationship Id="rId9" Type="http://schemas.openxmlformats.org/officeDocument/2006/relationships/hyperlink" Target="#'Kapal&#305; Havuz Nem Alma Hesab&#305;'!A1"/><Relationship Id="rId13" Type="http://schemas.openxmlformats.org/officeDocument/2006/relationships/hyperlink" Target="#'Is&#305; Pompas&#305; Hesab&#305;'!A1"/><Relationship Id="rId18" Type="http://schemas.openxmlformats.org/officeDocument/2006/relationships/hyperlink" Target="#'3 yollu kar&#305;&#351;&#305;m vana se&#231;imi'!A1"/><Relationship Id="rId39" Type="http://schemas.openxmlformats.org/officeDocument/2006/relationships/image" Target="../media/image52.png"/><Relationship Id="rId109" Type="http://schemas.openxmlformats.org/officeDocument/2006/relationships/hyperlink" Target="#'Nem Alma Cihaz Hesab&#305;'!A1"/><Relationship Id="rId34" Type="http://schemas.openxmlformats.org/officeDocument/2006/relationships/hyperlink" Target="#'Bah&#231;e Sulama Hesab&#305;'!A1"/><Relationship Id="rId50" Type="http://schemas.openxmlformats.org/officeDocument/2006/relationships/image" Target="../media/image59.png"/><Relationship Id="rId55" Type="http://schemas.openxmlformats.org/officeDocument/2006/relationships/image" Target="../media/image64.jpeg"/><Relationship Id="rId76" Type="http://schemas.openxmlformats.org/officeDocument/2006/relationships/hyperlink" Target="https://www.linkedin.com/feed/update/urn:li:activity:7150960366330486784/" TargetMode="External"/><Relationship Id="rId97" Type="http://schemas.openxmlformats.org/officeDocument/2006/relationships/hyperlink" Target="https://www.santiye.com.tr/index.html" TargetMode="External"/><Relationship Id="rId104" Type="http://schemas.openxmlformats.org/officeDocument/2006/relationships/hyperlink" Target="https://www.defenceturk.net/" TargetMode="External"/><Relationship Id="rId7" Type="http://schemas.openxmlformats.org/officeDocument/2006/relationships/hyperlink" Target="#'Boyler Hesab&#305;  '!A1"/><Relationship Id="rId71" Type="http://schemas.openxmlformats.org/officeDocument/2006/relationships/hyperlink" Target="#'R&#246;gar Akar Kod ve K&#252;nk'!A1"/><Relationship Id="rId92" Type="http://schemas.openxmlformats.org/officeDocument/2006/relationships/image" Target="../media/image87.png"/><Relationship Id="rId2" Type="http://schemas.openxmlformats.org/officeDocument/2006/relationships/image" Target="../media/image49.png"/><Relationship Id="rId29" Type="http://schemas.openxmlformats.org/officeDocument/2006/relationships/hyperlink" Target="#'Do&#287;algaz Menfez Hesab&#305;-Saya&#231;'!A1"/><Relationship Id="rId24" Type="http://schemas.openxmlformats.org/officeDocument/2006/relationships/hyperlink" Target="#'boru &#231;ap hesab&#305;(so&#287;uk su tes.)'!A1"/><Relationship Id="rId40" Type="http://schemas.openxmlformats.org/officeDocument/2006/relationships/hyperlink" Target="#'Merkezi Toz Emme Hesab&#305;'!A1"/><Relationship Id="rId45" Type="http://schemas.openxmlformats.org/officeDocument/2006/relationships/image" Target="../media/image54.png"/><Relationship Id="rId66" Type="http://schemas.openxmlformats.org/officeDocument/2006/relationships/image" Target="../media/image75.png"/><Relationship Id="rId87" Type="http://schemas.openxmlformats.org/officeDocument/2006/relationships/hyperlink" Target="#'BORU TES&#304;SAT YALITIM &#214;L&#199;&#220;LER&#304;'!A1"/><Relationship Id="rId110" Type="http://schemas.openxmlformats.org/officeDocument/2006/relationships/image" Target="../media/image96.png"/><Relationship Id="rId61" Type="http://schemas.openxmlformats.org/officeDocument/2006/relationships/image" Target="../media/image70.png"/><Relationship Id="rId82" Type="http://schemas.openxmlformats.org/officeDocument/2006/relationships/image" Target="../media/image83.png"/><Relationship Id="rId19" Type="http://schemas.openxmlformats.org/officeDocument/2006/relationships/hyperlink" Target="#'&#350;&#246;nt Pompa se&#231;imi'!A1"/><Relationship Id="rId14" Type="http://schemas.openxmlformats.org/officeDocument/2006/relationships/hyperlink" Target="#'Yerden Is&#305;tma Malzeme Rehau Hes'!A1"/><Relationship Id="rId30" Type="http://schemas.openxmlformats.org/officeDocument/2006/relationships/hyperlink" Target="#'WC Fan bas&#305;n&#231; kayb&#305; Hesab&#305;'!A1"/><Relationship Id="rId35" Type="http://schemas.openxmlformats.org/officeDocument/2006/relationships/hyperlink" Target="#'Do&#287;lz.Reg&#252;lat&#246;r Malzeme Hesab&#305;'!A1"/><Relationship Id="rId56" Type="http://schemas.openxmlformats.org/officeDocument/2006/relationships/image" Target="../media/image65.png"/><Relationship Id="rId77" Type="http://schemas.openxmlformats.org/officeDocument/2006/relationships/hyperlink" Target="https://www.linkedin.com/posts/yunus-tufan-5aa384184_k%C4%B1sa-anlat%C4%B1ml%C4%B1-video-ile-yns2024-excel-activity-7162172245426008064-UKhs?utm_source=share&amp;utm_medium=member_desktop" TargetMode="External"/><Relationship Id="rId100" Type="http://schemas.openxmlformats.org/officeDocument/2006/relationships/hyperlink" Target="https://copilot.microsoft.com/chats/gLTpQX7KWzH2xXxYv2JDE" TargetMode="External"/><Relationship Id="rId105" Type="http://schemas.openxmlformats.org/officeDocument/2006/relationships/image" Target="../media/image93.png"/><Relationship Id="rId8" Type="http://schemas.openxmlformats.org/officeDocument/2006/relationships/hyperlink" Target="#'Havuz E&#351;anj&#246;r Hesab&#305;'!A1"/><Relationship Id="rId51" Type="http://schemas.openxmlformats.org/officeDocument/2006/relationships/image" Target="../media/image60.png"/><Relationship Id="rId72" Type="http://schemas.openxmlformats.org/officeDocument/2006/relationships/hyperlink" Target="#'Birim D&#246;n&#252;&#351;t&#252;r'!A1"/><Relationship Id="rId93" Type="http://schemas.openxmlformats.org/officeDocument/2006/relationships/hyperlink" Target="https://tumgazeteler.net/" TargetMode="External"/><Relationship Id="rId98" Type="http://schemas.openxmlformats.org/officeDocument/2006/relationships/image" Target="../media/image90.png"/><Relationship Id="rId3" Type="http://schemas.openxmlformats.org/officeDocument/2006/relationships/image" Target="../media/image50.png"/><Relationship Id="rId25" Type="http://schemas.openxmlformats.org/officeDocument/2006/relationships/hyperlink" Target="#'Boru &#199;ap&#305; Hesab&#305;-2'!A1"/><Relationship Id="rId46" Type="http://schemas.openxmlformats.org/officeDocument/2006/relationships/image" Target="../media/image55.png"/><Relationship Id="rId67" Type="http://schemas.openxmlformats.org/officeDocument/2006/relationships/image" Target="../media/image76.png"/><Relationship Id="rId20" Type="http://schemas.openxmlformats.org/officeDocument/2006/relationships/hyperlink" Target="#'Kazan Baca &#199;ap&#305; Hesab&#305;'!A1"/><Relationship Id="rId41" Type="http://schemas.openxmlformats.org/officeDocument/2006/relationships/hyperlink" Target="#'Havuz E&#351;anj&#246;r Kapasite Hesab&#305;'!A1"/><Relationship Id="rId62" Type="http://schemas.openxmlformats.org/officeDocument/2006/relationships/image" Target="../media/image71.png"/><Relationship Id="rId83" Type="http://schemas.openxmlformats.org/officeDocument/2006/relationships/hyperlink" Target="https://www.linkedin.com/in/yunus-tufan-5aa384184/" TargetMode="External"/><Relationship Id="rId88" Type="http://schemas.openxmlformats.org/officeDocument/2006/relationships/image" Target="../media/image86.png"/><Relationship Id="rId111" Type="http://schemas.openxmlformats.org/officeDocument/2006/relationships/hyperlink" Target="#'Sarn&#305;&#231; Hesab&#305;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2" Type="http://schemas.openxmlformats.org/officeDocument/2006/relationships/hyperlink" Target="#'Bah&#231;e Sulama Hesab&#305;'!A1"/><Relationship Id="rId1" Type="http://schemas.openxmlformats.org/officeDocument/2006/relationships/image" Target="../media/image97.png"/><Relationship Id="rId5" Type="http://schemas.openxmlformats.org/officeDocument/2006/relationships/image" Target="../media/image64.jpe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2" Type="http://schemas.openxmlformats.org/officeDocument/2006/relationships/hyperlink" Target="#'Klima Hesab&#305; '!A1"/><Relationship Id="rId1" Type="http://schemas.openxmlformats.org/officeDocument/2006/relationships/image" Target="../media/image97.png"/><Relationship Id="rId5" Type="http://schemas.openxmlformats.org/officeDocument/2006/relationships/image" Target="../media/image50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hyperlink" Target="#'Is&#305; Pompas&#305; Hesab&#305;-2'!A1"/><Relationship Id="rId7" Type="http://schemas.openxmlformats.org/officeDocument/2006/relationships/image" Target="../media/image98.png"/><Relationship Id="rId2" Type="http://schemas.openxmlformats.org/officeDocument/2006/relationships/hyperlink" Target="#'Is&#305; Pompas&#305; Hesab&#305;'!A1"/><Relationship Id="rId1" Type="http://schemas.openxmlformats.org/officeDocument/2006/relationships/image" Target="../media/image97.png"/><Relationship Id="rId6" Type="http://schemas.openxmlformats.org/officeDocument/2006/relationships/hyperlink" Target="#ISITMA!A1"/><Relationship Id="rId5" Type="http://schemas.openxmlformats.org/officeDocument/2006/relationships/image" Target="../media/image4.png"/><Relationship Id="rId4" Type="http://schemas.openxmlformats.org/officeDocument/2006/relationships/hyperlink" Target="#'Yns ANA SAYFA'!A1"/><Relationship Id="rId9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hyperlink" Target="#'Balkon Ve Teras S&#252;zge&#231; Hesab&#305;'!A1"/><Relationship Id="rId7" Type="http://schemas.openxmlformats.org/officeDocument/2006/relationships/image" Target="../media/image72.png"/><Relationship Id="rId2" Type="http://schemas.openxmlformats.org/officeDocument/2006/relationships/hyperlink" Target="#'Ya&#287;mur Suyu Hesab&#305;-2'!A1"/><Relationship Id="rId1" Type="http://schemas.openxmlformats.org/officeDocument/2006/relationships/image" Target="../media/image97.png"/><Relationship Id="rId6" Type="http://schemas.openxmlformats.org/officeDocument/2006/relationships/image" Target="../media/image71.png"/><Relationship Id="rId5" Type="http://schemas.openxmlformats.org/officeDocument/2006/relationships/image" Target="../media/image4.png"/><Relationship Id="rId4" Type="http://schemas.openxmlformats.org/officeDocument/2006/relationships/hyperlink" Target="#'Yns ANA SAYFA'!A1"/><Relationship Id="rId9" Type="http://schemas.openxmlformats.org/officeDocument/2006/relationships/hyperlink" Target="#'Sarn&#305;&#231; Hesab&#305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&#304;n&#351;aat Hafriyat Hesab&#305;'!A1"/><Relationship Id="rId7" Type="http://schemas.openxmlformats.org/officeDocument/2006/relationships/image" Target="../media/image80.png"/><Relationship Id="rId2" Type="http://schemas.openxmlformats.org/officeDocument/2006/relationships/hyperlink" Target="#'R&#246;gar Akar Kod ve K&#252;nk'!A1"/><Relationship Id="rId1" Type="http://schemas.openxmlformats.org/officeDocument/2006/relationships/image" Target="../media/image97.png"/><Relationship Id="rId6" Type="http://schemas.openxmlformats.org/officeDocument/2006/relationships/image" Target="../media/image53.png"/><Relationship Id="rId5" Type="http://schemas.openxmlformats.org/officeDocument/2006/relationships/image" Target="../media/image4.png"/><Relationship Id="rId4" Type="http://schemas.openxmlformats.org/officeDocument/2006/relationships/hyperlink" Target="#'Yns ANA SAYFA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Do&#287;lz.Reg&#252;lat&#246;r Malzeme Hesab&#305;'!A1"/><Relationship Id="rId2" Type="http://schemas.openxmlformats.org/officeDocument/2006/relationships/hyperlink" Target="#'Do&#287;algaz Menfez Hesab&#305;-Saya&#231;'!A1"/><Relationship Id="rId1" Type="http://schemas.openxmlformats.org/officeDocument/2006/relationships/image" Target="../media/image97.png"/><Relationship Id="rId6" Type="http://schemas.openxmlformats.org/officeDocument/2006/relationships/image" Target="../media/image66.png"/><Relationship Id="rId5" Type="http://schemas.openxmlformats.org/officeDocument/2006/relationships/image" Target="../media/image4.png"/><Relationship Id="rId4" Type="http://schemas.openxmlformats.org/officeDocument/2006/relationships/hyperlink" Target="#'Yns ANA SAYFA'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94.png"/><Relationship Id="rId3" Type="http://schemas.openxmlformats.org/officeDocument/2006/relationships/hyperlink" Target="#Kelep&#231;eler!A1"/><Relationship Id="rId7" Type="http://schemas.openxmlformats.org/officeDocument/2006/relationships/hyperlink" Target="#'ar&#305;tma cihaz&#305; &#231;al&#305;&#351;ma prensibi'!A1"/><Relationship Id="rId12" Type="http://schemas.openxmlformats.org/officeDocument/2006/relationships/image" Target="../media/image91.png"/><Relationship Id="rId2" Type="http://schemas.openxmlformats.org/officeDocument/2006/relationships/hyperlink" Target="#'BORU TES&#304;SAT YALITIM &#214;L&#199;&#220;LER&#304;'!A1"/><Relationship Id="rId1" Type="http://schemas.openxmlformats.org/officeDocument/2006/relationships/image" Target="../media/image97.png"/><Relationship Id="rId6" Type="http://schemas.openxmlformats.org/officeDocument/2006/relationships/hyperlink" Target="#'Islak Hacim &#304;&#351;&#231;ilik H'!A1"/><Relationship Id="rId11" Type="http://schemas.openxmlformats.org/officeDocument/2006/relationships/image" Target="../media/image86.png"/><Relationship Id="rId5" Type="http://schemas.openxmlformats.org/officeDocument/2006/relationships/image" Target="../media/image4.png"/><Relationship Id="rId15" Type="http://schemas.openxmlformats.org/officeDocument/2006/relationships/hyperlink" Target="#'Tesisat sembolleri'!A1"/><Relationship Id="rId10" Type="http://schemas.openxmlformats.org/officeDocument/2006/relationships/image" Target="../media/image73.png"/><Relationship Id="rId4" Type="http://schemas.openxmlformats.org/officeDocument/2006/relationships/hyperlink" Target="#'Yns ANA SAYFA'!A1"/><Relationship Id="rId9" Type="http://schemas.openxmlformats.org/officeDocument/2006/relationships/image" Target="../media/image83.png"/><Relationship Id="rId14" Type="http://schemas.openxmlformats.org/officeDocument/2006/relationships/hyperlink" Target="#'Birim D&#246;n&#252;&#351;t&#252;r'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13" Type="http://schemas.openxmlformats.org/officeDocument/2006/relationships/hyperlink" Target="#'At&#305;k su kelep&#231;e adet hesab&#305;'!A1"/><Relationship Id="rId3" Type="http://schemas.openxmlformats.org/officeDocument/2006/relationships/hyperlink" Target="#'Boru &#199;ap&#305; Hesab&#305;-2'!A1"/><Relationship Id="rId7" Type="http://schemas.openxmlformats.org/officeDocument/2006/relationships/hyperlink" Target="#'Boru &#199;ap&#305; Hesab&#305;'!A1"/><Relationship Id="rId12" Type="http://schemas.openxmlformats.org/officeDocument/2006/relationships/hyperlink" Target="#'so&#287;uk su- s&#305;cak su-pis su hesap'!A1"/><Relationship Id="rId2" Type="http://schemas.openxmlformats.org/officeDocument/2006/relationships/hyperlink" Target="#'boru &#231;ap hesab&#305;(so&#287;uk su tes.)'!A1"/><Relationship Id="rId1" Type="http://schemas.openxmlformats.org/officeDocument/2006/relationships/image" Target="../media/image97.png"/><Relationship Id="rId6" Type="http://schemas.openxmlformats.org/officeDocument/2006/relationships/image" Target="../media/image59.png"/><Relationship Id="rId11" Type="http://schemas.openxmlformats.org/officeDocument/2006/relationships/hyperlink" Target="#'Rehau ile vitrifiye temiz su'!A1"/><Relationship Id="rId5" Type="http://schemas.openxmlformats.org/officeDocument/2006/relationships/image" Target="../media/image4.png"/><Relationship Id="rId15" Type="http://schemas.openxmlformats.org/officeDocument/2006/relationships/hyperlink" Target="#'H&#304;DROFOR Hesab&#305;'!A1"/><Relationship Id="rId10" Type="http://schemas.openxmlformats.org/officeDocument/2006/relationships/image" Target="../media/image74.png"/><Relationship Id="rId4" Type="http://schemas.openxmlformats.org/officeDocument/2006/relationships/hyperlink" Target="#'Yns ANA SAYFA'!A1"/><Relationship Id="rId9" Type="http://schemas.openxmlformats.org/officeDocument/2006/relationships/image" Target="../media/image73.png"/><Relationship Id="rId1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79.png"/><Relationship Id="rId7" Type="http://schemas.openxmlformats.org/officeDocument/2006/relationships/hyperlink" Target="#ISITMA!A1"/><Relationship Id="rId2" Type="http://schemas.openxmlformats.org/officeDocument/2006/relationships/hyperlink" Target="#'Havuz E&#351;anj&#246;r Hesab&#305;-1'!A1"/><Relationship Id="rId1" Type="http://schemas.openxmlformats.org/officeDocument/2006/relationships/image" Target="../media/image97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hyperlink" Target="#'Havuz E&#351;anj&#246;r Kapasite Hesab&#305;'!A1"/><Relationship Id="rId9" Type="http://schemas.openxmlformats.org/officeDocument/2006/relationships/image" Target="../media/image9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2.png"/><Relationship Id="rId3" Type="http://schemas.openxmlformats.org/officeDocument/2006/relationships/hyperlink" Target="#'ISI GER&#304; KAZANIM C&#304;HAZI HESABI'!A1"/><Relationship Id="rId7" Type="http://schemas.openxmlformats.org/officeDocument/2006/relationships/image" Target="../media/image4.png"/><Relationship Id="rId12" Type="http://schemas.openxmlformats.org/officeDocument/2006/relationships/image" Target="../media/image95.png"/><Relationship Id="rId17" Type="http://schemas.openxmlformats.org/officeDocument/2006/relationships/image" Target="../media/image49.png"/><Relationship Id="rId2" Type="http://schemas.openxmlformats.org/officeDocument/2006/relationships/hyperlink" Target="#'Kanal Kesit Hesab&#305;'!A1"/><Relationship Id="rId16" Type="http://schemas.openxmlformats.org/officeDocument/2006/relationships/hyperlink" Target="#'Merkezi Toz Emme Hesab&#305;'!A1"/><Relationship Id="rId1" Type="http://schemas.openxmlformats.org/officeDocument/2006/relationships/image" Target="../media/image97.png"/><Relationship Id="rId6" Type="http://schemas.openxmlformats.org/officeDocument/2006/relationships/hyperlink" Target="#'Yns ANA SAYFA'!A1"/><Relationship Id="rId11" Type="http://schemas.openxmlformats.org/officeDocument/2006/relationships/image" Target="../media/image68.png"/><Relationship Id="rId5" Type="http://schemas.openxmlformats.org/officeDocument/2006/relationships/hyperlink" Target="#'Nem Alma Cihaz Hesab&#305;'!A1"/><Relationship Id="rId15" Type="http://schemas.openxmlformats.org/officeDocument/2006/relationships/hyperlink" Target="#'Kapal&#305; Havuz Nem Alma Hesab&#305;'!A1"/><Relationship Id="rId10" Type="http://schemas.openxmlformats.org/officeDocument/2006/relationships/image" Target="../media/image67.png"/><Relationship Id="rId4" Type="http://schemas.openxmlformats.org/officeDocument/2006/relationships/hyperlink" Target="#'Davlumbaz Hesab&#305;'!A1"/><Relationship Id="rId9" Type="http://schemas.openxmlformats.org/officeDocument/2006/relationships/image" Target="../media/image60.png"/><Relationship Id="rId14" Type="http://schemas.openxmlformats.org/officeDocument/2006/relationships/hyperlink" Target="#'WC Fan bas&#305;n&#231; kayb&#305; Hesab&#305;'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'pratik yerden &#305;s&#305;tma hesab&#305;'!A1"/><Relationship Id="rId7" Type="http://schemas.openxmlformats.org/officeDocument/2006/relationships/hyperlink" Target="#'Yns ANA SAYFA'!A1"/><Relationship Id="rId2" Type="http://schemas.openxmlformats.org/officeDocument/2006/relationships/hyperlink" Target="#'Yerden Is&#305;tma Hesab&#305;'!A1"/><Relationship Id="rId1" Type="http://schemas.openxmlformats.org/officeDocument/2006/relationships/image" Target="../media/image97.png"/><Relationship Id="rId6" Type="http://schemas.openxmlformats.org/officeDocument/2006/relationships/hyperlink" Target="#'Yerden Is&#305;tma Malzeme Rehau Hes'!A1"/><Relationship Id="rId11" Type="http://schemas.openxmlformats.org/officeDocument/2006/relationships/image" Target="../media/image99.png"/><Relationship Id="rId5" Type="http://schemas.openxmlformats.org/officeDocument/2006/relationships/hyperlink" Target="#'Mod&#252;lasyon ve yerden &#305;s&#305;tma hes'!A1"/><Relationship Id="rId10" Type="http://schemas.openxmlformats.org/officeDocument/2006/relationships/image" Target="../media/image98.png"/><Relationship Id="rId4" Type="http://schemas.openxmlformats.org/officeDocument/2006/relationships/image" Target="../media/image55.png"/><Relationship Id="rId9" Type="http://schemas.openxmlformats.org/officeDocument/2006/relationships/hyperlink" Target="#ISITMA!A1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png"/><Relationship Id="rId18" Type="http://schemas.openxmlformats.org/officeDocument/2006/relationships/image" Target="../media/image58.png"/><Relationship Id="rId26" Type="http://schemas.openxmlformats.org/officeDocument/2006/relationships/image" Target="../media/image70.png"/><Relationship Id="rId39" Type="http://schemas.openxmlformats.org/officeDocument/2006/relationships/image" Target="../media/image4.png"/><Relationship Id="rId21" Type="http://schemas.openxmlformats.org/officeDocument/2006/relationships/image" Target="../media/image76.png"/><Relationship Id="rId34" Type="http://schemas.openxmlformats.org/officeDocument/2006/relationships/hyperlink" Target="#'G&#252;ne&#351; Kollekt&#246;r Hesap&#305;'!A1"/><Relationship Id="rId7" Type="http://schemas.openxmlformats.org/officeDocument/2006/relationships/image" Target="../media/image56.png"/><Relationship Id="rId12" Type="http://schemas.openxmlformats.org/officeDocument/2006/relationships/hyperlink" Target="#'Boyler Hesab&#305;  '!A1"/><Relationship Id="rId17" Type="http://schemas.openxmlformats.org/officeDocument/2006/relationships/image" Target="../media/image54.png"/><Relationship Id="rId25" Type="http://schemas.openxmlformats.org/officeDocument/2006/relationships/hyperlink" Target="#'&#350;&#246;nt Pompa se&#231;imi'!A1"/><Relationship Id="rId33" Type="http://schemas.openxmlformats.org/officeDocument/2006/relationships/image" Target="../media/image62.png"/><Relationship Id="rId38" Type="http://schemas.openxmlformats.org/officeDocument/2006/relationships/hyperlink" Target="#'Yns ANA SAYFA'!A1"/><Relationship Id="rId2" Type="http://schemas.openxmlformats.org/officeDocument/2006/relationships/hyperlink" Target="#'Kazan dairesi hesab&#305; YNS-2023'!A1"/><Relationship Id="rId16" Type="http://schemas.openxmlformats.org/officeDocument/2006/relationships/hyperlink" Target="#'PomPa ve Genle&#351;me Tk Hesb&#305;'!A1"/><Relationship Id="rId20" Type="http://schemas.openxmlformats.org/officeDocument/2006/relationships/image" Target="../media/image75.png"/><Relationship Id="rId29" Type="http://schemas.openxmlformats.org/officeDocument/2006/relationships/hyperlink" Target="#'Kazan Baca &#199;ap&#305; Hesab&#305;'!A1"/><Relationship Id="rId1" Type="http://schemas.openxmlformats.org/officeDocument/2006/relationships/image" Target="../media/image97.png"/><Relationship Id="rId6" Type="http://schemas.openxmlformats.org/officeDocument/2006/relationships/hyperlink" Target="#'Radyat&#246;r Hesab&#305;'!A1"/><Relationship Id="rId11" Type="http://schemas.openxmlformats.org/officeDocument/2006/relationships/image" Target="../media/image49.png"/><Relationship Id="rId24" Type="http://schemas.openxmlformats.org/officeDocument/2006/relationships/hyperlink" Target="#'3 yollu kar&#305;&#351;&#305;m vana se&#231;imi'!A1"/><Relationship Id="rId32" Type="http://schemas.openxmlformats.org/officeDocument/2006/relationships/hyperlink" Target="#'Boyler genle&#351;me Tank&#305; Se&#231;imi'!A1"/><Relationship Id="rId37" Type="http://schemas.openxmlformats.org/officeDocument/2006/relationships/image" Target="../media/image100.png"/><Relationship Id="rId5" Type="http://schemas.openxmlformats.org/officeDocument/2006/relationships/image" Target="../media/image55.png"/><Relationship Id="rId15" Type="http://schemas.openxmlformats.org/officeDocument/2006/relationships/hyperlink" Target="#'Buhar Odas&#305; Buh.Jenert&#246;r Hesab&#305;'!A1"/><Relationship Id="rId23" Type="http://schemas.openxmlformats.org/officeDocument/2006/relationships/hyperlink" Target="#'Re-Sirk&#252;lasyon Pompa se&#231;imi'!A1"/><Relationship Id="rId28" Type="http://schemas.openxmlformats.org/officeDocument/2006/relationships/image" Target="../media/image82.png"/><Relationship Id="rId36" Type="http://schemas.openxmlformats.org/officeDocument/2006/relationships/hyperlink" Target="#'C-kollekt&#246;r Hesab&#305;'!A1"/><Relationship Id="rId10" Type="http://schemas.openxmlformats.org/officeDocument/2006/relationships/hyperlink" Target="#'Is&#305; Pompas&#305;'!A1"/><Relationship Id="rId19" Type="http://schemas.openxmlformats.org/officeDocument/2006/relationships/image" Target="../media/image65.png"/><Relationship Id="rId31" Type="http://schemas.openxmlformats.org/officeDocument/2006/relationships/hyperlink" Target="#'Temiz Su Genle&#351;me Tank&#305; Se&#231;imi'!A1"/><Relationship Id="rId4" Type="http://schemas.openxmlformats.org/officeDocument/2006/relationships/hyperlink" Target="#'Yerden Is&#305;tma'!A1"/><Relationship Id="rId9" Type="http://schemas.openxmlformats.org/officeDocument/2006/relationships/image" Target="../media/image79.png"/><Relationship Id="rId14" Type="http://schemas.openxmlformats.org/officeDocument/2006/relationships/image" Target="../media/image87.png"/><Relationship Id="rId22" Type="http://schemas.openxmlformats.org/officeDocument/2006/relationships/hyperlink" Target="#'hidrolik kar&#305;&#351;t&#305;r&#305;c&#305;-denge kab&#305;'!A1"/><Relationship Id="rId27" Type="http://schemas.openxmlformats.org/officeDocument/2006/relationships/image" Target="../media/image77.png"/><Relationship Id="rId30" Type="http://schemas.openxmlformats.org/officeDocument/2006/relationships/hyperlink" Target="#'Is&#305;tma Hatt&#305; Genle&#351;me Tank&#305; se&#231;'!A1"/><Relationship Id="rId35" Type="http://schemas.openxmlformats.org/officeDocument/2006/relationships/hyperlink" Target="#'G&#252;ne&#351; Pompa Ve Boru &#199;ap&#305; Se&#231;imi'!A1"/><Relationship Id="rId8" Type="http://schemas.openxmlformats.org/officeDocument/2006/relationships/hyperlink" Target="#'Havuz E&#351;anj&#246;r'!A1"/><Relationship Id="rId3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nkedin.com/in/yunus-tufan-5aa384184/" TargetMode="External"/><Relationship Id="rId13" Type="http://schemas.openxmlformats.org/officeDocument/2006/relationships/image" Target="../media/image103.png"/><Relationship Id="rId18" Type="http://schemas.openxmlformats.org/officeDocument/2006/relationships/hyperlink" Target="https://tumgazeteler.net/" TargetMode="External"/><Relationship Id="rId3" Type="http://schemas.openxmlformats.org/officeDocument/2006/relationships/hyperlink" Target="#So&#287;utma!A1"/><Relationship Id="rId21" Type="http://schemas.openxmlformats.org/officeDocument/2006/relationships/image" Target="../media/image89.png"/><Relationship Id="rId7" Type="http://schemas.openxmlformats.org/officeDocument/2006/relationships/hyperlink" Target="#&#304;N&#350;AAT!A1"/><Relationship Id="rId12" Type="http://schemas.openxmlformats.org/officeDocument/2006/relationships/hyperlink" Target="https://copilot.microsoft.com/chats/gLTpQX7KWzH2xXxYv2JDE" TargetMode="External"/><Relationship Id="rId17" Type="http://schemas.openxmlformats.org/officeDocument/2006/relationships/image" Target="../media/image84.png"/><Relationship Id="rId25" Type="http://schemas.openxmlformats.org/officeDocument/2006/relationships/image" Target="../media/image93.png"/><Relationship Id="rId2" Type="http://schemas.openxmlformats.org/officeDocument/2006/relationships/hyperlink" Target="#ISITMA!A1"/><Relationship Id="rId16" Type="http://schemas.openxmlformats.org/officeDocument/2006/relationships/hyperlink" Target="#'Teknik K&#252;t&#252;phane'!A1"/><Relationship Id="rId20" Type="http://schemas.openxmlformats.org/officeDocument/2006/relationships/hyperlink" Target="https://www.tesisat.org/" TargetMode="External"/><Relationship Id="rId1" Type="http://schemas.openxmlformats.org/officeDocument/2006/relationships/image" Target="../media/image101.png"/><Relationship Id="rId6" Type="http://schemas.openxmlformats.org/officeDocument/2006/relationships/hyperlink" Target="#Tesisat!A1"/><Relationship Id="rId11" Type="http://schemas.openxmlformats.org/officeDocument/2006/relationships/image" Target="../media/image102.png"/><Relationship Id="rId24" Type="http://schemas.openxmlformats.org/officeDocument/2006/relationships/hyperlink" Target="https://www.defenceturk.net/" TargetMode="External"/><Relationship Id="rId5" Type="http://schemas.openxmlformats.org/officeDocument/2006/relationships/hyperlink" Target="#Do&#287;algaz!A1"/><Relationship Id="rId15" Type="http://schemas.openxmlformats.org/officeDocument/2006/relationships/hyperlink" Target="#mimarl&#305;k!A1"/><Relationship Id="rId23" Type="http://schemas.openxmlformats.org/officeDocument/2006/relationships/image" Target="../media/image90.png"/><Relationship Id="rId10" Type="http://schemas.openxmlformats.org/officeDocument/2006/relationships/hyperlink" Target="#YA&#286;MUR!A1"/><Relationship Id="rId19" Type="http://schemas.openxmlformats.org/officeDocument/2006/relationships/image" Target="../media/image88.png"/><Relationship Id="rId4" Type="http://schemas.openxmlformats.org/officeDocument/2006/relationships/hyperlink" Target="#Havaland&#305;rma!A1"/><Relationship Id="rId9" Type="http://schemas.openxmlformats.org/officeDocument/2006/relationships/image" Target="../media/image4.png"/><Relationship Id="rId14" Type="http://schemas.openxmlformats.org/officeDocument/2006/relationships/hyperlink" Target="#'peysaj ve sulama'!A1"/><Relationship Id="rId22" Type="http://schemas.openxmlformats.org/officeDocument/2006/relationships/hyperlink" Target="https://www.santiye.com.tr/index.html" TargetMode="Externa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Havaland&#305;rma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0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YA&#286;MUR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05.png"/><Relationship Id="rId1" Type="http://schemas.openxmlformats.org/officeDocument/2006/relationships/hyperlink" Target="#'YnS Ana Sayfa'!A1"/><Relationship Id="rId6" Type="http://schemas.openxmlformats.org/officeDocument/2006/relationships/image" Target="../media/image98.png"/><Relationship Id="rId5" Type="http://schemas.openxmlformats.org/officeDocument/2006/relationships/hyperlink" Target="#'Teknik K&#252;t&#252;phane'!A1"/><Relationship Id="rId4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108.png"/><Relationship Id="rId7" Type="http://schemas.openxmlformats.org/officeDocument/2006/relationships/hyperlink" Target="#'Yerden Is&#305;tma'!A1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81.png"/><Relationship Id="rId11" Type="http://schemas.openxmlformats.org/officeDocument/2006/relationships/image" Target="../media/image4.png"/><Relationship Id="rId5" Type="http://schemas.openxmlformats.org/officeDocument/2006/relationships/hyperlink" Target="https://www.linkedin.com/feed/update/urn:li:activity:7150960366330486784/" TargetMode="External"/><Relationship Id="rId10" Type="http://schemas.openxmlformats.org/officeDocument/2006/relationships/hyperlink" Target="#'Yns ANA SAYFA'!A1"/><Relationship Id="rId4" Type="http://schemas.openxmlformats.org/officeDocument/2006/relationships/image" Target="../media/image109.png"/><Relationship Id="rId9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'Yerden Is&#305;tma'!A1"/><Relationship Id="rId3" Type="http://schemas.openxmlformats.org/officeDocument/2006/relationships/image" Target="../media/image112.png"/><Relationship Id="rId7" Type="http://schemas.openxmlformats.org/officeDocument/2006/relationships/image" Target="../media/image115.png"/><Relationship Id="rId12" Type="http://schemas.openxmlformats.org/officeDocument/2006/relationships/image" Target="../media/image4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4.png"/><Relationship Id="rId11" Type="http://schemas.openxmlformats.org/officeDocument/2006/relationships/hyperlink" Target="#'Yns ANA SAYFA'!A1"/><Relationship Id="rId5" Type="http://schemas.openxmlformats.org/officeDocument/2006/relationships/image" Target="../media/image107.png"/><Relationship Id="rId10" Type="http://schemas.openxmlformats.org/officeDocument/2006/relationships/image" Target="../media/image99.png"/><Relationship Id="rId4" Type="http://schemas.openxmlformats.org/officeDocument/2006/relationships/image" Target="../media/image113.png"/><Relationship Id="rId9" Type="http://schemas.openxmlformats.org/officeDocument/2006/relationships/image" Target="../media/image9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hyperlink" Target="#'Yerden Is&#305;tma'!A1"/><Relationship Id="rId1" Type="http://schemas.openxmlformats.org/officeDocument/2006/relationships/image" Target="../media/image116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99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'Yerden Is&#305;tma'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4.png"/><Relationship Id="rId3" Type="http://schemas.openxmlformats.org/officeDocument/2006/relationships/image" Target="../media/image119.png"/><Relationship Id="rId7" Type="http://schemas.openxmlformats.org/officeDocument/2006/relationships/hyperlink" Target="https://www.linkedin.com/feed/update/urn:li:activity:7157856595022938112/" TargetMode="External"/><Relationship Id="rId12" Type="http://schemas.openxmlformats.org/officeDocument/2006/relationships/hyperlink" Target="#'Yns ANA SAYFA'!A1"/><Relationship Id="rId2" Type="http://schemas.openxmlformats.org/officeDocument/2006/relationships/image" Target="../media/image118.png"/><Relationship Id="rId16" Type="http://schemas.openxmlformats.org/officeDocument/2006/relationships/image" Target="../media/image99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11" Type="http://schemas.openxmlformats.org/officeDocument/2006/relationships/image" Target="../media/image125.png"/><Relationship Id="rId5" Type="http://schemas.openxmlformats.org/officeDocument/2006/relationships/image" Target="../media/image121.png"/><Relationship Id="rId15" Type="http://schemas.openxmlformats.org/officeDocument/2006/relationships/image" Target="../media/image98.png"/><Relationship Id="rId10" Type="http://schemas.openxmlformats.org/officeDocument/2006/relationships/image" Target="../media/image124.png"/><Relationship Id="rId4" Type="http://schemas.openxmlformats.org/officeDocument/2006/relationships/image" Target="../media/image120.png"/><Relationship Id="rId9" Type="http://schemas.openxmlformats.org/officeDocument/2006/relationships/image" Target="../media/image123.png"/><Relationship Id="rId14" Type="http://schemas.openxmlformats.org/officeDocument/2006/relationships/hyperlink" Target="#Tesisat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98.png"/><Relationship Id="rId5" Type="http://schemas.openxmlformats.org/officeDocument/2006/relationships/hyperlink" Target="#Tesisat!A1"/><Relationship Id="rId4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SITMA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0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132.png"/><Relationship Id="rId2" Type="http://schemas.openxmlformats.org/officeDocument/2006/relationships/image" Target="../media/image129.png"/><Relationship Id="rId1" Type="http://schemas.openxmlformats.org/officeDocument/2006/relationships/image" Target="../media/image131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3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4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5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6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7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8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Kelep&#231;eler!A1"/><Relationship Id="rId7" Type="http://schemas.openxmlformats.org/officeDocument/2006/relationships/image" Target="../media/image4.png"/><Relationship Id="rId2" Type="http://schemas.openxmlformats.org/officeDocument/2006/relationships/image" Target="../media/image129.png"/><Relationship Id="rId1" Type="http://schemas.openxmlformats.org/officeDocument/2006/relationships/image" Target="../media/image139.png"/><Relationship Id="rId6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142.png"/><Relationship Id="rId7" Type="http://schemas.openxmlformats.org/officeDocument/2006/relationships/hyperlink" Target="#'Teknik K&#252;t&#252;phane'!A1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143.png"/><Relationship Id="rId9" Type="http://schemas.openxmlformats.org/officeDocument/2006/relationships/image" Target="../media/image99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13" Type="http://schemas.openxmlformats.org/officeDocument/2006/relationships/hyperlink" Target="#'KLAS&#304;K T&#304;P SPR&#304;NKLER KELEP&#199;E'!A1"/><Relationship Id="rId18" Type="http://schemas.openxmlformats.org/officeDocument/2006/relationships/image" Target="../media/image152.png"/><Relationship Id="rId3" Type="http://schemas.openxmlformats.org/officeDocument/2006/relationships/image" Target="../media/image145.png"/><Relationship Id="rId21" Type="http://schemas.openxmlformats.org/officeDocument/2006/relationships/hyperlink" Target="#'Yns ANA SAYFA'!A1"/><Relationship Id="rId7" Type="http://schemas.openxmlformats.org/officeDocument/2006/relationships/hyperlink" Target="#'UZUN TR&#304;FONLU KELEP&#199;E'!A1"/><Relationship Id="rId12" Type="http://schemas.openxmlformats.org/officeDocument/2006/relationships/image" Target="../media/image149.png"/><Relationship Id="rId17" Type="http://schemas.openxmlformats.org/officeDocument/2006/relationships/hyperlink" Target="#'Rot ve Tij &#214;l&#231;&#252;leri'!A1"/><Relationship Id="rId25" Type="http://schemas.openxmlformats.org/officeDocument/2006/relationships/image" Target="../media/image99.png"/><Relationship Id="rId2" Type="http://schemas.openxmlformats.org/officeDocument/2006/relationships/image" Target="../media/image144.png"/><Relationship Id="rId16" Type="http://schemas.openxmlformats.org/officeDocument/2006/relationships/hyperlink" Target="#'UZUN T&#304;P SPR&#304;NKLER KELEP&#199;E'!A1"/><Relationship Id="rId20" Type="http://schemas.openxmlformats.org/officeDocument/2006/relationships/image" Target="../media/image153.png"/><Relationship Id="rId1" Type="http://schemas.openxmlformats.org/officeDocument/2006/relationships/hyperlink" Target="#'Somunlu Kelep&#231;e'!A1"/><Relationship Id="rId6" Type="http://schemas.openxmlformats.org/officeDocument/2006/relationships/image" Target="../media/image146.png"/><Relationship Id="rId11" Type="http://schemas.openxmlformats.org/officeDocument/2006/relationships/hyperlink" Target="#'A&#286;IR Y&#220;K KAFALI KELEP&#199;E'!A1"/><Relationship Id="rId24" Type="http://schemas.openxmlformats.org/officeDocument/2006/relationships/image" Target="../media/image98.png"/><Relationship Id="rId5" Type="http://schemas.openxmlformats.org/officeDocument/2006/relationships/hyperlink" Target="#'KLAS&#304;K TR&#304;FONLU KELEP&#199;E'!A1"/><Relationship Id="rId15" Type="http://schemas.openxmlformats.org/officeDocument/2006/relationships/image" Target="../media/image151.png"/><Relationship Id="rId23" Type="http://schemas.openxmlformats.org/officeDocument/2006/relationships/hyperlink" Target="#'Teknik K&#252;t&#252;phane'!A1"/><Relationship Id="rId10" Type="http://schemas.openxmlformats.org/officeDocument/2006/relationships/image" Target="../media/image148.png"/><Relationship Id="rId19" Type="http://schemas.openxmlformats.org/officeDocument/2006/relationships/hyperlink" Target="#'U BOLT &#214;l&#231;&#252;leri'!A1"/><Relationship Id="rId4" Type="http://schemas.openxmlformats.org/officeDocument/2006/relationships/hyperlink" Target="#'KOMB&#304; SOMUNLU KELEP&#199;E'!A1"/><Relationship Id="rId9" Type="http://schemas.openxmlformats.org/officeDocument/2006/relationships/hyperlink" Target="#'A&#286;IR Y&#220;K SOMUNLU KELEP&#199;E'!A1"/><Relationship Id="rId14" Type="http://schemas.openxmlformats.org/officeDocument/2006/relationships/image" Target="../media/image150.png"/><Relationship Id="rId22" Type="http://schemas.openxmlformats.org/officeDocument/2006/relationships/image" Target="../media/image4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156.png"/><Relationship Id="rId7" Type="http://schemas.openxmlformats.org/officeDocument/2006/relationships/hyperlink" Target="#'Teknik K&#252;t&#252;phane'!A1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157.png"/><Relationship Id="rId9" Type="http://schemas.openxmlformats.org/officeDocument/2006/relationships/image" Target="../media/image99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SITMA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304;N&#350;AAT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304;N&#350;AAT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'Teknik K&#252;t&#252;phane'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98.png"/><Relationship Id="rId5" Type="http://schemas.openxmlformats.org/officeDocument/2006/relationships/hyperlink" Target="#ISITMA!A1"/><Relationship Id="rId4" Type="http://schemas.openxmlformats.org/officeDocument/2006/relationships/image" Target="../media/image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163.png"/><Relationship Id="rId7" Type="http://schemas.openxmlformats.org/officeDocument/2006/relationships/hyperlink" Target="#'Is&#305; Pompas&#305;'!A1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164.png"/><Relationship Id="rId9" Type="http://schemas.openxmlformats.org/officeDocument/2006/relationships/image" Target="../media/image99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png"/><Relationship Id="rId13" Type="http://schemas.openxmlformats.org/officeDocument/2006/relationships/image" Target="../media/image99.png"/><Relationship Id="rId3" Type="http://schemas.openxmlformats.org/officeDocument/2006/relationships/image" Target="../media/image165.png"/><Relationship Id="rId7" Type="http://schemas.openxmlformats.org/officeDocument/2006/relationships/image" Target="../media/image164.png"/><Relationship Id="rId12" Type="http://schemas.openxmlformats.org/officeDocument/2006/relationships/image" Target="../media/image98.png"/><Relationship Id="rId2" Type="http://schemas.openxmlformats.org/officeDocument/2006/relationships/image" Target="../media/image161.png"/><Relationship Id="rId1" Type="http://schemas.openxmlformats.org/officeDocument/2006/relationships/image" Target="../media/image162.png"/><Relationship Id="rId6" Type="http://schemas.openxmlformats.org/officeDocument/2006/relationships/image" Target="../media/image81.png"/><Relationship Id="rId11" Type="http://schemas.openxmlformats.org/officeDocument/2006/relationships/hyperlink" Target="#ISITMA!A1"/><Relationship Id="rId5" Type="http://schemas.openxmlformats.org/officeDocument/2006/relationships/hyperlink" Target="https://www.linkedin.com/posts/yunus-tufan-5aa384184_k%C4%B1sa-anlat%C4%B1ml%C4%B1-video-ile-yns2024-excel-activity-7162172245426008064-UKhs?utm_source=share&amp;utm_medium=member_desktop" TargetMode="External"/><Relationship Id="rId10" Type="http://schemas.openxmlformats.org/officeDocument/2006/relationships/image" Target="../media/image4.png"/><Relationship Id="rId4" Type="http://schemas.openxmlformats.org/officeDocument/2006/relationships/image" Target="../media/image166.png"/><Relationship Id="rId9" Type="http://schemas.openxmlformats.org/officeDocument/2006/relationships/hyperlink" Target="#'Yns ANA SAYFA'!A1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hyperlink" Target="#ISITMA!A1"/><Relationship Id="rId3" Type="http://schemas.openxmlformats.org/officeDocument/2006/relationships/image" Target="../media/image169.png"/><Relationship Id="rId7" Type="http://schemas.openxmlformats.org/officeDocument/2006/relationships/image" Target="../media/image4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hyperlink" Target="#'Yns ANA SAYFA'!A1"/><Relationship Id="rId5" Type="http://schemas.openxmlformats.org/officeDocument/2006/relationships/image" Target="../media/image81.png"/><Relationship Id="rId10" Type="http://schemas.openxmlformats.org/officeDocument/2006/relationships/image" Target="../media/image99.png"/><Relationship Id="rId4" Type="http://schemas.openxmlformats.org/officeDocument/2006/relationships/hyperlink" Target="https://www.linkedin.com/feed/update/urn:li:activity:7154909907488587777/" TargetMode="External"/><Relationship Id="rId9" Type="http://schemas.openxmlformats.org/officeDocument/2006/relationships/image" Target="../media/image98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hyperlink" Target="#'Havuz E&#351;anj&#246;r Hesab&#305;-1'!A1"/><Relationship Id="rId1" Type="http://schemas.openxmlformats.org/officeDocument/2006/relationships/image" Target="../media/image170.png"/><Relationship Id="rId6" Type="http://schemas.openxmlformats.org/officeDocument/2006/relationships/image" Target="../media/image4.png"/><Relationship Id="rId5" Type="http://schemas.openxmlformats.org/officeDocument/2006/relationships/hyperlink" Target="#'Yns ANA SAYFA'!A1"/><Relationship Id="rId4" Type="http://schemas.openxmlformats.org/officeDocument/2006/relationships/image" Target="../media/image99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hyperlink" Target="#'Havuz Denge Depo Hesab&#305;'!A1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'Havuz E&#351;anj&#246;r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'Havuz E&#351;anj&#246;r'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hyperlink" Target="#Havaland&#305;rma!A1"/><Relationship Id="rId3" Type="http://schemas.openxmlformats.org/officeDocument/2006/relationships/image" Target="../media/image173.png"/><Relationship Id="rId7" Type="http://schemas.openxmlformats.org/officeDocument/2006/relationships/image" Target="../media/image4.png"/><Relationship Id="rId2" Type="http://schemas.openxmlformats.org/officeDocument/2006/relationships/image" Target="../media/image172.png"/><Relationship Id="rId1" Type="http://schemas.openxmlformats.org/officeDocument/2006/relationships/image" Target="../media/image171.png"/><Relationship Id="rId6" Type="http://schemas.openxmlformats.org/officeDocument/2006/relationships/hyperlink" Target="#'Yns ANA SAYFA'!A1"/><Relationship Id="rId5" Type="http://schemas.openxmlformats.org/officeDocument/2006/relationships/image" Target="../media/image175.png"/><Relationship Id="rId10" Type="http://schemas.openxmlformats.org/officeDocument/2006/relationships/image" Target="../media/image99.png"/><Relationship Id="rId4" Type="http://schemas.openxmlformats.org/officeDocument/2006/relationships/image" Target="../media/image174.png"/><Relationship Id="rId9" Type="http://schemas.openxmlformats.org/officeDocument/2006/relationships/image" Target="../media/image98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77.emf"/><Relationship Id="rId1" Type="http://schemas.openxmlformats.org/officeDocument/2006/relationships/image" Target="../media/image176.png"/><Relationship Id="rId6" Type="http://schemas.openxmlformats.org/officeDocument/2006/relationships/image" Target="../media/image98.png"/><Relationship Id="rId5" Type="http://schemas.openxmlformats.org/officeDocument/2006/relationships/hyperlink" Target="#Havaland&#305;rma!A1"/><Relationship Id="rId4" Type="http://schemas.openxmlformats.org/officeDocument/2006/relationships/image" Target="../media/image4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'Is&#305; Pompas&#305;'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78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Havaland&#305;rma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ISITMA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60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ISITMA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6" Type="http://schemas.openxmlformats.org/officeDocument/2006/relationships/image" Target="../media/image98.png"/><Relationship Id="rId5" Type="http://schemas.openxmlformats.org/officeDocument/2006/relationships/hyperlink" Target="#ISITMA!A1"/><Relationship Id="rId4" Type="http://schemas.openxmlformats.org/officeDocument/2006/relationships/image" Target="../media/image4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81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ISITMA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82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ISITMA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83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ISITMA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184.jpe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ISITMA!A1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185.png"/><Relationship Id="rId1" Type="http://schemas.openxmlformats.org/officeDocument/2006/relationships/image" Target="../media/image184.jpeg"/><Relationship Id="rId6" Type="http://schemas.openxmlformats.org/officeDocument/2006/relationships/image" Target="../media/image98.png"/><Relationship Id="rId5" Type="http://schemas.openxmlformats.org/officeDocument/2006/relationships/hyperlink" Target="#ISITMA!A1"/><Relationship Id="rId4" Type="http://schemas.openxmlformats.org/officeDocument/2006/relationships/image" Target="../media/image4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Tesisat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18" Type="http://schemas.openxmlformats.org/officeDocument/2006/relationships/hyperlink" Target="#'Yns ANA SAYFA'!A1"/><Relationship Id="rId3" Type="http://schemas.openxmlformats.org/officeDocument/2006/relationships/image" Target="../media/image188.png"/><Relationship Id="rId21" Type="http://schemas.openxmlformats.org/officeDocument/2006/relationships/image" Target="../media/image9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17" Type="http://schemas.openxmlformats.org/officeDocument/2006/relationships/image" Target="../media/image202.jpeg"/><Relationship Id="rId2" Type="http://schemas.openxmlformats.org/officeDocument/2006/relationships/image" Target="../media/image187.png"/><Relationship Id="rId16" Type="http://schemas.openxmlformats.org/officeDocument/2006/relationships/image" Target="../media/image201.png"/><Relationship Id="rId20" Type="http://schemas.openxmlformats.org/officeDocument/2006/relationships/hyperlink" Target="#Tesisat!A1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19" Type="http://schemas.openxmlformats.org/officeDocument/2006/relationships/image" Target="../media/image4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Relationship Id="rId22" Type="http://schemas.openxmlformats.org/officeDocument/2006/relationships/image" Target="../media/image99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205.jpeg"/><Relationship Id="rId7" Type="http://schemas.openxmlformats.org/officeDocument/2006/relationships/hyperlink" Target="#'Yns ANA SAYFA'!A1"/><Relationship Id="rId2" Type="http://schemas.openxmlformats.org/officeDocument/2006/relationships/image" Target="../media/image204.jpeg"/><Relationship Id="rId1" Type="http://schemas.openxmlformats.org/officeDocument/2006/relationships/image" Target="../media/image203.png"/><Relationship Id="rId6" Type="http://schemas.openxmlformats.org/officeDocument/2006/relationships/image" Target="../media/image208.jpeg"/><Relationship Id="rId11" Type="http://schemas.openxmlformats.org/officeDocument/2006/relationships/image" Target="../media/image99.png"/><Relationship Id="rId5" Type="http://schemas.openxmlformats.org/officeDocument/2006/relationships/image" Target="../media/image207.png"/><Relationship Id="rId10" Type="http://schemas.openxmlformats.org/officeDocument/2006/relationships/image" Target="../media/image98.png"/><Relationship Id="rId4" Type="http://schemas.openxmlformats.org/officeDocument/2006/relationships/image" Target="../media/image206.png"/><Relationship Id="rId9" Type="http://schemas.openxmlformats.org/officeDocument/2006/relationships/hyperlink" Target="#Tesisat!A1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Tesisat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211.png"/><Relationship Id="rId7" Type="http://schemas.openxmlformats.org/officeDocument/2006/relationships/hyperlink" Target="#'Yns ANA SAYFA'!A1"/><Relationship Id="rId2" Type="http://schemas.openxmlformats.org/officeDocument/2006/relationships/image" Target="../media/image210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99.png"/><Relationship Id="rId5" Type="http://schemas.openxmlformats.org/officeDocument/2006/relationships/image" Target="../media/image213.png"/><Relationship Id="rId10" Type="http://schemas.openxmlformats.org/officeDocument/2006/relationships/image" Target="../media/image98.png"/><Relationship Id="rId4" Type="http://schemas.openxmlformats.org/officeDocument/2006/relationships/image" Target="../media/image212.png"/><Relationship Id="rId9" Type="http://schemas.openxmlformats.org/officeDocument/2006/relationships/hyperlink" Target="#Do&#287;algaz!A1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hyperlink" Target="#'Do&#287;lz Reg&#252;lat&#246;r Malzeme Listesi'!A1"/><Relationship Id="rId1" Type="http://schemas.openxmlformats.org/officeDocument/2006/relationships/image" Target="../media/image215.png"/><Relationship Id="rId6" Type="http://schemas.openxmlformats.org/officeDocument/2006/relationships/image" Target="../media/image98.png"/><Relationship Id="rId5" Type="http://schemas.openxmlformats.org/officeDocument/2006/relationships/hyperlink" Target="#Do&#287;algaz!A1"/><Relationship Id="rId4" Type="http://schemas.openxmlformats.org/officeDocument/2006/relationships/image" Target="../media/image4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hyperlink" Target="#'Do&#287;lz.Reg&#252;lat&#246;r Malzeme Hesab&#305;'!A1"/><Relationship Id="rId5" Type="http://schemas.openxmlformats.org/officeDocument/2006/relationships/image" Target="../media/image4.png"/><Relationship Id="rId4" Type="http://schemas.openxmlformats.org/officeDocument/2006/relationships/hyperlink" Target="#'Yns ANA SAYFA'!A1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ISITMA!A1"/><Relationship Id="rId2" Type="http://schemas.openxmlformats.org/officeDocument/2006/relationships/image" Target="../media/image4.png"/><Relationship Id="rId1" Type="http://schemas.openxmlformats.org/officeDocument/2006/relationships/hyperlink" Target="#'Yns ANA SAYFA'!A1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hyperlink" Target="#Havaland&#305;rma!A1"/><Relationship Id="rId3" Type="http://schemas.openxmlformats.org/officeDocument/2006/relationships/image" Target="../media/image218.png"/><Relationship Id="rId7" Type="http://schemas.openxmlformats.org/officeDocument/2006/relationships/image" Target="../media/image4.png"/><Relationship Id="rId2" Type="http://schemas.openxmlformats.org/officeDocument/2006/relationships/image" Target="../media/image217.png"/><Relationship Id="rId1" Type="http://schemas.openxmlformats.org/officeDocument/2006/relationships/image" Target="../media/image216.png"/><Relationship Id="rId6" Type="http://schemas.openxmlformats.org/officeDocument/2006/relationships/hyperlink" Target="#'Yns ANA SAYFA'!A1"/><Relationship Id="rId5" Type="http://schemas.openxmlformats.org/officeDocument/2006/relationships/image" Target="../media/image220.png"/><Relationship Id="rId10" Type="http://schemas.openxmlformats.org/officeDocument/2006/relationships/image" Target="../media/image99.png"/><Relationship Id="rId4" Type="http://schemas.openxmlformats.org/officeDocument/2006/relationships/image" Target="../media/image219.png"/><Relationship Id="rId9" Type="http://schemas.openxmlformats.org/officeDocument/2006/relationships/image" Target="../media/image98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hyperlink" Target="#Havaland&#305;rma!A1"/><Relationship Id="rId3" Type="http://schemas.openxmlformats.org/officeDocument/2006/relationships/image" Target="../media/image223.png"/><Relationship Id="rId7" Type="http://schemas.openxmlformats.org/officeDocument/2006/relationships/image" Target="../media/image227.png"/><Relationship Id="rId12" Type="http://schemas.openxmlformats.org/officeDocument/2006/relationships/image" Target="../media/image4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hyperlink" Target="#'Yns ANA SAYFA'!A1"/><Relationship Id="rId5" Type="http://schemas.openxmlformats.org/officeDocument/2006/relationships/image" Target="../media/image225.png"/><Relationship Id="rId15" Type="http://schemas.openxmlformats.org/officeDocument/2006/relationships/image" Target="../media/image99.png"/><Relationship Id="rId10" Type="http://schemas.openxmlformats.org/officeDocument/2006/relationships/image" Target="../media/image230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98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98.png"/><Relationship Id="rId5" Type="http://schemas.openxmlformats.org/officeDocument/2006/relationships/hyperlink" Target="#Havaland&#305;rma!A1"/><Relationship Id="rId4" Type="http://schemas.openxmlformats.org/officeDocument/2006/relationships/image" Target="../media/image4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234.png"/><Relationship Id="rId1" Type="http://schemas.openxmlformats.org/officeDocument/2006/relationships/image" Target="../media/image233.png"/><Relationship Id="rId6" Type="http://schemas.openxmlformats.org/officeDocument/2006/relationships/image" Target="../media/image98.png"/><Relationship Id="rId5" Type="http://schemas.openxmlformats.org/officeDocument/2006/relationships/hyperlink" Target="#ISITMA!A1"/><Relationship Id="rId4" Type="http://schemas.openxmlformats.org/officeDocument/2006/relationships/image" Target="../media/image4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235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Tesisat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Yns ANA SAYFA'!A1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238.png"/><Relationship Id="rId7" Type="http://schemas.openxmlformats.org/officeDocument/2006/relationships/hyperlink" Target="#'Ya&#287;mur Suyu Hesab&#305;-2'!A1"/><Relationship Id="rId2" Type="http://schemas.openxmlformats.org/officeDocument/2006/relationships/image" Target="../media/image237.png"/><Relationship Id="rId1" Type="http://schemas.openxmlformats.org/officeDocument/2006/relationships/image" Target="../media/image236.png"/><Relationship Id="rId6" Type="http://schemas.openxmlformats.org/officeDocument/2006/relationships/image" Target="../media/image241.png"/><Relationship Id="rId11" Type="http://schemas.openxmlformats.org/officeDocument/2006/relationships/image" Target="../media/image4.png"/><Relationship Id="rId5" Type="http://schemas.openxmlformats.org/officeDocument/2006/relationships/image" Target="../media/image240.png"/><Relationship Id="rId10" Type="http://schemas.openxmlformats.org/officeDocument/2006/relationships/hyperlink" Target="#'Yns ANA SAYFA'!A1"/><Relationship Id="rId4" Type="http://schemas.openxmlformats.org/officeDocument/2006/relationships/image" Target="../media/image239.png"/><Relationship Id="rId9" Type="http://schemas.openxmlformats.org/officeDocument/2006/relationships/image" Target="../media/image99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Yns ANA SAYFA'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hyperlink" Target="#'YnS Ana Sayfa'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png"/><Relationship Id="rId1" Type="http://schemas.openxmlformats.org/officeDocument/2006/relationships/hyperlink" Target="#'YnS Ana Sayfa'!A1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hyperlink" Target="#YA&#286;MUR!A1"/><Relationship Id="rId3" Type="http://schemas.openxmlformats.org/officeDocument/2006/relationships/image" Target="../media/image245.png"/><Relationship Id="rId7" Type="http://schemas.openxmlformats.org/officeDocument/2006/relationships/image" Target="../media/image4.png"/><Relationship Id="rId2" Type="http://schemas.openxmlformats.org/officeDocument/2006/relationships/image" Target="../media/image244.png"/><Relationship Id="rId1" Type="http://schemas.openxmlformats.org/officeDocument/2006/relationships/image" Target="../media/image240.png"/><Relationship Id="rId6" Type="http://schemas.openxmlformats.org/officeDocument/2006/relationships/hyperlink" Target="#'Yns ANA SAYFA'!A1"/><Relationship Id="rId5" Type="http://schemas.openxmlformats.org/officeDocument/2006/relationships/hyperlink" Target="#'Drenaj Kanal Hesab&#305;'!A1"/><Relationship Id="rId10" Type="http://schemas.openxmlformats.org/officeDocument/2006/relationships/image" Target="../media/image99.png"/><Relationship Id="rId4" Type="http://schemas.openxmlformats.org/officeDocument/2006/relationships/image" Target="../media/image246.png"/><Relationship Id="rId9" Type="http://schemas.openxmlformats.org/officeDocument/2006/relationships/image" Target="../media/image98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hyperlink" Target="#'Yns ANA SAYFA'!A1"/><Relationship Id="rId7" Type="http://schemas.openxmlformats.org/officeDocument/2006/relationships/image" Target="../media/image99.png"/><Relationship Id="rId2" Type="http://schemas.openxmlformats.org/officeDocument/2006/relationships/image" Target="../media/image240.png"/><Relationship Id="rId1" Type="http://schemas.openxmlformats.org/officeDocument/2006/relationships/image" Target="../media/image247.png"/><Relationship Id="rId6" Type="http://schemas.openxmlformats.org/officeDocument/2006/relationships/image" Target="../media/image98.png"/><Relationship Id="rId5" Type="http://schemas.openxmlformats.org/officeDocument/2006/relationships/hyperlink" Target="#YA&#286;MUR!A1"/><Relationship Id="rId4" Type="http://schemas.openxmlformats.org/officeDocument/2006/relationships/image" Target="../media/image4.png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250.png"/><Relationship Id="rId7" Type="http://schemas.openxmlformats.org/officeDocument/2006/relationships/image" Target="../media/image98.png"/><Relationship Id="rId2" Type="http://schemas.openxmlformats.org/officeDocument/2006/relationships/image" Target="../media/image249.png"/><Relationship Id="rId1" Type="http://schemas.openxmlformats.org/officeDocument/2006/relationships/image" Target="../media/image248.png"/><Relationship Id="rId6" Type="http://schemas.openxmlformats.org/officeDocument/2006/relationships/hyperlink" Target="#ISITMA!A1"/><Relationship Id="rId5" Type="http://schemas.openxmlformats.org/officeDocument/2006/relationships/image" Target="../media/image4.png"/><Relationship Id="rId4" Type="http://schemas.openxmlformats.org/officeDocument/2006/relationships/hyperlink" Target="#'Yns ANA SAYFA'!A1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'Yns ANA SAYFA'!A1"/><Relationship Id="rId1" Type="http://schemas.openxmlformats.org/officeDocument/2006/relationships/image" Target="../media/image251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4" Type="http://schemas.openxmlformats.org/officeDocument/2006/relationships/hyperlink" Target="#'Teknik K&#252;t&#252;phan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497514</xdr:colOff>
      <xdr:row>4</xdr:row>
      <xdr:rowOff>175174</xdr:rowOff>
    </xdr:from>
    <xdr:to>
      <xdr:col>5</xdr:col>
      <xdr:colOff>549925</xdr:colOff>
      <xdr:row>6</xdr:row>
      <xdr:rowOff>44056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F2ADFC-AF36-4E7B-AA16-5612F53B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0664" y="908599"/>
          <a:ext cx="1271611" cy="8499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-1</xdr:rowOff>
    </xdr:from>
    <xdr:to>
      <xdr:col>16</xdr:col>
      <xdr:colOff>323398</xdr:colOff>
      <xdr:row>57</xdr:row>
      <xdr:rowOff>143774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5C639375-95F6-92CB-4919-1C58AF834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4292" y="3522452"/>
          <a:ext cx="8230946" cy="8446699"/>
        </a:xfrm>
        <a:prstGeom prst="rect">
          <a:avLst/>
        </a:prstGeom>
      </xdr:spPr>
    </xdr:pic>
    <xdr:clientData/>
  </xdr:twoCellAnchor>
  <xdr:twoCellAnchor editAs="oneCell">
    <xdr:from>
      <xdr:col>18</xdr:col>
      <xdr:colOff>35942</xdr:colOff>
      <xdr:row>15</xdr:row>
      <xdr:rowOff>89856</xdr:rowOff>
    </xdr:from>
    <xdr:to>
      <xdr:col>29</xdr:col>
      <xdr:colOff>251604</xdr:colOff>
      <xdr:row>61</xdr:row>
      <xdr:rowOff>171672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4F7C35B5-3A66-BC65-E0F5-3167A617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19857" y="3612309"/>
          <a:ext cx="6937077" cy="9175495"/>
        </a:xfrm>
        <a:prstGeom prst="rect">
          <a:avLst/>
        </a:prstGeom>
      </xdr:spPr>
    </xdr:pic>
    <xdr:clientData/>
  </xdr:twoCellAnchor>
  <xdr:twoCellAnchor editAs="oneCell">
    <xdr:from>
      <xdr:col>36</xdr:col>
      <xdr:colOff>53915</xdr:colOff>
      <xdr:row>5</xdr:row>
      <xdr:rowOff>323491</xdr:rowOff>
    </xdr:from>
    <xdr:to>
      <xdr:col>37</xdr:col>
      <xdr:colOff>596465</xdr:colOff>
      <xdr:row>7</xdr:row>
      <xdr:rowOff>172094</xdr:rowOff>
    </xdr:to>
    <xdr:pic>
      <xdr:nvPicPr>
        <xdr:cNvPr id="5" name="Resi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A1DB2F9-2FF9-4312-AB1B-396EA7F9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36509" y="1275991"/>
          <a:ext cx="1153588" cy="8370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497514</xdr:colOff>
      <xdr:row>4</xdr:row>
      <xdr:rowOff>175174</xdr:rowOff>
    </xdr:from>
    <xdr:to>
      <xdr:col>5</xdr:col>
      <xdr:colOff>549925</xdr:colOff>
      <xdr:row>6</xdr:row>
      <xdr:rowOff>44056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78297-B371-44F6-987F-01131F36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0664" y="908599"/>
          <a:ext cx="1271611" cy="849957"/>
        </a:xfrm>
        <a:prstGeom prst="rect">
          <a:avLst/>
        </a:prstGeom>
      </xdr:spPr>
    </xdr:pic>
    <xdr:clientData/>
  </xdr:twoCellAnchor>
  <xdr:twoCellAnchor editAs="oneCell">
    <xdr:from>
      <xdr:col>2</xdr:col>
      <xdr:colOff>71886</xdr:colOff>
      <xdr:row>16</xdr:row>
      <xdr:rowOff>0</xdr:rowOff>
    </xdr:from>
    <xdr:to>
      <xdr:col>19</xdr:col>
      <xdr:colOff>410018</xdr:colOff>
      <xdr:row>60</xdr:row>
      <xdr:rowOff>179717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CC312E1E-2452-8D29-B8FC-996CB158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8631" y="3720142"/>
          <a:ext cx="10366340" cy="887801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107831</xdr:rowOff>
    </xdr:from>
    <xdr:to>
      <xdr:col>36</xdr:col>
      <xdr:colOff>511415</xdr:colOff>
      <xdr:row>61</xdr:row>
      <xdr:rowOff>17972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31F0A2E6-5B0C-85E9-FDB8-CB6D3BF3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5991" y="3630284"/>
          <a:ext cx="10288018" cy="9003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16</xdr:col>
      <xdr:colOff>457335</xdr:colOff>
      <xdr:row>108</xdr:row>
      <xdr:rowOff>179717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53CD484F-7039-5D6B-7CA2-863CA81D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4292" y="13011509"/>
          <a:ext cx="8364883" cy="9075708"/>
        </a:xfrm>
        <a:prstGeom prst="rect">
          <a:avLst/>
        </a:prstGeom>
      </xdr:spPr>
    </xdr:pic>
    <xdr:clientData/>
  </xdr:twoCellAnchor>
  <xdr:twoCellAnchor editAs="oneCell">
    <xdr:from>
      <xdr:col>17</xdr:col>
      <xdr:colOff>161746</xdr:colOff>
      <xdr:row>69</xdr:row>
      <xdr:rowOff>0</xdr:rowOff>
    </xdr:from>
    <xdr:to>
      <xdr:col>37</xdr:col>
      <xdr:colOff>190448</xdr:colOff>
      <xdr:row>108</xdr:row>
      <xdr:rowOff>143774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71263E6B-898B-D6FB-15BB-D325853A1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34623" y="14197642"/>
          <a:ext cx="12249457" cy="7853632"/>
        </a:xfrm>
        <a:prstGeom prst="rect">
          <a:avLst/>
        </a:prstGeom>
      </xdr:spPr>
    </xdr:pic>
    <xdr:clientData/>
  </xdr:twoCellAnchor>
  <xdr:twoCellAnchor editAs="oneCell">
    <xdr:from>
      <xdr:col>1</xdr:col>
      <xdr:colOff>1383820</xdr:colOff>
      <xdr:row>112</xdr:row>
      <xdr:rowOff>-1</xdr:rowOff>
    </xdr:from>
    <xdr:to>
      <xdr:col>19</xdr:col>
      <xdr:colOff>267370</xdr:colOff>
      <xdr:row>141</xdr:row>
      <xdr:rowOff>143773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227A28EC-F0C7-B317-91AF-3ADECB49A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4858" y="22698254"/>
          <a:ext cx="10367465" cy="5876745"/>
        </a:xfrm>
        <a:prstGeom prst="rect">
          <a:avLst/>
        </a:prstGeom>
      </xdr:spPr>
    </xdr:pic>
    <xdr:clientData/>
  </xdr:twoCellAnchor>
  <xdr:twoCellAnchor editAs="oneCell">
    <xdr:from>
      <xdr:col>21</xdr:col>
      <xdr:colOff>161747</xdr:colOff>
      <xdr:row>112</xdr:row>
      <xdr:rowOff>107828</xdr:rowOff>
    </xdr:from>
    <xdr:to>
      <xdr:col>34</xdr:col>
      <xdr:colOff>194574</xdr:colOff>
      <xdr:row>141</xdr:row>
      <xdr:rowOff>143774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7BA2DE19-0B86-24C5-D5B8-DE232B7C9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78775" y="22806083"/>
          <a:ext cx="7976318" cy="5768917"/>
        </a:xfrm>
        <a:prstGeom prst="rect">
          <a:avLst/>
        </a:prstGeom>
      </xdr:spPr>
    </xdr:pic>
    <xdr:clientData/>
  </xdr:twoCellAnchor>
  <xdr:twoCellAnchor editAs="oneCell">
    <xdr:from>
      <xdr:col>3</xdr:col>
      <xdr:colOff>35943</xdr:colOff>
      <xdr:row>145</xdr:row>
      <xdr:rowOff>143773</xdr:rowOff>
    </xdr:from>
    <xdr:to>
      <xdr:col>11</xdr:col>
      <xdr:colOff>0</xdr:colOff>
      <xdr:row>181</xdr:row>
      <xdr:rowOff>163991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ECF74273-0A98-8588-6D2E-C43EBE50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90235" y="29365754"/>
          <a:ext cx="4852359" cy="7137011"/>
        </a:xfrm>
        <a:prstGeom prst="rect">
          <a:avLst/>
        </a:prstGeom>
      </xdr:spPr>
    </xdr:pic>
    <xdr:clientData/>
  </xdr:twoCellAnchor>
  <xdr:twoCellAnchor editAs="oneCell">
    <xdr:from>
      <xdr:col>12</xdr:col>
      <xdr:colOff>251603</xdr:colOff>
      <xdr:row>148</xdr:row>
      <xdr:rowOff>0</xdr:rowOff>
    </xdr:from>
    <xdr:to>
      <xdr:col>22</xdr:col>
      <xdr:colOff>480863</xdr:colOff>
      <xdr:row>182</xdr:row>
      <xdr:rowOff>71887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6BEF5582-34E9-F764-07C0-BC1C3C3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05235" y="29815047"/>
          <a:ext cx="6303694" cy="679330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148</xdr:row>
      <xdr:rowOff>0</xdr:rowOff>
    </xdr:from>
    <xdr:to>
      <xdr:col>33</xdr:col>
      <xdr:colOff>35943</xdr:colOff>
      <xdr:row>182</xdr:row>
      <xdr:rowOff>71887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35EF95CF-418C-DEEC-BE30-699E1C4DF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50142" y="29815047"/>
          <a:ext cx="5535282" cy="6793302"/>
        </a:xfrm>
        <a:prstGeom prst="rect">
          <a:avLst/>
        </a:prstGeom>
      </xdr:spPr>
    </xdr:pic>
    <xdr:clientData/>
  </xdr:twoCellAnchor>
  <xdr:twoCellAnchor editAs="oneCell">
    <xdr:from>
      <xdr:col>2</xdr:col>
      <xdr:colOff>233631</xdr:colOff>
      <xdr:row>183</xdr:row>
      <xdr:rowOff>53915</xdr:rowOff>
    </xdr:from>
    <xdr:to>
      <xdr:col>12</xdr:col>
      <xdr:colOff>248341</xdr:colOff>
      <xdr:row>217</xdr:row>
      <xdr:rowOff>17972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D1149FE9-5FFB-410C-45EC-BF4F76FE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00376" y="36788066"/>
          <a:ext cx="5801597" cy="6685472"/>
        </a:xfrm>
        <a:prstGeom prst="rect">
          <a:avLst/>
        </a:prstGeom>
      </xdr:spPr>
    </xdr:pic>
    <xdr:clientData/>
  </xdr:twoCellAnchor>
  <xdr:twoCellAnchor editAs="oneCell">
    <xdr:from>
      <xdr:col>12</xdr:col>
      <xdr:colOff>359435</xdr:colOff>
      <xdr:row>182</xdr:row>
      <xdr:rowOff>179716</xdr:rowOff>
    </xdr:from>
    <xdr:to>
      <xdr:col>24</xdr:col>
      <xdr:colOff>0</xdr:colOff>
      <xdr:row>218</xdr:row>
      <xdr:rowOff>34944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8CAADF3D-F9C4-2F39-42B5-8F979708B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13067" y="36716178"/>
          <a:ext cx="6937075" cy="6972021"/>
        </a:xfrm>
        <a:prstGeom prst="rect">
          <a:avLst/>
        </a:prstGeom>
      </xdr:spPr>
    </xdr:pic>
    <xdr:clientData/>
  </xdr:twoCellAnchor>
  <xdr:twoCellAnchor editAs="oneCell">
    <xdr:from>
      <xdr:col>23</xdr:col>
      <xdr:colOff>467263</xdr:colOff>
      <xdr:row>181</xdr:row>
      <xdr:rowOff>143773</xdr:rowOff>
    </xdr:from>
    <xdr:to>
      <xdr:col>32</xdr:col>
      <xdr:colOff>580419</xdr:colOff>
      <xdr:row>221</xdr:row>
      <xdr:rowOff>35943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9724E18-26A1-91D5-9DF3-1659D20CB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06367" y="36482547"/>
          <a:ext cx="5612495" cy="7799717"/>
        </a:xfrm>
        <a:prstGeom prst="rect">
          <a:avLst/>
        </a:prstGeom>
      </xdr:spPr>
    </xdr:pic>
    <xdr:clientData/>
  </xdr:twoCellAnchor>
  <xdr:twoCellAnchor editAs="oneCell">
    <xdr:from>
      <xdr:col>3</xdr:col>
      <xdr:colOff>35944</xdr:colOff>
      <xdr:row>221</xdr:row>
      <xdr:rowOff>107830</xdr:rowOff>
    </xdr:from>
    <xdr:to>
      <xdr:col>14</xdr:col>
      <xdr:colOff>9135</xdr:colOff>
      <xdr:row>256</xdr:row>
      <xdr:rowOff>179717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C4D2670B-6258-4D2A-A35C-E8F5E183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0236" y="44354151"/>
          <a:ext cx="6443003" cy="6990991"/>
        </a:xfrm>
        <a:prstGeom prst="rect">
          <a:avLst/>
        </a:prstGeom>
      </xdr:spPr>
    </xdr:pic>
    <xdr:clientData/>
  </xdr:twoCellAnchor>
  <xdr:twoCellAnchor editAs="oneCell">
    <xdr:from>
      <xdr:col>14</xdr:col>
      <xdr:colOff>323490</xdr:colOff>
      <xdr:row>221</xdr:row>
      <xdr:rowOff>17971</xdr:rowOff>
    </xdr:from>
    <xdr:to>
      <xdr:col>30</xdr:col>
      <xdr:colOff>254629</xdr:colOff>
      <xdr:row>256</xdr:row>
      <xdr:rowOff>179717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E6711269-3068-5AE6-CAD1-F18E94C3D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7594" y="44264292"/>
          <a:ext cx="9923403" cy="708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1401792</xdr:colOff>
      <xdr:row>259</xdr:row>
      <xdr:rowOff>71886</xdr:rowOff>
    </xdr:from>
    <xdr:to>
      <xdr:col>14</xdr:col>
      <xdr:colOff>791908</xdr:colOff>
      <xdr:row>295</xdr:row>
      <xdr:rowOff>0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F0ABE563-4143-7D60-2099-817F2766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12830" y="51830377"/>
          <a:ext cx="7603182" cy="704490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260</xdr:row>
      <xdr:rowOff>0</xdr:rowOff>
    </xdr:from>
    <xdr:to>
      <xdr:col>28</xdr:col>
      <xdr:colOff>539151</xdr:colOff>
      <xdr:row>296</xdr:row>
      <xdr:rowOff>81772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58D603B0-8960-355F-C089-760AF519F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61840" y="51956179"/>
          <a:ext cx="7871603" cy="7198565"/>
        </a:xfrm>
        <a:prstGeom prst="rect">
          <a:avLst/>
        </a:prstGeom>
      </xdr:spPr>
    </xdr:pic>
    <xdr:clientData/>
  </xdr:twoCellAnchor>
  <xdr:twoCellAnchor editAs="oneCell">
    <xdr:from>
      <xdr:col>36</xdr:col>
      <xdr:colOff>35943</xdr:colOff>
      <xdr:row>5</xdr:row>
      <xdr:rowOff>341462</xdr:rowOff>
    </xdr:from>
    <xdr:to>
      <xdr:col>37</xdr:col>
      <xdr:colOff>578493</xdr:colOff>
      <xdr:row>7</xdr:row>
      <xdr:rowOff>190065</xdr:rowOff>
    </xdr:to>
    <xdr:pic>
      <xdr:nvPicPr>
        <xdr:cNvPr id="4" name="Resim 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9557569-1CF8-4E83-8673-C230F964F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18537" y="1293962"/>
          <a:ext cx="1153588" cy="8370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497514</xdr:colOff>
      <xdr:row>4</xdr:row>
      <xdr:rowOff>175174</xdr:rowOff>
    </xdr:from>
    <xdr:to>
      <xdr:col>5</xdr:col>
      <xdr:colOff>549925</xdr:colOff>
      <xdr:row>6</xdr:row>
      <xdr:rowOff>44056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FDF2F-2D2B-477B-AB43-40F6D22AB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6988" y="910437"/>
          <a:ext cx="1255569" cy="838093"/>
        </a:xfrm>
        <a:prstGeom prst="rect">
          <a:avLst/>
        </a:prstGeom>
      </xdr:spPr>
    </xdr:pic>
    <xdr:clientData/>
  </xdr:twoCellAnchor>
  <xdr:twoCellAnchor editAs="oneCell">
    <xdr:from>
      <xdr:col>25</xdr:col>
      <xdr:colOff>574125</xdr:colOff>
      <xdr:row>79</xdr:row>
      <xdr:rowOff>28644</xdr:rowOff>
    </xdr:from>
    <xdr:to>
      <xdr:col>39</xdr:col>
      <xdr:colOff>31050</xdr:colOff>
      <xdr:row>138</xdr:row>
      <xdr:rowOff>68035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D3540EA-E24F-A7A8-443D-1B09C7EA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1089" y="14951144"/>
          <a:ext cx="8029425" cy="10743677"/>
        </a:xfrm>
        <a:prstGeom prst="rect">
          <a:avLst/>
        </a:prstGeom>
      </xdr:spPr>
    </xdr:pic>
    <xdr:clientData/>
  </xdr:twoCellAnchor>
  <xdr:twoCellAnchor editAs="oneCell">
    <xdr:from>
      <xdr:col>7</xdr:col>
      <xdr:colOff>529961</xdr:colOff>
      <xdr:row>15</xdr:row>
      <xdr:rowOff>15517</xdr:rowOff>
    </xdr:from>
    <xdr:to>
      <xdr:col>15</xdr:col>
      <xdr:colOff>101276</xdr:colOff>
      <xdr:row>69</xdr:row>
      <xdr:rowOff>99070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E2E408E0-C6B8-5A67-368B-5340C441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7818" y="3326588"/>
          <a:ext cx="4447208" cy="9880696"/>
        </a:xfrm>
        <a:prstGeom prst="rect">
          <a:avLst/>
        </a:prstGeom>
      </xdr:spPr>
    </xdr:pic>
    <xdr:clientData/>
  </xdr:twoCellAnchor>
  <xdr:twoCellAnchor editAs="oneCell">
    <xdr:from>
      <xdr:col>4</xdr:col>
      <xdr:colOff>200527</xdr:colOff>
      <xdr:row>73</xdr:row>
      <xdr:rowOff>53712</xdr:rowOff>
    </xdr:from>
    <xdr:to>
      <xdr:col>24</xdr:col>
      <xdr:colOff>181429</xdr:colOff>
      <xdr:row>138</xdr:row>
      <xdr:rowOff>168906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AFFF6F90-A961-5299-5B30-AB74D3D7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1420" y="13887641"/>
          <a:ext cx="12204652" cy="11908051"/>
        </a:xfrm>
        <a:prstGeom prst="rect">
          <a:avLst/>
        </a:prstGeom>
      </xdr:spPr>
    </xdr:pic>
    <xdr:clientData/>
  </xdr:twoCellAnchor>
  <xdr:twoCellAnchor editAs="oneCell">
    <xdr:from>
      <xdr:col>22</xdr:col>
      <xdr:colOff>521607</xdr:colOff>
      <xdr:row>15</xdr:row>
      <xdr:rowOff>136071</xdr:rowOff>
    </xdr:from>
    <xdr:to>
      <xdr:col>35</xdr:col>
      <xdr:colOff>431044</xdr:colOff>
      <xdr:row>69</xdr:row>
      <xdr:rowOff>68035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4001ABA5-6C1A-FEBF-0BA6-3617E6693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91607" y="3447142"/>
          <a:ext cx="7869616" cy="9729107"/>
        </a:xfrm>
        <a:prstGeom prst="rect">
          <a:avLst/>
        </a:prstGeom>
      </xdr:spPr>
    </xdr:pic>
    <xdr:clientData/>
  </xdr:twoCellAnchor>
  <xdr:twoCellAnchor editAs="oneCell">
    <xdr:from>
      <xdr:col>14</xdr:col>
      <xdr:colOff>703035</xdr:colOff>
      <xdr:row>141</xdr:row>
      <xdr:rowOff>158750</xdr:rowOff>
    </xdr:from>
    <xdr:to>
      <xdr:col>31</xdr:col>
      <xdr:colOff>498928</xdr:colOff>
      <xdr:row>213</xdr:row>
      <xdr:rowOff>43122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F567F385-703C-076D-D24B-FFCDC2761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47678" y="26329821"/>
          <a:ext cx="10432143" cy="12947230"/>
        </a:xfrm>
        <a:prstGeom prst="rect">
          <a:avLst/>
        </a:prstGeom>
      </xdr:spPr>
    </xdr:pic>
    <xdr:clientData/>
  </xdr:twoCellAnchor>
  <xdr:twoCellAnchor editAs="oneCell">
    <xdr:from>
      <xdr:col>6</xdr:col>
      <xdr:colOff>385533</xdr:colOff>
      <xdr:row>211</xdr:row>
      <xdr:rowOff>158749</xdr:rowOff>
    </xdr:from>
    <xdr:to>
      <xdr:col>37</xdr:col>
      <xdr:colOff>400222</xdr:colOff>
      <xdr:row>271</xdr:row>
      <xdr:rowOff>45355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A91E4432-2190-FAE6-EB0B-878010E0E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069" y="39029820"/>
          <a:ext cx="18973974" cy="10772321"/>
        </a:xfrm>
        <a:prstGeom prst="rect">
          <a:avLst/>
        </a:prstGeom>
      </xdr:spPr>
    </xdr:pic>
    <xdr:clientData/>
  </xdr:twoCellAnchor>
  <xdr:twoCellAnchor editAs="oneCell">
    <xdr:from>
      <xdr:col>36</xdr:col>
      <xdr:colOff>35943</xdr:colOff>
      <xdr:row>5</xdr:row>
      <xdr:rowOff>377406</xdr:rowOff>
    </xdr:from>
    <xdr:to>
      <xdr:col>37</xdr:col>
      <xdr:colOff>578493</xdr:colOff>
      <xdr:row>8</xdr:row>
      <xdr:rowOff>28320</xdr:rowOff>
    </xdr:to>
    <xdr:pic>
      <xdr:nvPicPr>
        <xdr:cNvPr id="4" name="Resim 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FC78481-0F0E-43F3-9C77-1C6BDC87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18537" y="1329906"/>
          <a:ext cx="1153588" cy="8370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63043</xdr:colOff>
      <xdr:row>4</xdr:row>
      <xdr:rowOff>158463</xdr:rowOff>
    </xdr:from>
    <xdr:to>
      <xdr:col>5</xdr:col>
      <xdr:colOff>115454</xdr:colOff>
      <xdr:row>6</xdr:row>
      <xdr:rowOff>27345</xdr:rowOff>
    </xdr:to>
    <xdr:pic>
      <xdr:nvPicPr>
        <xdr:cNvPr id="16" name="Resim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0F54C6-8E4F-453D-A984-804740BD9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2517" y="709910"/>
          <a:ext cx="1255569" cy="838093"/>
        </a:xfrm>
        <a:prstGeom prst="rect">
          <a:avLst/>
        </a:prstGeom>
      </xdr:spPr>
    </xdr:pic>
    <xdr:clientData/>
  </xdr:twoCellAnchor>
  <xdr:twoCellAnchor editAs="oneCell">
    <xdr:from>
      <xdr:col>2</xdr:col>
      <xdr:colOff>205081</xdr:colOff>
      <xdr:row>16</xdr:row>
      <xdr:rowOff>45573</xdr:rowOff>
    </xdr:from>
    <xdr:to>
      <xdr:col>12</xdr:col>
      <xdr:colOff>190555</xdr:colOff>
      <xdr:row>40</xdr:row>
      <xdr:rowOff>16711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E66FB8B2-54ED-9951-81B3-EB11496D2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476" y="3070178"/>
          <a:ext cx="5683763" cy="4382717"/>
        </a:xfrm>
        <a:prstGeom prst="rect">
          <a:avLst/>
        </a:prstGeom>
      </xdr:spPr>
    </xdr:pic>
    <xdr:clientData/>
  </xdr:twoCellAnchor>
  <xdr:twoCellAnchor editAs="oneCell">
    <xdr:from>
      <xdr:col>14</xdr:col>
      <xdr:colOff>401813</xdr:colOff>
      <xdr:row>15</xdr:row>
      <xdr:rowOff>91909</xdr:rowOff>
    </xdr:from>
    <xdr:to>
      <xdr:col>24</xdr:col>
      <xdr:colOff>211160</xdr:colOff>
      <xdr:row>39</xdr:row>
      <xdr:rowOff>127884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B23CC435-744F-33C9-CCEE-D183F93E2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7997" y="2932698"/>
          <a:ext cx="6059084" cy="4447554"/>
        </a:xfrm>
        <a:prstGeom prst="rect">
          <a:avLst/>
        </a:prstGeom>
      </xdr:spPr>
    </xdr:pic>
    <xdr:clientData/>
  </xdr:twoCellAnchor>
  <xdr:twoCellAnchor editAs="oneCell">
    <xdr:from>
      <xdr:col>27</xdr:col>
      <xdr:colOff>38736</xdr:colOff>
      <xdr:row>14</xdr:row>
      <xdr:rowOff>157990</xdr:rowOff>
    </xdr:from>
    <xdr:to>
      <xdr:col>36</xdr:col>
      <xdr:colOff>154192</xdr:colOff>
      <xdr:row>40</xdr:row>
      <xdr:rowOff>30215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A0F75545-669C-6DA6-8B4C-29A3B23D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99394" y="2814964"/>
          <a:ext cx="5529666" cy="4651436"/>
        </a:xfrm>
        <a:prstGeom prst="rect">
          <a:avLst/>
        </a:prstGeom>
      </xdr:spPr>
    </xdr:pic>
    <xdr:clientData/>
  </xdr:twoCellAnchor>
  <xdr:twoCellAnchor editAs="oneCell">
    <xdr:from>
      <xdr:col>3</xdr:col>
      <xdr:colOff>149635</xdr:colOff>
      <xdr:row>42</xdr:row>
      <xdr:rowOff>122291</xdr:rowOff>
    </xdr:from>
    <xdr:to>
      <xdr:col>12</xdr:col>
      <xdr:colOff>490973</xdr:colOff>
      <xdr:row>67</xdr:row>
      <xdr:rowOff>61746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88B72AD-2E27-8E21-727D-58B869883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109" y="7926107"/>
          <a:ext cx="5755548" cy="4534850"/>
        </a:xfrm>
        <a:prstGeom prst="rect">
          <a:avLst/>
        </a:prstGeom>
      </xdr:spPr>
    </xdr:pic>
    <xdr:clientData/>
  </xdr:twoCellAnchor>
  <xdr:twoCellAnchor editAs="oneCell">
    <xdr:from>
      <xdr:col>15</xdr:col>
      <xdr:colOff>240023</xdr:colOff>
      <xdr:row>43</xdr:row>
      <xdr:rowOff>64561</xdr:rowOff>
    </xdr:from>
    <xdr:to>
      <xdr:col>25</xdr:col>
      <xdr:colOff>601204</xdr:colOff>
      <xdr:row>77</xdr:row>
      <xdr:rowOff>136723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6DBF7C27-732F-155B-C67D-C72D1928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81734" y="8052193"/>
          <a:ext cx="6376970" cy="6321899"/>
        </a:xfrm>
        <a:prstGeom prst="rect">
          <a:avLst/>
        </a:prstGeom>
      </xdr:spPr>
    </xdr:pic>
    <xdr:clientData/>
  </xdr:twoCellAnchor>
  <xdr:twoCellAnchor editAs="oneCell">
    <xdr:from>
      <xdr:col>3</xdr:col>
      <xdr:colOff>565876</xdr:colOff>
      <xdr:row>77</xdr:row>
      <xdr:rowOff>140600</xdr:rowOff>
    </xdr:from>
    <xdr:to>
      <xdr:col>18</xdr:col>
      <xdr:colOff>136887</xdr:colOff>
      <xdr:row>118</xdr:row>
      <xdr:rowOff>33421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B1778297-6E28-389D-7D64-F42D2FBA7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05350" y="14895995"/>
          <a:ext cx="8577984" cy="7429268"/>
        </a:xfrm>
        <a:prstGeom prst="rect">
          <a:avLst/>
        </a:prstGeom>
      </xdr:spPr>
    </xdr:pic>
    <xdr:clientData/>
  </xdr:twoCellAnchor>
  <xdr:twoCellAnchor editAs="oneCell">
    <xdr:from>
      <xdr:col>19</xdr:col>
      <xdr:colOff>124553</xdr:colOff>
      <xdr:row>76</xdr:row>
      <xdr:rowOff>116973</xdr:rowOff>
    </xdr:from>
    <xdr:to>
      <xdr:col>36</xdr:col>
      <xdr:colOff>254489</xdr:colOff>
      <xdr:row>118</xdr:row>
      <xdr:rowOff>50131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EB88526D-E024-896F-258F-2ABC07AE3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72579" y="14688552"/>
          <a:ext cx="10356778" cy="7653421"/>
        </a:xfrm>
        <a:prstGeom prst="rect">
          <a:avLst/>
        </a:prstGeom>
      </xdr:spPr>
    </xdr:pic>
    <xdr:clientData/>
  </xdr:twoCellAnchor>
  <xdr:twoCellAnchor editAs="oneCell">
    <xdr:from>
      <xdr:col>5</xdr:col>
      <xdr:colOff>116973</xdr:colOff>
      <xdr:row>126</xdr:row>
      <xdr:rowOff>66843</xdr:rowOff>
    </xdr:from>
    <xdr:to>
      <xdr:col>17</xdr:col>
      <xdr:colOff>443425</xdr:colOff>
      <xdr:row>163</xdr:row>
      <xdr:rowOff>50131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556390F1-32B7-1A6B-5848-4673C11B5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9605" y="23829211"/>
          <a:ext cx="7528688" cy="6784473"/>
        </a:xfrm>
        <a:prstGeom prst="rect">
          <a:avLst/>
        </a:prstGeom>
      </xdr:spPr>
    </xdr:pic>
    <xdr:clientData/>
  </xdr:twoCellAnchor>
  <xdr:twoCellAnchor editAs="oneCell">
    <xdr:from>
      <xdr:col>26</xdr:col>
      <xdr:colOff>89858</xdr:colOff>
      <xdr:row>45</xdr:row>
      <xdr:rowOff>143774</xdr:rowOff>
    </xdr:from>
    <xdr:to>
      <xdr:col>36</xdr:col>
      <xdr:colOff>470858</xdr:colOff>
      <xdr:row>73</xdr:row>
      <xdr:rowOff>17972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881D922B-2336-C543-C00C-C63B50848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62075" y="9596887"/>
          <a:ext cx="6491377" cy="5409481"/>
        </a:xfrm>
        <a:prstGeom prst="rect">
          <a:avLst/>
        </a:prstGeom>
      </xdr:spPr>
    </xdr:pic>
    <xdr:clientData/>
  </xdr:twoCellAnchor>
  <xdr:twoCellAnchor editAs="oneCell">
    <xdr:from>
      <xdr:col>20</xdr:col>
      <xdr:colOff>-1</xdr:colOff>
      <xdr:row>125</xdr:row>
      <xdr:rowOff>188161</xdr:rowOff>
    </xdr:from>
    <xdr:to>
      <xdr:col>35</xdr:col>
      <xdr:colOff>140701</xdr:colOff>
      <xdr:row>164</xdr:row>
      <xdr:rowOff>89858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ACE952E7-1472-021B-7336-BFC50BE98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5990" y="25456369"/>
          <a:ext cx="9306268" cy="7611555"/>
        </a:xfrm>
        <a:prstGeom prst="rect">
          <a:avLst/>
        </a:prstGeom>
      </xdr:spPr>
    </xdr:pic>
    <xdr:clientData/>
  </xdr:twoCellAnchor>
  <xdr:twoCellAnchor editAs="oneCell">
    <xdr:from>
      <xdr:col>36</xdr:col>
      <xdr:colOff>53915</xdr:colOff>
      <xdr:row>5</xdr:row>
      <xdr:rowOff>377406</xdr:rowOff>
    </xdr:from>
    <xdr:to>
      <xdr:col>37</xdr:col>
      <xdr:colOff>596465</xdr:colOff>
      <xdr:row>8</xdr:row>
      <xdr:rowOff>28320</xdr:rowOff>
    </xdr:to>
    <xdr:pic>
      <xdr:nvPicPr>
        <xdr:cNvPr id="7" name="Resim 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B45577B-E970-4414-9765-40ABF9168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36509" y="1329906"/>
          <a:ext cx="1153588" cy="8370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9</xdr:row>
      <xdr:rowOff>142875</xdr:rowOff>
    </xdr:from>
    <xdr:to>
      <xdr:col>13</xdr:col>
      <xdr:colOff>124693</xdr:colOff>
      <xdr:row>32</xdr:row>
      <xdr:rowOff>38697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13107AB-A058-B9DD-BC95-F296F7A1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5068" y="1816966"/>
          <a:ext cx="6188943" cy="421093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33</xdr:row>
      <xdr:rowOff>0</xdr:rowOff>
    </xdr:from>
    <xdr:to>
      <xdr:col>10</xdr:col>
      <xdr:colOff>419731</xdr:colOff>
      <xdr:row>55</xdr:row>
      <xdr:rowOff>10111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6FFA114-66B3-AF3C-7F59-1A9895CA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4953000"/>
          <a:ext cx="4525006" cy="420111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56</xdr:row>
      <xdr:rowOff>9525</xdr:rowOff>
    </xdr:from>
    <xdr:to>
      <xdr:col>11</xdr:col>
      <xdr:colOff>267399</xdr:colOff>
      <xdr:row>78</xdr:row>
      <xdr:rowOff>86321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95844837-7F11-35D7-4D43-7BA19F19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2075" y="9344025"/>
          <a:ext cx="5001323" cy="426779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78</xdr:row>
      <xdr:rowOff>171450</xdr:rowOff>
    </xdr:from>
    <xdr:to>
      <xdr:col>12</xdr:col>
      <xdr:colOff>505640</xdr:colOff>
      <xdr:row>101</xdr:row>
      <xdr:rowOff>48219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14DF3419-DA31-54E4-ECB2-62EB64D4B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3696950"/>
          <a:ext cx="5839640" cy="425826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101</xdr:row>
      <xdr:rowOff>180975</xdr:rowOff>
    </xdr:from>
    <xdr:to>
      <xdr:col>12</xdr:col>
      <xdr:colOff>362741</xdr:colOff>
      <xdr:row>124</xdr:row>
      <xdr:rowOff>67271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952CC748-E7D6-9F61-4CCB-B1FE84C6D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0175" y="18087975"/>
          <a:ext cx="5668166" cy="4267796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125</xdr:row>
      <xdr:rowOff>0</xdr:rowOff>
    </xdr:from>
    <xdr:to>
      <xdr:col>12</xdr:col>
      <xdr:colOff>372278</xdr:colOff>
      <xdr:row>147</xdr:row>
      <xdr:rowOff>143480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D751E86E-BEF4-76EF-80AA-91028161C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22479000"/>
          <a:ext cx="5753903" cy="433448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148</xdr:row>
      <xdr:rowOff>0</xdr:rowOff>
    </xdr:from>
    <xdr:to>
      <xdr:col>12</xdr:col>
      <xdr:colOff>400852</xdr:colOff>
      <xdr:row>170</xdr:row>
      <xdr:rowOff>95848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A33A8797-7123-8CEA-39FA-56BBE52E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2075" y="26860500"/>
          <a:ext cx="5744377" cy="4286848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171</xdr:row>
      <xdr:rowOff>0</xdr:rowOff>
    </xdr:from>
    <xdr:to>
      <xdr:col>12</xdr:col>
      <xdr:colOff>115064</xdr:colOff>
      <xdr:row>193</xdr:row>
      <xdr:rowOff>114901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9EF82E19-3AF3-9A3A-E9B1-48BD058E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31242000"/>
          <a:ext cx="5477639" cy="430590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194</xdr:row>
      <xdr:rowOff>0</xdr:rowOff>
    </xdr:from>
    <xdr:to>
      <xdr:col>11</xdr:col>
      <xdr:colOff>457928</xdr:colOff>
      <xdr:row>216</xdr:row>
      <xdr:rowOff>95848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AAAA96F7-52E9-3C91-8A6B-99B690E7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3025" y="35623500"/>
          <a:ext cx="5210902" cy="4286848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216</xdr:row>
      <xdr:rowOff>171450</xdr:rowOff>
    </xdr:from>
    <xdr:to>
      <xdr:col>13</xdr:col>
      <xdr:colOff>191377</xdr:colOff>
      <xdr:row>239</xdr:row>
      <xdr:rowOff>48219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EE53AAE6-C360-8AD5-3BBC-021AF1F21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2050" y="39985950"/>
          <a:ext cx="6287377" cy="425826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16</xdr:col>
      <xdr:colOff>105896</xdr:colOff>
      <xdr:row>263</xdr:row>
      <xdr:rowOff>76822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2AED9DB6-24B2-A0C9-97DE-A96E1245E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44386500"/>
          <a:ext cx="8030696" cy="4458322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2</xdr:row>
      <xdr:rowOff>38100</xdr:rowOff>
    </xdr:from>
    <xdr:to>
      <xdr:col>15</xdr:col>
      <xdr:colOff>363022</xdr:colOff>
      <xdr:row>8</xdr:row>
      <xdr:rowOff>9681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4EEAA00E-F3BA-8F3E-8A11-DDE10441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1575" y="38100"/>
          <a:ext cx="7678222" cy="1114581"/>
        </a:xfrm>
        <a:prstGeom prst="rect">
          <a:avLst/>
        </a:prstGeom>
      </xdr:spPr>
    </xdr:pic>
    <xdr:clientData/>
  </xdr:twoCellAnchor>
  <xdr:twoCellAnchor>
    <xdr:from>
      <xdr:col>17</xdr:col>
      <xdr:colOff>173180</xdr:colOff>
      <xdr:row>10</xdr:row>
      <xdr:rowOff>57727</xdr:rowOff>
    </xdr:from>
    <xdr:to>
      <xdr:col>23</xdr:col>
      <xdr:colOff>14432</xdr:colOff>
      <xdr:row>12</xdr:row>
      <xdr:rowOff>158750</xdr:rowOff>
    </xdr:to>
    <xdr:sp macro="" textlink="">
      <xdr:nvSpPr>
        <xdr:cNvPr id="20" name="Dikdörtgen 1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48078F-F36C-4B63-945B-D8EEEC68209A}"/>
            </a:ext>
          </a:extLst>
        </xdr:cNvPr>
        <xdr:cNvSpPr/>
      </xdr:nvSpPr>
      <xdr:spPr>
        <a:xfrm>
          <a:off x="10997044" y="1919432"/>
          <a:ext cx="3478070" cy="476250"/>
        </a:xfrm>
        <a:prstGeom prst="rect">
          <a:avLst/>
        </a:prstGeom>
        <a:solidFill>
          <a:schemeClr val="accent1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Klozet</a:t>
          </a:r>
          <a:r>
            <a:rPr lang="tr-TR" sz="2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Montaj Ölçüleri</a:t>
          </a:r>
          <a:endParaRPr lang="tr-TR" sz="20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</xdr:col>
      <xdr:colOff>129885</xdr:colOff>
      <xdr:row>2</xdr:row>
      <xdr:rowOff>108330</xdr:rowOff>
    </xdr:from>
    <xdr:to>
      <xdr:col>1</xdr:col>
      <xdr:colOff>1385454</xdr:colOff>
      <xdr:row>7</xdr:row>
      <xdr:rowOff>14431</xdr:rowOff>
    </xdr:to>
    <xdr:pic>
      <xdr:nvPicPr>
        <xdr:cNvPr id="21" name="Resim 2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AF86F4A-4F8C-4D89-83B1-003C115B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9885" y="469125"/>
          <a:ext cx="1255569" cy="844170"/>
        </a:xfrm>
        <a:prstGeom prst="rect">
          <a:avLst/>
        </a:prstGeom>
      </xdr:spPr>
    </xdr:pic>
    <xdr:clientData/>
  </xdr:twoCellAnchor>
  <xdr:twoCellAnchor editAs="oneCell">
    <xdr:from>
      <xdr:col>15</xdr:col>
      <xdr:colOff>533977</xdr:colOff>
      <xdr:row>10</xdr:row>
      <xdr:rowOff>14431</xdr:rowOff>
    </xdr:from>
    <xdr:to>
      <xdr:col>17</xdr:col>
      <xdr:colOff>115451</xdr:colOff>
      <xdr:row>12</xdr:row>
      <xdr:rowOff>172872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90E97827-CB89-4753-9862-14F3E7265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45568" y="1876136"/>
          <a:ext cx="793747" cy="533668"/>
        </a:xfrm>
        <a:prstGeom prst="rect">
          <a:avLst/>
        </a:prstGeom>
      </xdr:spPr>
    </xdr:pic>
    <xdr:clientData/>
  </xdr:twoCellAnchor>
  <xdr:twoCellAnchor>
    <xdr:from>
      <xdr:col>17</xdr:col>
      <xdr:colOff>187614</xdr:colOff>
      <xdr:row>15</xdr:row>
      <xdr:rowOff>28863</xdr:rowOff>
    </xdr:from>
    <xdr:to>
      <xdr:col>23</xdr:col>
      <xdr:colOff>14432</xdr:colOff>
      <xdr:row>17</xdr:row>
      <xdr:rowOff>129886</xdr:rowOff>
    </xdr:to>
    <xdr:sp macro="" textlink="">
      <xdr:nvSpPr>
        <xdr:cNvPr id="13" name="Dikdörtgen 1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3F1368BD-2241-49F6-8D06-C1FF4F34F863}"/>
            </a:ext>
          </a:extLst>
        </xdr:cNvPr>
        <xdr:cNvSpPr/>
      </xdr:nvSpPr>
      <xdr:spPr>
        <a:xfrm>
          <a:off x="11011478" y="2828636"/>
          <a:ext cx="3463636" cy="476250"/>
        </a:xfrm>
        <a:prstGeom prst="rect">
          <a:avLst/>
        </a:prstGeom>
        <a:solidFill>
          <a:schemeClr val="accent1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Duş &amp;</a:t>
          </a:r>
          <a:r>
            <a:rPr lang="tr-TR" sz="2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Küvet Montaj Ölçüleri</a:t>
          </a:r>
          <a:endParaRPr lang="tr-TR" sz="20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15</xdr:col>
      <xdr:colOff>490681</xdr:colOff>
      <xdr:row>15</xdr:row>
      <xdr:rowOff>0</xdr:rowOff>
    </xdr:from>
    <xdr:to>
      <xdr:col>17</xdr:col>
      <xdr:colOff>72155</xdr:colOff>
      <xdr:row>17</xdr:row>
      <xdr:rowOff>158441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3C5398B4-1545-4232-87DD-D828040C0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02272" y="2799773"/>
          <a:ext cx="793747" cy="533668"/>
        </a:xfrm>
        <a:prstGeom prst="rect">
          <a:avLst/>
        </a:prstGeom>
      </xdr:spPr>
    </xdr:pic>
    <xdr:clientData/>
  </xdr:twoCellAnchor>
  <xdr:twoCellAnchor>
    <xdr:from>
      <xdr:col>17</xdr:col>
      <xdr:colOff>187613</xdr:colOff>
      <xdr:row>20</xdr:row>
      <xdr:rowOff>0</xdr:rowOff>
    </xdr:from>
    <xdr:to>
      <xdr:col>23</xdr:col>
      <xdr:colOff>14431</xdr:colOff>
      <xdr:row>22</xdr:row>
      <xdr:rowOff>101023</xdr:rowOff>
    </xdr:to>
    <xdr:sp macro="" textlink="">
      <xdr:nvSpPr>
        <xdr:cNvPr id="18" name="Dikdörtgen 1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9C6CA7F-429F-4CD0-ACD8-99B525F3FF83}"/>
            </a:ext>
          </a:extLst>
        </xdr:cNvPr>
        <xdr:cNvSpPr/>
      </xdr:nvSpPr>
      <xdr:spPr>
        <a:xfrm>
          <a:off x="11011477" y="3737841"/>
          <a:ext cx="3463636" cy="476250"/>
        </a:xfrm>
        <a:prstGeom prst="rect">
          <a:avLst/>
        </a:prstGeom>
        <a:solidFill>
          <a:schemeClr val="accent1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Banyo </a:t>
          </a:r>
          <a:r>
            <a:rPr lang="tr-TR" sz="2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Montaj Ölçüleri</a:t>
          </a:r>
          <a:endParaRPr lang="tr-TR" sz="20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15</xdr:col>
      <xdr:colOff>490681</xdr:colOff>
      <xdr:row>19</xdr:row>
      <xdr:rowOff>173182</xdr:rowOff>
    </xdr:from>
    <xdr:to>
      <xdr:col>17</xdr:col>
      <xdr:colOff>72155</xdr:colOff>
      <xdr:row>22</xdr:row>
      <xdr:rowOff>144009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6A1A85E3-79D4-4F37-922A-6AAE7D5C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02272" y="3723409"/>
          <a:ext cx="793747" cy="533668"/>
        </a:xfrm>
        <a:prstGeom prst="rect">
          <a:avLst/>
        </a:prstGeom>
      </xdr:spPr>
    </xdr:pic>
    <xdr:clientData/>
  </xdr:twoCellAnchor>
  <xdr:twoCellAnchor>
    <xdr:from>
      <xdr:col>17</xdr:col>
      <xdr:colOff>202046</xdr:colOff>
      <xdr:row>24</xdr:row>
      <xdr:rowOff>173182</xdr:rowOff>
    </xdr:from>
    <xdr:to>
      <xdr:col>23</xdr:col>
      <xdr:colOff>28864</xdr:colOff>
      <xdr:row>27</xdr:row>
      <xdr:rowOff>86591</xdr:rowOff>
    </xdr:to>
    <xdr:sp macro="" textlink="">
      <xdr:nvSpPr>
        <xdr:cNvPr id="23" name="Dikdörtgen 2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7BF89140-7AF4-4EFF-935B-459A0BBFCB6F}"/>
            </a:ext>
          </a:extLst>
        </xdr:cNvPr>
        <xdr:cNvSpPr/>
      </xdr:nvSpPr>
      <xdr:spPr>
        <a:xfrm>
          <a:off x="11025910" y="4661477"/>
          <a:ext cx="3463636" cy="476250"/>
        </a:xfrm>
        <a:prstGeom prst="rect">
          <a:avLst/>
        </a:prstGeom>
        <a:solidFill>
          <a:schemeClr val="accent1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20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Lavabo </a:t>
          </a:r>
          <a:r>
            <a:rPr lang="tr-TR" sz="20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Montaj Ölçüleri</a:t>
          </a:r>
          <a:endParaRPr lang="tr-TR" sz="20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15</xdr:col>
      <xdr:colOff>461818</xdr:colOff>
      <xdr:row>24</xdr:row>
      <xdr:rowOff>144319</xdr:rowOff>
    </xdr:from>
    <xdr:to>
      <xdr:col>17</xdr:col>
      <xdr:colOff>43292</xdr:colOff>
      <xdr:row>27</xdr:row>
      <xdr:rowOff>115146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EBF1DA1F-9714-4FAE-8470-ADA4B917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73409" y="4632614"/>
          <a:ext cx="793747" cy="533668"/>
        </a:xfrm>
        <a:prstGeom prst="rect">
          <a:avLst/>
        </a:prstGeom>
      </xdr:spPr>
    </xdr:pic>
    <xdr:clientData/>
  </xdr:twoCellAnchor>
  <xdr:twoCellAnchor editAs="oneCell">
    <xdr:from>
      <xdr:col>22</xdr:col>
      <xdr:colOff>43295</xdr:colOff>
      <xdr:row>2</xdr:row>
      <xdr:rowOff>115454</xdr:rowOff>
    </xdr:from>
    <xdr:to>
      <xdr:col>23</xdr:col>
      <xdr:colOff>590746</xdr:colOff>
      <xdr:row>7</xdr:row>
      <xdr:rowOff>14431</xdr:rowOff>
    </xdr:to>
    <xdr:pic>
      <xdr:nvPicPr>
        <xdr:cNvPr id="15" name="Resim 1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37DFFF7-6138-41E6-A71F-0AF891FFE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97840" y="476249"/>
          <a:ext cx="1153588" cy="8370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611603</xdr:colOff>
      <xdr:row>10</xdr:row>
      <xdr:rowOff>23941</xdr:rowOff>
    </xdr:from>
    <xdr:to>
      <xdr:col>12</xdr:col>
      <xdr:colOff>10025</xdr:colOff>
      <xdr:row>11</xdr:row>
      <xdr:rowOff>120316</xdr:rowOff>
    </xdr:to>
    <xdr:sp macro="" textlink="">
      <xdr:nvSpPr>
        <xdr:cNvPr id="2" name="Dikdört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A75BC0-DC91-4975-B7BA-8A0124017A14}"/>
            </a:ext>
          </a:extLst>
        </xdr:cNvPr>
        <xdr:cNvSpPr/>
      </xdr:nvSpPr>
      <xdr:spPr>
        <a:xfrm>
          <a:off x="3221453" y="1252666"/>
          <a:ext cx="3056022" cy="26782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Kazan Tesisat</a:t>
          </a:r>
          <a:r>
            <a:rPr lang="tr-TR" sz="1100" baseline="0"/>
            <a:t> </a:t>
          </a:r>
          <a:r>
            <a:rPr lang="tr-TR" sz="1100"/>
            <a:t>Hesabı 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6</xdr:col>
      <xdr:colOff>230095</xdr:colOff>
      <xdr:row>31</xdr:row>
      <xdr:rowOff>21043</xdr:rowOff>
    </xdr:from>
    <xdr:to>
      <xdr:col>6</xdr:col>
      <xdr:colOff>557623</xdr:colOff>
      <xdr:row>32</xdr:row>
      <xdr:rowOff>191734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F12C33BE-7265-42CD-9AC0-065FC730B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9945" y="5269318"/>
          <a:ext cx="327528" cy="361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230095</xdr:colOff>
      <xdr:row>34</xdr:row>
      <xdr:rowOff>9468</xdr:rowOff>
    </xdr:from>
    <xdr:to>
      <xdr:col>6</xdr:col>
      <xdr:colOff>579754</xdr:colOff>
      <xdr:row>36</xdr:row>
      <xdr:rowOff>4562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88E5EB7-34A2-44D3-B92C-4A99BCCB3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9945" y="5848293"/>
          <a:ext cx="349659" cy="376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241301</xdr:colOff>
      <xdr:row>31</xdr:row>
      <xdr:rowOff>12701</xdr:rowOff>
    </xdr:from>
    <xdr:to>
      <xdr:col>18</xdr:col>
      <xdr:colOff>571501</xdr:colOff>
      <xdr:row>32</xdr:row>
      <xdr:rowOff>186121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589B4F29-8EAC-4440-9C1B-26740CAB3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6351" y="5260976"/>
          <a:ext cx="330200" cy="36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601452</xdr:colOff>
      <xdr:row>13</xdr:row>
      <xdr:rowOff>13306</xdr:rowOff>
    </xdr:from>
    <xdr:to>
      <xdr:col>11</xdr:col>
      <xdr:colOff>611479</xdr:colOff>
      <xdr:row>14</xdr:row>
      <xdr:rowOff>109681</xdr:rowOff>
    </xdr:to>
    <xdr:sp macro="" textlink="">
      <xdr:nvSpPr>
        <xdr:cNvPr id="6" name="Dikdörtgen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B7C7E46-4268-454F-8098-5709CFC0C7F6}"/>
            </a:ext>
          </a:extLst>
        </xdr:cNvPr>
        <xdr:cNvSpPr/>
      </xdr:nvSpPr>
      <xdr:spPr>
        <a:xfrm>
          <a:off x="3211302" y="1832581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Isıtma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 &amp;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 baseline="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Pratik Hesab</a:t>
          </a:r>
          <a:r>
            <a:rPr lang="tr-TR" sz="110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ı</a:t>
          </a:r>
          <a:endParaRPr lang="tr-TR" sz="900">
            <a:solidFill>
              <a:srgbClr val="FFFF00"/>
            </a:solidFill>
          </a:endParaRPr>
        </a:p>
      </xdr:txBody>
    </xdr:sp>
    <xdr:clientData/>
  </xdr:twoCellAnchor>
  <xdr:twoCellAnchor>
    <xdr:from>
      <xdr:col>6</xdr:col>
      <xdr:colOff>611478</xdr:colOff>
      <xdr:row>19</xdr:row>
      <xdr:rowOff>13306</xdr:rowOff>
    </xdr:from>
    <xdr:to>
      <xdr:col>12</xdr:col>
      <xdr:colOff>9900</xdr:colOff>
      <xdr:row>20</xdr:row>
      <xdr:rowOff>109681</xdr:rowOff>
    </xdr:to>
    <xdr:sp macro="" textlink="">
      <xdr:nvSpPr>
        <xdr:cNvPr id="7" name="Dikdörtgen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F4A27B9-92C1-43B8-95FF-A14B79CAC5D9}"/>
            </a:ext>
          </a:extLst>
        </xdr:cNvPr>
        <xdr:cNvSpPr/>
      </xdr:nvSpPr>
      <xdr:spPr>
        <a:xfrm>
          <a:off x="3221328" y="2975581"/>
          <a:ext cx="305602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Radyatör Hesabı</a:t>
          </a:r>
        </a:p>
      </xdr:txBody>
    </xdr:sp>
    <xdr:clientData/>
  </xdr:twoCellAnchor>
  <xdr:twoCellAnchor>
    <xdr:from>
      <xdr:col>6</xdr:col>
      <xdr:colOff>611479</xdr:colOff>
      <xdr:row>22</xdr:row>
      <xdr:rowOff>23333</xdr:rowOff>
    </xdr:from>
    <xdr:to>
      <xdr:col>12</xdr:col>
      <xdr:colOff>9901</xdr:colOff>
      <xdr:row>23</xdr:row>
      <xdr:rowOff>119708</xdr:rowOff>
    </xdr:to>
    <xdr:sp macro="" textlink="">
      <xdr:nvSpPr>
        <xdr:cNvPr id="8" name="Dikdörtgen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AB9F4DA-CC51-4716-AB5E-6476D958811D}"/>
            </a:ext>
          </a:extLst>
        </xdr:cNvPr>
        <xdr:cNvSpPr/>
      </xdr:nvSpPr>
      <xdr:spPr>
        <a:xfrm>
          <a:off x="3221329" y="3557108"/>
          <a:ext cx="305602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Boyle</a:t>
          </a:r>
          <a:r>
            <a:rPr lang="tr-TR" sz="1200" baseline="0">
              <a:solidFill>
                <a:schemeClr val="bg1"/>
              </a:solidFill>
            </a:rPr>
            <a:t>r Hesabı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9899</xdr:colOff>
      <xdr:row>25</xdr:row>
      <xdr:rowOff>23333</xdr:rowOff>
    </xdr:from>
    <xdr:to>
      <xdr:col>12</xdr:col>
      <xdr:colOff>19926</xdr:colOff>
      <xdr:row>26</xdr:row>
      <xdr:rowOff>119708</xdr:rowOff>
    </xdr:to>
    <xdr:sp macro="" textlink="">
      <xdr:nvSpPr>
        <xdr:cNvPr id="9" name="Dikdörtgen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3246EB8-0DFB-43F4-95FB-8669E4CD8A9F}"/>
            </a:ext>
          </a:extLst>
        </xdr:cNvPr>
        <xdr:cNvSpPr/>
      </xdr:nvSpPr>
      <xdr:spPr>
        <a:xfrm>
          <a:off x="3229349" y="4128608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Havuz Eşanjör &amp; </a:t>
          </a:r>
          <a:r>
            <a:rPr lang="tr-TR" sz="1200">
              <a:solidFill>
                <a:srgbClr val="FFFF00"/>
              </a:solidFill>
            </a:rPr>
            <a:t>Havuz Denge Depo</a:t>
          </a:r>
          <a:r>
            <a:rPr lang="tr-TR" sz="1200" baseline="0">
              <a:solidFill>
                <a:srgbClr val="FFFF00"/>
              </a:solidFill>
            </a:rPr>
            <a:t> </a:t>
          </a:r>
          <a:r>
            <a:rPr lang="tr-TR" sz="1200">
              <a:solidFill>
                <a:srgbClr val="FFFF00"/>
              </a:solidFill>
            </a:rPr>
            <a:t>Hesabı</a:t>
          </a:r>
        </a:p>
      </xdr:txBody>
    </xdr:sp>
    <xdr:clientData/>
  </xdr:twoCellAnchor>
  <xdr:twoCellAnchor>
    <xdr:from>
      <xdr:col>7</xdr:col>
      <xdr:colOff>6361</xdr:colOff>
      <xdr:row>31</xdr:row>
      <xdr:rowOff>24512</xdr:rowOff>
    </xdr:from>
    <xdr:to>
      <xdr:col>12</xdr:col>
      <xdr:colOff>9901</xdr:colOff>
      <xdr:row>32</xdr:row>
      <xdr:rowOff>120887</xdr:rowOff>
    </xdr:to>
    <xdr:sp macro="" textlink="">
      <xdr:nvSpPr>
        <xdr:cNvPr id="10" name="Dikdörtgen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68A7909-B61A-41B4-A911-666EF0A53AD2}"/>
            </a:ext>
          </a:extLst>
        </xdr:cNvPr>
        <xdr:cNvSpPr/>
      </xdr:nvSpPr>
      <xdr:spPr>
        <a:xfrm>
          <a:off x="3225811" y="5272787"/>
          <a:ext cx="3051540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Kapalı Havuz Nem Alma Hesabı</a:t>
          </a:r>
        </a:p>
      </xdr:txBody>
    </xdr:sp>
    <xdr:clientData/>
  </xdr:twoCellAnchor>
  <xdr:twoCellAnchor>
    <xdr:from>
      <xdr:col>7</xdr:col>
      <xdr:colOff>11206</xdr:colOff>
      <xdr:row>34</xdr:row>
      <xdr:rowOff>22412</xdr:rowOff>
    </xdr:from>
    <xdr:to>
      <xdr:col>12</xdr:col>
      <xdr:colOff>21233</xdr:colOff>
      <xdr:row>35</xdr:row>
      <xdr:rowOff>118787</xdr:rowOff>
    </xdr:to>
    <xdr:sp macro="" textlink="">
      <xdr:nvSpPr>
        <xdr:cNvPr id="11" name="Dikdörtgen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6611D8D-0D65-407C-A9C9-D8229A90531C}"/>
            </a:ext>
          </a:extLst>
        </xdr:cNvPr>
        <xdr:cNvSpPr/>
      </xdr:nvSpPr>
      <xdr:spPr>
        <a:xfrm>
          <a:off x="3230656" y="5861237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Klima Hesabı</a:t>
          </a:r>
        </a:p>
      </xdr:txBody>
    </xdr:sp>
    <xdr:clientData/>
  </xdr:twoCellAnchor>
  <xdr:twoCellAnchor>
    <xdr:from>
      <xdr:col>19</xdr:col>
      <xdr:colOff>11206</xdr:colOff>
      <xdr:row>10</xdr:row>
      <xdr:rowOff>33619</xdr:rowOff>
    </xdr:from>
    <xdr:to>
      <xdr:col>24</xdr:col>
      <xdr:colOff>21233</xdr:colOff>
      <xdr:row>11</xdr:row>
      <xdr:rowOff>129994</xdr:rowOff>
    </xdr:to>
    <xdr:sp macro="" textlink="">
      <xdr:nvSpPr>
        <xdr:cNvPr id="12" name="Dikdörtgen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8B83E7A-113B-4EE3-814C-8E8B06FDF165}"/>
            </a:ext>
          </a:extLst>
        </xdr:cNvPr>
        <xdr:cNvSpPr/>
      </xdr:nvSpPr>
      <xdr:spPr>
        <a:xfrm>
          <a:off x="10545856" y="1262344"/>
          <a:ext cx="3058027" cy="25830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Güneş Kollektör Hesabı</a:t>
          </a:r>
        </a:p>
      </xdr:txBody>
    </xdr:sp>
    <xdr:clientData/>
  </xdr:twoCellAnchor>
  <xdr:twoCellAnchor>
    <xdr:from>
      <xdr:col>19</xdr:col>
      <xdr:colOff>13935</xdr:colOff>
      <xdr:row>13</xdr:row>
      <xdr:rowOff>31259</xdr:rowOff>
    </xdr:from>
    <xdr:to>
      <xdr:col>24</xdr:col>
      <xdr:colOff>17475</xdr:colOff>
      <xdr:row>14</xdr:row>
      <xdr:rowOff>127634</xdr:rowOff>
    </xdr:to>
    <xdr:sp macro="" textlink="">
      <xdr:nvSpPr>
        <xdr:cNvPr id="13" name="Dikdörtgen 1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CBCFB19-3836-47B7-A016-2FAA6A84A972}"/>
            </a:ext>
          </a:extLst>
        </xdr:cNvPr>
        <xdr:cNvSpPr/>
      </xdr:nvSpPr>
      <xdr:spPr>
        <a:xfrm>
          <a:off x="10548585" y="1850534"/>
          <a:ext cx="3051540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Güneş Kollektör</a:t>
          </a:r>
          <a:r>
            <a:rPr lang="tr-TR" sz="1200" baseline="0">
              <a:solidFill>
                <a:schemeClr val="bg1"/>
              </a:solidFill>
            </a:rPr>
            <a:t> </a:t>
          </a:r>
          <a:r>
            <a:rPr lang="tr-TR" sz="1200">
              <a:solidFill>
                <a:schemeClr val="bg1"/>
              </a:solidFill>
            </a:rPr>
            <a:t>Pompası ve Boru Çapı Hesabı</a:t>
          </a:r>
        </a:p>
      </xdr:txBody>
    </xdr:sp>
    <xdr:clientData/>
  </xdr:twoCellAnchor>
  <xdr:twoCellAnchor>
    <xdr:from>
      <xdr:col>7</xdr:col>
      <xdr:colOff>11206</xdr:colOff>
      <xdr:row>37</xdr:row>
      <xdr:rowOff>33618</xdr:rowOff>
    </xdr:from>
    <xdr:to>
      <xdr:col>12</xdr:col>
      <xdr:colOff>21233</xdr:colOff>
      <xdr:row>38</xdr:row>
      <xdr:rowOff>129993</xdr:rowOff>
    </xdr:to>
    <xdr:sp macro="" textlink="">
      <xdr:nvSpPr>
        <xdr:cNvPr id="14" name="Dikdörtgen 1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039B5F4-65ED-4283-8F1F-9E191FA84AFB}"/>
            </a:ext>
          </a:extLst>
        </xdr:cNvPr>
        <xdr:cNvSpPr/>
      </xdr:nvSpPr>
      <xdr:spPr>
        <a:xfrm>
          <a:off x="3230656" y="6443943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Hava</a:t>
          </a:r>
          <a:r>
            <a:rPr lang="tr-TR" sz="1200" baseline="0">
              <a:solidFill>
                <a:schemeClr val="bg1"/>
              </a:solidFill>
            </a:rPr>
            <a:t> Kaynaklı Isı Pompası Hesabı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6360</xdr:colOff>
      <xdr:row>16</xdr:row>
      <xdr:rowOff>24513</xdr:rowOff>
    </xdr:from>
    <xdr:to>
      <xdr:col>11</xdr:col>
      <xdr:colOff>603810</xdr:colOff>
      <xdr:row>17</xdr:row>
      <xdr:rowOff>120888</xdr:rowOff>
    </xdr:to>
    <xdr:sp macro="" textlink="">
      <xdr:nvSpPr>
        <xdr:cNvPr id="15" name="Dikdörtgen 1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3C3758A-0502-4131-848E-5913440ADEB7}"/>
            </a:ext>
          </a:extLst>
        </xdr:cNvPr>
        <xdr:cNvSpPr/>
      </xdr:nvSpPr>
      <xdr:spPr>
        <a:xfrm>
          <a:off x="3225810" y="2415288"/>
          <a:ext cx="3035850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 Isıtma Malzeme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Hesaplama (Rehau)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12</xdr:col>
      <xdr:colOff>611479</xdr:colOff>
      <xdr:row>19</xdr:row>
      <xdr:rowOff>13306</xdr:rowOff>
    </xdr:from>
    <xdr:to>
      <xdr:col>18</xdr:col>
      <xdr:colOff>9900</xdr:colOff>
      <xdr:row>20</xdr:row>
      <xdr:rowOff>109681</xdr:rowOff>
    </xdr:to>
    <xdr:sp macro="" textlink="">
      <xdr:nvSpPr>
        <xdr:cNvPr id="16" name="Dikdörtgen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C5FDB0F-BEE1-4FAB-968D-6B4E71C6DD35}"/>
            </a:ext>
          </a:extLst>
        </xdr:cNvPr>
        <xdr:cNvSpPr/>
      </xdr:nvSpPr>
      <xdr:spPr>
        <a:xfrm>
          <a:off x="6878929" y="2975581"/>
          <a:ext cx="3056021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Pompa Ve Genleşme Tankı Hesabı</a:t>
          </a:r>
        </a:p>
      </xdr:txBody>
    </xdr:sp>
    <xdr:clientData/>
  </xdr:twoCellAnchor>
  <xdr:twoCellAnchor>
    <xdr:from>
      <xdr:col>12</xdr:col>
      <xdr:colOff>601452</xdr:colOff>
      <xdr:row>22</xdr:row>
      <xdr:rowOff>3280</xdr:rowOff>
    </xdr:from>
    <xdr:to>
      <xdr:col>17</xdr:col>
      <xdr:colOff>611479</xdr:colOff>
      <xdr:row>23</xdr:row>
      <xdr:rowOff>99655</xdr:rowOff>
    </xdr:to>
    <xdr:sp macro="" textlink="">
      <xdr:nvSpPr>
        <xdr:cNvPr id="17" name="Dikdörtgen 1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AD99F5B-DCB5-4FC2-8873-1705AB5E9D7A}"/>
            </a:ext>
          </a:extLst>
        </xdr:cNvPr>
        <xdr:cNvSpPr/>
      </xdr:nvSpPr>
      <xdr:spPr>
        <a:xfrm>
          <a:off x="6868902" y="3537055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Hidrolik Karıştırıcı</a:t>
          </a:r>
          <a:r>
            <a:rPr lang="tr-TR" sz="1200" baseline="0">
              <a:solidFill>
                <a:schemeClr val="bg1"/>
              </a:solidFill>
            </a:rPr>
            <a:t> - Denge Kabı Hesabı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601452</xdr:colOff>
      <xdr:row>25</xdr:row>
      <xdr:rowOff>23333</xdr:rowOff>
    </xdr:from>
    <xdr:to>
      <xdr:col>17</xdr:col>
      <xdr:colOff>611479</xdr:colOff>
      <xdr:row>26</xdr:row>
      <xdr:rowOff>119708</xdr:rowOff>
    </xdr:to>
    <xdr:sp macro="" textlink="">
      <xdr:nvSpPr>
        <xdr:cNvPr id="18" name="Dikdörtgen 17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78C623D-7AED-4DC1-B5BA-00F52D4A9062}"/>
            </a:ext>
          </a:extLst>
        </xdr:cNvPr>
        <xdr:cNvSpPr/>
      </xdr:nvSpPr>
      <xdr:spPr>
        <a:xfrm>
          <a:off x="6868902" y="4128608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Z</a:t>
          </a:r>
          <a:r>
            <a:rPr lang="tr-TR" sz="1200" baseline="0">
              <a:solidFill>
                <a:schemeClr val="bg1"/>
              </a:solidFill>
            </a:rPr>
            <a:t> - ( R sirkülasyon ) POMPA HESABI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611478</xdr:colOff>
      <xdr:row>28</xdr:row>
      <xdr:rowOff>3280</xdr:rowOff>
    </xdr:from>
    <xdr:to>
      <xdr:col>18</xdr:col>
      <xdr:colOff>9899</xdr:colOff>
      <xdr:row>29</xdr:row>
      <xdr:rowOff>99655</xdr:rowOff>
    </xdr:to>
    <xdr:sp macro="" textlink="">
      <xdr:nvSpPr>
        <xdr:cNvPr id="19" name="Dikdörtgen 1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DADB5985-FBA5-4C0F-AAB0-6232426F6642}"/>
            </a:ext>
          </a:extLst>
        </xdr:cNvPr>
        <xdr:cNvSpPr/>
      </xdr:nvSpPr>
      <xdr:spPr>
        <a:xfrm>
          <a:off x="6878928" y="4680055"/>
          <a:ext cx="3056021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3 Yollu Karışım Vana Seçimi</a:t>
          </a:r>
        </a:p>
      </xdr:txBody>
    </xdr:sp>
    <xdr:clientData/>
  </xdr:twoCellAnchor>
  <xdr:twoCellAnchor>
    <xdr:from>
      <xdr:col>13</xdr:col>
      <xdr:colOff>9899</xdr:colOff>
      <xdr:row>31</xdr:row>
      <xdr:rowOff>13306</xdr:rowOff>
    </xdr:from>
    <xdr:to>
      <xdr:col>18</xdr:col>
      <xdr:colOff>19925</xdr:colOff>
      <xdr:row>32</xdr:row>
      <xdr:rowOff>109681</xdr:rowOff>
    </xdr:to>
    <xdr:sp macro="" textlink="">
      <xdr:nvSpPr>
        <xdr:cNvPr id="20" name="Dikdörtgen 19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FDC67B52-6385-41DF-9799-164CEDEBA8D5}"/>
            </a:ext>
          </a:extLst>
        </xdr:cNvPr>
        <xdr:cNvSpPr/>
      </xdr:nvSpPr>
      <xdr:spPr>
        <a:xfrm>
          <a:off x="6886949" y="5261581"/>
          <a:ext cx="3058026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Şönt Pompa Seçimi</a:t>
          </a:r>
        </a:p>
      </xdr:txBody>
    </xdr:sp>
    <xdr:clientData/>
  </xdr:twoCellAnchor>
  <xdr:twoCellAnchor>
    <xdr:from>
      <xdr:col>12</xdr:col>
      <xdr:colOff>601452</xdr:colOff>
      <xdr:row>34</xdr:row>
      <xdr:rowOff>13306</xdr:rowOff>
    </xdr:from>
    <xdr:to>
      <xdr:col>17</xdr:col>
      <xdr:colOff>611479</xdr:colOff>
      <xdr:row>35</xdr:row>
      <xdr:rowOff>109681</xdr:rowOff>
    </xdr:to>
    <xdr:sp macro="" textlink="">
      <xdr:nvSpPr>
        <xdr:cNvPr id="21" name="Dikdörtgen 20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21005D22-237D-4875-A430-1DE6221FBD56}"/>
            </a:ext>
          </a:extLst>
        </xdr:cNvPr>
        <xdr:cNvSpPr/>
      </xdr:nvSpPr>
      <xdr:spPr>
        <a:xfrm>
          <a:off x="6868902" y="5852131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Kazan Baca Çap Hesabı (pratik)</a:t>
          </a:r>
        </a:p>
      </xdr:txBody>
    </xdr:sp>
    <xdr:clientData/>
  </xdr:twoCellAnchor>
  <xdr:twoCellAnchor>
    <xdr:from>
      <xdr:col>12</xdr:col>
      <xdr:colOff>601452</xdr:colOff>
      <xdr:row>37</xdr:row>
      <xdr:rowOff>13306</xdr:rowOff>
    </xdr:from>
    <xdr:to>
      <xdr:col>17</xdr:col>
      <xdr:colOff>611479</xdr:colOff>
      <xdr:row>38</xdr:row>
      <xdr:rowOff>109681</xdr:rowOff>
    </xdr:to>
    <xdr:sp macro="" textlink="">
      <xdr:nvSpPr>
        <xdr:cNvPr id="22" name="Dikdörtgen 2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CDC4BB9-8179-47E0-AA22-2116ED7506F4}"/>
            </a:ext>
          </a:extLst>
        </xdr:cNvPr>
        <xdr:cNvSpPr/>
      </xdr:nvSpPr>
      <xdr:spPr>
        <a:xfrm>
          <a:off x="6868902" y="6423631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Isıtma Hattı Genleşme Tankı Hesabı</a:t>
          </a:r>
        </a:p>
      </xdr:txBody>
    </xdr:sp>
    <xdr:clientData/>
  </xdr:twoCellAnchor>
  <xdr:twoCellAnchor>
    <xdr:from>
      <xdr:col>13</xdr:col>
      <xdr:colOff>18335</xdr:colOff>
      <xdr:row>40</xdr:row>
      <xdr:rowOff>20030</xdr:rowOff>
    </xdr:from>
    <xdr:to>
      <xdr:col>18</xdr:col>
      <xdr:colOff>13085</xdr:colOff>
      <xdr:row>41</xdr:row>
      <xdr:rowOff>124025</xdr:rowOff>
    </xdr:to>
    <xdr:sp macro="" textlink="">
      <xdr:nvSpPr>
        <xdr:cNvPr id="23" name="Dikdörtgen 22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884B6E6-D1F2-4D63-85CB-C7811444D323}"/>
            </a:ext>
          </a:extLst>
        </xdr:cNvPr>
        <xdr:cNvSpPr/>
      </xdr:nvSpPr>
      <xdr:spPr>
        <a:xfrm>
          <a:off x="6895385" y="7001855"/>
          <a:ext cx="3042750" cy="29449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Temiz Su Genleşme Tankı Hesabı</a:t>
          </a:r>
        </a:p>
      </xdr:txBody>
    </xdr:sp>
    <xdr:clientData/>
  </xdr:twoCellAnchor>
  <xdr:twoCellAnchor>
    <xdr:from>
      <xdr:col>19</xdr:col>
      <xdr:colOff>7540</xdr:colOff>
      <xdr:row>43</xdr:row>
      <xdr:rowOff>24512</xdr:rowOff>
    </xdr:from>
    <xdr:to>
      <xdr:col>24</xdr:col>
      <xdr:colOff>17568</xdr:colOff>
      <xdr:row>44</xdr:row>
      <xdr:rowOff>120887</xdr:rowOff>
    </xdr:to>
    <xdr:sp macro="" textlink="">
      <xdr:nvSpPr>
        <xdr:cNvPr id="24" name="Dikdörtgen 2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62F2782-E0EE-4E71-8F1F-49D0887D6273}"/>
            </a:ext>
          </a:extLst>
        </xdr:cNvPr>
        <xdr:cNvSpPr/>
      </xdr:nvSpPr>
      <xdr:spPr>
        <a:xfrm>
          <a:off x="10542190" y="7577837"/>
          <a:ext cx="3058028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C</a:t>
          </a:r>
          <a:r>
            <a:rPr lang="tr-TR" sz="1200" baseline="0">
              <a:solidFill>
                <a:schemeClr val="bg1"/>
              </a:solidFill>
            </a:rPr>
            <a:t> - Kollektör Hesabı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5924</xdr:colOff>
      <xdr:row>13</xdr:row>
      <xdr:rowOff>18403</xdr:rowOff>
    </xdr:from>
    <xdr:to>
      <xdr:col>18</xdr:col>
      <xdr:colOff>17856</xdr:colOff>
      <xdr:row>14</xdr:row>
      <xdr:rowOff>91918</xdr:rowOff>
    </xdr:to>
    <xdr:sp macro="" textlink="">
      <xdr:nvSpPr>
        <xdr:cNvPr id="25" name="Dikdörtgen 2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F878152B-1917-4B79-952F-2E45783F9870}"/>
            </a:ext>
          </a:extLst>
        </xdr:cNvPr>
        <xdr:cNvSpPr/>
      </xdr:nvSpPr>
      <xdr:spPr>
        <a:xfrm>
          <a:off x="6882974" y="1837678"/>
          <a:ext cx="3059932" cy="26401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Boru Çap Hesabı-2 (Soğuk su tesisatı için)</a:t>
          </a:r>
        </a:p>
      </xdr:txBody>
    </xdr:sp>
    <xdr:clientData/>
  </xdr:twoCellAnchor>
  <xdr:twoCellAnchor>
    <xdr:from>
      <xdr:col>13</xdr:col>
      <xdr:colOff>4019</xdr:colOff>
      <xdr:row>16</xdr:row>
      <xdr:rowOff>14592</xdr:rowOff>
    </xdr:from>
    <xdr:to>
      <xdr:col>18</xdr:col>
      <xdr:colOff>14046</xdr:colOff>
      <xdr:row>17</xdr:row>
      <xdr:rowOff>110967</xdr:rowOff>
    </xdr:to>
    <xdr:sp macro="" textlink="">
      <xdr:nvSpPr>
        <xdr:cNvPr id="26" name="Dikdörtgen 25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DB9699A-F397-438C-8109-3183D53E33D5}"/>
            </a:ext>
          </a:extLst>
        </xdr:cNvPr>
        <xdr:cNvSpPr/>
      </xdr:nvSpPr>
      <xdr:spPr>
        <a:xfrm>
          <a:off x="6881069" y="2405367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Boru Çap Hesabı</a:t>
          </a:r>
          <a:r>
            <a:rPr lang="tr-TR" sz="1200" baseline="0">
              <a:solidFill>
                <a:schemeClr val="bg1"/>
              </a:solidFill>
            </a:rPr>
            <a:t>-3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4019</xdr:colOff>
      <xdr:row>16</xdr:row>
      <xdr:rowOff>14592</xdr:rowOff>
    </xdr:from>
    <xdr:to>
      <xdr:col>24</xdr:col>
      <xdr:colOff>14046</xdr:colOff>
      <xdr:row>17</xdr:row>
      <xdr:rowOff>110967</xdr:rowOff>
    </xdr:to>
    <xdr:sp macro="" textlink="">
      <xdr:nvSpPr>
        <xdr:cNvPr id="27" name="Dikdörtgen 26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FE2538F3-1399-48DB-BA2C-85687D67A501}"/>
            </a:ext>
          </a:extLst>
        </xdr:cNvPr>
        <xdr:cNvSpPr/>
      </xdr:nvSpPr>
      <xdr:spPr>
        <a:xfrm>
          <a:off x="10538669" y="2405367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Rehau Vitrifiye Temiz Su malzeme Hesabı</a:t>
          </a:r>
        </a:p>
      </xdr:txBody>
    </xdr:sp>
    <xdr:clientData/>
  </xdr:twoCellAnchor>
  <xdr:twoCellAnchor>
    <xdr:from>
      <xdr:col>19</xdr:col>
      <xdr:colOff>480</xdr:colOff>
      <xdr:row>22</xdr:row>
      <xdr:rowOff>14593</xdr:rowOff>
    </xdr:from>
    <xdr:to>
      <xdr:col>24</xdr:col>
      <xdr:colOff>4020</xdr:colOff>
      <xdr:row>23</xdr:row>
      <xdr:rowOff>110968</xdr:rowOff>
    </xdr:to>
    <xdr:sp macro="" textlink="">
      <xdr:nvSpPr>
        <xdr:cNvPr id="28" name="Dikdörtgen 27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0B53875-6703-4573-A3A9-4AFBAB34E108}"/>
            </a:ext>
          </a:extLst>
        </xdr:cNvPr>
        <xdr:cNvSpPr/>
      </xdr:nvSpPr>
      <xdr:spPr>
        <a:xfrm>
          <a:off x="10535130" y="3548368"/>
          <a:ext cx="3051540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Atık</a:t>
          </a:r>
          <a:r>
            <a:rPr lang="tr-TR" sz="1200" baseline="0">
              <a:solidFill>
                <a:schemeClr val="bg1"/>
              </a:solidFill>
            </a:rPr>
            <a:t> Su Kelepçe Adet Hesabı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4019</xdr:colOff>
      <xdr:row>19</xdr:row>
      <xdr:rowOff>25799</xdr:rowOff>
    </xdr:from>
    <xdr:to>
      <xdr:col>24</xdr:col>
      <xdr:colOff>14046</xdr:colOff>
      <xdr:row>20</xdr:row>
      <xdr:rowOff>122174</xdr:rowOff>
    </xdr:to>
    <xdr:sp macro="" textlink="">
      <xdr:nvSpPr>
        <xdr:cNvPr id="29" name="Dikdörtgen 28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C6B573B6-A054-487D-B571-6A62E5CA2804}"/>
            </a:ext>
          </a:extLst>
        </xdr:cNvPr>
        <xdr:cNvSpPr/>
      </xdr:nvSpPr>
      <xdr:spPr>
        <a:xfrm>
          <a:off x="10538669" y="2988074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Soğuk Su- Sıcak</a:t>
          </a:r>
          <a:r>
            <a:rPr lang="tr-TR" sz="1200" baseline="0">
              <a:solidFill>
                <a:schemeClr val="bg1"/>
              </a:solidFill>
            </a:rPr>
            <a:t> Su &amp; </a:t>
          </a:r>
          <a:r>
            <a:rPr lang="tr-TR" sz="1200" baseline="0">
              <a:solidFill>
                <a:srgbClr val="FFFF00"/>
              </a:solidFill>
            </a:rPr>
            <a:t>Pis Su Boru Hesabı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>
    <xdr:from>
      <xdr:col>19</xdr:col>
      <xdr:colOff>0</xdr:colOff>
      <xdr:row>25</xdr:row>
      <xdr:rowOff>0</xdr:rowOff>
    </xdr:from>
    <xdr:to>
      <xdr:col>24</xdr:col>
      <xdr:colOff>10027</xdr:colOff>
      <xdr:row>26</xdr:row>
      <xdr:rowOff>96375</xdr:rowOff>
    </xdr:to>
    <xdr:sp macro="" textlink="">
      <xdr:nvSpPr>
        <xdr:cNvPr id="30" name="Dikdörtgen 2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7A2B4AB-9C2A-4546-94F5-70E2A5BCC7BE}"/>
            </a:ext>
          </a:extLst>
        </xdr:cNvPr>
        <xdr:cNvSpPr/>
      </xdr:nvSpPr>
      <xdr:spPr>
        <a:xfrm>
          <a:off x="10534650" y="4105275"/>
          <a:ext cx="3058027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Doğalgaz Kazan Havalandırma</a:t>
          </a:r>
          <a:r>
            <a:rPr lang="tr-TR" sz="1200" baseline="0">
              <a:solidFill>
                <a:schemeClr val="bg1"/>
              </a:solidFill>
            </a:rPr>
            <a:t> Hesabı &amp; </a:t>
          </a:r>
          <a:r>
            <a:rPr lang="tr-TR" sz="1200" baseline="0">
              <a:solidFill>
                <a:srgbClr val="FFFF00"/>
              </a:solidFill>
            </a:rPr>
            <a:t>Sayaç 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>
    <xdr:from>
      <xdr:col>18</xdr:col>
      <xdr:colOff>610771</xdr:colOff>
      <xdr:row>31</xdr:row>
      <xdr:rowOff>20052</xdr:rowOff>
    </xdr:from>
    <xdr:to>
      <xdr:col>24</xdr:col>
      <xdr:colOff>9193</xdr:colOff>
      <xdr:row>32</xdr:row>
      <xdr:rowOff>116427</xdr:rowOff>
    </xdr:to>
    <xdr:sp macro="" textlink="">
      <xdr:nvSpPr>
        <xdr:cNvPr id="31" name="Dikdörtgen 30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F113473F-0025-4558-9108-C5B3C8CBE607}"/>
            </a:ext>
          </a:extLst>
        </xdr:cNvPr>
        <xdr:cNvSpPr/>
      </xdr:nvSpPr>
      <xdr:spPr>
        <a:xfrm>
          <a:off x="10535821" y="5268327"/>
          <a:ext cx="305602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Wc Fan Basınç Kayıp Hesabı</a:t>
          </a:r>
        </a:p>
      </xdr:txBody>
    </xdr:sp>
    <xdr:clientData/>
  </xdr:twoCellAnchor>
  <xdr:twoCellAnchor>
    <xdr:from>
      <xdr:col>18</xdr:col>
      <xdr:colOff>610771</xdr:colOff>
      <xdr:row>34</xdr:row>
      <xdr:rowOff>20052</xdr:rowOff>
    </xdr:from>
    <xdr:to>
      <xdr:col>24</xdr:col>
      <xdr:colOff>9193</xdr:colOff>
      <xdr:row>35</xdr:row>
      <xdr:rowOff>116427</xdr:rowOff>
    </xdr:to>
    <xdr:sp macro="" textlink="">
      <xdr:nvSpPr>
        <xdr:cNvPr id="32" name="Dikdörtgen 31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210A682-BB15-49D7-86E1-17C697DEDCDE}"/>
            </a:ext>
          </a:extLst>
        </xdr:cNvPr>
        <xdr:cNvSpPr/>
      </xdr:nvSpPr>
      <xdr:spPr>
        <a:xfrm>
          <a:off x="10535821" y="5858877"/>
          <a:ext cx="305602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Kanal Kesit Hesabı</a:t>
          </a:r>
        </a:p>
      </xdr:txBody>
    </xdr:sp>
    <xdr:clientData/>
  </xdr:twoCellAnchor>
  <xdr:twoCellAnchor>
    <xdr:from>
      <xdr:col>18</xdr:col>
      <xdr:colOff>610771</xdr:colOff>
      <xdr:row>37</xdr:row>
      <xdr:rowOff>10026</xdr:rowOff>
    </xdr:from>
    <xdr:to>
      <xdr:col>24</xdr:col>
      <xdr:colOff>9193</xdr:colOff>
      <xdr:row>38</xdr:row>
      <xdr:rowOff>106401</xdr:rowOff>
    </xdr:to>
    <xdr:sp macro="" textlink="">
      <xdr:nvSpPr>
        <xdr:cNvPr id="33" name="Dikdörtgen 32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50449586-1E7D-4E8E-9023-510B7B36F4BD}"/>
            </a:ext>
          </a:extLst>
        </xdr:cNvPr>
        <xdr:cNvSpPr/>
      </xdr:nvSpPr>
      <xdr:spPr>
        <a:xfrm>
          <a:off x="10535821" y="6420351"/>
          <a:ext cx="305602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Davlumbaz Hesabı</a:t>
          </a:r>
        </a:p>
      </xdr:txBody>
    </xdr:sp>
    <xdr:clientData/>
  </xdr:twoCellAnchor>
  <xdr:twoCellAnchor>
    <xdr:from>
      <xdr:col>25</xdr:col>
      <xdr:colOff>4019</xdr:colOff>
      <xdr:row>10</xdr:row>
      <xdr:rowOff>14592</xdr:rowOff>
    </xdr:from>
    <xdr:to>
      <xdr:col>30</xdr:col>
      <xdr:colOff>14046</xdr:colOff>
      <xdr:row>11</xdr:row>
      <xdr:rowOff>110967</xdr:rowOff>
    </xdr:to>
    <xdr:sp macro="" textlink="">
      <xdr:nvSpPr>
        <xdr:cNvPr id="34" name="Dikdörtgen 33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2213BB85-4572-4362-A33A-CC21ADFDDD81}"/>
            </a:ext>
          </a:extLst>
        </xdr:cNvPr>
        <xdr:cNvSpPr/>
      </xdr:nvSpPr>
      <xdr:spPr>
        <a:xfrm>
          <a:off x="14196269" y="1243317"/>
          <a:ext cx="3124702" cy="277350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Hidrofor</a:t>
          </a:r>
          <a:r>
            <a:rPr lang="tr-TR" sz="1200" baseline="0">
              <a:solidFill>
                <a:schemeClr val="bg1"/>
              </a:solidFill>
            </a:rPr>
            <a:t> Hesabı &amp; </a:t>
          </a:r>
          <a:r>
            <a:rPr lang="tr-TR" sz="1200" b="0" baseline="0">
              <a:solidFill>
                <a:srgbClr val="FFFF00"/>
              </a:solidFill>
            </a:rPr>
            <a:t>Su Deposu Hesabı</a:t>
          </a:r>
          <a:endParaRPr lang="tr-TR" sz="1200" b="0">
            <a:solidFill>
              <a:srgbClr val="FFFF00"/>
            </a:solidFill>
          </a:endParaRPr>
        </a:p>
      </xdr:txBody>
    </xdr:sp>
    <xdr:clientData/>
  </xdr:twoCellAnchor>
  <xdr:twoCellAnchor>
    <xdr:from>
      <xdr:col>25</xdr:col>
      <xdr:colOff>11687</xdr:colOff>
      <xdr:row>19</xdr:row>
      <xdr:rowOff>25796</xdr:rowOff>
    </xdr:from>
    <xdr:to>
      <xdr:col>30</xdr:col>
      <xdr:colOff>15226</xdr:colOff>
      <xdr:row>20</xdr:row>
      <xdr:rowOff>122171</xdr:rowOff>
    </xdr:to>
    <xdr:sp macro="" textlink="">
      <xdr:nvSpPr>
        <xdr:cNvPr id="35" name="Dikdörtgen 34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BFF88064-D293-46A6-9B0D-952AABDA4811}"/>
            </a:ext>
          </a:extLst>
        </xdr:cNvPr>
        <xdr:cNvSpPr/>
      </xdr:nvSpPr>
      <xdr:spPr>
        <a:xfrm>
          <a:off x="14203937" y="2988071"/>
          <a:ext cx="3118214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Bahçe Sulama Hesabı</a:t>
          </a:r>
        </a:p>
      </xdr:txBody>
    </xdr:sp>
    <xdr:clientData/>
  </xdr:twoCellAnchor>
  <xdr:twoCellAnchor>
    <xdr:from>
      <xdr:col>18</xdr:col>
      <xdr:colOff>592202</xdr:colOff>
      <xdr:row>28</xdr:row>
      <xdr:rowOff>25798</xdr:rowOff>
    </xdr:from>
    <xdr:to>
      <xdr:col>24</xdr:col>
      <xdr:colOff>11340</xdr:colOff>
      <xdr:row>29</xdr:row>
      <xdr:rowOff>122172</xdr:rowOff>
    </xdr:to>
    <xdr:sp macro="" textlink="">
      <xdr:nvSpPr>
        <xdr:cNvPr id="36" name="Dikdörtgen 35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959A6C91-244F-47CB-9723-C75AEA6FFF0B}"/>
            </a:ext>
          </a:extLst>
        </xdr:cNvPr>
        <xdr:cNvSpPr/>
      </xdr:nvSpPr>
      <xdr:spPr>
        <a:xfrm>
          <a:off x="10517252" y="4702573"/>
          <a:ext cx="3076738" cy="28687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Doğalgaz Regülatör Malzeme Hesabı</a:t>
          </a:r>
          <a:r>
            <a:rPr lang="tr-TR" sz="1200" baseline="0">
              <a:solidFill>
                <a:schemeClr val="bg1"/>
              </a:solidFill>
            </a:rPr>
            <a:t> 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15225</xdr:colOff>
      <xdr:row>13</xdr:row>
      <xdr:rowOff>25799</xdr:rowOff>
    </xdr:from>
    <xdr:to>
      <xdr:col>30</xdr:col>
      <xdr:colOff>25252</xdr:colOff>
      <xdr:row>14</xdr:row>
      <xdr:rowOff>122174</xdr:rowOff>
    </xdr:to>
    <xdr:sp macro="" textlink="">
      <xdr:nvSpPr>
        <xdr:cNvPr id="37" name="Dikdörtgen 36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344E0A44-2D96-4030-80F8-A24ADA479234}"/>
            </a:ext>
          </a:extLst>
        </xdr:cNvPr>
        <xdr:cNvSpPr/>
      </xdr:nvSpPr>
      <xdr:spPr>
        <a:xfrm>
          <a:off x="14207475" y="1845074"/>
          <a:ext cx="312470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Yağmur Suyu Boru &amp; </a:t>
          </a:r>
          <a:r>
            <a:rPr lang="tr-TR" sz="1200">
              <a:solidFill>
                <a:srgbClr val="FFFF00"/>
              </a:solidFill>
            </a:rPr>
            <a:t>Drenaj Kanal Hesabı</a:t>
          </a:r>
        </a:p>
      </xdr:txBody>
    </xdr:sp>
    <xdr:clientData/>
  </xdr:twoCellAnchor>
  <xdr:twoCellAnchor>
    <xdr:from>
      <xdr:col>25</xdr:col>
      <xdr:colOff>8501</xdr:colOff>
      <xdr:row>31</xdr:row>
      <xdr:rowOff>9199</xdr:rowOff>
    </xdr:from>
    <xdr:to>
      <xdr:col>30</xdr:col>
      <xdr:colOff>9003</xdr:colOff>
      <xdr:row>32</xdr:row>
      <xdr:rowOff>113194</xdr:rowOff>
    </xdr:to>
    <xdr:sp macro="" textlink="">
      <xdr:nvSpPr>
        <xdr:cNvPr id="38" name="Dikdörtgen 37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52263E2E-C5AC-4BC4-9A9C-55AEA454856F}"/>
            </a:ext>
          </a:extLst>
        </xdr:cNvPr>
        <xdr:cNvSpPr/>
      </xdr:nvSpPr>
      <xdr:spPr>
        <a:xfrm>
          <a:off x="14200751" y="5257474"/>
          <a:ext cx="3115177" cy="29449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Arıtma Cihazı Çalışma Prensibi</a:t>
          </a:r>
        </a:p>
      </xdr:txBody>
    </xdr:sp>
    <xdr:clientData/>
  </xdr:twoCellAnchor>
  <xdr:twoCellAnchor>
    <xdr:from>
      <xdr:col>25</xdr:col>
      <xdr:colOff>13211</xdr:colOff>
      <xdr:row>16</xdr:row>
      <xdr:rowOff>11898</xdr:rowOff>
    </xdr:from>
    <xdr:to>
      <xdr:col>30</xdr:col>
      <xdr:colOff>23238</xdr:colOff>
      <xdr:row>17</xdr:row>
      <xdr:rowOff>108273</xdr:rowOff>
    </xdr:to>
    <xdr:sp macro="" textlink="">
      <xdr:nvSpPr>
        <xdr:cNvPr id="39" name="Dikdörtgen 38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2C33AA29-C84F-4D69-A21E-0C588DFC571F}"/>
            </a:ext>
          </a:extLst>
        </xdr:cNvPr>
        <xdr:cNvSpPr/>
      </xdr:nvSpPr>
      <xdr:spPr>
        <a:xfrm>
          <a:off x="14205461" y="2402673"/>
          <a:ext cx="312470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bg1"/>
              </a:solidFill>
            </a:rPr>
            <a:t>Balkon ve Teras Süzgeç Hesabı 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24</xdr:col>
      <xdr:colOff>256043</xdr:colOff>
      <xdr:row>22</xdr:row>
      <xdr:rowOff>1494</xdr:rowOff>
    </xdr:from>
    <xdr:to>
      <xdr:col>24</xdr:col>
      <xdr:colOff>560929</xdr:colOff>
      <xdr:row>23</xdr:row>
      <xdr:rowOff>141195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6A38E911-990F-4C9C-BE90-B5F87EBA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838693" y="3535269"/>
          <a:ext cx="304886" cy="330201"/>
        </a:xfrm>
        <a:prstGeom prst="rect">
          <a:avLst/>
        </a:prstGeom>
      </xdr:spPr>
    </xdr:pic>
    <xdr:clientData/>
  </xdr:twoCellAnchor>
  <xdr:twoCellAnchor>
    <xdr:from>
      <xdr:col>25</xdr:col>
      <xdr:colOff>10160</xdr:colOff>
      <xdr:row>22</xdr:row>
      <xdr:rowOff>10160</xdr:rowOff>
    </xdr:from>
    <xdr:to>
      <xdr:col>30</xdr:col>
      <xdr:colOff>20187</xdr:colOff>
      <xdr:row>23</xdr:row>
      <xdr:rowOff>106535</xdr:rowOff>
    </xdr:to>
    <xdr:sp macro="" textlink="">
      <xdr:nvSpPr>
        <xdr:cNvPr id="41" name="Dikdörtgen 40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92C410D8-117E-4CC8-A71F-E1A952DA2D89}"/>
            </a:ext>
          </a:extLst>
        </xdr:cNvPr>
        <xdr:cNvSpPr/>
      </xdr:nvSpPr>
      <xdr:spPr>
        <a:xfrm>
          <a:off x="14202410" y="3543935"/>
          <a:ext cx="312470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Merkezi</a:t>
          </a:r>
          <a:r>
            <a:rPr lang="tr-TR" sz="1200" baseline="0">
              <a:solidFill>
                <a:schemeClr val="bg1"/>
              </a:solidFill>
            </a:rPr>
            <a:t> Toz Emme Hesabı (Vacuclean)</a:t>
          </a:r>
          <a:endParaRPr lang="tr-TR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15688</xdr:colOff>
      <xdr:row>28</xdr:row>
      <xdr:rowOff>21365</xdr:rowOff>
    </xdr:from>
    <xdr:to>
      <xdr:col>12</xdr:col>
      <xdr:colOff>16191</xdr:colOff>
      <xdr:row>29</xdr:row>
      <xdr:rowOff>117740</xdr:rowOff>
    </xdr:to>
    <xdr:sp macro="" textlink="">
      <xdr:nvSpPr>
        <xdr:cNvPr id="42" name="Dikdörtgen 4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6C289C7-440D-47D4-868C-E5004319C7F3}"/>
            </a:ext>
          </a:extLst>
        </xdr:cNvPr>
        <xdr:cNvSpPr/>
      </xdr:nvSpPr>
      <xdr:spPr>
        <a:xfrm>
          <a:off x="3235138" y="4698140"/>
          <a:ext cx="3048503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Havuz Eşanjör Hesabı-2</a:t>
          </a:r>
        </a:p>
      </xdr:txBody>
    </xdr:sp>
    <xdr:clientData/>
  </xdr:twoCellAnchor>
  <xdr:twoCellAnchor>
    <xdr:from>
      <xdr:col>19</xdr:col>
      <xdr:colOff>0</xdr:colOff>
      <xdr:row>40</xdr:row>
      <xdr:rowOff>22412</xdr:rowOff>
    </xdr:from>
    <xdr:to>
      <xdr:col>24</xdr:col>
      <xdr:colOff>28342</xdr:colOff>
      <xdr:row>41</xdr:row>
      <xdr:rowOff>118787</xdr:rowOff>
    </xdr:to>
    <xdr:sp macro="" textlink="">
      <xdr:nvSpPr>
        <xdr:cNvPr id="43" name="Dikdörtgen 42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18F370BC-0276-4D65-A71D-B6757D675B24}"/>
            </a:ext>
          </a:extLst>
        </xdr:cNvPr>
        <xdr:cNvSpPr/>
      </xdr:nvSpPr>
      <xdr:spPr>
        <a:xfrm>
          <a:off x="10534650" y="7004237"/>
          <a:ext cx="307634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Isı</a:t>
          </a:r>
          <a:r>
            <a:rPr lang="tr-TR" sz="1200" baseline="0">
              <a:solidFill>
                <a:schemeClr val="bg1"/>
              </a:solidFill>
            </a:rPr>
            <a:t> Geri Kazanım Cihaz </a:t>
          </a:r>
          <a:r>
            <a:rPr lang="tr-TR" sz="1200">
              <a:solidFill>
                <a:schemeClr val="bg1"/>
              </a:solidFill>
            </a:rPr>
            <a:t>Hesabı</a:t>
          </a:r>
        </a:p>
      </xdr:txBody>
    </xdr:sp>
    <xdr:clientData/>
  </xdr:twoCellAnchor>
  <xdr:twoCellAnchor>
    <xdr:from>
      <xdr:col>25</xdr:col>
      <xdr:colOff>11206</xdr:colOff>
      <xdr:row>28</xdr:row>
      <xdr:rowOff>22411</xdr:rowOff>
    </xdr:from>
    <xdr:to>
      <xdr:col>30</xdr:col>
      <xdr:colOff>21233</xdr:colOff>
      <xdr:row>29</xdr:row>
      <xdr:rowOff>118786</xdr:rowOff>
    </xdr:to>
    <xdr:sp macro="" textlink="">
      <xdr:nvSpPr>
        <xdr:cNvPr id="44" name="Dikdörtgen 43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27DE462A-D9D7-414E-9C17-E961853D6EF5}"/>
            </a:ext>
          </a:extLst>
        </xdr:cNvPr>
        <xdr:cNvSpPr/>
      </xdr:nvSpPr>
      <xdr:spPr>
        <a:xfrm>
          <a:off x="14203456" y="4699186"/>
          <a:ext cx="312470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İnşaat Hafriyat- Yoğunluk &amp; </a:t>
          </a:r>
          <a:r>
            <a:rPr lang="tr-TR" sz="1200" baseline="0">
              <a:solidFill>
                <a:srgbClr val="FFFF00"/>
              </a:solidFill>
            </a:rPr>
            <a:t>Yükleme Hesabı 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225613</xdr:colOff>
      <xdr:row>28</xdr:row>
      <xdr:rowOff>24637</xdr:rowOff>
    </xdr:from>
    <xdr:to>
      <xdr:col>24</xdr:col>
      <xdr:colOff>593912</xdr:colOff>
      <xdr:row>29</xdr:row>
      <xdr:rowOff>156294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AE0840EF-A7C2-4F51-B11B-9C6C8645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08263" y="4701412"/>
          <a:ext cx="368299" cy="3221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241301</xdr:colOff>
      <xdr:row>19</xdr:row>
      <xdr:rowOff>0</xdr:rowOff>
    </xdr:from>
    <xdr:to>
      <xdr:col>12</xdr:col>
      <xdr:colOff>569377</xdr:colOff>
      <xdr:row>21</xdr:row>
      <xdr:rowOff>20545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1E27A686-357F-4BC5-A821-A7A6C028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508751" y="2962275"/>
          <a:ext cx="328076" cy="401545"/>
        </a:xfrm>
        <a:prstGeom prst="rect">
          <a:avLst/>
        </a:prstGeom>
      </xdr:spPr>
    </xdr:pic>
    <xdr:clientData/>
  </xdr:twoCellAnchor>
  <xdr:twoCellAnchor editAs="oneCell">
    <xdr:from>
      <xdr:col>6</xdr:col>
      <xdr:colOff>222562</xdr:colOff>
      <xdr:row>13</xdr:row>
      <xdr:rowOff>9023</xdr:rowOff>
    </xdr:from>
    <xdr:to>
      <xdr:col>6</xdr:col>
      <xdr:colOff>552250</xdr:colOff>
      <xdr:row>15</xdr:row>
      <xdr:rowOff>16441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6BBD87F1-B19A-43E2-96ED-1C341338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16200000">
          <a:off x="2803047" y="1857663"/>
          <a:ext cx="388418" cy="3296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19</xdr:row>
      <xdr:rowOff>12700</xdr:rowOff>
    </xdr:from>
    <xdr:to>
      <xdr:col>6</xdr:col>
      <xdr:colOff>551932</xdr:colOff>
      <xdr:row>20</xdr:row>
      <xdr:rowOff>149393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5FA57B08-FFD1-426D-B063-E12CA40AD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00351" y="2974975"/>
          <a:ext cx="361431" cy="327193"/>
        </a:xfrm>
        <a:prstGeom prst="rect">
          <a:avLst/>
        </a:prstGeom>
      </xdr:spPr>
    </xdr:pic>
    <xdr:clientData/>
  </xdr:twoCellAnchor>
  <xdr:twoCellAnchor editAs="oneCell">
    <xdr:from>
      <xdr:col>24</xdr:col>
      <xdr:colOff>215643</xdr:colOff>
      <xdr:row>31</xdr:row>
      <xdr:rowOff>21470</xdr:rowOff>
    </xdr:from>
    <xdr:to>
      <xdr:col>25</xdr:col>
      <xdr:colOff>838</xdr:colOff>
      <xdr:row>32</xdr:row>
      <xdr:rowOff>167489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BBA490F5-A55A-4482-B460-5116C462C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98293" y="5269745"/>
          <a:ext cx="394795" cy="336519"/>
        </a:xfrm>
        <a:prstGeom prst="rect">
          <a:avLst/>
        </a:prstGeom>
      </xdr:spPr>
    </xdr:pic>
    <xdr:clientData/>
  </xdr:twoCellAnchor>
  <xdr:twoCellAnchor editAs="oneCell">
    <xdr:from>
      <xdr:col>12</xdr:col>
      <xdr:colOff>227766</xdr:colOff>
      <xdr:row>25</xdr:row>
      <xdr:rowOff>25400</xdr:rowOff>
    </xdr:from>
    <xdr:to>
      <xdr:col>12</xdr:col>
      <xdr:colOff>549814</xdr:colOff>
      <xdr:row>27</xdr:row>
      <xdr:rowOff>117632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13B12A9D-8BAC-4450-8A20-2C4BB01A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95216" y="4130675"/>
          <a:ext cx="322048" cy="473232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16</xdr:row>
      <xdr:rowOff>12700</xdr:rowOff>
    </xdr:from>
    <xdr:to>
      <xdr:col>12</xdr:col>
      <xdr:colOff>571500</xdr:colOff>
      <xdr:row>18</xdr:row>
      <xdr:rowOff>49927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E314F30-85A1-4D88-82AE-A1FE6A56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96050" y="2403475"/>
          <a:ext cx="342900" cy="418227"/>
        </a:xfrm>
        <a:prstGeom prst="rect">
          <a:avLst/>
        </a:prstGeom>
      </xdr:spPr>
    </xdr:pic>
    <xdr:clientData/>
  </xdr:twoCellAnchor>
  <xdr:twoCellAnchor editAs="oneCell">
    <xdr:from>
      <xdr:col>18</xdr:col>
      <xdr:colOff>241300</xdr:colOff>
      <xdr:row>37</xdr:row>
      <xdr:rowOff>0</xdr:rowOff>
    </xdr:from>
    <xdr:to>
      <xdr:col>18</xdr:col>
      <xdr:colOff>571501</xdr:colOff>
      <xdr:row>38</xdr:row>
      <xdr:rowOff>135893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A49D62F2-A1DE-4A93-956C-2D2329CF0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166350" y="6410325"/>
          <a:ext cx="330201" cy="326393"/>
        </a:xfrm>
        <a:prstGeom prst="rect">
          <a:avLst/>
        </a:prstGeom>
      </xdr:spPr>
    </xdr:pic>
    <xdr:clientData/>
  </xdr:twoCellAnchor>
  <xdr:twoCellAnchor editAs="oneCell">
    <xdr:from>
      <xdr:col>6</xdr:col>
      <xdr:colOff>214407</xdr:colOff>
      <xdr:row>10</xdr:row>
      <xdr:rowOff>21138</xdr:rowOff>
    </xdr:from>
    <xdr:to>
      <xdr:col>6</xdr:col>
      <xdr:colOff>566197</xdr:colOff>
      <xdr:row>12</xdr:row>
      <xdr:rowOff>198051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456BDCEF-A7FD-4826-8B41-43466B476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24257" y="1249863"/>
          <a:ext cx="351790" cy="472188"/>
        </a:xfrm>
        <a:prstGeom prst="rect">
          <a:avLst/>
        </a:prstGeom>
      </xdr:spPr>
    </xdr:pic>
    <xdr:clientData/>
  </xdr:twoCellAnchor>
  <xdr:twoCellAnchor editAs="oneCell">
    <xdr:from>
      <xdr:col>18</xdr:col>
      <xdr:colOff>212913</xdr:colOff>
      <xdr:row>10</xdr:row>
      <xdr:rowOff>35113</xdr:rowOff>
    </xdr:from>
    <xdr:to>
      <xdr:col>18</xdr:col>
      <xdr:colOff>584052</xdr:colOff>
      <xdr:row>12</xdr:row>
      <xdr:rowOff>116540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3C55A8F5-0AB2-492D-9191-B868C2D3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963" y="1263838"/>
          <a:ext cx="371139" cy="376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273424</xdr:colOff>
      <xdr:row>37</xdr:row>
      <xdr:rowOff>56030</xdr:rowOff>
    </xdr:from>
    <xdr:to>
      <xdr:col>6</xdr:col>
      <xdr:colOff>597142</xdr:colOff>
      <xdr:row>39</xdr:row>
      <xdr:rowOff>38126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52B2A867-79E8-470A-AC5C-F391DD0E4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3274" y="6466355"/>
          <a:ext cx="323718" cy="363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246014</xdr:colOff>
      <xdr:row>43</xdr:row>
      <xdr:rowOff>4790</xdr:rowOff>
    </xdr:from>
    <xdr:to>
      <xdr:col>18</xdr:col>
      <xdr:colOff>569979</xdr:colOff>
      <xdr:row>44</xdr:row>
      <xdr:rowOff>157656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EEC2D851-16FF-45EC-AF87-5FB05BAAF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1064" y="7558115"/>
          <a:ext cx="323965" cy="343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268193</xdr:colOff>
      <xdr:row>19</xdr:row>
      <xdr:rowOff>11206</xdr:rowOff>
    </xdr:from>
    <xdr:to>
      <xdr:col>18</xdr:col>
      <xdr:colOff>560292</xdr:colOff>
      <xdr:row>21</xdr:row>
      <xdr:rowOff>2320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7A5CEFDB-A2F8-4AE4-AECE-C43B69B95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3243" y="2973481"/>
          <a:ext cx="292099" cy="372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228600</xdr:colOff>
      <xdr:row>31</xdr:row>
      <xdr:rowOff>12700</xdr:rowOff>
    </xdr:from>
    <xdr:to>
      <xdr:col>12</xdr:col>
      <xdr:colOff>587480</xdr:colOff>
      <xdr:row>32</xdr:row>
      <xdr:rowOff>130808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FA1BB2AA-3EF8-422C-AB89-37428670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96050" y="5260975"/>
          <a:ext cx="358880" cy="308608"/>
        </a:xfrm>
        <a:prstGeom prst="rect">
          <a:avLst/>
        </a:prstGeom>
      </xdr:spPr>
    </xdr:pic>
    <xdr:clientData/>
  </xdr:twoCellAnchor>
  <xdr:twoCellAnchor editAs="oneCell">
    <xdr:from>
      <xdr:col>18</xdr:col>
      <xdr:colOff>255036</xdr:colOff>
      <xdr:row>24</xdr:row>
      <xdr:rowOff>177801</xdr:rowOff>
    </xdr:from>
    <xdr:to>
      <xdr:col>18</xdr:col>
      <xdr:colOff>571500</xdr:colOff>
      <xdr:row>26</xdr:row>
      <xdr:rowOff>168909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FE35A298-BE8F-4C55-8183-1EC79520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180086" y="4092576"/>
          <a:ext cx="316464" cy="372108"/>
        </a:xfrm>
        <a:prstGeom prst="rect">
          <a:avLst/>
        </a:prstGeom>
      </xdr:spPr>
    </xdr:pic>
    <xdr:clientData/>
  </xdr:twoCellAnchor>
  <xdr:twoCellAnchor editAs="oneCell">
    <xdr:from>
      <xdr:col>18</xdr:col>
      <xdr:colOff>241299</xdr:colOff>
      <xdr:row>34</xdr:row>
      <xdr:rowOff>14618</xdr:rowOff>
    </xdr:from>
    <xdr:to>
      <xdr:col>18</xdr:col>
      <xdr:colOff>571500</xdr:colOff>
      <xdr:row>35</xdr:row>
      <xdr:rowOff>167734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A5152B16-4229-43C4-BCF0-5C79730F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166349" y="5853443"/>
          <a:ext cx="330201" cy="343616"/>
        </a:xfrm>
        <a:prstGeom prst="rect">
          <a:avLst/>
        </a:prstGeom>
      </xdr:spPr>
    </xdr:pic>
    <xdr:clientData/>
  </xdr:twoCellAnchor>
  <xdr:twoCellAnchor editAs="oneCell">
    <xdr:from>
      <xdr:col>18</xdr:col>
      <xdr:colOff>230094</xdr:colOff>
      <xdr:row>40</xdr:row>
      <xdr:rowOff>9712</xdr:rowOff>
    </xdr:from>
    <xdr:to>
      <xdr:col>18</xdr:col>
      <xdr:colOff>561678</xdr:colOff>
      <xdr:row>41</xdr:row>
      <xdr:rowOff>136710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248C46F7-3919-4694-ABD9-B4E3A431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155144" y="6991537"/>
          <a:ext cx="331584" cy="317498"/>
        </a:xfrm>
        <a:prstGeom prst="rect">
          <a:avLst/>
        </a:prstGeom>
      </xdr:spPr>
    </xdr:pic>
    <xdr:clientData/>
  </xdr:twoCellAnchor>
  <xdr:twoCellAnchor editAs="oneCell">
    <xdr:from>
      <xdr:col>24</xdr:col>
      <xdr:colOff>165100</xdr:colOff>
      <xdr:row>10</xdr:row>
      <xdr:rowOff>8277</xdr:rowOff>
    </xdr:from>
    <xdr:to>
      <xdr:col>24</xdr:col>
      <xdr:colOff>592454</xdr:colOff>
      <xdr:row>12</xdr:row>
      <xdr:rowOff>26830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FD3F6F85-8F38-489E-85A3-061CD7F5F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3747750" y="1237002"/>
          <a:ext cx="427354" cy="313828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37</xdr:row>
      <xdr:rowOff>12701</xdr:rowOff>
    </xdr:from>
    <xdr:to>
      <xdr:col>12</xdr:col>
      <xdr:colOff>554991</xdr:colOff>
      <xdr:row>39</xdr:row>
      <xdr:rowOff>43877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3474F169-178D-4A2C-A1EC-8B553902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496050" y="6423026"/>
          <a:ext cx="326391" cy="412176"/>
        </a:xfrm>
        <a:prstGeom prst="rect">
          <a:avLst/>
        </a:prstGeom>
      </xdr:spPr>
    </xdr:pic>
    <xdr:clientData/>
  </xdr:twoCellAnchor>
  <xdr:twoCellAnchor editAs="oneCell">
    <xdr:from>
      <xdr:col>24</xdr:col>
      <xdr:colOff>214406</xdr:colOff>
      <xdr:row>16</xdr:row>
      <xdr:rowOff>23906</xdr:rowOff>
    </xdr:from>
    <xdr:to>
      <xdr:col>24</xdr:col>
      <xdr:colOff>599216</xdr:colOff>
      <xdr:row>17</xdr:row>
      <xdr:rowOff>148175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EEC3E7BC-17CB-47EE-B1D5-CA505BD9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797056" y="2414681"/>
          <a:ext cx="384810" cy="314769"/>
        </a:xfrm>
        <a:prstGeom prst="rect">
          <a:avLst/>
        </a:prstGeom>
      </xdr:spPr>
    </xdr:pic>
    <xdr:clientData/>
  </xdr:twoCellAnchor>
  <xdr:twoCellAnchor editAs="oneCell">
    <xdr:from>
      <xdr:col>24</xdr:col>
      <xdr:colOff>201706</xdr:colOff>
      <xdr:row>13</xdr:row>
      <xdr:rowOff>12701</xdr:rowOff>
    </xdr:from>
    <xdr:to>
      <xdr:col>24</xdr:col>
      <xdr:colOff>582707</xdr:colOff>
      <xdr:row>14</xdr:row>
      <xdr:rowOff>172621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65F6B414-8BB2-4E2F-87AC-A753AF03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3784356" y="1831976"/>
          <a:ext cx="381001" cy="350420"/>
        </a:xfrm>
        <a:prstGeom prst="rect">
          <a:avLst/>
        </a:prstGeom>
      </xdr:spPr>
    </xdr:pic>
    <xdr:clientData/>
  </xdr:twoCellAnchor>
  <xdr:twoCellAnchor editAs="oneCell">
    <xdr:from>
      <xdr:col>24</xdr:col>
      <xdr:colOff>266700</xdr:colOff>
      <xdr:row>19</xdr:row>
      <xdr:rowOff>12699</xdr:rowOff>
    </xdr:from>
    <xdr:to>
      <xdr:col>24</xdr:col>
      <xdr:colOff>554989</xdr:colOff>
      <xdr:row>20</xdr:row>
      <xdr:rowOff>173988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44D1ADBB-3486-49DD-8B7D-B37E88176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9350" y="2974974"/>
          <a:ext cx="288289" cy="351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217393</xdr:colOff>
      <xdr:row>22</xdr:row>
      <xdr:rowOff>12701</xdr:rowOff>
    </xdr:from>
    <xdr:to>
      <xdr:col>18</xdr:col>
      <xdr:colOff>576804</xdr:colOff>
      <xdr:row>23</xdr:row>
      <xdr:rowOff>172507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FCF3A49F-2A43-42F3-9565-529145F4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142443" y="3546476"/>
          <a:ext cx="359411" cy="350306"/>
        </a:xfrm>
        <a:prstGeom prst="rect">
          <a:avLst/>
        </a:prstGeom>
      </xdr:spPr>
    </xdr:pic>
    <xdr:clientData/>
  </xdr:twoCellAnchor>
  <xdr:twoCellAnchor editAs="oneCell">
    <xdr:from>
      <xdr:col>18</xdr:col>
      <xdr:colOff>215900</xdr:colOff>
      <xdr:row>16</xdr:row>
      <xdr:rowOff>12701</xdr:rowOff>
    </xdr:from>
    <xdr:to>
      <xdr:col>18</xdr:col>
      <xdr:colOff>588010</xdr:colOff>
      <xdr:row>18</xdr:row>
      <xdr:rowOff>20553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B054AC5E-220D-4D9D-9673-CE0894A55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140950" y="2403476"/>
          <a:ext cx="372110" cy="38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233036</xdr:colOff>
      <xdr:row>27</xdr:row>
      <xdr:rowOff>177801</xdr:rowOff>
    </xdr:from>
    <xdr:to>
      <xdr:col>12</xdr:col>
      <xdr:colOff>555087</xdr:colOff>
      <xdr:row>29</xdr:row>
      <xdr:rowOff>174130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23B170CB-EC9C-4481-879D-FEBEA468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500486" y="4664076"/>
          <a:ext cx="322051" cy="377329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241300</xdr:colOff>
      <xdr:row>22</xdr:row>
      <xdr:rowOff>1</xdr:rowOff>
    </xdr:from>
    <xdr:to>
      <xdr:col>12</xdr:col>
      <xdr:colOff>554991</xdr:colOff>
      <xdr:row>24</xdr:row>
      <xdr:rowOff>54610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126069AF-C8F8-44C0-893A-AF1D3834C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508750" y="3533776"/>
          <a:ext cx="313691" cy="435609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241300</xdr:colOff>
      <xdr:row>34</xdr:row>
      <xdr:rowOff>1</xdr:rowOff>
    </xdr:from>
    <xdr:to>
      <xdr:col>12</xdr:col>
      <xdr:colOff>554989</xdr:colOff>
      <xdr:row>36</xdr:row>
      <xdr:rowOff>16510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4381C3E4-93A1-415B-A785-028740686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508750" y="5838826"/>
          <a:ext cx="313689" cy="397509"/>
        </a:xfrm>
        <a:prstGeom prst="rect">
          <a:avLst/>
        </a:prstGeom>
      </xdr:spPr>
    </xdr:pic>
    <xdr:clientData/>
  </xdr:twoCellAnchor>
  <xdr:twoCellAnchor editAs="oneCell">
    <xdr:from>
      <xdr:col>6</xdr:col>
      <xdr:colOff>215897</xdr:colOff>
      <xdr:row>21</xdr:row>
      <xdr:rowOff>165100</xdr:rowOff>
    </xdr:from>
    <xdr:to>
      <xdr:col>6</xdr:col>
      <xdr:colOff>555987</xdr:colOff>
      <xdr:row>24</xdr:row>
      <xdr:rowOff>92712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F9E22A8E-6CD2-40B6-8EDD-561E5738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flipH="1">
          <a:off x="2825747" y="3508375"/>
          <a:ext cx="340090" cy="49911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228601</xdr:colOff>
      <xdr:row>25</xdr:row>
      <xdr:rowOff>12700</xdr:rowOff>
    </xdr:from>
    <xdr:to>
      <xdr:col>6</xdr:col>
      <xdr:colOff>573606</xdr:colOff>
      <xdr:row>27</xdr:row>
      <xdr:rowOff>54610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ECD887C1-F730-4BA9-9757-A4793EDA9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38451" y="4117975"/>
          <a:ext cx="345005" cy="422910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25</xdr:row>
      <xdr:rowOff>22411</xdr:rowOff>
    </xdr:from>
    <xdr:to>
      <xdr:col>30</xdr:col>
      <xdr:colOff>10027</xdr:colOff>
      <xdr:row>26</xdr:row>
      <xdr:rowOff>118786</xdr:rowOff>
    </xdr:to>
    <xdr:sp macro="" textlink="">
      <xdr:nvSpPr>
        <xdr:cNvPr id="74" name="Dikdörtgen 73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519AD3E-81B0-42C1-9D29-912AFF5F1F17}"/>
            </a:ext>
          </a:extLst>
        </xdr:cNvPr>
        <xdr:cNvSpPr/>
      </xdr:nvSpPr>
      <xdr:spPr>
        <a:xfrm>
          <a:off x="14192250" y="4127686"/>
          <a:ext cx="312470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Rögar</a:t>
          </a:r>
          <a:r>
            <a:rPr lang="tr-TR" sz="1200" baseline="0">
              <a:solidFill>
                <a:schemeClr val="bg1"/>
              </a:solidFill>
            </a:rPr>
            <a:t> Akar Kod &amp; </a:t>
          </a:r>
          <a:r>
            <a:rPr lang="tr-TR" sz="1200" baseline="0">
              <a:solidFill>
                <a:srgbClr val="FFFF00"/>
              </a:solidFill>
            </a:rPr>
            <a:t>Beton Künk Hesabı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>
    <xdr:from>
      <xdr:col>25</xdr:col>
      <xdr:colOff>22412</xdr:colOff>
      <xdr:row>39</xdr:row>
      <xdr:rowOff>168088</xdr:rowOff>
    </xdr:from>
    <xdr:to>
      <xdr:col>30</xdr:col>
      <xdr:colOff>32439</xdr:colOff>
      <xdr:row>41</xdr:row>
      <xdr:rowOff>73964</xdr:rowOff>
    </xdr:to>
    <xdr:sp macro="" textlink="">
      <xdr:nvSpPr>
        <xdr:cNvPr id="75" name="Dikdörtgen 74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F6DF795E-6CE4-4B99-BAD9-1439A6259A9F}"/>
            </a:ext>
          </a:extLst>
        </xdr:cNvPr>
        <xdr:cNvSpPr/>
      </xdr:nvSpPr>
      <xdr:spPr>
        <a:xfrm>
          <a:off x="14214662" y="6959413"/>
          <a:ext cx="3124702" cy="28687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Birim Dönüştür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216696</xdr:colOff>
      <xdr:row>25</xdr:row>
      <xdr:rowOff>21897</xdr:rowOff>
    </xdr:from>
    <xdr:to>
      <xdr:col>24</xdr:col>
      <xdr:colOff>564323</xdr:colOff>
      <xdr:row>27</xdr:row>
      <xdr:rowOff>10181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8E6975C6-1CBD-4556-9AD9-6B9AE43B3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799346" y="4127172"/>
          <a:ext cx="347627" cy="369284"/>
        </a:xfrm>
        <a:prstGeom prst="rect">
          <a:avLst/>
        </a:prstGeom>
      </xdr:spPr>
    </xdr:pic>
    <xdr:clientData/>
  </xdr:twoCellAnchor>
  <xdr:twoCellAnchor editAs="oneCell">
    <xdr:from>
      <xdr:col>11</xdr:col>
      <xdr:colOff>8130</xdr:colOff>
      <xdr:row>22</xdr:row>
      <xdr:rowOff>83596</xdr:rowOff>
    </xdr:from>
    <xdr:to>
      <xdr:col>11</xdr:col>
      <xdr:colOff>475862</xdr:colOff>
      <xdr:row>23</xdr:row>
      <xdr:rowOff>72906</xdr:rowOff>
    </xdr:to>
    <xdr:pic>
      <xdr:nvPicPr>
        <xdr:cNvPr id="77" name="Resim 76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EA81DE52-58AF-468E-8F9C-6A0D382E4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665980" y="3617371"/>
          <a:ext cx="467732" cy="179810"/>
        </a:xfrm>
        <a:prstGeom prst="rect">
          <a:avLst/>
        </a:prstGeom>
      </xdr:spPr>
    </xdr:pic>
    <xdr:clientData/>
  </xdr:twoCellAnchor>
  <xdr:twoCellAnchor editAs="oneCell">
    <xdr:from>
      <xdr:col>11</xdr:col>
      <xdr:colOff>10298</xdr:colOff>
      <xdr:row>13</xdr:row>
      <xdr:rowOff>61784</xdr:rowOff>
    </xdr:from>
    <xdr:to>
      <xdr:col>11</xdr:col>
      <xdr:colOff>478030</xdr:colOff>
      <xdr:row>14</xdr:row>
      <xdr:rowOff>54905</xdr:rowOff>
    </xdr:to>
    <xdr:pic>
      <xdr:nvPicPr>
        <xdr:cNvPr id="78" name="Resim 77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8A98547-C647-4D28-9267-4D62A39F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668148" y="1881059"/>
          <a:ext cx="467732" cy="183621"/>
        </a:xfrm>
        <a:prstGeom prst="rect">
          <a:avLst/>
        </a:prstGeom>
      </xdr:spPr>
    </xdr:pic>
    <xdr:clientData/>
  </xdr:twoCellAnchor>
  <xdr:twoCellAnchor editAs="oneCell">
    <xdr:from>
      <xdr:col>11</xdr:col>
      <xdr:colOff>16081</xdr:colOff>
      <xdr:row>19</xdr:row>
      <xdr:rowOff>62772</xdr:rowOff>
    </xdr:from>
    <xdr:to>
      <xdr:col>11</xdr:col>
      <xdr:colOff>480003</xdr:colOff>
      <xdr:row>20</xdr:row>
      <xdr:rowOff>55891</xdr:rowOff>
    </xdr:to>
    <xdr:pic>
      <xdr:nvPicPr>
        <xdr:cNvPr id="79" name="Resim 78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20C1153F-03D3-4D74-B5D2-3A8C1DC9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673931" y="3025047"/>
          <a:ext cx="463922" cy="183619"/>
        </a:xfrm>
        <a:prstGeom prst="rect">
          <a:avLst/>
        </a:prstGeom>
      </xdr:spPr>
    </xdr:pic>
    <xdr:clientData/>
  </xdr:twoCellAnchor>
  <xdr:twoCellAnchor editAs="oneCell">
    <xdr:from>
      <xdr:col>6</xdr:col>
      <xdr:colOff>219807</xdr:colOff>
      <xdr:row>16</xdr:row>
      <xdr:rowOff>20934</xdr:rowOff>
    </xdr:from>
    <xdr:to>
      <xdr:col>6</xdr:col>
      <xdr:colOff>555210</xdr:colOff>
      <xdr:row>18</xdr:row>
      <xdr:rowOff>14804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96131192-3E31-49EB-B558-1CB215DF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16200000">
          <a:off x="2809924" y="2431442"/>
          <a:ext cx="374870" cy="335403"/>
        </a:xfrm>
        <a:prstGeom prst="rect">
          <a:avLst/>
        </a:prstGeom>
      </xdr:spPr>
    </xdr:pic>
    <xdr:clientData/>
  </xdr:twoCellAnchor>
  <xdr:twoCellAnchor editAs="oneCell">
    <xdr:from>
      <xdr:col>12</xdr:col>
      <xdr:colOff>240742</xdr:colOff>
      <xdr:row>13</xdr:row>
      <xdr:rowOff>20934</xdr:rowOff>
    </xdr:from>
    <xdr:to>
      <xdr:col>12</xdr:col>
      <xdr:colOff>587452</xdr:colOff>
      <xdr:row>15</xdr:row>
      <xdr:rowOff>38402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7A76BA2E-D075-4AB3-BC3C-7C25E1484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508192" y="1840209"/>
          <a:ext cx="346710" cy="398468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224118</xdr:colOff>
      <xdr:row>28</xdr:row>
      <xdr:rowOff>0</xdr:rowOff>
    </xdr:from>
    <xdr:to>
      <xdr:col>6</xdr:col>
      <xdr:colOff>569123</xdr:colOff>
      <xdr:row>30</xdr:row>
      <xdr:rowOff>41911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864C9FB7-16AA-4F7F-BABB-AAA985DC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833968" y="4676775"/>
          <a:ext cx="345005" cy="42291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17</xdr:col>
      <xdr:colOff>599867</xdr:colOff>
      <xdr:row>44</xdr:row>
      <xdr:rowOff>103995</xdr:rowOff>
    </xdr:to>
    <xdr:sp macro="" textlink="">
      <xdr:nvSpPr>
        <xdr:cNvPr id="83" name="Dikdörtgen 82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06A07426-EFA6-48A7-8278-42C6F404CC8E}"/>
            </a:ext>
          </a:extLst>
        </xdr:cNvPr>
        <xdr:cNvSpPr/>
      </xdr:nvSpPr>
      <xdr:spPr>
        <a:xfrm>
          <a:off x="6877050" y="7553325"/>
          <a:ext cx="3038267" cy="29449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Temiz Su Genleşme Tankı Hesabı-2</a:t>
          </a:r>
        </a:p>
      </xdr:txBody>
    </xdr:sp>
    <xdr:clientData/>
  </xdr:twoCellAnchor>
  <xdr:twoCellAnchor editAs="oneCell">
    <xdr:from>
      <xdr:col>12</xdr:col>
      <xdr:colOff>219223</xdr:colOff>
      <xdr:row>42</xdr:row>
      <xdr:rowOff>175172</xdr:rowOff>
    </xdr:from>
    <xdr:to>
      <xdr:col>12</xdr:col>
      <xdr:colOff>551793</xdr:colOff>
      <xdr:row>44</xdr:row>
      <xdr:rowOff>149674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E7C94D88-64BE-467F-8006-5F7FCB0D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86673" y="7537997"/>
          <a:ext cx="332570" cy="355502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12</xdr:col>
      <xdr:colOff>28342</xdr:colOff>
      <xdr:row>41</xdr:row>
      <xdr:rowOff>96375</xdr:rowOff>
    </xdr:to>
    <xdr:sp macro="" textlink="">
      <xdr:nvSpPr>
        <xdr:cNvPr id="85" name="Dikdörtgen 84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ABB87B2F-168C-4320-A979-974FEDD52A14}"/>
            </a:ext>
          </a:extLst>
        </xdr:cNvPr>
        <xdr:cNvSpPr/>
      </xdr:nvSpPr>
      <xdr:spPr>
        <a:xfrm>
          <a:off x="3219450" y="6981825"/>
          <a:ext cx="3076342" cy="28687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Hava</a:t>
          </a:r>
          <a:r>
            <a:rPr lang="tr-TR" sz="1200" baseline="0">
              <a:solidFill>
                <a:schemeClr val="bg1"/>
              </a:solidFill>
            </a:rPr>
            <a:t> Kaynaklı I</a:t>
          </a:r>
          <a:r>
            <a:rPr lang="tr-TR" sz="1200">
              <a:solidFill>
                <a:schemeClr val="bg1"/>
              </a:solidFill>
            </a:rPr>
            <a:t>sı</a:t>
          </a:r>
          <a:r>
            <a:rPr lang="tr-TR" sz="1200" baseline="0">
              <a:solidFill>
                <a:schemeClr val="bg1"/>
              </a:solidFill>
            </a:rPr>
            <a:t> Pompası </a:t>
          </a:r>
          <a:r>
            <a:rPr lang="tr-TR" sz="1200">
              <a:solidFill>
                <a:schemeClr val="bg1"/>
              </a:solidFill>
            </a:rPr>
            <a:t>Hesabı-2 </a:t>
          </a:r>
          <a:endParaRPr lang="tr-TR" sz="12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6</xdr:col>
      <xdr:colOff>246530</xdr:colOff>
      <xdr:row>40</xdr:row>
      <xdr:rowOff>0</xdr:rowOff>
    </xdr:from>
    <xdr:to>
      <xdr:col>6</xdr:col>
      <xdr:colOff>570248</xdr:colOff>
      <xdr:row>41</xdr:row>
      <xdr:rowOff>172594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FE26EEF0-8F13-4E93-B08C-A4CCDBAB1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6380" y="6981825"/>
          <a:ext cx="323718" cy="363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9274</xdr:colOff>
      <xdr:row>43</xdr:row>
      <xdr:rowOff>4121</xdr:rowOff>
    </xdr:from>
    <xdr:to>
      <xdr:col>30</xdr:col>
      <xdr:colOff>28831</xdr:colOff>
      <xdr:row>44</xdr:row>
      <xdr:rowOff>93928</xdr:rowOff>
    </xdr:to>
    <xdr:sp macro="" textlink="">
      <xdr:nvSpPr>
        <xdr:cNvPr id="87" name="Dikdörtgen 86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EABDABBD-86D7-408B-AC18-641221451964}"/>
            </a:ext>
          </a:extLst>
        </xdr:cNvPr>
        <xdr:cNvSpPr/>
      </xdr:nvSpPr>
      <xdr:spPr>
        <a:xfrm>
          <a:off x="14201524" y="7557446"/>
          <a:ext cx="3134232" cy="280307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Tesisat Sembolleri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183932</xdr:colOff>
      <xdr:row>42</xdr:row>
      <xdr:rowOff>99220</xdr:rowOff>
    </xdr:from>
    <xdr:to>
      <xdr:col>25</xdr:col>
      <xdr:colOff>91</xdr:colOff>
      <xdr:row>44</xdr:row>
      <xdr:rowOff>148112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43A9136B-49BC-4DCE-9523-1A213A19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766582" y="7462045"/>
          <a:ext cx="425759" cy="429892"/>
        </a:xfrm>
        <a:prstGeom prst="rect">
          <a:avLst/>
        </a:prstGeom>
      </xdr:spPr>
    </xdr:pic>
    <xdr:clientData/>
  </xdr:twoCellAnchor>
  <xdr:oneCellAnchor>
    <xdr:from>
      <xdr:col>29</xdr:col>
      <xdr:colOff>38719</xdr:colOff>
      <xdr:row>46</xdr:row>
      <xdr:rowOff>15595</xdr:rowOff>
    </xdr:from>
    <xdr:ext cx="551196" cy="172258"/>
    <xdr:pic>
      <xdr:nvPicPr>
        <xdr:cNvPr id="89" name="Resim 88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7294E880-2A8B-46A0-8706-446CCAFEF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6736044" y="8140420"/>
          <a:ext cx="551196" cy="172258"/>
        </a:xfrm>
        <a:prstGeom prst="rect">
          <a:avLst/>
        </a:prstGeom>
      </xdr:spPr>
    </xdr:pic>
    <xdr:clientData/>
  </xdr:oneCellAnchor>
  <xdr:twoCellAnchor>
    <xdr:from>
      <xdr:col>25</xdr:col>
      <xdr:colOff>22412</xdr:colOff>
      <xdr:row>37</xdr:row>
      <xdr:rowOff>0</xdr:rowOff>
    </xdr:from>
    <xdr:to>
      <xdr:col>30</xdr:col>
      <xdr:colOff>34344</xdr:colOff>
      <xdr:row>38</xdr:row>
      <xdr:rowOff>92567</xdr:rowOff>
    </xdr:to>
    <xdr:sp macro="" textlink="">
      <xdr:nvSpPr>
        <xdr:cNvPr id="90" name="Dikdörtgen 89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45EC6DD-D68E-4A7E-9571-BAF530A41977}"/>
            </a:ext>
          </a:extLst>
        </xdr:cNvPr>
        <xdr:cNvSpPr/>
      </xdr:nvSpPr>
      <xdr:spPr>
        <a:xfrm>
          <a:off x="14214662" y="6410325"/>
          <a:ext cx="3126607" cy="283067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246272</xdr:colOff>
      <xdr:row>37</xdr:row>
      <xdr:rowOff>257</xdr:rowOff>
    </xdr:from>
    <xdr:to>
      <xdr:col>25</xdr:col>
      <xdr:colOff>1659</xdr:colOff>
      <xdr:row>38</xdr:row>
      <xdr:rowOff>152446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BF280ACD-19BE-4161-AA6C-E39259DF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828922" y="6410582"/>
          <a:ext cx="364987" cy="342689"/>
        </a:xfrm>
        <a:prstGeom prst="rect">
          <a:avLst/>
        </a:prstGeom>
      </xdr:spPr>
    </xdr:pic>
    <xdr:clientData/>
  </xdr:twoCellAnchor>
  <xdr:twoCellAnchor editAs="oneCell">
    <xdr:from>
      <xdr:col>6</xdr:col>
      <xdr:colOff>84481</xdr:colOff>
      <xdr:row>2</xdr:row>
      <xdr:rowOff>97895</xdr:rowOff>
    </xdr:from>
    <xdr:to>
      <xdr:col>8</xdr:col>
      <xdr:colOff>338857</xdr:colOff>
      <xdr:row>6</xdr:row>
      <xdr:rowOff>78662</xdr:rowOff>
    </xdr:to>
    <xdr:pic>
      <xdr:nvPicPr>
        <xdr:cNvPr id="92" name="Resim 91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37BF2588-8232-481E-A681-FFD2E57A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694331" y="97895"/>
          <a:ext cx="1225926" cy="780867"/>
        </a:xfrm>
        <a:prstGeom prst="rect">
          <a:avLst/>
        </a:prstGeom>
      </xdr:spPr>
    </xdr:pic>
    <xdr:clientData/>
  </xdr:twoCellAnchor>
  <xdr:twoCellAnchor>
    <xdr:from>
      <xdr:col>25</xdr:col>
      <xdr:colOff>22411</xdr:colOff>
      <xdr:row>34</xdr:row>
      <xdr:rowOff>33617</xdr:rowOff>
    </xdr:from>
    <xdr:to>
      <xdr:col>30</xdr:col>
      <xdr:colOff>34343</xdr:colOff>
      <xdr:row>35</xdr:row>
      <xdr:rowOff>126184</xdr:rowOff>
    </xdr:to>
    <xdr:sp macro="" textlink="">
      <xdr:nvSpPr>
        <xdr:cNvPr id="93" name="Dikdörtgen 92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79A4EF29-D609-4074-AB62-36B04D0FD49A}"/>
            </a:ext>
          </a:extLst>
        </xdr:cNvPr>
        <xdr:cNvSpPr/>
      </xdr:nvSpPr>
      <xdr:spPr>
        <a:xfrm>
          <a:off x="14214661" y="5872442"/>
          <a:ext cx="3126607" cy="283067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Boru Tesisat Yalıtım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24</xdr:col>
      <xdr:colOff>257480</xdr:colOff>
      <xdr:row>34</xdr:row>
      <xdr:rowOff>33621</xdr:rowOff>
    </xdr:from>
    <xdr:to>
      <xdr:col>25</xdr:col>
      <xdr:colOff>837</xdr:colOff>
      <xdr:row>36</xdr:row>
      <xdr:rowOff>0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7896F913-B548-4B15-93F0-304222206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840130" y="5872446"/>
          <a:ext cx="352957" cy="347379"/>
        </a:xfrm>
        <a:prstGeom prst="rect">
          <a:avLst/>
        </a:prstGeom>
      </xdr:spPr>
    </xdr:pic>
    <xdr:clientData/>
  </xdr:twoCellAnchor>
  <xdr:twoCellAnchor editAs="oneCell">
    <xdr:from>
      <xdr:col>12</xdr:col>
      <xdr:colOff>235324</xdr:colOff>
      <xdr:row>10</xdr:row>
      <xdr:rowOff>44824</xdr:rowOff>
    </xdr:from>
    <xdr:to>
      <xdr:col>12</xdr:col>
      <xdr:colOff>582034</xdr:colOff>
      <xdr:row>12</xdr:row>
      <xdr:rowOff>140732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B823E19C-3AB5-4CF6-9ECC-6AF3CE9D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502774" y="1273549"/>
          <a:ext cx="346710" cy="391183"/>
        </a:xfrm>
        <a:prstGeom prst="rect">
          <a:avLst/>
        </a:prstGeom>
      </xdr:spPr>
    </xdr:pic>
    <xdr:clientData/>
  </xdr:twoCellAnchor>
  <xdr:twoCellAnchor>
    <xdr:from>
      <xdr:col>13</xdr:col>
      <xdr:colOff>22411</xdr:colOff>
      <xdr:row>10</xdr:row>
      <xdr:rowOff>44824</xdr:rowOff>
    </xdr:from>
    <xdr:to>
      <xdr:col>18</xdr:col>
      <xdr:colOff>34343</xdr:colOff>
      <xdr:row>12</xdr:row>
      <xdr:rowOff>20848</xdr:rowOff>
    </xdr:to>
    <xdr:sp macro="" textlink="">
      <xdr:nvSpPr>
        <xdr:cNvPr id="96" name="Dikdörtgen 95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E7FE126-9666-4ABF-B67C-F86595E6DADC}"/>
            </a:ext>
          </a:extLst>
        </xdr:cNvPr>
        <xdr:cNvSpPr/>
      </xdr:nvSpPr>
      <xdr:spPr>
        <a:xfrm>
          <a:off x="6899461" y="1273549"/>
          <a:ext cx="3059932" cy="271299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Boru Çap Hesabı</a:t>
          </a:r>
        </a:p>
      </xdr:txBody>
    </xdr:sp>
    <xdr:clientData/>
  </xdr:twoCellAnchor>
  <xdr:twoCellAnchor editAs="oneCell">
    <xdr:from>
      <xdr:col>17</xdr:col>
      <xdr:colOff>78440</xdr:colOff>
      <xdr:row>10</xdr:row>
      <xdr:rowOff>78442</xdr:rowOff>
    </xdr:from>
    <xdr:to>
      <xdr:col>17</xdr:col>
      <xdr:colOff>557602</xdr:colOff>
      <xdr:row>11</xdr:row>
      <xdr:rowOff>50442</xdr:rowOff>
    </xdr:to>
    <xdr:pic>
      <xdr:nvPicPr>
        <xdr:cNvPr id="97" name="Resim 96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8D32AE54-0AF6-495C-88F4-AE372370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393890" y="1307167"/>
          <a:ext cx="479162" cy="191075"/>
        </a:xfrm>
        <a:prstGeom prst="rect">
          <a:avLst/>
        </a:prstGeom>
      </xdr:spPr>
    </xdr:pic>
    <xdr:clientData/>
  </xdr:twoCellAnchor>
  <xdr:twoCellAnchor editAs="oneCell">
    <xdr:from>
      <xdr:col>18</xdr:col>
      <xdr:colOff>212912</xdr:colOff>
      <xdr:row>13</xdr:row>
      <xdr:rowOff>33617</xdr:rowOff>
    </xdr:from>
    <xdr:to>
      <xdr:col>18</xdr:col>
      <xdr:colOff>584051</xdr:colOff>
      <xdr:row>15</xdr:row>
      <xdr:rowOff>36604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39475565-89E5-470A-9D28-000D6AF53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7962" y="1852892"/>
          <a:ext cx="371139" cy="383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12</xdr:col>
      <xdr:colOff>10027</xdr:colOff>
      <xdr:row>44</xdr:row>
      <xdr:rowOff>96374</xdr:rowOff>
    </xdr:to>
    <xdr:sp macro="" textlink="">
      <xdr:nvSpPr>
        <xdr:cNvPr id="99" name="Dikdörtgen 9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11B91A92-CD5F-4B53-BE57-D7145F913D59}"/>
            </a:ext>
          </a:extLst>
        </xdr:cNvPr>
        <xdr:cNvSpPr/>
      </xdr:nvSpPr>
      <xdr:spPr>
        <a:xfrm>
          <a:off x="3219450" y="7553325"/>
          <a:ext cx="3058027" cy="28687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Buhar Odası</a:t>
          </a:r>
          <a:r>
            <a:rPr lang="tr-TR" sz="1200" baseline="0">
              <a:solidFill>
                <a:schemeClr val="bg1"/>
              </a:solidFill>
            </a:rPr>
            <a:t> için Buhar Jeneratörü</a:t>
          </a:r>
          <a:r>
            <a:rPr lang="tr-TR" sz="1200">
              <a:solidFill>
                <a:schemeClr val="bg1"/>
              </a:solidFill>
            </a:rPr>
            <a:t> Hesabı</a:t>
          </a:r>
        </a:p>
      </xdr:txBody>
    </xdr:sp>
    <xdr:clientData/>
  </xdr:twoCellAnchor>
  <xdr:twoCellAnchor editAs="oneCell">
    <xdr:from>
      <xdr:col>6</xdr:col>
      <xdr:colOff>240861</xdr:colOff>
      <xdr:row>42</xdr:row>
      <xdr:rowOff>181857</xdr:rowOff>
    </xdr:from>
    <xdr:to>
      <xdr:col>6</xdr:col>
      <xdr:colOff>580258</xdr:colOff>
      <xdr:row>44</xdr:row>
      <xdr:rowOff>111148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D5EE983F-2F41-4F51-8A3E-BEE18BF5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50711" y="7544682"/>
          <a:ext cx="339397" cy="310291"/>
        </a:xfrm>
        <a:prstGeom prst="rect">
          <a:avLst/>
        </a:prstGeom>
      </xdr:spPr>
    </xdr:pic>
    <xdr:clientData/>
  </xdr:twoCellAnchor>
  <xdr:twoCellAnchor editAs="oneCell">
    <xdr:from>
      <xdr:col>24</xdr:col>
      <xdr:colOff>603175</xdr:colOff>
      <xdr:row>45</xdr:row>
      <xdr:rowOff>173621</xdr:rowOff>
    </xdr:from>
    <xdr:to>
      <xdr:col>26</xdr:col>
      <xdr:colOff>206768</xdr:colOff>
      <xdr:row>47</xdr:row>
      <xdr:rowOff>65924</xdr:rowOff>
    </xdr:to>
    <xdr:pic>
      <xdr:nvPicPr>
        <xdr:cNvPr id="101" name="Resim 100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7F0BA1A3-9B40-43DA-BEA9-883134A40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185825" y="8107946"/>
          <a:ext cx="889468" cy="273303"/>
        </a:xfrm>
        <a:prstGeom prst="rect">
          <a:avLst/>
        </a:prstGeom>
      </xdr:spPr>
    </xdr:pic>
    <xdr:clientData/>
  </xdr:twoCellAnchor>
  <xdr:twoCellAnchor editAs="oneCell">
    <xdr:from>
      <xdr:col>26</xdr:col>
      <xdr:colOff>289269</xdr:colOff>
      <xdr:row>45</xdr:row>
      <xdr:rowOff>170765</xdr:rowOff>
    </xdr:from>
    <xdr:to>
      <xdr:col>27</xdr:col>
      <xdr:colOff>349311</xdr:colOff>
      <xdr:row>47</xdr:row>
      <xdr:rowOff>48408</xdr:rowOff>
    </xdr:to>
    <xdr:pic>
      <xdr:nvPicPr>
        <xdr:cNvPr id="102" name="Resim 101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98906F24-19E1-4DF5-93E4-B6C3D752E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5157794" y="8105090"/>
          <a:ext cx="669642" cy="258643"/>
        </a:xfrm>
        <a:prstGeom prst="rect">
          <a:avLst/>
        </a:prstGeom>
      </xdr:spPr>
    </xdr:pic>
    <xdr:clientData/>
  </xdr:twoCellAnchor>
  <xdr:twoCellAnchor editAs="oneCell">
    <xdr:from>
      <xdr:col>27</xdr:col>
      <xdr:colOff>417052</xdr:colOff>
      <xdr:row>45</xdr:row>
      <xdr:rowOff>164538</xdr:rowOff>
    </xdr:from>
    <xdr:to>
      <xdr:col>28</xdr:col>
      <xdr:colOff>579255</xdr:colOff>
      <xdr:row>47</xdr:row>
      <xdr:rowOff>48409</xdr:rowOff>
    </xdr:to>
    <xdr:pic>
      <xdr:nvPicPr>
        <xdr:cNvPr id="103" name="Resim 10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9F771552-992C-4AC6-9EDB-09877CB5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5895177" y="8098863"/>
          <a:ext cx="771803" cy="264871"/>
        </a:xfrm>
        <a:prstGeom prst="rect">
          <a:avLst/>
        </a:prstGeom>
      </xdr:spPr>
    </xdr:pic>
    <xdr:clientData/>
  </xdr:twoCellAnchor>
  <xdr:twoCellAnchor editAs="oneCell">
    <xdr:from>
      <xdr:col>18</xdr:col>
      <xdr:colOff>251811</xdr:colOff>
      <xdr:row>28</xdr:row>
      <xdr:rowOff>21897</xdr:rowOff>
    </xdr:from>
    <xdr:to>
      <xdr:col>18</xdr:col>
      <xdr:colOff>568275</xdr:colOff>
      <xdr:row>30</xdr:row>
      <xdr:rowOff>13009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5CAF8340-F6D1-48D4-8C54-1C9E6998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176861" y="4698672"/>
          <a:ext cx="316464" cy="372112"/>
        </a:xfrm>
        <a:prstGeom prst="rect">
          <a:avLst/>
        </a:prstGeom>
      </xdr:spPr>
    </xdr:pic>
    <xdr:clientData/>
  </xdr:twoCellAnchor>
  <xdr:twoCellAnchor editAs="oneCell">
    <xdr:from>
      <xdr:col>24</xdr:col>
      <xdr:colOff>249621</xdr:colOff>
      <xdr:row>39</xdr:row>
      <xdr:rowOff>172982</xdr:rowOff>
    </xdr:from>
    <xdr:to>
      <xdr:col>24</xdr:col>
      <xdr:colOff>585336</xdr:colOff>
      <xdr:row>41</xdr:row>
      <xdr:rowOff>113861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B71673D4-54CF-44B4-892C-42D5F1A9E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832271" y="6964307"/>
          <a:ext cx="335715" cy="321879"/>
        </a:xfrm>
        <a:prstGeom prst="rect">
          <a:avLst/>
        </a:prstGeom>
      </xdr:spPr>
    </xdr:pic>
    <xdr:clientData/>
  </xdr:twoCellAnchor>
  <xdr:twoCellAnchor editAs="oneCell">
    <xdr:from>
      <xdr:col>25</xdr:col>
      <xdr:colOff>608811</xdr:colOff>
      <xdr:row>3</xdr:row>
      <xdr:rowOff>115114</xdr:rowOff>
    </xdr:from>
    <xdr:to>
      <xdr:col>26</xdr:col>
      <xdr:colOff>380761</xdr:colOff>
      <xdr:row>6</xdr:row>
      <xdr:rowOff>71946</xdr:rowOff>
    </xdr:to>
    <xdr:pic>
      <xdr:nvPicPr>
        <xdr:cNvPr id="106" name="Resim 105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6697D865-97E5-48FF-B80D-F363FCD0A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801061" y="315139"/>
          <a:ext cx="448225" cy="556907"/>
        </a:xfrm>
        <a:prstGeom prst="rect">
          <a:avLst/>
        </a:prstGeom>
      </xdr:spPr>
    </xdr:pic>
    <xdr:clientData/>
  </xdr:twoCellAnchor>
  <xdr:twoCellAnchor editAs="oneCell">
    <xdr:from>
      <xdr:col>12</xdr:col>
      <xdr:colOff>236483</xdr:colOff>
      <xdr:row>40</xdr:row>
      <xdr:rowOff>26276</xdr:rowOff>
    </xdr:from>
    <xdr:to>
      <xdr:col>12</xdr:col>
      <xdr:colOff>569053</xdr:colOff>
      <xdr:row>42</xdr:row>
      <xdr:rowOff>775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CCC03026-7ED7-414F-8B74-706F5254D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503933" y="7008101"/>
          <a:ext cx="332570" cy="355499"/>
        </a:xfrm>
        <a:prstGeom prst="rect">
          <a:avLst/>
        </a:prstGeom>
      </xdr:spPr>
    </xdr:pic>
    <xdr:clientData/>
  </xdr:twoCellAnchor>
  <xdr:twoCellAnchor editAs="oneCell">
    <xdr:from>
      <xdr:col>24</xdr:col>
      <xdr:colOff>430896</xdr:colOff>
      <xdr:row>3</xdr:row>
      <xdr:rowOff>158751</xdr:rowOff>
    </xdr:from>
    <xdr:to>
      <xdr:col>25</xdr:col>
      <xdr:colOff>612321</xdr:colOff>
      <xdr:row>6</xdr:row>
      <xdr:rowOff>80098</xdr:rowOff>
    </xdr:to>
    <xdr:pic>
      <xdr:nvPicPr>
        <xdr:cNvPr id="108" name="Resim 107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4313AFCD-BF23-4465-BE36-F5B12431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013546" y="358776"/>
          <a:ext cx="791025" cy="521422"/>
        </a:xfrm>
        <a:prstGeom prst="rect">
          <a:avLst/>
        </a:prstGeom>
      </xdr:spPr>
    </xdr:pic>
    <xdr:clientData/>
  </xdr:twoCellAnchor>
  <xdr:twoCellAnchor editAs="oneCell">
    <xdr:from>
      <xdr:col>24</xdr:col>
      <xdr:colOff>278945</xdr:colOff>
      <xdr:row>45</xdr:row>
      <xdr:rowOff>177143</xdr:rowOff>
    </xdr:from>
    <xdr:to>
      <xdr:col>24</xdr:col>
      <xdr:colOff>570857</xdr:colOff>
      <xdr:row>47</xdr:row>
      <xdr:rowOff>66949</xdr:rowOff>
    </xdr:to>
    <xdr:pic>
      <xdr:nvPicPr>
        <xdr:cNvPr id="109" name="Resim 108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0DEB9D31-65FA-49F6-839C-08A900DC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861595" y="8111468"/>
          <a:ext cx="291912" cy="270806"/>
        </a:xfrm>
        <a:prstGeom prst="rect">
          <a:avLst/>
        </a:prstGeom>
      </xdr:spPr>
    </xdr:pic>
    <xdr:clientData/>
  </xdr:twoCellAnchor>
  <xdr:twoCellAnchor>
    <xdr:from>
      <xdr:col>19</xdr:col>
      <xdr:colOff>11339</xdr:colOff>
      <xdr:row>46</xdr:row>
      <xdr:rowOff>0</xdr:rowOff>
    </xdr:from>
    <xdr:to>
      <xdr:col>24</xdr:col>
      <xdr:colOff>34017</xdr:colOff>
      <xdr:row>47</xdr:row>
      <xdr:rowOff>89807</xdr:rowOff>
    </xdr:to>
    <xdr:sp macro="" textlink="">
      <xdr:nvSpPr>
        <xdr:cNvPr id="110" name="Dikdörtgen 109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0B323E5F-AE46-45CA-932B-901D72C8E56E}"/>
            </a:ext>
          </a:extLst>
        </xdr:cNvPr>
        <xdr:cNvSpPr/>
      </xdr:nvSpPr>
      <xdr:spPr>
        <a:xfrm>
          <a:off x="10545989" y="8124825"/>
          <a:ext cx="3070678" cy="280307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Islak Hacim - İşçilik Hesabı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18</xdr:col>
      <xdr:colOff>219180</xdr:colOff>
      <xdr:row>45</xdr:row>
      <xdr:rowOff>149692</xdr:rowOff>
    </xdr:from>
    <xdr:to>
      <xdr:col>18</xdr:col>
      <xdr:colOff>578303</xdr:colOff>
      <xdr:row>47</xdr:row>
      <xdr:rowOff>99491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A39C9C1D-C55F-4F39-8E98-2E6A7DE1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144230" y="8084017"/>
          <a:ext cx="359123" cy="330799"/>
        </a:xfrm>
        <a:prstGeom prst="rect">
          <a:avLst/>
        </a:prstGeom>
      </xdr:spPr>
    </xdr:pic>
    <xdr:clientData/>
  </xdr:twoCellAnchor>
  <xdr:twoCellAnchor editAs="oneCell">
    <xdr:from>
      <xdr:col>6</xdr:col>
      <xdr:colOff>226786</xdr:colOff>
      <xdr:row>45</xdr:row>
      <xdr:rowOff>158752</xdr:rowOff>
    </xdr:from>
    <xdr:to>
      <xdr:col>6</xdr:col>
      <xdr:colOff>578303</xdr:colOff>
      <xdr:row>47</xdr:row>
      <xdr:rowOff>99011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BC5A5970-A23F-4449-AE1C-A48D0B2E9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836636" y="8093077"/>
          <a:ext cx="351517" cy="32125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12</xdr:col>
      <xdr:colOff>10027</xdr:colOff>
      <xdr:row>47</xdr:row>
      <xdr:rowOff>96374</xdr:rowOff>
    </xdr:to>
    <xdr:sp macro="" textlink="">
      <xdr:nvSpPr>
        <xdr:cNvPr id="113" name="Dikdörtgen 112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C127E4D-2D9C-45D5-BA5D-11E99A0FADFB}"/>
            </a:ext>
          </a:extLst>
        </xdr:cNvPr>
        <xdr:cNvSpPr/>
      </xdr:nvSpPr>
      <xdr:spPr>
        <a:xfrm>
          <a:off x="3219450" y="8124825"/>
          <a:ext cx="3058027" cy="28687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Nem</a:t>
          </a:r>
          <a:r>
            <a:rPr lang="tr-TR" sz="1200" baseline="0">
              <a:solidFill>
                <a:schemeClr val="bg1"/>
              </a:solidFill>
            </a:rPr>
            <a:t> Alma Cihaz</a:t>
          </a:r>
          <a:r>
            <a:rPr lang="tr-TR" sz="1200">
              <a:solidFill>
                <a:schemeClr val="bg1"/>
              </a:solidFill>
            </a:rPr>
            <a:t> Hesabı</a:t>
          </a:r>
        </a:p>
      </xdr:txBody>
    </xdr:sp>
    <xdr:clientData/>
  </xdr:twoCellAnchor>
  <xdr:twoCellAnchor editAs="oneCell">
    <xdr:from>
      <xdr:col>12</xdr:col>
      <xdr:colOff>204108</xdr:colOff>
      <xdr:row>46</xdr:row>
      <xdr:rowOff>0</xdr:rowOff>
    </xdr:from>
    <xdr:to>
      <xdr:col>12</xdr:col>
      <xdr:colOff>569526</xdr:colOff>
      <xdr:row>47</xdr:row>
      <xdr:rowOff>113393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16805800-10FE-4EAF-8D95-B9A23E76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471558" y="8124825"/>
          <a:ext cx="365418" cy="303893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18</xdr:col>
      <xdr:colOff>10027</xdr:colOff>
      <xdr:row>47</xdr:row>
      <xdr:rowOff>96374</xdr:rowOff>
    </xdr:to>
    <xdr:sp macro="" textlink="">
      <xdr:nvSpPr>
        <xdr:cNvPr id="115" name="Dikdörtgen 114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B2C6B9EE-6F8B-4839-BB19-A511868F162E}"/>
            </a:ext>
          </a:extLst>
        </xdr:cNvPr>
        <xdr:cNvSpPr/>
      </xdr:nvSpPr>
      <xdr:spPr>
        <a:xfrm>
          <a:off x="6877050" y="8124825"/>
          <a:ext cx="3058027" cy="286874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>
              <a:solidFill>
                <a:schemeClr val="bg1"/>
              </a:solidFill>
            </a:rPr>
            <a:t>Sarnıç Hesabı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220078</xdr:colOff>
      <xdr:row>0</xdr:row>
      <xdr:rowOff>152549</xdr:rowOff>
    </xdr:from>
    <xdr:to>
      <xdr:col>17</xdr:col>
      <xdr:colOff>40106</xdr:colOff>
      <xdr:row>37</xdr:row>
      <xdr:rowOff>179970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8CF988EF-8965-420A-BDFC-B8217DD8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78" y="152549"/>
          <a:ext cx="10183228" cy="7075921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47099F-644E-45DD-B05B-981D3770A62A}"/>
            </a:ext>
          </a:extLst>
        </xdr:cNvPr>
        <xdr:cNvSpPr/>
      </xdr:nvSpPr>
      <xdr:spPr>
        <a:xfrm>
          <a:off x="115824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Bahçe Sulama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38100</xdr:colOff>
      <xdr:row>16</xdr:row>
      <xdr:rowOff>183286</xdr:rowOff>
    </xdr:from>
    <xdr:to>
      <xdr:col>23</xdr:col>
      <xdr:colOff>180975</xdr:colOff>
      <xdr:row>19</xdr:row>
      <xdr:rowOff>166427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F424B1E-0FB3-4D1C-8D5A-F58000CF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3231286"/>
          <a:ext cx="752475" cy="554641"/>
        </a:xfrm>
        <a:prstGeom prst="rect">
          <a:avLst/>
        </a:prstGeom>
      </xdr:spPr>
    </xdr:pic>
    <xdr:clientData/>
  </xdr:twoCellAnchor>
  <xdr:oneCellAnchor>
    <xdr:from>
      <xdr:col>18</xdr:col>
      <xdr:colOff>276726</xdr:colOff>
      <xdr:row>12</xdr:row>
      <xdr:rowOff>163094</xdr:rowOff>
    </xdr:from>
    <xdr:ext cx="288289" cy="354057"/>
    <xdr:pic>
      <xdr:nvPicPr>
        <xdr:cNvPr id="7" name="Resim 6">
          <a:extLst>
            <a:ext uri="{FF2B5EF4-FFF2-40B4-BE49-F238E27FC236}">
              <a16:creationId xmlns:a16="http://schemas.microsoft.com/office/drawing/2014/main" id="{0C1709F6-A72D-480F-A487-762D9B63E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5621" y="2449094"/>
          <a:ext cx="288289" cy="354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220078</xdr:colOff>
      <xdr:row>0</xdr:row>
      <xdr:rowOff>152549</xdr:rowOff>
    </xdr:from>
    <xdr:to>
      <xdr:col>17</xdr:col>
      <xdr:colOff>40106</xdr:colOff>
      <xdr:row>37</xdr:row>
      <xdr:rowOff>179970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EBCB93B4-BA36-4B4E-933B-06B60506D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78" y="152549"/>
          <a:ext cx="10183228" cy="7075921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4" name="Dikdörtgen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BA1D20-AFAF-46A3-8AFF-CF30A8881AC8}"/>
            </a:ext>
          </a:extLst>
        </xdr:cNvPr>
        <xdr:cNvSpPr/>
      </xdr:nvSpPr>
      <xdr:spPr>
        <a:xfrm>
          <a:off x="115824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Klima Hesabı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38100</xdr:colOff>
      <xdr:row>16</xdr:row>
      <xdr:rowOff>183286</xdr:rowOff>
    </xdr:from>
    <xdr:to>
      <xdr:col>23</xdr:col>
      <xdr:colOff>180975</xdr:colOff>
      <xdr:row>19</xdr:row>
      <xdr:rowOff>166427</xdr:rowOff>
    </xdr:to>
    <xdr:pic>
      <xdr:nvPicPr>
        <xdr:cNvPr id="5" name="Resim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2102BF-8637-4A43-9E94-AA7623FD0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3231286"/>
          <a:ext cx="752475" cy="554641"/>
        </a:xfrm>
        <a:prstGeom prst="rect">
          <a:avLst/>
        </a:prstGeom>
      </xdr:spPr>
    </xdr:pic>
    <xdr:clientData/>
  </xdr:twoCellAnchor>
  <xdr:oneCellAnchor>
    <xdr:from>
      <xdr:col>18</xdr:col>
      <xdr:colOff>210042</xdr:colOff>
      <xdr:row>12</xdr:row>
      <xdr:rowOff>149837</xdr:rowOff>
    </xdr:from>
    <xdr:ext cx="349659" cy="380629"/>
    <xdr:pic>
      <xdr:nvPicPr>
        <xdr:cNvPr id="10" name="Resim 9">
          <a:extLst>
            <a:ext uri="{FF2B5EF4-FFF2-40B4-BE49-F238E27FC236}">
              <a16:creationId xmlns:a16="http://schemas.microsoft.com/office/drawing/2014/main" id="{162A3396-61C8-43EA-9A57-5FEEF7225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18937" y="2435837"/>
          <a:ext cx="349659" cy="38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220078</xdr:colOff>
      <xdr:row>0</xdr:row>
      <xdr:rowOff>152549</xdr:rowOff>
    </xdr:from>
    <xdr:to>
      <xdr:col>17</xdr:col>
      <xdr:colOff>40106</xdr:colOff>
      <xdr:row>37</xdr:row>
      <xdr:rowOff>179970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C468C3C-6876-422E-B878-76C0F381D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78" y="152549"/>
          <a:ext cx="10217317" cy="7075921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9</xdr:row>
      <xdr:rowOff>0</xdr:rowOff>
    </xdr:from>
    <xdr:to>
      <xdr:col>23</xdr:col>
      <xdr:colOff>457200</xdr:colOff>
      <xdr:row>10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D952547-7384-45A4-A739-020D5095E35A}"/>
            </a:ext>
          </a:extLst>
        </xdr:cNvPr>
        <xdr:cNvSpPr/>
      </xdr:nvSpPr>
      <xdr:spPr>
        <a:xfrm>
          <a:off x="11582400" y="11430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Hava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Kaynaklı Isı Pompa Hesabı-1 </a:t>
          </a:r>
          <a:endParaRPr lang="tr-TR">
            <a:effectLst/>
          </a:endParaRPr>
        </a:p>
      </xdr:txBody>
    </xdr:sp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5" name="Dikdört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4B1C45-6B8E-4915-9F39-4A17E635B281}"/>
            </a:ext>
          </a:extLst>
        </xdr:cNvPr>
        <xdr:cNvSpPr/>
      </xdr:nvSpPr>
      <xdr:spPr>
        <a:xfrm>
          <a:off x="11582400" y="19050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Hava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Kaynaklı Isı Pompa Hesabı-2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38100</xdr:colOff>
      <xdr:row>16</xdr:row>
      <xdr:rowOff>183286</xdr:rowOff>
    </xdr:from>
    <xdr:to>
      <xdr:col>23</xdr:col>
      <xdr:colOff>180975</xdr:colOff>
      <xdr:row>19</xdr:row>
      <xdr:rowOff>166427</xdr:rowOff>
    </xdr:to>
    <xdr:pic>
      <xdr:nvPicPr>
        <xdr:cNvPr id="7" name="Resim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AC0A95F-D35E-4E98-A35C-4B974FDC0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9300" y="3231286"/>
          <a:ext cx="752475" cy="554641"/>
        </a:xfrm>
        <a:prstGeom prst="rect">
          <a:avLst/>
        </a:prstGeom>
      </xdr:spPr>
    </xdr:pic>
    <xdr:clientData/>
  </xdr:twoCellAnchor>
  <xdr:twoCellAnchor editAs="oneCell">
    <xdr:from>
      <xdr:col>17</xdr:col>
      <xdr:colOff>211054</xdr:colOff>
      <xdr:row>0</xdr:row>
      <xdr:rowOff>138864</xdr:rowOff>
    </xdr:from>
    <xdr:to>
      <xdr:col>18</xdr:col>
      <xdr:colOff>254361</xdr:colOff>
      <xdr:row>4</xdr:row>
      <xdr:rowOff>53139</xdr:rowOff>
    </xdr:to>
    <xdr:pic>
      <xdr:nvPicPr>
        <xdr:cNvPr id="8" name="Resim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27D0B9C-BCDD-4E4C-B74F-07307ECC8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08343" y="138864"/>
          <a:ext cx="654913" cy="676275"/>
        </a:xfrm>
        <a:prstGeom prst="rect">
          <a:avLst/>
        </a:prstGeom>
      </xdr:spPr>
    </xdr:pic>
    <xdr:clientData/>
  </xdr:twoCellAnchor>
  <xdr:twoCellAnchor editAs="oneCell">
    <xdr:from>
      <xdr:col>17</xdr:col>
      <xdr:colOff>601078</xdr:colOff>
      <xdr:row>3</xdr:row>
      <xdr:rowOff>120817</xdr:rowOff>
    </xdr:from>
    <xdr:to>
      <xdr:col>18</xdr:col>
      <xdr:colOff>244849</xdr:colOff>
      <xdr:row>4</xdr:row>
      <xdr:rowOff>35092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79778800-17F1-4E96-815E-3FC4C4A0D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98367" y="692317"/>
          <a:ext cx="255377" cy="104775"/>
        </a:xfrm>
        <a:prstGeom prst="rect">
          <a:avLst/>
        </a:prstGeom>
      </xdr:spPr>
    </xdr:pic>
    <xdr:clientData/>
  </xdr:twoCellAnchor>
  <xdr:oneCellAnchor>
    <xdr:from>
      <xdr:col>18</xdr:col>
      <xdr:colOff>187699</xdr:colOff>
      <xdr:row>8</xdr:row>
      <xdr:rowOff>160805</xdr:rowOff>
    </xdr:from>
    <xdr:ext cx="323718" cy="367632"/>
    <xdr:pic>
      <xdr:nvPicPr>
        <xdr:cNvPr id="11" name="Resim 10">
          <a:extLst>
            <a:ext uri="{FF2B5EF4-FFF2-40B4-BE49-F238E27FC236}">
              <a16:creationId xmlns:a16="http://schemas.microsoft.com/office/drawing/2014/main" id="{269472BC-39E7-475E-B8B4-97C28040C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0499" y="1113305"/>
          <a:ext cx="323718" cy="367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208430</xdr:colOff>
      <xdr:row>12</xdr:row>
      <xdr:rowOff>142875</xdr:rowOff>
    </xdr:from>
    <xdr:ext cx="323718" cy="365362"/>
    <xdr:pic>
      <xdr:nvPicPr>
        <xdr:cNvPr id="13" name="Resim 12">
          <a:extLst>
            <a:ext uri="{FF2B5EF4-FFF2-40B4-BE49-F238E27FC236}">
              <a16:creationId xmlns:a16="http://schemas.microsoft.com/office/drawing/2014/main" id="{EF6C2702-3FEF-42B4-BA64-39F204724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1230" y="1857375"/>
          <a:ext cx="323718" cy="365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5D2CC93F-9D18-4BCA-A4A0-9C7D4DC86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513378" cy="730787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9</xdr:row>
      <xdr:rowOff>0</xdr:rowOff>
    </xdr:from>
    <xdr:to>
      <xdr:col>23</xdr:col>
      <xdr:colOff>457200</xdr:colOff>
      <xdr:row>10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AB3141-F1E4-4805-B1BF-DE527D716CF0}"/>
            </a:ext>
          </a:extLst>
        </xdr:cNvPr>
        <xdr:cNvSpPr/>
      </xdr:nvSpPr>
      <xdr:spPr>
        <a:xfrm>
          <a:off x="11582400" y="1714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Yağmur Suyu Boru &amp; Drenaj Kanal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4" name="Dikdört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03BAA9-7BEA-4A98-9ECC-125E55DE9D2E}"/>
            </a:ext>
          </a:extLst>
        </xdr:cNvPr>
        <xdr:cNvSpPr/>
      </xdr:nvSpPr>
      <xdr:spPr>
        <a:xfrm>
          <a:off x="115824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Balkon ve Teras Süzgeç Hesabı 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48568</xdr:colOff>
      <xdr:row>21</xdr:row>
      <xdr:rowOff>5347</xdr:rowOff>
    </xdr:from>
    <xdr:to>
      <xdr:col>23</xdr:col>
      <xdr:colOff>191443</xdr:colOff>
      <xdr:row>23</xdr:row>
      <xdr:rowOff>176894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5EBCB9D-22AB-44D3-AC76-A0927B5C4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04502" y="3961885"/>
          <a:ext cx="749963" cy="548361"/>
        </a:xfrm>
        <a:prstGeom prst="rect">
          <a:avLst/>
        </a:prstGeom>
      </xdr:spPr>
    </xdr:pic>
    <xdr:clientData/>
  </xdr:twoCellAnchor>
  <xdr:oneCellAnchor>
    <xdr:from>
      <xdr:col>18</xdr:col>
      <xdr:colOff>183005</xdr:colOff>
      <xdr:row>12</xdr:row>
      <xdr:rowOff>170444</xdr:rowOff>
    </xdr:from>
    <xdr:ext cx="384810" cy="317037"/>
    <xdr:pic>
      <xdr:nvPicPr>
        <xdr:cNvPr id="10" name="Resim 9">
          <a:extLst>
            <a:ext uri="{FF2B5EF4-FFF2-40B4-BE49-F238E27FC236}">
              <a16:creationId xmlns:a16="http://schemas.microsoft.com/office/drawing/2014/main" id="{89914D3F-CA59-4F60-B3C0-34EF5BCD2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10587" y="2431323"/>
          <a:ext cx="384810" cy="317037"/>
        </a:xfrm>
        <a:prstGeom prst="rect">
          <a:avLst/>
        </a:prstGeom>
      </xdr:spPr>
    </xdr:pic>
    <xdr:clientData/>
  </xdr:oneCellAnchor>
  <xdr:oneCellAnchor>
    <xdr:from>
      <xdr:col>18</xdr:col>
      <xdr:colOff>180772</xdr:colOff>
      <xdr:row>8</xdr:row>
      <xdr:rowOff>169707</xdr:rowOff>
    </xdr:from>
    <xdr:ext cx="381001" cy="352688"/>
    <xdr:pic>
      <xdr:nvPicPr>
        <xdr:cNvPr id="11" name="Resim 10">
          <a:extLst>
            <a:ext uri="{FF2B5EF4-FFF2-40B4-BE49-F238E27FC236}">
              <a16:creationId xmlns:a16="http://schemas.microsoft.com/office/drawing/2014/main" id="{5158E9C5-ED4B-4B13-A528-3102863C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8354" y="1676960"/>
          <a:ext cx="381001" cy="352688"/>
        </a:xfrm>
        <a:prstGeom prst="rect">
          <a:avLst/>
        </a:prstGeom>
      </xdr:spPr>
    </xdr:pic>
    <xdr:clientData/>
  </xdr:oneCellAnchor>
  <xdr:oneCellAnchor>
    <xdr:from>
      <xdr:col>18</xdr:col>
      <xdr:colOff>193641</xdr:colOff>
      <xdr:row>16</xdr:row>
      <xdr:rowOff>188406</xdr:rowOff>
    </xdr:from>
    <xdr:ext cx="365418" cy="306161"/>
    <xdr:pic>
      <xdr:nvPicPr>
        <xdr:cNvPr id="12" name="Resim 11">
          <a:extLst>
            <a:ext uri="{FF2B5EF4-FFF2-40B4-BE49-F238E27FC236}">
              <a16:creationId xmlns:a16="http://schemas.microsoft.com/office/drawing/2014/main" id="{E90D6DF4-05C3-427C-919E-7AA88D4A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1223" y="2449285"/>
          <a:ext cx="365418" cy="306161"/>
        </a:xfrm>
        <a:prstGeom prst="rect">
          <a:avLst/>
        </a:prstGeom>
      </xdr:spPr>
    </xdr:pic>
    <xdr:clientData/>
  </xdr:oneCellAnchor>
  <xdr:twoCellAnchor>
    <xdr:from>
      <xdr:col>19</xdr:col>
      <xdr:colOff>0</xdr:colOff>
      <xdr:row>17</xdr:row>
      <xdr:rowOff>0</xdr:rowOff>
    </xdr:from>
    <xdr:to>
      <xdr:col>23</xdr:col>
      <xdr:colOff>457200</xdr:colOff>
      <xdr:row>18</xdr:row>
      <xdr:rowOff>106681</xdr:rowOff>
    </xdr:to>
    <xdr:sp macro="" textlink="">
      <xdr:nvSpPr>
        <xdr:cNvPr id="14" name="Dikdörtgen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733C15E-FC7B-42F0-8594-ECB864B3F479}"/>
            </a:ext>
          </a:extLst>
        </xdr:cNvPr>
        <xdr:cNvSpPr/>
      </xdr:nvSpPr>
      <xdr:spPr>
        <a:xfrm>
          <a:off x="11534670" y="2449286"/>
          <a:ext cx="2885552" cy="29508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Sarnıç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EFE24AD-8C2C-4B5A-91D8-620690814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513378" cy="730787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9</xdr:row>
      <xdr:rowOff>0</xdr:rowOff>
    </xdr:from>
    <xdr:to>
      <xdr:col>23</xdr:col>
      <xdr:colOff>457200</xdr:colOff>
      <xdr:row>10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C70422A-519B-4493-AB4C-D98CC1AFF5FF}"/>
            </a:ext>
          </a:extLst>
        </xdr:cNvPr>
        <xdr:cNvSpPr/>
      </xdr:nvSpPr>
      <xdr:spPr>
        <a:xfrm>
          <a:off x="11582400" y="1714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Rögar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Akar Kod &amp; Beton Künk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4" name="Dikdört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7F9A30-051D-4B8F-8DA0-AA2984094914}"/>
            </a:ext>
          </a:extLst>
        </xdr:cNvPr>
        <xdr:cNvSpPr/>
      </xdr:nvSpPr>
      <xdr:spPr>
        <a:xfrm>
          <a:off x="115824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İnşaat Hafriyat- Yoğunluk &amp; Yükleme Hesabı 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27634</xdr:colOff>
      <xdr:row>17</xdr:row>
      <xdr:rowOff>5346</xdr:rowOff>
    </xdr:from>
    <xdr:to>
      <xdr:col>23</xdr:col>
      <xdr:colOff>170509</xdr:colOff>
      <xdr:row>19</xdr:row>
      <xdr:rowOff>176894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FD11A36-3B9D-4726-A5D2-852908A81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83568" y="3208258"/>
          <a:ext cx="749963" cy="548361"/>
        </a:xfrm>
        <a:prstGeom prst="rect">
          <a:avLst/>
        </a:prstGeom>
      </xdr:spPr>
    </xdr:pic>
    <xdr:clientData/>
  </xdr:twoCellAnchor>
  <xdr:oneCellAnchor>
    <xdr:from>
      <xdr:col>18</xdr:col>
      <xdr:colOff>194211</xdr:colOff>
      <xdr:row>12</xdr:row>
      <xdr:rowOff>171176</xdr:rowOff>
    </xdr:from>
    <xdr:ext cx="368299" cy="324425"/>
    <xdr:pic>
      <xdr:nvPicPr>
        <xdr:cNvPr id="9" name="Resim 8">
          <a:extLst>
            <a:ext uri="{FF2B5EF4-FFF2-40B4-BE49-F238E27FC236}">
              <a16:creationId xmlns:a16="http://schemas.microsoft.com/office/drawing/2014/main" id="{01B04B16-693E-4187-8792-7BAFEC59B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21793" y="2432055"/>
          <a:ext cx="368299" cy="324425"/>
        </a:xfrm>
        <a:prstGeom prst="rect">
          <a:avLst/>
        </a:prstGeom>
      </xdr:spPr>
    </xdr:pic>
    <xdr:clientData/>
  </xdr:oneCellAnchor>
  <xdr:oneCellAnchor>
    <xdr:from>
      <xdr:col>18</xdr:col>
      <xdr:colOff>216696</xdr:colOff>
      <xdr:row>8</xdr:row>
      <xdr:rowOff>137035</xdr:rowOff>
    </xdr:from>
    <xdr:ext cx="347627" cy="373819"/>
    <xdr:pic>
      <xdr:nvPicPr>
        <xdr:cNvPr id="11" name="Resim 10">
          <a:extLst>
            <a:ext uri="{FF2B5EF4-FFF2-40B4-BE49-F238E27FC236}">
              <a16:creationId xmlns:a16="http://schemas.microsoft.com/office/drawing/2014/main" id="{AC1A0898-FD28-402F-BDA1-9CC5B7F40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44278" y="1644288"/>
          <a:ext cx="347627" cy="37381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BAFDAD40-DFE1-45F0-A684-B2003AE0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513378" cy="730787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9</xdr:row>
      <xdr:rowOff>0</xdr:rowOff>
    </xdr:from>
    <xdr:to>
      <xdr:col>23</xdr:col>
      <xdr:colOff>457200</xdr:colOff>
      <xdr:row>10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E67E5D-16A8-44D8-85C2-1D1C2CAAE3BA}"/>
            </a:ext>
          </a:extLst>
        </xdr:cNvPr>
        <xdr:cNvSpPr/>
      </xdr:nvSpPr>
      <xdr:spPr>
        <a:xfrm>
          <a:off x="11582400" y="1714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Doğalgaz Kazan Havalandırma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 &amp; Sayaç 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0</xdr:colOff>
      <xdr:row>13</xdr:row>
      <xdr:rowOff>0</xdr:rowOff>
    </xdr:from>
    <xdr:to>
      <xdr:col>23</xdr:col>
      <xdr:colOff>457200</xdr:colOff>
      <xdr:row>14</xdr:row>
      <xdr:rowOff>106680</xdr:rowOff>
    </xdr:to>
    <xdr:sp macro="" textlink="">
      <xdr:nvSpPr>
        <xdr:cNvPr id="5" name="Dikdört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C2DDDD-C271-4CC3-A025-21D9FD746EE3}"/>
            </a:ext>
          </a:extLst>
        </xdr:cNvPr>
        <xdr:cNvSpPr/>
      </xdr:nvSpPr>
      <xdr:spPr>
        <a:xfrm>
          <a:off x="115824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Doğalgaz Regülatör Malzeme Hesabı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48568</xdr:colOff>
      <xdr:row>17</xdr:row>
      <xdr:rowOff>5346</xdr:rowOff>
    </xdr:from>
    <xdr:to>
      <xdr:col>23</xdr:col>
      <xdr:colOff>191443</xdr:colOff>
      <xdr:row>19</xdr:row>
      <xdr:rowOff>176894</xdr:rowOff>
    </xdr:to>
    <xdr:pic>
      <xdr:nvPicPr>
        <xdr:cNvPr id="7" name="Resim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86B1B79-F92C-41F2-A5EC-84955F6E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04502" y="3208258"/>
          <a:ext cx="749963" cy="548361"/>
        </a:xfrm>
        <a:prstGeom prst="rect">
          <a:avLst/>
        </a:prstGeom>
      </xdr:spPr>
    </xdr:pic>
    <xdr:clientData/>
  </xdr:twoCellAnchor>
  <xdr:oneCellAnchor>
    <xdr:from>
      <xdr:col>18</xdr:col>
      <xdr:colOff>234102</xdr:colOff>
      <xdr:row>8</xdr:row>
      <xdr:rowOff>135933</xdr:rowOff>
    </xdr:from>
    <xdr:ext cx="316464" cy="376643"/>
    <xdr:pic>
      <xdr:nvPicPr>
        <xdr:cNvPr id="12" name="Resim 11">
          <a:extLst>
            <a:ext uri="{FF2B5EF4-FFF2-40B4-BE49-F238E27FC236}">
              <a16:creationId xmlns:a16="http://schemas.microsoft.com/office/drawing/2014/main" id="{0F579207-91E2-4B32-9B01-936F2AA30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61684" y="1643186"/>
          <a:ext cx="316464" cy="376643"/>
        </a:xfrm>
        <a:prstGeom prst="rect">
          <a:avLst/>
        </a:prstGeom>
      </xdr:spPr>
    </xdr:pic>
    <xdr:clientData/>
  </xdr:oneCellAnchor>
  <xdr:oneCellAnchor>
    <xdr:from>
      <xdr:col>18</xdr:col>
      <xdr:colOff>251811</xdr:colOff>
      <xdr:row>12</xdr:row>
      <xdr:rowOff>126567</xdr:rowOff>
    </xdr:from>
    <xdr:ext cx="316464" cy="376648"/>
    <xdr:pic>
      <xdr:nvPicPr>
        <xdr:cNvPr id="13" name="Resim 12">
          <a:extLst>
            <a:ext uri="{FF2B5EF4-FFF2-40B4-BE49-F238E27FC236}">
              <a16:creationId xmlns:a16="http://schemas.microsoft.com/office/drawing/2014/main" id="{AAC94E91-6E98-4430-AC6F-B22E4000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79393" y="2387446"/>
          <a:ext cx="316464" cy="376648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8704452B-A03A-4A32-830B-0369DA06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513378" cy="701069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9</xdr:row>
      <xdr:rowOff>0</xdr:rowOff>
    </xdr:from>
    <xdr:to>
      <xdr:col>23</xdr:col>
      <xdr:colOff>457200</xdr:colOff>
      <xdr:row>10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8F1DEEE-F8BE-473A-B570-5508DAA4264B}"/>
            </a:ext>
          </a:extLst>
        </xdr:cNvPr>
        <xdr:cNvSpPr/>
      </xdr:nvSpPr>
      <xdr:spPr>
        <a:xfrm>
          <a:off x="11582400" y="2011680"/>
          <a:ext cx="2895600" cy="28956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Boru Tesisat Yalıtım Ölçüleri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16747</xdr:colOff>
      <xdr:row>12</xdr:row>
      <xdr:rowOff>125604</xdr:rowOff>
    </xdr:from>
    <xdr:to>
      <xdr:col>23</xdr:col>
      <xdr:colOff>473947</xdr:colOff>
      <xdr:row>14</xdr:row>
      <xdr:rowOff>48064</xdr:rowOff>
    </xdr:to>
    <xdr:sp macro="" textlink="">
      <xdr:nvSpPr>
        <xdr:cNvPr id="4" name="Dikdört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8FA77D-3853-4375-8EE4-36BC5E31B2F6}"/>
            </a:ext>
          </a:extLst>
        </xdr:cNvPr>
        <xdr:cNvSpPr/>
      </xdr:nvSpPr>
      <xdr:spPr>
        <a:xfrm>
          <a:off x="11599147" y="2685924"/>
          <a:ext cx="2895600" cy="28822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Kelepçe Ölçüleri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94623</xdr:colOff>
      <xdr:row>29</xdr:row>
      <xdr:rowOff>7440</xdr:rowOff>
    </xdr:from>
    <xdr:to>
      <xdr:col>23</xdr:col>
      <xdr:colOff>237498</xdr:colOff>
      <xdr:row>31</xdr:row>
      <xdr:rowOff>174802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7794E2-FF31-4286-BDA1-E2D9D3D5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05823" y="6042480"/>
          <a:ext cx="752475" cy="533122"/>
        </a:xfrm>
        <a:prstGeom prst="rect">
          <a:avLst/>
        </a:prstGeom>
      </xdr:spPr>
    </xdr:pic>
    <xdr:clientData/>
  </xdr:twoCellAnchor>
  <xdr:twoCellAnchor>
    <xdr:from>
      <xdr:col>18</xdr:col>
      <xdr:colOff>594528</xdr:colOff>
      <xdr:row>5</xdr:row>
      <xdr:rowOff>50243</xdr:rowOff>
    </xdr:from>
    <xdr:to>
      <xdr:col>23</xdr:col>
      <xdr:colOff>440453</xdr:colOff>
      <xdr:row>6</xdr:row>
      <xdr:rowOff>156924</xdr:rowOff>
    </xdr:to>
    <xdr:sp macro="" textlink="">
      <xdr:nvSpPr>
        <xdr:cNvPr id="9" name="Dikdörtgen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75C4ED-6CA1-443F-9194-8A13AFA1A940}"/>
            </a:ext>
          </a:extLst>
        </xdr:cNvPr>
        <xdr:cNvSpPr/>
      </xdr:nvSpPr>
      <xdr:spPr>
        <a:xfrm>
          <a:off x="11567328" y="1330403"/>
          <a:ext cx="2893925" cy="289561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Islak Hacim - İşçilik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20934</xdr:colOff>
      <xdr:row>16</xdr:row>
      <xdr:rowOff>52335</xdr:rowOff>
    </xdr:from>
    <xdr:to>
      <xdr:col>23</xdr:col>
      <xdr:colOff>478134</xdr:colOff>
      <xdr:row>17</xdr:row>
      <xdr:rowOff>159015</xdr:rowOff>
    </xdr:to>
    <xdr:sp macro="" textlink="">
      <xdr:nvSpPr>
        <xdr:cNvPr id="13" name="Dikdörtgen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3C23AE8-815A-4124-98F8-A87D0AA2541C}"/>
            </a:ext>
          </a:extLst>
        </xdr:cNvPr>
        <xdr:cNvSpPr/>
      </xdr:nvSpPr>
      <xdr:spPr>
        <a:xfrm>
          <a:off x="11555604" y="3066840"/>
          <a:ext cx="2885552" cy="29508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Arıtma Cihazı Çalışma Prensibi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198896</xdr:colOff>
      <xdr:row>16</xdr:row>
      <xdr:rowOff>38217</xdr:rowOff>
    </xdr:from>
    <xdr:ext cx="411123" cy="327448"/>
    <xdr:pic>
      <xdr:nvPicPr>
        <xdr:cNvPr id="31" name="Resim 30">
          <a:extLst>
            <a:ext uri="{FF2B5EF4-FFF2-40B4-BE49-F238E27FC236}">
              <a16:creationId xmlns:a16="http://schemas.microsoft.com/office/drawing/2014/main" id="{CBD3084F-A262-47D8-A34C-E96E29152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01841" y="3354173"/>
          <a:ext cx="411123" cy="327448"/>
        </a:xfrm>
        <a:prstGeom prst="rect">
          <a:avLst/>
        </a:prstGeom>
      </xdr:spPr>
    </xdr:pic>
    <xdr:clientData/>
  </xdr:oneCellAnchor>
  <xdr:oneCellAnchor>
    <xdr:from>
      <xdr:col>18</xdr:col>
      <xdr:colOff>204866</xdr:colOff>
      <xdr:row>23</xdr:row>
      <xdr:rowOff>67819</xdr:rowOff>
    </xdr:from>
    <xdr:ext cx="442087" cy="411749"/>
    <xdr:pic>
      <xdr:nvPicPr>
        <xdr:cNvPr id="34" name="Resim 33">
          <a:extLst>
            <a:ext uri="{FF2B5EF4-FFF2-40B4-BE49-F238E27FC236}">
              <a16:creationId xmlns:a16="http://schemas.microsoft.com/office/drawing/2014/main" id="{C2290B1D-72EF-4481-8D22-AF6049F28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32448" y="4401171"/>
          <a:ext cx="442087" cy="411749"/>
        </a:xfrm>
        <a:prstGeom prst="rect">
          <a:avLst/>
        </a:prstGeom>
      </xdr:spPr>
    </xdr:pic>
    <xdr:clientData/>
  </xdr:oneCellAnchor>
  <xdr:oneCellAnchor>
    <xdr:from>
      <xdr:col>18</xdr:col>
      <xdr:colOff>204405</xdr:colOff>
      <xdr:row>12</xdr:row>
      <xdr:rowOff>100741</xdr:rowOff>
    </xdr:from>
    <xdr:ext cx="381315" cy="333618"/>
    <xdr:pic>
      <xdr:nvPicPr>
        <xdr:cNvPr id="36" name="Resim 35">
          <a:extLst>
            <a:ext uri="{FF2B5EF4-FFF2-40B4-BE49-F238E27FC236}">
              <a16:creationId xmlns:a16="http://schemas.microsoft.com/office/drawing/2014/main" id="{F901F057-4D51-4284-8398-F7DD1935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07350" y="2679818"/>
          <a:ext cx="381315" cy="333618"/>
        </a:xfrm>
        <a:prstGeom prst="rect">
          <a:avLst/>
        </a:prstGeom>
      </xdr:spPr>
    </xdr:pic>
    <xdr:clientData/>
  </xdr:oneCellAnchor>
  <xdr:oneCellAnchor>
    <xdr:from>
      <xdr:col>18</xdr:col>
      <xdr:colOff>190492</xdr:colOff>
      <xdr:row>8</xdr:row>
      <xdr:rowOff>167599</xdr:rowOff>
    </xdr:from>
    <xdr:ext cx="369285" cy="329237"/>
    <xdr:pic>
      <xdr:nvPicPr>
        <xdr:cNvPr id="38" name="Resim 37">
          <a:extLst>
            <a:ext uri="{FF2B5EF4-FFF2-40B4-BE49-F238E27FC236}">
              <a16:creationId xmlns:a16="http://schemas.microsoft.com/office/drawing/2014/main" id="{BDD07AD2-72A4-4EAD-879D-6FAFB4F1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93437" y="2009797"/>
          <a:ext cx="369285" cy="329237"/>
        </a:xfrm>
        <a:prstGeom prst="rect">
          <a:avLst/>
        </a:prstGeom>
      </xdr:spPr>
    </xdr:pic>
    <xdr:clientData/>
  </xdr:oneCellAnchor>
  <xdr:oneCellAnchor>
    <xdr:from>
      <xdr:col>18</xdr:col>
      <xdr:colOff>270555</xdr:colOff>
      <xdr:row>19</xdr:row>
      <xdr:rowOff>110180</xdr:rowOff>
    </xdr:from>
    <xdr:ext cx="335715" cy="303736"/>
    <xdr:pic>
      <xdr:nvPicPr>
        <xdr:cNvPr id="39" name="Resim 38">
          <a:extLst>
            <a:ext uri="{FF2B5EF4-FFF2-40B4-BE49-F238E27FC236}">
              <a16:creationId xmlns:a16="http://schemas.microsoft.com/office/drawing/2014/main" id="{6CE6BED9-EB0C-4303-9AC7-7884493F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98137" y="3689905"/>
          <a:ext cx="335715" cy="303736"/>
        </a:xfrm>
        <a:prstGeom prst="rect">
          <a:avLst/>
        </a:prstGeom>
      </xdr:spPr>
    </xdr:pic>
    <xdr:clientData/>
  </xdr:oneCellAnchor>
  <xdr:oneCellAnchor>
    <xdr:from>
      <xdr:col>18</xdr:col>
      <xdr:colOff>178009</xdr:colOff>
      <xdr:row>5</xdr:row>
      <xdr:rowOff>51304</xdr:rowOff>
    </xdr:from>
    <xdr:ext cx="359123" cy="312656"/>
    <xdr:pic>
      <xdr:nvPicPr>
        <xdr:cNvPr id="41" name="Resim 40">
          <a:extLst>
            <a:ext uri="{FF2B5EF4-FFF2-40B4-BE49-F238E27FC236}">
              <a16:creationId xmlns:a16="http://schemas.microsoft.com/office/drawing/2014/main" id="{704BC2B8-7E4C-42D8-A8DA-021ACDB19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80954" y="1340842"/>
          <a:ext cx="359123" cy="312656"/>
        </a:xfrm>
        <a:prstGeom prst="rect">
          <a:avLst/>
        </a:prstGeom>
      </xdr:spPr>
    </xdr:pic>
    <xdr:clientData/>
  </xdr:oneCellAnchor>
  <xdr:twoCellAnchor>
    <xdr:from>
      <xdr:col>19</xdr:col>
      <xdr:colOff>41868</xdr:colOff>
      <xdr:row>19</xdr:row>
      <xdr:rowOff>125604</xdr:rowOff>
    </xdr:from>
    <xdr:to>
      <xdr:col>23</xdr:col>
      <xdr:colOff>499068</xdr:colOff>
      <xdr:row>21</xdr:row>
      <xdr:rowOff>48064</xdr:rowOff>
    </xdr:to>
    <xdr:sp macro="" textlink="">
      <xdr:nvSpPr>
        <xdr:cNvPr id="6" name="Dikdörtgen 5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F8D393F-5AC8-45BC-99EA-5CCEEC8519C7}"/>
            </a:ext>
          </a:extLst>
        </xdr:cNvPr>
        <xdr:cNvSpPr/>
      </xdr:nvSpPr>
      <xdr:spPr>
        <a:xfrm>
          <a:off x="11576538" y="3705329"/>
          <a:ext cx="2885552" cy="299273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Birim Dönüştür</a:t>
          </a:r>
          <a:endParaRPr lang="tr-TR">
            <a:effectLst/>
          </a:endParaRPr>
        </a:p>
        <a:p>
          <a:endParaRPr lang="tr-TR" b="1">
            <a:solidFill>
              <a:schemeClr val="accent1"/>
            </a:solidFill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62803</xdr:colOff>
      <xdr:row>23</xdr:row>
      <xdr:rowOff>104670</xdr:rowOff>
    </xdr:from>
    <xdr:to>
      <xdr:col>23</xdr:col>
      <xdr:colOff>520003</xdr:colOff>
      <xdr:row>25</xdr:row>
      <xdr:rowOff>27130</xdr:rowOff>
    </xdr:to>
    <xdr:sp macro="" textlink="">
      <xdr:nvSpPr>
        <xdr:cNvPr id="7" name="Dikdörtgen 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E48DF7B4-50B1-477C-9C4E-2771B870E26C}"/>
            </a:ext>
          </a:extLst>
        </xdr:cNvPr>
        <xdr:cNvSpPr/>
      </xdr:nvSpPr>
      <xdr:spPr>
        <a:xfrm>
          <a:off x="11597473" y="4438022"/>
          <a:ext cx="2885552" cy="299273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Tesisat Sembolleri</a:t>
          </a:r>
          <a:endParaRPr lang="tr-TR">
            <a:effectLst/>
          </a:endParaRPr>
        </a:p>
        <a:p>
          <a:endParaRPr lang="tr-TR" b="1">
            <a:solidFill>
              <a:schemeClr val="accent1"/>
            </a:solidFill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B3FE80BB-4950-4EA4-BB82-3E387A17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513378" cy="7010692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11</xdr:row>
      <xdr:rowOff>0</xdr:rowOff>
    </xdr:from>
    <xdr:to>
      <xdr:col>23</xdr:col>
      <xdr:colOff>457200</xdr:colOff>
      <xdr:row>12</xdr:row>
      <xdr:rowOff>106680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88BCCA-828D-43A5-A1E5-52FB24AF99C1}"/>
            </a:ext>
          </a:extLst>
        </xdr:cNvPr>
        <xdr:cNvSpPr/>
      </xdr:nvSpPr>
      <xdr:spPr>
        <a:xfrm>
          <a:off x="11582400" y="1645920"/>
          <a:ext cx="2895600" cy="28956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Boru Çap Hesabı-2 </a:t>
          </a:r>
          <a:r>
            <a:rPr lang="tr-TR" sz="11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(Soğuk su tesisatı için)</a:t>
          </a:r>
          <a:endParaRPr lang="tr-TR" b="1">
            <a:solidFill>
              <a:schemeClr val="accent1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16747</xdr:colOff>
      <xdr:row>14</xdr:row>
      <xdr:rowOff>125604</xdr:rowOff>
    </xdr:from>
    <xdr:to>
      <xdr:col>23</xdr:col>
      <xdr:colOff>473947</xdr:colOff>
      <xdr:row>16</xdr:row>
      <xdr:rowOff>48064</xdr:rowOff>
    </xdr:to>
    <xdr:sp macro="" textlink="">
      <xdr:nvSpPr>
        <xdr:cNvPr id="5" name="Dikdört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D079FD0-621B-4D50-8965-0C60F4CB90D8}"/>
            </a:ext>
          </a:extLst>
        </xdr:cNvPr>
        <xdr:cNvSpPr/>
      </xdr:nvSpPr>
      <xdr:spPr>
        <a:xfrm>
          <a:off x="11630967" y="2336241"/>
          <a:ext cx="2902299" cy="2909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Boru Çap Hesabı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-3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22</xdr:col>
      <xdr:colOff>22930</xdr:colOff>
      <xdr:row>32</xdr:row>
      <xdr:rowOff>191796</xdr:rowOff>
    </xdr:from>
    <xdr:to>
      <xdr:col>23</xdr:col>
      <xdr:colOff>165805</xdr:colOff>
      <xdr:row>35</xdr:row>
      <xdr:rowOff>164561</xdr:rowOff>
    </xdr:to>
    <xdr:pic>
      <xdr:nvPicPr>
        <xdr:cNvPr id="7" name="Resim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CDBE3DE-6C6E-49AF-961A-52969E2C6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42285" y="6418893"/>
          <a:ext cx="757391" cy="556555"/>
        </a:xfrm>
        <a:prstGeom prst="rect">
          <a:avLst/>
        </a:prstGeom>
      </xdr:spPr>
    </xdr:pic>
    <xdr:clientData/>
  </xdr:twoCellAnchor>
  <xdr:oneCellAnchor>
    <xdr:from>
      <xdr:col>18</xdr:col>
      <xdr:colOff>253721</xdr:colOff>
      <xdr:row>14</xdr:row>
      <xdr:rowOff>62943</xdr:rowOff>
    </xdr:from>
    <xdr:ext cx="342900" cy="400084"/>
    <xdr:pic>
      <xdr:nvPicPr>
        <xdr:cNvPr id="19" name="Resim 18">
          <a:extLst>
            <a:ext uri="{FF2B5EF4-FFF2-40B4-BE49-F238E27FC236}">
              <a16:creationId xmlns:a16="http://schemas.microsoft.com/office/drawing/2014/main" id="{A25DB0F2-8B76-4337-9453-CF257CACA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56666" y="2273580"/>
          <a:ext cx="342900" cy="400084"/>
        </a:xfrm>
        <a:prstGeom prst="rect">
          <a:avLst/>
        </a:prstGeom>
      </xdr:spPr>
    </xdr:pic>
    <xdr:clientData/>
  </xdr:oneCellAnchor>
  <xdr:oneCellAnchor>
    <xdr:from>
      <xdr:col>18</xdr:col>
      <xdr:colOff>232368</xdr:colOff>
      <xdr:row>10</xdr:row>
      <xdr:rowOff>138165</xdr:rowOff>
    </xdr:from>
    <xdr:ext cx="346710" cy="380325"/>
    <xdr:pic>
      <xdr:nvPicPr>
        <xdr:cNvPr id="20" name="Resim 19">
          <a:extLst>
            <a:ext uri="{FF2B5EF4-FFF2-40B4-BE49-F238E27FC236}">
              <a16:creationId xmlns:a16="http://schemas.microsoft.com/office/drawing/2014/main" id="{AEDCDDD0-4ACF-4BAA-A3B9-37AFD862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35313" y="1611923"/>
          <a:ext cx="346710" cy="380325"/>
        </a:xfrm>
        <a:prstGeom prst="rect">
          <a:avLst/>
        </a:prstGeom>
      </xdr:spPr>
    </xdr:pic>
    <xdr:clientData/>
  </xdr:oneCellAnchor>
  <xdr:oneCellAnchor>
    <xdr:from>
      <xdr:col>18</xdr:col>
      <xdr:colOff>210203</xdr:colOff>
      <xdr:row>6</xdr:row>
      <xdr:rowOff>178801</xdr:rowOff>
    </xdr:from>
    <xdr:ext cx="346710" cy="395265"/>
    <xdr:pic>
      <xdr:nvPicPr>
        <xdr:cNvPr id="21" name="Resim 20">
          <a:extLst>
            <a:ext uri="{FF2B5EF4-FFF2-40B4-BE49-F238E27FC236}">
              <a16:creationId xmlns:a16="http://schemas.microsoft.com/office/drawing/2014/main" id="{F1BFAAF9-8120-45A4-B698-3FED50A46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3148" y="1284120"/>
          <a:ext cx="346710" cy="395265"/>
        </a:xfrm>
        <a:prstGeom prst="rect">
          <a:avLst/>
        </a:prstGeom>
      </xdr:spPr>
    </xdr:pic>
    <xdr:clientData/>
  </xdr:oneCellAnchor>
  <xdr:twoCellAnchor>
    <xdr:from>
      <xdr:col>18</xdr:col>
      <xdr:colOff>594528</xdr:colOff>
      <xdr:row>7</xdr:row>
      <xdr:rowOff>50243</xdr:rowOff>
    </xdr:from>
    <xdr:to>
      <xdr:col>23</xdr:col>
      <xdr:colOff>440453</xdr:colOff>
      <xdr:row>8</xdr:row>
      <xdr:rowOff>156924</xdr:rowOff>
    </xdr:to>
    <xdr:sp macro="" textlink="">
      <xdr:nvSpPr>
        <xdr:cNvPr id="24" name="Dikdörtgen 2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559CFE5-2CC3-48A3-ADF7-CE61C3829161}"/>
            </a:ext>
          </a:extLst>
        </xdr:cNvPr>
        <xdr:cNvSpPr/>
      </xdr:nvSpPr>
      <xdr:spPr>
        <a:xfrm>
          <a:off x="11597473" y="1339781"/>
          <a:ext cx="2902299" cy="290901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Boru Çap Hesabı-1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301688</xdr:colOff>
      <xdr:row>21</xdr:row>
      <xdr:rowOff>111689</xdr:rowOff>
    </xdr:from>
    <xdr:ext cx="292099" cy="353971"/>
    <xdr:pic>
      <xdr:nvPicPr>
        <xdr:cNvPr id="36" name="Resim 35">
          <a:extLst>
            <a:ext uri="{FF2B5EF4-FFF2-40B4-BE49-F238E27FC236}">
              <a16:creationId xmlns:a16="http://schemas.microsoft.com/office/drawing/2014/main" id="{86987497-EF1F-4D58-ABC7-3C4530EBB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4633" y="3611865"/>
          <a:ext cx="292099" cy="35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267635</xdr:colOff>
      <xdr:row>25</xdr:row>
      <xdr:rowOff>88064</xdr:rowOff>
    </xdr:from>
    <xdr:ext cx="359411" cy="341235"/>
    <xdr:pic>
      <xdr:nvPicPr>
        <xdr:cNvPr id="37" name="Resim 36">
          <a:extLst>
            <a:ext uri="{FF2B5EF4-FFF2-40B4-BE49-F238E27FC236}">
              <a16:creationId xmlns:a16="http://schemas.microsoft.com/office/drawing/2014/main" id="{CBA1B7BA-F4A1-4ADF-8B37-CAD5EC6B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70580" y="4325119"/>
          <a:ext cx="359411" cy="341235"/>
        </a:xfrm>
        <a:prstGeom prst="rect">
          <a:avLst/>
        </a:prstGeom>
      </xdr:spPr>
    </xdr:pic>
    <xdr:clientData/>
  </xdr:oneCellAnchor>
  <xdr:oneCellAnchor>
    <xdr:from>
      <xdr:col>18</xdr:col>
      <xdr:colOff>241021</xdr:colOff>
      <xdr:row>17</xdr:row>
      <xdr:rowOff>171800</xdr:rowOff>
    </xdr:from>
    <xdr:ext cx="372110" cy="370709"/>
    <xdr:pic>
      <xdr:nvPicPr>
        <xdr:cNvPr id="38" name="Resim 37">
          <a:extLst>
            <a:ext uri="{FF2B5EF4-FFF2-40B4-BE49-F238E27FC236}">
              <a16:creationId xmlns:a16="http://schemas.microsoft.com/office/drawing/2014/main" id="{0C2F9B41-3190-45A4-88C9-84DE5E68D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3966" y="2935097"/>
          <a:ext cx="372110" cy="370709"/>
        </a:xfrm>
        <a:prstGeom prst="rect">
          <a:avLst/>
        </a:prstGeom>
      </xdr:spPr>
    </xdr:pic>
    <xdr:clientData/>
  </xdr:oneCellAnchor>
  <xdr:twoCellAnchor>
    <xdr:from>
      <xdr:col>19</xdr:col>
      <xdr:colOff>41868</xdr:colOff>
      <xdr:row>18</xdr:row>
      <xdr:rowOff>41868</xdr:rowOff>
    </xdr:from>
    <xdr:to>
      <xdr:col>23</xdr:col>
      <xdr:colOff>499068</xdr:colOff>
      <xdr:row>19</xdr:row>
      <xdr:rowOff>148548</xdr:rowOff>
    </xdr:to>
    <xdr:sp macro="" textlink="">
      <xdr:nvSpPr>
        <xdr:cNvPr id="39" name="Dikdörtgen 3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FA1D610-EAF3-4476-B01E-0B73DC33937A}"/>
            </a:ext>
          </a:extLst>
        </xdr:cNvPr>
        <xdr:cNvSpPr/>
      </xdr:nvSpPr>
      <xdr:spPr>
        <a:xfrm>
          <a:off x="11656088" y="2989384"/>
          <a:ext cx="2902299" cy="2909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Rehau Vitrifiye Temiz Su malzeme Hesabı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41868</xdr:colOff>
      <xdr:row>21</xdr:row>
      <xdr:rowOff>150726</xdr:rowOff>
    </xdr:from>
    <xdr:to>
      <xdr:col>23</xdr:col>
      <xdr:colOff>499068</xdr:colOff>
      <xdr:row>23</xdr:row>
      <xdr:rowOff>73187</xdr:rowOff>
    </xdr:to>
    <xdr:sp macro="" textlink="">
      <xdr:nvSpPr>
        <xdr:cNvPr id="40" name="Dikdörtgen 39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3C43811-5A1A-4BB4-8D96-9CFCB258FE61}"/>
            </a:ext>
          </a:extLst>
        </xdr:cNvPr>
        <xdr:cNvSpPr/>
      </xdr:nvSpPr>
      <xdr:spPr>
        <a:xfrm>
          <a:off x="11656088" y="3650902"/>
          <a:ext cx="2902299" cy="2909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Soğuk Su- Sıcak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Su &amp; </a:t>
          </a:r>
          <a:r>
            <a:rPr lang="tr-TR" sz="1100" b="1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Pis Su Boru Hesabı</a:t>
          </a:r>
          <a:endParaRPr lang="tr-TR" b="1">
            <a:solidFill>
              <a:schemeClr val="accent1"/>
            </a:solidFill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50242</xdr:colOff>
      <xdr:row>25</xdr:row>
      <xdr:rowOff>108857</xdr:rowOff>
    </xdr:from>
    <xdr:to>
      <xdr:col>23</xdr:col>
      <xdr:colOff>507442</xdr:colOff>
      <xdr:row>27</xdr:row>
      <xdr:rowOff>31317</xdr:rowOff>
    </xdr:to>
    <xdr:sp macro="" textlink="">
      <xdr:nvSpPr>
        <xdr:cNvPr id="41" name="Dikdörtgen 4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4628837-19E8-442C-B5B1-5A4891A16773}"/>
            </a:ext>
          </a:extLst>
        </xdr:cNvPr>
        <xdr:cNvSpPr/>
      </xdr:nvSpPr>
      <xdr:spPr>
        <a:xfrm>
          <a:off x="11664462" y="4345912"/>
          <a:ext cx="2902299" cy="2909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Atık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Su Kelepçe Adet Hesabı</a:t>
          </a:r>
          <a:endParaRPr lang="tr-TR">
            <a:effectLst/>
          </a:endParaRPr>
        </a:p>
        <a:p>
          <a:endParaRPr lang="tr-TR" b="1">
            <a:solidFill>
              <a:schemeClr val="accent1"/>
            </a:solidFill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259582</xdr:colOff>
      <xdr:row>29</xdr:row>
      <xdr:rowOff>41772</xdr:rowOff>
    </xdr:from>
    <xdr:ext cx="357992" cy="317910"/>
    <xdr:pic>
      <xdr:nvPicPr>
        <xdr:cNvPr id="45" name="Resim 44">
          <a:extLst>
            <a:ext uri="{FF2B5EF4-FFF2-40B4-BE49-F238E27FC236}">
              <a16:creationId xmlns:a16="http://schemas.microsoft.com/office/drawing/2014/main" id="{8091719C-2631-4945-92ED-EEC697E0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62527" y="5015706"/>
          <a:ext cx="357992" cy="317910"/>
        </a:xfrm>
        <a:prstGeom prst="rect">
          <a:avLst/>
        </a:prstGeom>
      </xdr:spPr>
    </xdr:pic>
    <xdr:clientData/>
  </xdr:oneCellAnchor>
  <xdr:twoCellAnchor>
    <xdr:from>
      <xdr:col>19</xdr:col>
      <xdr:colOff>50242</xdr:colOff>
      <xdr:row>29</xdr:row>
      <xdr:rowOff>50242</xdr:rowOff>
    </xdr:from>
    <xdr:to>
      <xdr:col>23</xdr:col>
      <xdr:colOff>507442</xdr:colOff>
      <xdr:row>30</xdr:row>
      <xdr:rowOff>156922</xdr:rowOff>
    </xdr:to>
    <xdr:sp macro="" textlink="">
      <xdr:nvSpPr>
        <xdr:cNvPr id="46" name="Dikdörtgen 4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4C259D43-2E72-448B-AFE5-468EF40A5C8B}"/>
            </a:ext>
          </a:extLst>
        </xdr:cNvPr>
        <xdr:cNvSpPr/>
      </xdr:nvSpPr>
      <xdr:spPr>
        <a:xfrm>
          <a:off x="11664462" y="5024176"/>
          <a:ext cx="2902299" cy="2909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Hidrofor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 &amp; </a:t>
          </a:r>
          <a:r>
            <a:rPr lang="tr-TR" sz="1100" b="1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Su Deposu Hesabı</a:t>
          </a:r>
          <a:endParaRPr lang="tr-TR" b="1">
            <a:solidFill>
              <a:schemeClr val="accent1"/>
            </a:solidFill>
            <a:effectLst/>
          </a:endParaRPr>
        </a:p>
        <a:p>
          <a:endParaRPr lang="tr-TR" b="1">
            <a:solidFill>
              <a:schemeClr val="accent1"/>
            </a:solidFill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157004</xdr:colOff>
      <xdr:row>0</xdr:row>
      <xdr:rowOff>157006</xdr:rowOff>
    </xdr:from>
    <xdr:to>
      <xdr:col>17</xdr:col>
      <xdr:colOff>307182</xdr:colOff>
      <xdr:row>39</xdr:row>
      <xdr:rowOff>35378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C928A8EB-89FE-4701-8B3F-CC69882AA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004" y="157006"/>
          <a:ext cx="10470673" cy="7226229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12</xdr:row>
      <xdr:rowOff>0</xdr:rowOff>
    </xdr:from>
    <xdr:to>
      <xdr:col>23</xdr:col>
      <xdr:colOff>457200</xdr:colOff>
      <xdr:row>13</xdr:row>
      <xdr:rowOff>106680</xdr:rowOff>
    </xdr:to>
    <xdr:sp macro="" textlink="">
      <xdr:nvSpPr>
        <xdr:cNvPr id="14" name="Dikdörtgen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ABF4FD2-7B68-4EA9-BFF8-04019D74496B}"/>
            </a:ext>
          </a:extLst>
        </xdr:cNvPr>
        <xdr:cNvSpPr/>
      </xdr:nvSpPr>
      <xdr:spPr>
        <a:xfrm>
          <a:off x="10363200" y="1714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Havuz Eşanjör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Hesabı-1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152400</xdr:colOff>
      <xdr:row>11</xdr:row>
      <xdr:rowOff>137160</xdr:rowOff>
    </xdr:from>
    <xdr:ext cx="345005" cy="420007"/>
    <xdr:pic>
      <xdr:nvPicPr>
        <xdr:cNvPr id="15" name="Resim 14">
          <a:extLst>
            <a:ext uri="{FF2B5EF4-FFF2-40B4-BE49-F238E27FC236}">
              <a16:creationId xmlns:a16="http://schemas.microsoft.com/office/drawing/2014/main" id="{F90D90D7-A58C-4A69-8B39-0414B59A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1661160"/>
          <a:ext cx="345005" cy="420007"/>
        </a:xfrm>
        <a:prstGeom prst="rect">
          <a:avLst/>
        </a:prstGeom>
      </xdr:spPr>
    </xdr:pic>
    <xdr:clientData/>
  </xdr:oneCellAnchor>
  <xdr:twoCellAnchor>
    <xdr:from>
      <xdr:col>19</xdr:col>
      <xdr:colOff>0</xdr:colOff>
      <xdr:row>16</xdr:row>
      <xdr:rowOff>0</xdr:rowOff>
    </xdr:from>
    <xdr:to>
      <xdr:col>23</xdr:col>
      <xdr:colOff>457200</xdr:colOff>
      <xdr:row>17</xdr:row>
      <xdr:rowOff>106680</xdr:rowOff>
    </xdr:to>
    <xdr:sp macro="" textlink="">
      <xdr:nvSpPr>
        <xdr:cNvPr id="16" name="Dikdörtgen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DC3B684-7A33-46ED-86BB-3113FA86106E}"/>
            </a:ext>
          </a:extLst>
        </xdr:cNvPr>
        <xdr:cNvSpPr/>
      </xdr:nvSpPr>
      <xdr:spPr>
        <a:xfrm>
          <a:off x="10363200" y="247650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Havuz Eşanjör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Hesabı-2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160020</xdr:colOff>
      <xdr:row>15</xdr:row>
      <xdr:rowOff>129540</xdr:rowOff>
    </xdr:from>
    <xdr:ext cx="345005" cy="420007"/>
    <xdr:pic>
      <xdr:nvPicPr>
        <xdr:cNvPr id="17" name="Resim 16">
          <a:extLst>
            <a:ext uri="{FF2B5EF4-FFF2-40B4-BE49-F238E27FC236}">
              <a16:creationId xmlns:a16="http://schemas.microsoft.com/office/drawing/2014/main" id="{ADF30B8A-761D-4FF3-9A6D-E09A032A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13620" y="2415540"/>
          <a:ext cx="345005" cy="420007"/>
        </a:xfrm>
        <a:prstGeom prst="rect">
          <a:avLst/>
        </a:prstGeom>
      </xdr:spPr>
    </xdr:pic>
    <xdr:clientData/>
  </xdr:oneCellAnchor>
  <xdr:twoCellAnchor editAs="oneCell">
    <xdr:from>
      <xdr:col>22</xdr:col>
      <xdr:colOff>48568</xdr:colOff>
      <xdr:row>20</xdr:row>
      <xdr:rowOff>5346</xdr:rowOff>
    </xdr:from>
    <xdr:to>
      <xdr:col>23</xdr:col>
      <xdr:colOff>191443</xdr:colOff>
      <xdr:row>22</xdr:row>
      <xdr:rowOff>176894</xdr:rowOff>
    </xdr:to>
    <xdr:pic>
      <xdr:nvPicPr>
        <xdr:cNvPr id="5" name="Resi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B6A0B57-70AC-476C-BE5B-43CFFC73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04502" y="3208258"/>
          <a:ext cx="749963" cy="548361"/>
        </a:xfrm>
        <a:prstGeom prst="rect">
          <a:avLst/>
        </a:prstGeom>
      </xdr:spPr>
    </xdr:pic>
    <xdr:clientData/>
  </xdr:twoCellAnchor>
  <xdr:twoCellAnchor editAs="oneCell">
    <xdr:from>
      <xdr:col>17</xdr:col>
      <xdr:colOff>418682</xdr:colOff>
      <xdr:row>0</xdr:row>
      <xdr:rowOff>157005</xdr:rowOff>
    </xdr:from>
    <xdr:to>
      <xdr:col>18</xdr:col>
      <xdr:colOff>461989</xdr:colOff>
      <xdr:row>4</xdr:row>
      <xdr:rowOff>73374</xdr:rowOff>
    </xdr:to>
    <xdr:pic>
      <xdr:nvPicPr>
        <xdr:cNvPr id="7" name="Resim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CCE2A9E-5DF3-4327-B07E-CC5D1398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39177" y="157005"/>
          <a:ext cx="650394" cy="669995"/>
        </a:xfrm>
        <a:prstGeom prst="rect">
          <a:avLst/>
        </a:prstGeom>
      </xdr:spPr>
    </xdr:pic>
    <xdr:clientData/>
  </xdr:twoCellAnchor>
  <xdr:twoCellAnchor editAs="oneCell">
    <xdr:from>
      <xdr:col>18</xdr:col>
      <xdr:colOff>202119</xdr:colOff>
      <xdr:row>3</xdr:row>
      <xdr:rowOff>149573</xdr:rowOff>
    </xdr:from>
    <xdr:to>
      <xdr:col>18</xdr:col>
      <xdr:colOff>452977</xdr:colOff>
      <xdr:row>4</xdr:row>
      <xdr:rowOff>63849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2148EC22-F64C-4CDB-824E-6FDAC4C77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29701" y="714793"/>
          <a:ext cx="250858" cy="10268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131379</xdr:colOff>
      <xdr:row>0</xdr:row>
      <xdr:rowOff>122816</xdr:rowOff>
    </xdr:from>
    <xdr:to>
      <xdr:col>17</xdr:col>
      <xdr:colOff>21896</xdr:colOff>
      <xdr:row>38</xdr:row>
      <xdr:rowOff>14449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85A12AF7-C096-40DB-B088-3A0BDCF1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379" y="122816"/>
          <a:ext cx="10253717" cy="7130633"/>
        </a:xfrm>
        <a:prstGeom prst="rect">
          <a:avLst/>
        </a:prstGeom>
      </xdr:spPr>
    </xdr:pic>
    <xdr:clientData/>
  </xdr:twoCellAnchor>
  <xdr:twoCellAnchor>
    <xdr:from>
      <xdr:col>19</xdr:col>
      <xdr:colOff>17145</xdr:colOff>
      <xdr:row>9</xdr:row>
      <xdr:rowOff>127635</xdr:rowOff>
    </xdr:from>
    <xdr:to>
      <xdr:col>23</xdr:col>
      <xdr:colOff>474345</xdr:colOff>
      <xdr:row>11</xdr:row>
      <xdr:rowOff>51435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F4E738-3C2F-4B05-987D-1430D44982F7}"/>
            </a:ext>
          </a:extLst>
        </xdr:cNvPr>
        <xdr:cNvSpPr/>
      </xdr:nvSpPr>
      <xdr:spPr>
        <a:xfrm>
          <a:off x="11599545" y="184213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Kanal Kesit Hesabı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34290</xdr:colOff>
      <xdr:row>13</xdr:row>
      <xdr:rowOff>108585</xdr:rowOff>
    </xdr:from>
    <xdr:to>
      <xdr:col>23</xdr:col>
      <xdr:colOff>491490</xdr:colOff>
      <xdr:row>15</xdr:row>
      <xdr:rowOff>32385</xdr:rowOff>
    </xdr:to>
    <xdr:sp macro="" textlink="">
      <xdr:nvSpPr>
        <xdr:cNvPr id="4" name="Dikdört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8A2292-AF7E-480F-8878-C2D058436A73}"/>
            </a:ext>
          </a:extLst>
        </xdr:cNvPr>
        <xdr:cNvSpPr/>
      </xdr:nvSpPr>
      <xdr:spPr>
        <a:xfrm>
          <a:off x="11654790" y="2585085"/>
          <a:ext cx="2903621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Geri Kazanım Cihaz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</a:t>
          </a:r>
          <a:endParaRPr lang="tr-TR">
            <a:effectLst/>
          </a:endParaRPr>
        </a:p>
        <a:p>
          <a:endParaRPr lang="tr-TR" b="1">
            <a:solidFill>
              <a:srgbClr val="FFFF0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57150</xdr:colOff>
      <xdr:row>17</xdr:row>
      <xdr:rowOff>100965</xdr:rowOff>
    </xdr:from>
    <xdr:to>
      <xdr:col>23</xdr:col>
      <xdr:colOff>514350</xdr:colOff>
      <xdr:row>19</xdr:row>
      <xdr:rowOff>24765</xdr:rowOff>
    </xdr:to>
    <xdr:sp macro="" textlink="">
      <xdr:nvSpPr>
        <xdr:cNvPr id="6" name="Dikdört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BDE48A4-72FA-449C-8B0F-5834ACA607E4}"/>
            </a:ext>
          </a:extLst>
        </xdr:cNvPr>
        <xdr:cNvSpPr/>
      </xdr:nvSpPr>
      <xdr:spPr>
        <a:xfrm>
          <a:off x="11639550" y="333946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Davlumbaz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 b="1">
            <a:solidFill>
              <a:srgbClr val="00B0F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75699</xdr:colOff>
      <xdr:row>21</xdr:row>
      <xdr:rowOff>45620</xdr:rowOff>
    </xdr:from>
    <xdr:to>
      <xdr:col>23</xdr:col>
      <xdr:colOff>532899</xdr:colOff>
      <xdr:row>22</xdr:row>
      <xdr:rowOff>159920</xdr:rowOff>
    </xdr:to>
    <xdr:sp macro="" textlink="">
      <xdr:nvSpPr>
        <xdr:cNvPr id="9" name="Dikdörtgen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24C6CBD-60D8-4DA1-AACD-2B06E865A87E}"/>
            </a:ext>
          </a:extLst>
        </xdr:cNvPr>
        <xdr:cNvSpPr/>
      </xdr:nvSpPr>
      <xdr:spPr>
        <a:xfrm>
          <a:off x="11696199" y="4046120"/>
          <a:ext cx="2903621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Nem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Alma Cihaz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</a:t>
          </a: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23</xdr:col>
      <xdr:colOff>61161</xdr:colOff>
      <xdr:row>31</xdr:row>
      <xdr:rowOff>182785</xdr:rowOff>
    </xdr:from>
    <xdr:to>
      <xdr:col>24</xdr:col>
      <xdr:colOff>204036</xdr:colOff>
      <xdr:row>34</xdr:row>
      <xdr:rowOff>165926</xdr:rowOff>
    </xdr:to>
    <xdr:pic>
      <xdr:nvPicPr>
        <xdr:cNvPr id="11" name="Resim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7B96388-E1D9-4515-AD02-DA78DDE1A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28082" y="5897785"/>
          <a:ext cx="754480" cy="554641"/>
        </a:xfrm>
        <a:prstGeom prst="rect">
          <a:avLst/>
        </a:prstGeom>
      </xdr:spPr>
    </xdr:pic>
    <xdr:clientData/>
  </xdr:twoCellAnchor>
  <xdr:oneCellAnchor>
    <xdr:from>
      <xdr:col>18</xdr:col>
      <xdr:colOff>211222</xdr:colOff>
      <xdr:row>6</xdr:row>
      <xdr:rowOff>12701</xdr:rowOff>
    </xdr:from>
    <xdr:ext cx="330200" cy="366188"/>
    <xdr:pic>
      <xdr:nvPicPr>
        <xdr:cNvPr id="22" name="Resim 21">
          <a:extLst>
            <a:ext uri="{FF2B5EF4-FFF2-40B4-BE49-F238E27FC236}">
              <a16:creationId xmlns:a16="http://schemas.microsoft.com/office/drawing/2014/main" id="{BA9B18EC-28DA-430F-85B8-7661E9FF7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117" y="1155701"/>
          <a:ext cx="330200" cy="366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281405</xdr:colOff>
      <xdr:row>17</xdr:row>
      <xdr:rowOff>100263</xdr:rowOff>
    </xdr:from>
    <xdr:ext cx="330201" cy="328661"/>
    <xdr:pic>
      <xdr:nvPicPr>
        <xdr:cNvPr id="27" name="Resim 26">
          <a:extLst>
            <a:ext uri="{FF2B5EF4-FFF2-40B4-BE49-F238E27FC236}">
              <a16:creationId xmlns:a16="http://schemas.microsoft.com/office/drawing/2014/main" id="{2CF20E44-A574-4848-B912-C02D8A7C6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90300" y="3338763"/>
          <a:ext cx="330201" cy="328661"/>
        </a:xfrm>
        <a:prstGeom prst="rect">
          <a:avLst/>
        </a:prstGeom>
      </xdr:spPr>
    </xdr:pic>
    <xdr:clientData/>
  </xdr:oneCellAnchor>
  <xdr:oneCellAnchor>
    <xdr:from>
      <xdr:col>18</xdr:col>
      <xdr:colOff>231273</xdr:colOff>
      <xdr:row>9</xdr:row>
      <xdr:rowOff>124907</xdr:rowOff>
    </xdr:from>
    <xdr:ext cx="330201" cy="345883"/>
    <xdr:pic>
      <xdr:nvPicPr>
        <xdr:cNvPr id="28" name="Resim 27">
          <a:extLst>
            <a:ext uri="{FF2B5EF4-FFF2-40B4-BE49-F238E27FC236}">
              <a16:creationId xmlns:a16="http://schemas.microsoft.com/office/drawing/2014/main" id="{35DFFB79-D76C-497A-9016-03E1EAD3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0168" y="1839407"/>
          <a:ext cx="330201" cy="345883"/>
        </a:xfrm>
        <a:prstGeom prst="rect">
          <a:avLst/>
        </a:prstGeom>
      </xdr:spPr>
    </xdr:pic>
    <xdr:clientData/>
  </xdr:oneCellAnchor>
  <xdr:oneCellAnchor>
    <xdr:from>
      <xdr:col>18</xdr:col>
      <xdr:colOff>250146</xdr:colOff>
      <xdr:row>13</xdr:row>
      <xdr:rowOff>99949</xdr:rowOff>
    </xdr:from>
    <xdr:ext cx="331584" cy="319766"/>
    <xdr:pic>
      <xdr:nvPicPr>
        <xdr:cNvPr id="29" name="Resim 28">
          <a:extLst>
            <a:ext uri="{FF2B5EF4-FFF2-40B4-BE49-F238E27FC236}">
              <a16:creationId xmlns:a16="http://schemas.microsoft.com/office/drawing/2014/main" id="{854D4AB4-E331-4AAB-812B-05665A635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59041" y="2576449"/>
          <a:ext cx="331584" cy="319766"/>
        </a:xfrm>
        <a:prstGeom prst="rect">
          <a:avLst/>
        </a:prstGeom>
      </xdr:spPr>
    </xdr:pic>
    <xdr:clientData/>
  </xdr:oneCellAnchor>
  <xdr:oneCellAnchor>
    <xdr:from>
      <xdr:col>18</xdr:col>
      <xdr:colOff>303057</xdr:colOff>
      <xdr:row>21</xdr:row>
      <xdr:rowOff>32706</xdr:rowOff>
    </xdr:from>
    <xdr:ext cx="351517" cy="325795"/>
    <xdr:pic>
      <xdr:nvPicPr>
        <xdr:cNvPr id="31" name="Resim 30">
          <a:extLst>
            <a:ext uri="{FF2B5EF4-FFF2-40B4-BE49-F238E27FC236}">
              <a16:creationId xmlns:a16="http://schemas.microsoft.com/office/drawing/2014/main" id="{B290F0AC-217D-4B4E-8DFD-AFFFDCB8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11952" y="4033206"/>
          <a:ext cx="351517" cy="325795"/>
        </a:xfrm>
        <a:prstGeom prst="rect">
          <a:avLst/>
        </a:prstGeom>
      </xdr:spPr>
    </xdr:pic>
    <xdr:clientData/>
  </xdr:oneCellAnchor>
  <xdr:oneCellAnchor>
    <xdr:from>
      <xdr:col>18</xdr:col>
      <xdr:colOff>316200</xdr:colOff>
      <xdr:row>28</xdr:row>
      <xdr:rowOff>31573</xdr:rowOff>
    </xdr:from>
    <xdr:ext cx="304886" cy="332469"/>
    <xdr:pic>
      <xdr:nvPicPr>
        <xdr:cNvPr id="32" name="Resim 31">
          <a:extLst>
            <a:ext uri="{FF2B5EF4-FFF2-40B4-BE49-F238E27FC236}">
              <a16:creationId xmlns:a16="http://schemas.microsoft.com/office/drawing/2014/main" id="{E88412B0-F926-4E22-B3C5-5CD741C0B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25095" y="5365573"/>
          <a:ext cx="304886" cy="332469"/>
        </a:xfrm>
        <a:prstGeom prst="rect">
          <a:avLst/>
        </a:prstGeom>
      </xdr:spPr>
    </xdr:pic>
    <xdr:clientData/>
  </xdr:oneCellAnchor>
  <xdr:twoCellAnchor>
    <xdr:from>
      <xdr:col>18</xdr:col>
      <xdr:colOff>601579</xdr:colOff>
      <xdr:row>6</xdr:row>
      <xdr:rowOff>40105</xdr:rowOff>
    </xdr:from>
    <xdr:to>
      <xdr:col>23</xdr:col>
      <xdr:colOff>447174</xdr:colOff>
      <xdr:row>7</xdr:row>
      <xdr:rowOff>154405</xdr:rowOff>
    </xdr:to>
    <xdr:sp macro="" textlink="">
      <xdr:nvSpPr>
        <xdr:cNvPr id="34" name="Dikdörtgen 3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E2E34A5-42FF-4EE5-A763-6055C95B3C07}"/>
            </a:ext>
          </a:extLst>
        </xdr:cNvPr>
        <xdr:cNvSpPr/>
      </xdr:nvSpPr>
      <xdr:spPr>
        <a:xfrm>
          <a:off x="11610474" y="1183105"/>
          <a:ext cx="2903621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Wc Fan Basınç Kayıp Hesabı</a:t>
          </a:r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80210</xdr:colOff>
      <xdr:row>24</xdr:row>
      <xdr:rowOff>170447</xdr:rowOff>
    </xdr:from>
    <xdr:to>
      <xdr:col>23</xdr:col>
      <xdr:colOff>537410</xdr:colOff>
      <xdr:row>26</xdr:row>
      <xdr:rowOff>94247</xdr:rowOff>
    </xdr:to>
    <xdr:sp macro="" textlink="">
      <xdr:nvSpPr>
        <xdr:cNvPr id="35" name="Dikdörtgen 3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C02F48A-A91B-46BF-A9A0-D76C6BE7C7CE}"/>
            </a:ext>
          </a:extLst>
        </xdr:cNvPr>
        <xdr:cNvSpPr/>
      </xdr:nvSpPr>
      <xdr:spPr>
        <a:xfrm>
          <a:off x="11700710" y="4742447"/>
          <a:ext cx="2903621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Kapalı Havuz Nem Alma Hesabı</a:t>
          </a: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60158</xdr:colOff>
      <xdr:row>28</xdr:row>
      <xdr:rowOff>60158</xdr:rowOff>
    </xdr:from>
    <xdr:to>
      <xdr:col>23</xdr:col>
      <xdr:colOff>517358</xdr:colOff>
      <xdr:row>29</xdr:row>
      <xdr:rowOff>174458</xdr:rowOff>
    </xdr:to>
    <xdr:sp macro="" textlink="">
      <xdr:nvSpPr>
        <xdr:cNvPr id="36" name="Dikdörtgen 35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4F9C0EE-02B5-426D-A550-1F83A2FE2AAF}"/>
            </a:ext>
          </a:extLst>
        </xdr:cNvPr>
        <xdr:cNvSpPr/>
      </xdr:nvSpPr>
      <xdr:spPr>
        <a:xfrm>
          <a:off x="11680658" y="5394158"/>
          <a:ext cx="2903621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Merkezi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Toz Emme Hesabı (Vacuclean)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310305</xdr:colOff>
      <xdr:row>24</xdr:row>
      <xdr:rowOff>151385</xdr:rowOff>
    </xdr:from>
    <xdr:ext cx="327528" cy="363459"/>
    <xdr:pic>
      <xdr:nvPicPr>
        <xdr:cNvPr id="39" name="Resim 38">
          <a:extLst>
            <a:ext uri="{FF2B5EF4-FFF2-40B4-BE49-F238E27FC236}">
              <a16:creationId xmlns:a16="http://schemas.microsoft.com/office/drawing/2014/main" id="{F9BB11F7-D34A-401B-BE55-0539BA81D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9200" y="4723385"/>
          <a:ext cx="327528" cy="36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131379</xdr:colOff>
      <xdr:row>0</xdr:row>
      <xdr:rowOff>122816</xdr:rowOff>
    </xdr:from>
    <xdr:to>
      <xdr:col>17</xdr:col>
      <xdr:colOff>21896</xdr:colOff>
      <xdr:row>38</xdr:row>
      <xdr:rowOff>14449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4310938-2CD6-4279-8D49-076562BC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379" y="122816"/>
          <a:ext cx="10313276" cy="6964219"/>
        </a:xfrm>
        <a:prstGeom prst="rect">
          <a:avLst/>
        </a:prstGeom>
      </xdr:spPr>
    </xdr:pic>
    <xdr:clientData/>
  </xdr:twoCellAnchor>
  <xdr:twoCellAnchor>
    <xdr:from>
      <xdr:col>19</xdr:col>
      <xdr:colOff>17145</xdr:colOff>
      <xdr:row>9</xdr:row>
      <xdr:rowOff>127635</xdr:rowOff>
    </xdr:from>
    <xdr:to>
      <xdr:col>23</xdr:col>
      <xdr:colOff>474345</xdr:colOff>
      <xdr:row>11</xdr:row>
      <xdr:rowOff>51435</xdr:rowOff>
    </xdr:to>
    <xdr:sp macro="" textlink="">
      <xdr:nvSpPr>
        <xdr:cNvPr id="3" name="Dikdörtgen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6214A5-D558-4612-8AF3-8D566980E449}"/>
            </a:ext>
          </a:extLst>
        </xdr:cNvPr>
        <xdr:cNvSpPr/>
      </xdr:nvSpPr>
      <xdr:spPr>
        <a:xfrm>
          <a:off x="11599545" y="50863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 Isıtma Hesabı </a:t>
          </a:r>
          <a:r>
            <a:rPr lang="tr-TR" sz="1100" b="1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(Detaylı)</a:t>
          </a:r>
          <a:endParaRPr lang="tr-TR" b="1">
            <a:solidFill>
              <a:srgbClr val="00B0F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34290</xdr:colOff>
      <xdr:row>13</xdr:row>
      <xdr:rowOff>108585</xdr:rowOff>
    </xdr:from>
    <xdr:to>
      <xdr:col>23</xdr:col>
      <xdr:colOff>491490</xdr:colOff>
      <xdr:row>15</xdr:row>
      <xdr:rowOff>32385</xdr:rowOff>
    </xdr:to>
    <xdr:sp macro="" textlink="">
      <xdr:nvSpPr>
        <xdr:cNvPr id="5" name="Dikdörtgen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245F7E6-FA48-4DEF-A092-526F1613007C}"/>
            </a:ext>
          </a:extLst>
        </xdr:cNvPr>
        <xdr:cNvSpPr/>
      </xdr:nvSpPr>
      <xdr:spPr>
        <a:xfrm>
          <a:off x="11616690" y="125158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Yerden Isıtma Hesabı </a:t>
          </a:r>
          <a:r>
            <a:rPr lang="tr-TR" sz="1100" b="1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(Pratik)</a:t>
          </a:r>
          <a:endParaRPr lang="tr-TR" b="1">
            <a:solidFill>
              <a:srgbClr val="00B0F0"/>
            </a:solidFill>
            <a:effectLst/>
          </a:endParaRPr>
        </a:p>
        <a:p>
          <a:endParaRPr lang="tr-TR" b="1">
            <a:solidFill>
              <a:srgbClr val="FFFF0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240035</xdr:colOff>
      <xdr:row>13</xdr:row>
      <xdr:rowOff>70485</xdr:rowOff>
    </xdr:from>
    <xdr:to>
      <xdr:col>18</xdr:col>
      <xdr:colOff>569723</xdr:colOff>
      <xdr:row>15</xdr:row>
      <xdr:rowOff>75000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8E32DF78-7C85-4EFD-A08E-E1CE8242A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184921" y="1241399"/>
          <a:ext cx="385515" cy="329688"/>
        </a:xfrm>
        <a:prstGeom prst="rect">
          <a:avLst/>
        </a:prstGeom>
      </xdr:spPr>
    </xdr:pic>
    <xdr:clientData/>
  </xdr:twoCellAnchor>
  <xdr:twoCellAnchor>
    <xdr:from>
      <xdr:col>19</xdr:col>
      <xdr:colOff>57150</xdr:colOff>
      <xdr:row>17</xdr:row>
      <xdr:rowOff>100965</xdr:rowOff>
    </xdr:from>
    <xdr:to>
      <xdr:col>23</xdr:col>
      <xdr:colOff>514350</xdr:colOff>
      <xdr:row>19</xdr:row>
      <xdr:rowOff>24765</xdr:rowOff>
    </xdr:to>
    <xdr:sp macro="" textlink="">
      <xdr:nvSpPr>
        <xdr:cNvPr id="7" name="Dikdörtgen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3F1EDAF-FEE4-40C7-A6A8-7355DF39EEAE}"/>
            </a:ext>
          </a:extLst>
        </xdr:cNvPr>
        <xdr:cNvSpPr/>
      </xdr:nvSpPr>
      <xdr:spPr>
        <a:xfrm>
          <a:off x="11639550" y="200596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 Isıtma Hesabı </a:t>
          </a:r>
          <a:r>
            <a:rPr lang="tr-TR" sz="900" b="1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(Modülasyon Aralığına Göre)</a:t>
          </a:r>
          <a:r>
            <a:rPr lang="tr-TR" sz="900" b="1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 </a:t>
          </a:r>
          <a:endParaRPr lang="tr-TR" sz="900" b="1">
            <a:solidFill>
              <a:srgbClr val="00B0F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219077</xdr:colOff>
      <xdr:row>9</xdr:row>
      <xdr:rowOff>95250</xdr:rowOff>
    </xdr:from>
    <xdr:to>
      <xdr:col>18</xdr:col>
      <xdr:colOff>548765</xdr:colOff>
      <xdr:row>11</xdr:row>
      <xdr:rowOff>99765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AF5CB803-4C97-4DFC-A092-94106180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163963" y="504164"/>
          <a:ext cx="385515" cy="329688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257176</xdr:colOff>
      <xdr:row>17</xdr:row>
      <xdr:rowOff>66675</xdr:rowOff>
    </xdr:from>
    <xdr:to>
      <xdr:col>18</xdr:col>
      <xdr:colOff>586864</xdr:colOff>
      <xdr:row>19</xdr:row>
      <xdr:rowOff>71190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C828F2EB-80FD-4ACE-9756-ECE7BF04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202062" y="1999589"/>
          <a:ext cx="385515" cy="329688"/>
        </a:xfrm>
        <a:prstGeom prst="rect">
          <a:avLst/>
        </a:prstGeom>
      </xdr:spPr>
    </xdr:pic>
    <xdr:clientData/>
  </xdr:twoCellAnchor>
  <xdr:twoCellAnchor>
    <xdr:from>
      <xdr:col>19</xdr:col>
      <xdr:colOff>85725</xdr:colOff>
      <xdr:row>21</xdr:row>
      <xdr:rowOff>85725</xdr:rowOff>
    </xdr:from>
    <xdr:to>
      <xdr:col>23</xdr:col>
      <xdr:colOff>542925</xdr:colOff>
      <xdr:row>23</xdr:row>
      <xdr:rowOff>9525</xdr:rowOff>
    </xdr:to>
    <xdr:sp macro="" textlink="">
      <xdr:nvSpPr>
        <xdr:cNvPr id="9" name="Dikdörtgen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AEA6288-3835-40AB-AFCF-007ADE139D75}"/>
            </a:ext>
          </a:extLst>
        </xdr:cNvPr>
        <xdr:cNvSpPr/>
      </xdr:nvSpPr>
      <xdr:spPr>
        <a:xfrm>
          <a:off x="11668125" y="27527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 Isıtma Malzeme Hesabı </a:t>
          </a:r>
          <a:r>
            <a:rPr lang="tr-TR" sz="900" b="1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(Rehau)</a:t>
          </a:r>
          <a:r>
            <a:rPr lang="tr-TR" sz="900" b="1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 </a:t>
          </a:r>
          <a:endParaRPr lang="tr-TR" sz="900" b="1">
            <a:solidFill>
              <a:srgbClr val="00B0F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295276</xdr:colOff>
      <xdr:row>21</xdr:row>
      <xdr:rowOff>57150</xdr:rowOff>
    </xdr:from>
    <xdr:to>
      <xdr:col>19</xdr:col>
      <xdr:colOff>15364</xdr:colOff>
      <xdr:row>23</xdr:row>
      <xdr:rowOff>61665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C6272529-E655-433F-9E8A-2920169F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240162" y="2752064"/>
          <a:ext cx="385515" cy="329688"/>
        </a:xfrm>
        <a:prstGeom prst="rect">
          <a:avLst/>
        </a:prstGeom>
      </xdr:spPr>
    </xdr:pic>
    <xdr:clientData/>
  </xdr:twoCellAnchor>
  <xdr:twoCellAnchor editAs="oneCell">
    <xdr:from>
      <xdr:col>23</xdr:col>
      <xdr:colOff>51135</xdr:colOff>
      <xdr:row>24</xdr:row>
      <xdr:rowOff>182785</xdr:rowOff>
    </xdr:from>
    <xdr:to>
      <xdr:col>24</xdr:col>
      <xdr:colOff>194010</xdr:colOff>
      <xdr:row>27</xdr:row>
      <xdr:rowOff>165926</xdr:rowOff>
    </xdr:to>
    <xdr:pic>
      <xdr:nvPicPr>
        <xdr:cNvPr id="21" name="Resim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C0AA977-32DB-4C03-A40B-D6B6E6FF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18056" y="4754785"/>
          <a:ext cx="754480" cy="554641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0</xdr:row>
      <xdr:rowOff>133350</xdr:rowOff>
    </xdr:from>
    <xdr:to>
      <xdr:col>18</xdr:col>
      <xdr:colOff>167132</xdr:colOff>
      <xdr:row>4</xdr:row>
      <xdr:rowOff>47625</xdr:rowOff>
    </xdr:to>
    <xdr:pic>
      <xdr:nvPicPr>
        <xdr:cNvPr id="22" name="Resim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90E5C25-D6B8-4F2B-8912-96A63F1F8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87025" y="133350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3</xdr:row>
      <xdr:rowOff>134353</xdr:rowOff>
    </xdr:from>
    <xdr:to>
      <xdr:col>18</xdr:col>
      <xdr:colOff>158121</xdr:colOff>
      <xdr:row>4</xdr:row>
      <xdr:rowOff>48628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65D14335-61CA-4000-8660-A30796A3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11639" y="705853"/>
          <a:ext cx="255377" cy="1047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164224</xdr:colOff>
      <xdr:row>1</xdr:row>
      <xdr:rowOff>24282</xdr:rowOff>
    </xdr:from>
    <xdr:to>
      <xdr:col>17</xdr:col>
      <xdr:colOff>611680</xdr:colOff>
      <xdr:row>42</xdr:row>
      <xdr:rowOff>87586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CFE29353-CB59-1108-36AE-C54BB905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224" y="210403"/>
          <a:ext cx="10432284" cy="7694252"/>
        </a:xfrm>
        <a:prstGeom prst="rect">
          <a:avLst/>
        </a:prstGeom>
      </xdr:spPr>
    </xdr:pic>
    <xdr:clientData/>
  </xdr:twoCellAnchor>
  <xdr:twoCellAnchor>
    <xdr:from>
      <xdr:col>19</xdr:col>
      <xdr:colOff>17145</xdr:colOff>
      <xdr:row>1</xdr:row>
      <xdr:rowOff>127635</xdr:rowOff>
    </xdr:from>
    <xdr:to>
      <xdr:col>23</xdr:col>
      <xdr:colOff>474345</xdr:colOff>
      <xdr:row>3</xdr:row>
      <xdr:rowOff>51435</xdr:rowOff>
    </xdr:to>
    <xdr:sp macro="" textlink="">
      <xdr:nvSpPr>
        <xdr:cNvPr id="4" name="Dikdörtgen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69BB64-DA5F-4F6B-AAD7-94D0D818C897}"/>
            </a:ext>
          </a:extLst>
        </xdr:cNvPr>
        <xdr:cNvSpPr/>
      </xdr:nvSpPr>
      <xdr:spPr>
        <a:xfrm>
          <a:off x="11599545" y="50863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Kazan Tesisat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 </a:t>
          </a: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211455</xdr:colOff>
      <xdr:row>0</xdr:row>
      <xdr:rowOff>188595</xdr:rowOff>
    </xdr:from>
    <xdr:to>
      <xdr:col>18</xdr:col>
      <xdr:colOff>563245</xdr:colOff>
      <xdr:row>3</xdr:row>
      <xdr:rowOff>108605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E3BD9345-E5B2-46D4-A26A-49BCF855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84255" y="379095"/>
          <a:ext cx="351790" cy="491510"/>
        </a:xfrm>
        <a:prstGeom prst="rect">
          <a:avLst/>
        </a:prstGeom>
      </xdr:spPr>
    </xdr:pic>
    <xdr:clientData/>
  </xdr:twoCellAnchor>
  <xdr:twoCellAnchor>
    <xdr:from>
      <xdr:col>19</xdr:col>
      <xdr:colOff>34290</xdr:colOff>
      <xdr:row>5</xdr:row>
      <xdr:rowOff>108585</xdr:rowOff>
    </xdr:from>
    <xdr:to>
      <xdr:col>23</xdr:col>
      <xdr:colOff>491490</xdr:colOff>
      <xdr:row>7</xdr:row>
      <xdr:rowOff>32385</xdr:rowOff>
    </xdr:to>
    <xdr:sp macro="" textlink="">
      <xdr:nvSpPr>
        <xdr:cNvPr id="8" name="Dikdörtgen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0701BC8-8201-4BE2-A526-E10338CD819B}"/>
            </a:ext>
          </a:extLst>
        </xdr:cNvPr>
        <xdr:cNvSpPr/>
      </xdr:nvSpPr>
      <xdr:spPr>
        <a:xfrm>
          <a:off x="11616690" y="125158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Yerden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Isıtma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 </a:t>
          </a:r>
          <a:endParaRPr lang="tr-TR">
            <a:solidFill>
              <a:srgbClr val="FFFF0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286675</xdr:colOff>
      <xdr:row>5</xdr:row>
      <xdr:rowOff>47165</xdr:rowOff>
    </xdr:from>
    <xdr:to>
      <xdr:col>18</xdr:col>
      <xdr:colOff>556804</xdr:colOff>
      <xdr:row>7</xdr:row>
      <xdr:rowOff>82335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295798AB-B35F-4CDB-9366-8211547C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10640793" y="1046409"/>
          <a:ext cx="407412" cy="270129"/>
        </a:xfrm>
        <a:prstGeom prst="rect">
          <a:avLst/>
        </a:prstGeom>
      </xdr:spPr>
    </xdr:pic>
    <xdr:clientData/>
  </xdr:twoCellAnchor>
  <xdr:twoCellAnchor>
    <xdr:from>
      <xdr:col>19</xdr:col>
      <xdr:colOff>57150</xdr:colOff>
      <xdr:row>9</xdr:row>
      <xdr:rowOff>100965</xdr:rowOff>
    </xdr:from>
    <xdr:to>
      <xdr:col>23</xdr:col>
      <xdr:colOff>514350</xdr:colOff>
      <xdr:row>11</xdr:row>
      <xdr:rowOff>24765</xdr:rowOff>
    </xdr:to>
    <xdr:sp macro="" textlink="">
      <xdr:nvSpPr>
        <xdr:cNvPr id="13" name="Dikdörtgen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F8ECF5A-C026-4D91-8DAC-791B38B8E3B1}"/>
            </a:ext>
          </a:extLst>
        </xdr:cNvPr>
        <xdr:cNvSpPr/>
      </xdr:nvSpPr>
      <xdr:spPr>
        <a:xfrm>
          <a:off x="11639550" y="200596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Radyatör Hesabı</a:t>
          </a:r>
          <a:endParaRPr lang="tr-TR">
            <a:effectLst/>
          </a:endParaRPr>
        </a:p>
        <a:p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abı </a:t>
          </a:r>
          <a:endParaRPr lang="tr-TR">
            <a:solidFill>
              <a:srgbClr val="FFFF00"/>
            </a:solidFill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242396</xdr:colOff>
      <xdr:row>9</xdr:row>
      <xdr:rowOff>56225</xdr:rowOff>
    </xdr:from>
    <xdr:to>
      <xdr:col>18</xdr:col>
      <xdr:colOff>604346</xdr:colOff>
      <xdr:row>11</xdr:row>
      <xdr:rowOff>105702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68BBAFB1-2513-4B27-B421-BA3C02BC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5155" y="1731311"/>
          <a:ext cx="361950" cy="421719"/>
        </a:xfrm>
        <a:prstGeom prst="rect">
          <a:avLst/>
        </a:prstGeom>
      </xdr:spPr>
    </xdr:pic>
    <xdr:clientData/>
  </xdr:twoCellAnchor>
  <xdr:twoCellAnchor>
    <xdr:from>
      <xdr:col>19</xdr:col>
      <xdr:colOff>68580</xdr:colOff>
      <xdr:row>17</xdr:row>
      <xdr:rowOff>60960</xdr:rowOff>
    </xdr:from>
    <xdr:to>
      <xdr:col>23</xdr:col>
      <xdr:colOff>525780</xdr:colOff>
      <xdr:row>18</xdr:row>
      <xdr:rowOff>167640</xdr:rowOff>
    </xdr:to>
    <xdr:sp macro="" textlink="">
      <xdr:nvSpPr>
        <xdr:cNvPr id="21" name="Dikdörtgen 2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B3E6F5B-48FA-45B1-9B05-56E48463B38B}"/>
            </a:ext>
          </a:extLst>
        </xdr:cNvPr>
        <xdr:cNvSpPr/>
      </xdr:nvSpPr>
      <xdr:spPr>
        <a:xfrm>
          <a:off x="11650980" y="2727960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Havuz Eşanjör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243840</xdr:colOff>
      <xdr:row>16</xdr:row>
      <xdr:rowOff>179070</xdr:rowOff>
    </xdr:from>
    <xdr:to>
      <xdr:col>18</xdr:col>
      <xdr:colOff>588845</xdr:colOff>
      <xdr:row>19</xdr:row>
      <xdr:rowOff>35197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FD79CF97-0D9C-4751-AAC6-084724575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16640" y="2655570"/>
          <a:ext cx="345005" cy="427627"/>
        </a:xfrm>
        <a:prstGeom prst="rect">
          <a:avLst/>
        </a:prstGeom>
      </xdr:spPr>
    </xdr:pic>
    <xdr:clientData/>
  </xdr:twoCellAnchor>
  <xdr:twoCellAnchor>
    <xdr:from>
      <xdr:col>19</xdr:col>
      <xdr:colOff>70485</xdr:colOff>
      <xdr:row>21</xdr:row>
      <xdr:rowOff>32385</xdr:rowOff>
    </xdr:from>
    <xdr:to>
      <xdr:col>23</xdr:col>
      <xdr:colOff>527685</xdr:colOff>
      <xdr:row>22</xdr:row>
      <xdr:rowOff>146685</xdr:rowOff>
    </xdr:to>
    <xdr:sp macro="" textlink="">
      <xdr:nvSpPr>
        <xdr:cNvPr id="25" name="Dikdörtgen 2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DC9D47-BDF8-4A12-9D5A-2878067C3BBF}"/>
            </a:ext>
          </a:extLst>
        </xdr:cNvPr>
        <xdr:cNvSpPr/>
      </xdr:nvSpPr>
      <xdr:spPr>
        <a:xfrm>
          <a:off x="11652885" y="346138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Hava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Kaynaklı Isı Pompası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266700</xdr:colOff>
      <xdr:row>21</xdr:row>
      <xdr:rowOff>0</xdr:rowOff>
    </xdr:from>
    <xdr:to>
      <xdr:col>18</xdr:col>
      <xdr:colOff>590418</xdr:colOff>
      <xdr:row>22</xdr:row>
      <xdr:rowOff>169693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905BB11D-5BD2-4CB3-8B6C-963C1452C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3429000"/>
          <a:ext cx="323718" cy="360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66675</xdr:colOff>
      <xdr:row>13</xdr:row>
      <xdr:rowOff>85725</xdr:rowOff>
    </xdr:from>
    <xdr:to>
      <xdr:col>23</xdr:col>
      <xdr:colOff>523875</xdr:colOff>
      <xdr:row>15</xdr:row>
      <xdr:rowOff>1905</xdr:rowOff>
    </xdr:to>
    <xdr:sp macro="" textlink="">
      <xdr:nvSpPr>
        <xdr:cNvPr id="3" name="Dikdörtgen 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6AC11CA-903E-4DE0-94E3-7C646163C530}"/>
            </a:ext>
          </a:extLst>
        </xdr:cNvPr>
        <xdr:cNvSpPr/>
      </xdr:nvSpPr>
      <xdr:spPr>
        <a:xfrm>
          <a:off x="11649075" y="2752725"/>
          <a:ext cx="2895600" cy="29718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Boyler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Hesabı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257175</xdr:colOff>
      <xdr:row>12</xdr:row>
      <xdr:rowOff>171450</xdr:rowOff>
    </xdr:from>
    <xdr:to>
      <xdr:col>18</xdr:col>
      <xdr:colOff>597265</xdr:colOff>
      <xdr:row>15</xdr:row>
      <xdr:rowOff>105866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37D239CF-AC57-42EF-845C-18F9D4044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11229975" y="2647950"/>
          <a:ext cx="340090" cy="505916"/>
        </a:xfrm>
        <a:prstGeom prst="rect">
          <a:avLst/>
        </a:prstGeom>
      </xdr:spPr>
    </xdr:pic>
    <xdr:clientData/>
  </xdr:twoCellAnchor>
  <xdr:oneCellAnchor>
    <xdr:from>
      <xdr:col>18</xdr:col>
      <xdr:colOff>307536</xdr:colOff>
      <xdr:row>25</xdr:row>
      <xdr:rowOff>882</xdr:rowOff>
    </xdr:from>
    <xdr:ext cx="339397" cy="314827"/>
    <xdr:pic>
      <xdr:nvPicPr>
        <xdr:cNvPr id="18" name="Resim 17">
          <a:extLst>
            <a:ext uri="{FF2B5EF4-FFF2-40B4-BE49-F238E27FC236}">
              <a16:creationId xmlns:a16="http://schemas.microsoft.com/office/drawing/2014/main" id="{2E367B67-AC54-4174-954F-9D832397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80336" y="4953882"/>
          <a:ext cx="339397" cy="314827"/>
        </a:xfrm>
        <a:prstGeom prst="rect">
          <a:avLst/>
        </a:prstGeom>
      </xdr:spPr>
    </xdr:pic>
    <xdr:clientData/>
  </xdr:oneCellAnchor>
  <xdr:twoCellAnchor>
    <xdr:from>
      <xdr:col>19</xdr:col>
      <xdr:colOff>95250</xdr:colOff>
      <xdr:row>25</xdr:row>
      <xdr:rowOff>9525</xdr:rowOff>
    </xdr:from>
    <xdr:to>
      <xdr:col>23</xdr:col>
      <xdr:colOff>552450</xdr:colOff>
      <xdr:row>26</xdr:row>
      <xdr:rowOff>123825</xdr:rowOff>
    </xdr:to>
    <xdr:sp macro="" textlink="">
      <xdr:nvSpPr>
        <xdr:cNvPr id="23" name="Dikdörtgen 2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9C1F1DC3-F422-4E97-95E9-218D9F6F2DAA}"/>
            </a:ext>
          </a:extLst>
        </xdr:cNvPr>
        <xdr:cNvSpPr/>
      </xdr:nvSpPr>
      <xdr:spPr>
        <a:xfrm>
          <a:off x="11677650" y="49625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Buhar Odası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için Buhar Jeneratörü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171450</xdr:colOff>
      <xdr:row>1</xdr:row>
      <xdr:rowOff>95250</xdr:rowOff>
    </xdr:from>
    <xdr:to>
      <xdr:col>30</xdr:col>
      <xdr:colOff>19050</xdr:colOff>
      <xdr:row>3</xdr:row>
      <xdr:rowOff>19050</xdr:rowOff>
    </xdr:to>
    <xdr:sp macro="" textlink="">
      <xdr:nvSpPr>
        <xdr:cNvPr id="27" name="Dikdörtgen 2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2EB21F4-EBD5-47AE-A60D-CB2952EEA6EA}"/>
            </a:ext>
          </a:extLst>
        </xdr:cNvPr>
        <xdr:cNvSpPr/>
      </xdr:nvSpPr>
      <xdr:spPr>
        <a:xfrm>
          <a:off x="14801850" y="285750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Pompa Ve Genleşme Tankı Hesabı</a:t>
          </a:r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24</xdr:col>
      <xdr:colOff>403226</xdr:colOff>
      <xdr:row>1</xdr:row>
      <xdr:rowOff>47625</xdr:rowOff>
    </xdr:from>
    <xdr:ext cx="328076" cy="406081"/>
    <xdr:pic>
      <xdr:nvPicPr>
        <xdr:cNvPr id="43" name="Resim 42">
          <a:extLst>
            <a:ext uri="{FF2B5EF4-FFF2-40B4-BE49-F238E27FC236}">
              <a16:creationId xmlns:a16="http://schemas.microsoft.com/office/drawing/2014/main" id="{025C389A-FB9E-4556-9011-8047BF251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24026" y="238125"/>
          <a:ext cx="328076" cy="406081"/>
        </a:xfrm>
        <a:prstGeom prst="rect">
          <a:avLst/>
        </a:prstGeom>
      </xdr:spPr>
    </xdr:pic>
    <xdr:clientData/>
  </xdr:oneCellAnchor>
  <xdr:oneCellAnchor>
    <xdr:from>
      <xdr:col>24</xdr:col>
      <xdr:colOff>446841</xdr:colOff>
      <xdr:row>9</xdr:row>
      <xdr:rowOff>6350</xdr:rowOff>
    </xdr:from>
    <xdr:ext cx="322048" cy="477767"/>
    <xdr:pic>
      <xdr:nvPicPr>
        <xdr:cNvPr id="44" name="Resim 43">
          <a:extLst>
            <a:ext uri="{FF2B5EF4-FFF2-40B4-BE49-F238E27FC236}">
              <a16:creationId xmlns:a16="http://schemas.microsoft.com/office/drawing/2014/main" id="{F76E86B3-EA21-4152-86B2-8C3854C8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67641" y="1720850"/>
          <a:ext cx="322048" cy="477767"/>
        </a:xfrm>
        <a:prstGeom prst="rect">
          <a:avLst/>
        </a:prstGeom>
      </xdr:spPr>
    </xdr:pic>
    <xdr:clientData/>
  </xdr:oneCellAnchor>
  <xdr:oneCellAnchor>
    <xdr:from>
      <xdr:col>24</xdr:col>
      <xdr:colOff>447675</xdr:colOff>
      <xdr:row>17</xdr:row>
      <xdr:rowOff>50800</xdr:rowOff>
    </xdr:from>
    <xdr:ext cx="358880" cy="310876"/>
    <xdr:pic>
      <xdr:nvPicPr>
        <xdr:cNvPr id="45" name="Resim 44">
          <a:extLst>
            <a:ext uri="{FF2B5EF4-FFF2-40B4-BE49-F238E27FC236}">
              <a16:creationId xmlns:a16="http://schemas.microsoft.com/office/drawing/2014/main" id="{293664E3-D869-408C-801B-D203C3D4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68475" y="3289300"/>
          <a:ext cx="358880" cy="310876"/>
        </a:xfrm>
        <a:prstGeom prst="rect">
          <a:avLst/>
        </a:prstGeom>
      </xdr:spPr>
    </xdr:pic>
    <xdr:clientData/>
  </xdr:oneCellAnchor>
  <xdr:oneCellAnchor>
    <xdr:from>
      <xdr:col>24</xdr:col>
      <xdr:colOff>461636</xdr:colOff>
      <xdr:row>13</xdr:row>
      <xdr:rowOff>25401</xdr:rowOff>
    </xdr:from>
    <xdr:ext cx="322051" cy="381865"/>
    <xdr:pic>
      <xdr:nvPicPr>
        <xdr:cNvPr id="46" name="Resim 45">
          <a:extLst>
            <a:ext uri="{FF2B5EF4-FFF2-40B4-BE49-F238E27FC236}">
              <a16:creationId xmlns:a16="http://schemas.microsoft.com/office/drawing/2014/main" id="{8DAF7393-BB4A-4E60-9AEF-E73EC249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82436" y="2501901"/>
          <a:ext cx="322051" cy="381865"/>
        </a:xfrm>
        <a:prstGeom prst="rect">
          <a:avLst/>
        </a:prstGeom>
      </xdr:spPr>
    </xdr:pic>
    <xdr:clientData/>
  </xdr:oneCellAnchor>
  <xdr:oneCellAnchor>
    <xdr:from>
      <xdr:col>24</xdr:col>
      <xdr:colOff>441325</xdr:colOff>
      <xdr:row>5</xdr:row>
      <xdr:rowOff>19051</xdr:rowOff>
    </xdr:from>
    <xdr:ext cx="313691" cy="440145"/>
    <xdr:pic>
      <xdr:nvPicPr>
        <xdr:cNvPr id="47" name="Resim 46">
          <a:extLst>
            <a:ext uri="{FF2B5EF4-FFF2-40B4-BE49-F238E27FC236}">
              <a16:creationId xmlns:a16="http://schemas.microsoft.com/office/drawing/2014/main" id="{B3D3E990-BA40-4624-9904-79C2AA2B6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62125" y="971551"/>
          <a:ext cx="313691" cy="440145"/>
        </a:xfrm>
        <a:prstGeom prst="rect">
          <a:avLst/>
        </a:prstGeom>
      </xdr:spPr>
    </xdr:pic>
    <xdr:clientData/>
  </xdr:oneCellAnchor>
  <xdr:twoCellAnchor>
    <xdr:from>
      <xdr:col>25</xdr:col>
      <xdr:colOff>190500</xdr:colOff>
      <xdr:row>5</xdr:row>
      <xdr:rowOff>85725</xdr:rowOff>
    </xdr:from>
    <xdr:to>
      <xdr:col>30</xdr:col>
      <xdr:colOff>38100</xdr:colOff>
      <xdr:row>7</xdr:row>
      <xdr:rowOff>9525</xdr:rowOff>
    </xdr:to>
    <xdr:sp macro="" textlink="">
      <xdr:nvSpPr>
        <xdr:cNvPr id="49" name="Dikdörtgen 48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88DE26B1-87DE-490F-B772-F6F47AF5521C}"/>
            </a:ext>
          </a:extLst>
        </xdr:cNvPr>
        <xdr:cNvSpPr/>
      </xdr:nvSpPr>
      <xdr:spPr>
        <a:xfrm>
          <a:off x="14820900" y="10382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Hidrolik Karıştırıcı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Denge Kabı Hesabı</a:t>
          </a:r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200025</xdr:colOff>
      <xdr:row>9</xdr:row>
      <xdr:rowOff>85725</xdr:rowOff>
    </xdr:from>
    <xdr:to>
      <xdr:col>30</xdr:col>
      <xdr:colOff>47625</xdr:colOff>
      <xdr:row>11</xdr:row>
      <xdr:rowOff>9525</xdr:rowOff>
    </xdr:to>
    <xdr:sp macro="" textlink="">
      <xdr:nvSpPr>
        <xdr:cNvPr id="50" name="Dikdörtgen 4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E8045E2-956D-4C99-8911-80B053B9650D}"/>
            </a:ext>
          </a:extLst>
        </xdr:cNvPr>
        <xdr:cNvSpPr/>
      </xdr:nvSpPr>
      <xdr:spPr>
        <a:xfrm>
          <a:off x="14830425" y="18002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Z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( R sirkülasyon ) POMPA HESABI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209550</xdr:colOff>
      <xdr:row>13</xdr:row>
      <xdr:rowOff>66675</xdr:rowOff>
    </xdr:from>
    <xdr:to>
      <xdr:col>30</xdr:col>
      <xdr:colOff>57150</xdr:colOff>
      <xdr:row>14</xdr:row>
      <xdr:rowOff>180975</xdr:rowOff>
    </xdr:to>
    <xdr:sp macro="" textlink="">
      <xdr:nvSpPr>
        <xdr:cNvPr id="51" name="Dikdörtgen 50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9F7C553C-4DF5-4532-A8FC-A830843DE970}"/>
            </a:ext>
          </a:extLst>
        </xdr:cNvPr>
        <xdr:cNvSpPr/>
      </xdr:nvSpPr>
      <xdr:spPr>
        <a:xfrm>
          <a:off x="14839950" y="254317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3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Yollu Karışım Vana Seçimi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228600</xdr:colOff>
      <xdr:row>17</xdr:row>
      <xdr:rowOff>47625</xdr:rowOff>
    </xdr:from>
    <xdr:to>
      <xdr:col>30</xdr:col>
      <xdr:colOff>76200</xdr:colOff>
      <xdr:row>18</xdr:row>
      <xdr:rowOff>161925</xdr:rowOff>
    </xdr:to>
    <xdr:sp macro="" textlink="">
      <xdr:nvSpPr>
        <xdr:cNvPr id="52" name="Dikdörtgen 51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390F5D8-06F9-45DA-9AF8-D3B634AFA494}"/>
            </a:ext>
          </a:extLst>
        </xdr:cNvPr>
        <xdr:cNvSpPr/>
      </xdr:nvSpPr>
      <xdr:spPr>
        <a:xfrm>
          <a:off x="14859000" y="32861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Şönt Pompa Seçimi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24</xdr:col>
      <xdr:colOff>476250</xdr:colOff>
      <xdr:row>24</xdr:row>
      <xdr:rowOff>127001</xdr:rowOff>
    </xdr:from>
    <xdr:ext cx="326391" cy="416712"/>
    <xdr:pic>
      <xdr:nvPicPr>
        <xdr:cNvPr id="56" name="Resim 55">
          <a:extLst>
            <a:ext uri="{FF2B5EF4-FFF2-40B4-BE49-F238E27FC236}">
              <a16:creationId xmlns:a16="http://schemas.microsoft.com/office/drawing/2014/main" id="{E6AEE5FE-EF54-4A7C-B9EA-C5731DBB9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97050" y="4699001"/>
          <a:ext cx="326391" cy="416712"/>
        </a:xfrm>
        <a:prstGeom prst="rect">
          <a:avLst/>
        </a:prstGeom>
      </xdr:spPr>
    </xdr:pic>
    <xdr:clientData/>
  </xdr:oneCellAnchor>
  <xdr:oneCellAnchor>
    <xdr:from>
      <xdr:col>24</xdr:col>
      <xdr:colOff>479425</xdr:colOff>
      <xdr:row>20</xdr:row>
      <xdr:rowOff>142876</xdr:rowOff>
    </xdr:from>
    <xdr:ext cx="313689" cy="402044"/>
    <xdr:pic>
      <xdr:nvPicPr>
        <xdr:cNvPr id="57" name="Resim 56">
          <a:extLst>
            <a:ext uri="{FF2B5EF4-FFF2-40B4-BE49-F238E27FC236}">
              <a16:creationId xmlns:a16="http://schemas.microsoft.com/office/drawing/2014/main" id="{E26E53AC-8EB3-4638-B290-2E48E687F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00225" y="3952876"/>
          <a:ext cx="313689" cy="402044"/>
        </a:xfrm>
        <a:prstGeom prst="rect">
          <a:avLst/>
        </a:prstGeom>
      </xdr:spPr>
    </xdr:pic>
    <xdr:clientData/>
  </xdr:oneCellAnchor>
  <xdr:oneCellAnchor>
    <xdr:from>
      <xdr:col>24</xdr:col>
      <xdr:colOff>485923</xdr:colOff>
      <xdr:row>28</xdr:row>
      <xdr:rowOff>98972</xdr:rowOff>
    </xdr:from>
    <xdr:ext cx="332570" cy="360038"/>
    <xdr:pic>
      <xdr:nvPicPr>
        <xdr:cNvPr id="59" name="Resim 58">
          <a:extLst>
            <a:ext uri="{FF2B5EF4-FFF2-40B4-BE49-F238E27FC236}">
              <a16:creationId xmlns:a16="http://schemas.microsoft.com/office/drawing/2014/main" id="{E61C956A-2330-41E4-93F4-8BA76835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06723" y="6194972"/>
          <a:ext cx="332570" cy="360038"/>
        </a:xfrm>
        <a:prstGeom prst="rect">
          <a:avLst/>
        </a:prstGeom>
      </xdr:spPr>
    </xdr:pic>
    <xdr:clientData/>
  </xdr:oneCellAnchor>
  <xdr:oneCellAnchor>
    <xdr:from>
      <xdr:col>24</xdr:col>
      <xdr:colOff>473184</xdr:colOff>
      <xdr:row>32</xdr:row>
      <xdr:rowOff>90104</xdr:rowOff>
    </xdr:from>
    <xdr:ext cx="332570" cy="360034"/>
    <xdr:pic>
      <xdr:nvPicPr>
        <xdr:cNvPr id="60" name="Resim 59">
          <a:extLst>
            <a:ext uri="{FF2B5EF4-FFF2-40B4-BE49-F238E27FC236}">
              <a16:creationId xmlns:a16="http://schemas.microsoft.com/office/drawing/2014/main" id="{9794602A-5E0C-4BD0-910B-EFED8CA04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49736" y="6045966"/>
          <a:ext cx="332570" cy="360034"/>
        </a:xfrm>
        <a:prstGeom prst="rect">
          <a:avLst/>
        </a:prstGeom>
      </xdr:spPr>
    </xdr:pic>
    <xdr:clientData/>
  </xdr:oneCellAnchor>
  <xdr:twoCellAnchor>
    <xdr:from>
      <xdr:col>25</xdr:col>
      <xdr:colOff>228600</xdr:colOff>
      <xdr:row>21</xdr:row>
      <xdr:rowOff>9525</xdr:rowOff>
    </xdr:from>
    <xdr:to>
      <xdr:col>30</xdr:col>
      <xdr:colOff>76200</xdr:colOff>
      <xdr:row>22</xdr:row>
      <xdr:rowOff>123825</xdr:rowOff>
    </xdr:to>
    <xdr:sp macro="" textlink="">
      <xdr:nvSpPr>
        <xdr:cNvPr id="62" name="Dikdörtgen 6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255F024-6867-4068-B0A6-095B75C0AE4A}"/>
            </a:ext>
          </a:extLst>
        </xdr:cNvPr>
        <xdr:cNvSpPr/>
      </xdr:nvSpPr>
      <xdr:spPr>
        <a:xfrm>
          <a:off x="14859000" y="401002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Kazan Baca Çap Hesabı (pratik)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228600</xdr:colOff>
      <xdr:row>24</xdr:row>
      <xdr:rowOff>180975</xdr:rowOff>
    </xdr:from>
    <xdr:to>
      <xdr:col>30</xdr:col>
      <xdr:colOff>76200</xdr:colOff>
      <xdr:row>26</xdr:row>
      <xdr:rowOff>104775</xdr:rowOff>
    </xdr:to>
    <xdr:sp macro="" textlink="">
      <xdr:nvSpPr>
        <xdr:cNvPr id="63" name="Dikdörtgen 62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98D8E647-0D8B-4145-B7BC-74C56262E64E}"/>
            </a:ext>
          </a:extLst>
        </xdr:cNvPr>
        <xdr:cNvSpPr/>
      </xdr:nvSpPr>
      <xdr:spPr>
        <a:xfrm>
          <a:off x="14859000" y="4752975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Isıtma Hattı Genleşme Tankı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238125</xdr:colOff>
      <xdr:row>28</xdr:row>
      <xdr:rowOff>152400</xdr:rowOff>
    </xdr:from>
    <xdr:to>
      <xdr:col>30</xdr:col>
      <xdr:colOff>85725</xdr:colOff>
      <xdr:row>30</xdr:row>
      <xdr:rowOff>76200</xdr:rowOff>
    </xdr:to>
    <xdr:sp macro="" textlink="">
      <xdr:nvSpPr>
        <xdr:cNvPr id="64" name="Dikdörtgen 6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C1D1C52F-8683-41B7-A00C-0C0D728FBCEB}"/>
            </a:ext>
          </a:extLst>
        </xdr:cNvPr>
        <xdr:cNvSpPr/>
      </xdr:nvSpPr>
      <xdr:spPr>
        <a:xfrm>
          <a:off x="14868525" y="5486400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Temiz Su Genleşme Tankı Hesabı - 1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25</xdr:col>
      <xdr:colOff>247650</xdr:colOff>
      <xdr:row>32</xdr:row>
      <xdr:rowOff>133350</xdr:rowOff>
    </xdr:from>
    <xdr:to>
      <xdr:col>30</xdr:col>
      <xdr:colOff>95250</xdr:colOff>
      <xdr:row>34</xdr:row>
      <xdr:rowOff>57150</xdr:rowOff>
    </xdr:to>
    <xdr:sp macro="" textlink="">
      <xdr:nvSpPr>
        <xdr:cNvPr id="65" name="Dikdörtgen 64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70B3FDEB-BFAD-4F0B-B4AF-59E896C18651}"/>
            </a:ext>
          </a:extLst>
        </xdr:cNvPr>
        <xdr:cNvSpPr/>
      </xdr:nvSpPr>
      <xdr:spPr>
        <a:xfrm>
          <a:off x="14878050" y="6229350"/>
          <a:ext cx="2895600" cy="304800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Temiz Su Genleşme Tankı Hesabı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- 2 </a:t>
          </a:r>
          <a:r>
            <a:rPr lang="tr-TR" sz="1100" b="1" baseline="0">
              <a:solidFill>
                <a:srgbClr val="00B0F0"/>
              </a:solidFill>
              <a:effectLst/>
              <a:latin typeface="+mn-lt"/>
              <a:ea typeface="+mn-ea"/>
              <a:cs typeface="+mn-cs"/>
            </a:rPr>
            <a:t>(Boyler)</a:t>
          </a:r>
          <a:endParaRPr lang="tr-TR" b="1">
            <a:solidFill>
              <a:srgbClr val="00B0F0"/>
            </a:solidFill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18</xdr:col>
      <xdr:colOff>289551</xdr:colOff>
      <xdr:row>28</xdr:row>
      <xdr:rowOff>89855</xdr:rowOff>
    </xdr:from>
    <xdr:ext cx="371139" cy="376249"/>
    <xdr:pic>
      <xdr:nvPicPr>
        <xdr:cNvPr id="68" name="Resim 67">
          <a:extLst>
            <a:ext uri="{FF2B5EF4-FFF2-40B4-BE49-F238E27FC236}">
              <a16:creationId xmlns:a16="http://schemas.microsoft.com/office/drawing/2014/main" id="{926AA403-3CAC-4198-9CEC-1769B3EDD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2310" y="6045717"/>
          <a:ext cx="371139" cy="3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300498</xdr:colOff>
      <xdr:row>31</xdr:row>
      <xdr:rowOff>143100</xdr:rowOff>
    </xdr:from>
    <xdr:ext cx="371139" cy="388523"/>
    <xdr:pic>
      <xdr:nvPicPr>
        <xdr:cNvPr id="69" name="Resim 68">
          <a:extLst>
            <a:ext uri="{FF2B5EF4-FFF2-40B4-BE49-F238E27FC236}">
              <a16:creationId xmlns:a16="http://schemas.microsoft.com/office/drawing/2014/main" id="{E520E3DB-7FF6-4C2C-910F-06644172A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3257" y="6657324"/>
          <a:ext cx="371139" cy="388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19</xdr:col>
      <xdr:colOff>87586</xdr:colOff>
      <xdr:row>28</xdr:row>
      <xdr:rowOff>153276</xdr:rowOff>
    </xdr:from>
    <xdr:to>
      <xdr:col>23</xdr:col>
      <xdr:colOff>544786</xdr:colOff>
      <xdr:row>30</xdr:row>
      <xdr:rowOff>77077</xdr:rowOff>
    </xdr:to>
    <xdr:sp macro="" textlink="">
      <xdr:nvSpPr>
        <xdr:cNvPr id="70" name="Dikdörtgen 69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0DB54D52-C9C0-420A-99A9-F35C7D802915}"/>
            </a:ext>
          </a:extLst>
        </xdr:cNvPr>
        <xdr:cNvSpPr/>
      </xdr:nvSpPr>
      <xdr:spPr>
        <a:xfrm>
          <a:off x="11123448" y="6109138"/>
          <a:ext cx="2909614" cy="296042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Güneş Kollektör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98534</xdr:colOff>
      <xdr:row>32</xdr:row>
      <xdr:rowOff>32844</xdr:rowOff>
    </xdr:from>
    <xdr:to>
      <xdr:col>23</xdr:col>
      <xdr:colOff>555734</xdr:colOff>
      <xdr:row>33</xdr:row>
      <xdr:rowOff>142765</xdr:rowOff>
    </xdr:to>
    <xdr:sp macro="" textlink="">
      <xdr:nvSpPr>
        <xdr:cNvPr id="71" name="Dikdörtgen 70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4CA647B-7D47-46B7-9184-511F21D98DAE}"/>
            </a:ext>
          </a:extLst>
        </xdr:cNvPr>
        <xdr:cNvSpPr/>
      </xdr:nvSpPr>
      <xdr:spPr>
        <a:xfrm>
          <a:off x="11134396" y="6733189"/>
          <a:ext cx="2909614" cy="296042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/>
            <a:t> 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Güneş Kollektör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Pompası ve Boru Çapı Hesabı</a:t>
          </a: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19</xdr:col>
      <xdr:colOff>98535</xdr:colOff>
      <xdr:row>36</xdr:row>
      <xdr:rowOff>0</xdr:rowOff>
    </xdr:from>
    <xdr:to>
      <xdr:col>23</xdr:col>
      <xdr:colOff>559238</xdr:colOff>
      <xdr:row>37</xdr:row>
      <xdr:rowOff>109920</xdr:rowOff>
    </xdr:to>
    <xdr:sp macro="" textlink="">
      <xdr:nvSpPr>
        <xdr:cNvPr id="73" name="Dikdörtgen 72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8FFD9C0-82B6-4E86-AD82-0074E68FAD64}"/>
            </a:ext>
          </a:extLst>
        </xdr:cNvPr>
        <xdr:cNvSpPr/>
      </xdr:nvSpPr>
      <xdr:spPr>
        <a:xfrm>
          <a:off x="11309569" y="6700345"/>
          <a:ext cx="2913117" cy="296041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C</a:t>
          </a:r>
          <a:r>
            <a:rPr lang="tr-T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Kollektör Hesabı</a:t>
          </a:r>
          <a:endParaRPr lang="tr-T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endParaRPr lang="tr-TR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tr-TR">
            <a:effectLst/>
          </a:endParaRPr>
        </a:p>
        <a:p>
          <a:pPr algn="l"/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18</xdr:col>
      <xdr:colOff>306553</xdr:colOff>
      <xdr:row>35</xdr:row>
      <xdr:rowOff>131381</xdr:rowOff>
    </xdr:from>
    <xdr:to>
      <xdr:col>19</xdr:col>
      <xdr:colOff>59404</xdr:colOff>
      <xdr:row>37</xdr:row>
      <xdr:rowOff>120431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12443544-626A-7B4C-5278-FB0552AAA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904484" y="6645605"/>
          <a:ext cx="365954" cy="361292"/>
        </a:xfrm>
        <a:prstGeom prst="rect">
          <a:avLst/>
        </a:prstGeom>
      </xdr:spPr>
    </xdr:pic>
    <xdr:clientData/>
  </xdr:twoCellAnchor>
  <xdr:twoCellAnchor editAs="oneCell">
    <xdr:from>
      <xdr:col>29</xdr:col>
      <xdr:colOff>44451</xdr:colOff>
      <xdr:row>36</xdr:row>
      <xdr:rowOff>2311</xdr:rowOff>
    </xdr:from>
    <xdr:to>
      <xdr:col>30</xdr:col>
      <xdr:colOff>187327</xdr:colOff>
      <xdr:row>38</xdr:row>
      <xdr:rowOff>175952</xdr:rowOff>
    </xdr:to>
    <xdr:pic>
      <xdr:nvPicPr>
        <xdr:cNvPr id="11" name="Resim 10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C68F777-68A6-4273-9A63-8C6C3249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86520" y="6702656"/>
          <a:ext cx="755979" cy="54588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2526097</xdr:colOff>
      <xdr:row>7</xdr:row>
      <xdr:rowOff>121637</xdr:rowOff>
    </xdr:from>
    <xdr:to>
      <xdr:col>22</xdr:col>
      <xdr:colOff>42749</xdr:colOff>
      <xdr:row>41</xdr:row>
      <xdr:rowOff>191399</xdr:rowOff>
    </xdr:to>
    <xdr:pic>
      <xdr:nvPicPr>
        <xdr:cNvPr id="118" name="Resim 117">
          <a:extLst>
            <a:ext uri="{FF2B5EF4-FFF2-40B4-BE49-F238E27FC236}">
              <a16:creationId xmlns:a16="http://schemas.microsoft.com/office/drawing/2014/main" id="{40ECE077-2471-3D0D-269F-37149E23E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6097" y="1044979"/>
          <a:ext cx="12970479" cy="6542874"/>
        </a:xfrm>
        <a:prstGeom prst="rect">
          <a:avLst/>
        </a:prstGeom>
      </xdr:spPr>
    </xdr:pic>
    <xdr:clientData/>
  </xdr:twoCellAnchor>
  <xdr:twoCellAnchor>
    <xdr:from>
      <xdr:col>14</xdr:col>
      <xdr:colOff>408215</xdr:colOff>
      <xdr:row>12</xdr:row>
      <xdr:rowOff>136071</xdr:rowOff>
    </xdr:from>
    <xdr:to>
      <xdr:col>17</xdr:col>
      <xdr:colOff>573445</xdr:colOff>
      <xdr:row>14</xdr:row>
      <xdr:rowOff>11493</xdr:rowOff>
    </xdr:to>
    <xdr:sp macro="" textlink="">
      <xdr:nvSpPr>
        <xdr:cNvPr id="2" name="Dikdörtgen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59D9F0-18AB-43ED-95D2-12B20853AB29}"/>
            </a:ext>
          </a:extLst>
        </xdr:cNvPr>
        <xdr:cNvSpPr/>
      </xdr:nvSpPr>
      <xdr:spPr>
        <a:xfrm>
          <a:off x="10895434" y="2284056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</a:t>
          </a:r>
          <a:r>
            <a:rPr lang="tr-TR" sz="1100"/>
            <a:t>Isıtma 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408214</xdr:colOff>
      <xdr:row>15</xdr:row>
      <xdr:rowOff>38877</xdr:rowOff>
    </xdr:from>
    <xdr:to>
      <xdr:col>17</xdr:col>
      <xdr:colOff>573444</xdr:colOff>
      <xdr:row>16</xdr:row>
      <xdr:rowOff>108686</xdr:rowOff>
    </xdr:to>
    <xdr:sp macro="" textlink="">
      <xdr:nvSpPr>
        <xdr:cNvPr id="4" name="Dikdörtgen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E239D0-4A4F-4149-A481-50B9678A5CE2}"/>
            </a:ext>
          </a:extLst>
        </xdr:cNvPr>
        <xdr:cNvSpPr/>
      </xdr:nvSpPr>
      <xdr:spPr>
        <a:xfrm>
          <a:off x="10895433" y="2770025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Soğut</a:t>
          </a:r>
          <a:r>
            <a:rPr lang="tr-TR" sz="1100"/>
            <a:t>ma 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414826</xdr:colOff>
      <xdr:row>17</xdr:row>
      <xdr:rowOff>142681</xdr:rowOff>
    </xdr:from>
    <xdr:to>
      <xdr:col>17</xdr:col>
      <xdr:colOff>580056</xdr:colOff>
      <xdr:row>19</xdr:row>
      <xdr:rowOff>18102</xdr:rowOff>
    </xdr:to>
    <xdr:sp macro="" textlink="">
      <xdr:nvSpPr>
        <xdr:cNvPr id="6" name="Dikdört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971601F-46DA-4156-B578-DFBD352ABE47}"/>
            </a:ext>
          </a:extLst>
        </xdr:cNvPr>
        <xdr:cNvSpPr/>
      </xdr:nvSpPr>
      <xdr:spPr>
        <a:xfrm>
          <a:off x="10902045" y="3262604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Havalandır</a:t>
          </a:r>
          <a:r>
            <a:rPr lang="tr-TR" sz="1100"/>
            <a:t>ma 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411715</xdr:colOff>
      <xdr:row>20</xdr:row>
      <xdr:rowOff>52095</xdr:rowOff>
    </xdr:from>
    <xdr:to>
      <xdr:col>17</xdr:col>
      <xdr:colOff>576945</xdr:colOff>
      <xdr:row>21</xdr:row>
      <xdr:rowOff>121905</xdr:rowOff>
    </xdr:to>
    <xdr:sp macro="" textlink="">
      <xdr:nvSpPr>
        <xdr:cNvPr id="7" name="Dikdörtgen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2C8E56-DAB5-41CB-9B36-C8D6176360E9}"/>
            </a:ext>
          </a:extLst>
        </xdr:cNvPr>
        <xdr:cNvSpPr/>
      </xdr:nvSpPr>
      <xdr:spPr>
        <a:xfrm>
          <a:off x="10898934" y="3755182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Doğalgaz</a:t>
          </a:r>
          <a:r>
            <a:rPr lang="tr-TR" sz="1100"/>
            <a:t> 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418325</xdr:colOff>
      <xdr:row>22</xdr:row>
      <xdr:rowOff>136461</xdr:rowOff>
    </xdr:from>
    <xdr:to>
      <xdr:col>17</xdr:col>
      <xdr:colOff>583555</xdr:colOff>
      <xdr:row>24</xdr:row>
      <xdr:rowOff>11882</xdr:rowOff>
    </xdr:to>
    <xdr:sp macro="" textlink="">
      <xdr:nvSpPr>
        <xdr:cNvPr id="8" name="Dikdörtgen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57DCA5-F722-49AE-A898-A6295BBCAD27}"/>
            </a:ext>
          </a:extLst>
        </xdr:cNvPr>
        <xdr:cNvSpPr/>
      </xdr:nvSpPr>
      <xdr:spPr>
        <a:xfrm>
          <a:off x="10905544" y="4228323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Tesisat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434654</xdr:colOff>
      <xdr:row>25</xdr:row>
      <xdr:rowOff>65314</xdr:rowOff>
    </xdr:from>
    <xdr:to>
      <xdr:col>17</xdr:col>
      <xdr:colOff>599884</xdr:colOff>
      <xdr:row>26</xdr:row>
      <xdr:rowOff>135124</xdr:rowOff>
    </xdr:to>
    <xdr:sp macro="" textlink="">
      <xdr:nvSpPr>
        <xdr:cNvPr id="11" name="Dikdörtgen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96414D9-6B6D-4136-AFC6-CBEE747B0CFB}"/>
            </a:ext>
          </a:extLst>
        </xdr:cNvPr>
        <xdr:cNvSpPr/>
      </xdr:nvSpPr>
      <xdr:spPr>
        <a:xfrm>
          <a:off x="10921873" y="4740340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İnşaat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1</xdr:col>
      <xdr:colOff>38879</xdr:colOff>
      <xdr:row>2</xdr:row>
      <xdr:rowOff>29158</xdr:rowOff>
    </xdr:from>
    <xdr:to>
      <xdr:col>3</xdr:col>
      <xdr:colOff>262424</xdr:colOff>
      <xdr:row>6</xdr:row>
      <xdr:rowOff>103627</xdr:rowOff>
    </xdr:to>
    <xdr:pic>
      <xdr:nvPicPr>
        <xdr:cNvPr id="3" name="Resim 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7EDB13B-E915-4993-8186-C43FFEB0C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5639" y="29158"/>
          <a:ext cx="1195484" cy="881178"/>
        </a:xfrm>
        <a:prstGeom prst="rect">
          <a:avLst/>
        </a:prstGeom>
      </xdr:spPr>
    </xdr:pic>
    <xdr:clientData/>
  </xdr:twoCellAnchor>
  <xdr:twoCellAnchor>
    <xdr:from>
      <xdr:col>14</xdr:col>
      <xdr:colOff>431545</xdr:colOff>
      <xdr:row>27</xdr:row>
      <xdr:rowOff>159398</xdr:rowOff>
    </xdr:from>
    <xdr:to>
      <xdr:col>17</xdr:col>
      <xdr:colOff>596775</xdr:colOff>
      <xdr:row>29</xdr:row>
      <xdr:rowOff>34819</xdr:rowOff>
    </xdr:to>
    <xdr:sp macro="" textlink="">
      <xdr:nvSpPr>
        <xdr:cNvPr id="13" name="Dikdörtgen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62565AC-C401-4C21-B2A5-1D82B45A6F88}"/>
            </a:ext>
          </a:extLst>
        </xdr:cNvPr>
        <xdr:cNvSpPr/>
      </xdr:nvSpPr>
      <xdr:spPr>
        <a:xfrm>
          <a:off x="10918764" y="5223199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Yağmur Su Toplama Sistemleri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 editAs="oneCell">
    <xdr:from>
      <xdr:col>3</xdr:col>
      <xdr:colOff>165230</xdr:colOff>
      <xdr:row>2</xdr:row>
      <xdr:rowOff>19439</xdr:rowOff>
    </xdr:from>
    <xdr:to>
      <xdr:col>3</xdr:col>
      <xdr:colOff>353792</xdr:colOff>
      <xdr:row>3</xdr:row>
      <xdr:rowOff>19439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7930962F-79C8-004B-E9ED-0836CE72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3929" y="19439"/>
          <a:ext cx="188562" cy="204107"/>
        </a:xfrm>
        <a:prstGeom prst="rect">
          <a:avLst/>
        </a:prstGeom>
      </xdr:spPr>
    </xdr:pic>
    <xdr:clientData/>
  </xdr:twoCellAnchor>
  <xdr:twoCellAnchor editAs="oneCell">
    <xdr:from>
      <xdr:col>17</xdr:col>
      <xdr:colOff>417934</xdr:colOff>
      <xdr:row>2</xdr:row>
      <xdr:rowOff>9720</xdr:rowOff>
    </xdr:from>
    <xdr:to>
      <xdr:col>18</xdr:col>
      <xdr:colOff>447093</xdr:colOff>
      <xdr:row>6</xdr:row>
      <xdr:rowOff>108909</xdr:rowOff>
    </xdr:to>
    <xdr:pic>
      <xdr:nvPicPr>
        <xdr:cNvPr id="21" name="Resim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5B22F3C-A609-28C6-C599-AD5C3D10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42118" y="9720"/>
          <a:ext cx="641480" cy="905898"/>
        </a:xfrm>
        <a:prstGeom prst="rect">
          <a:avLst/>
        </a:prstGeom>
      </xdr:spPr>
    </xdr:pic>
    <xdr:clientData/>
  </xdr:twoCellAnchor>
  <xdr:twoCellAnchor>
    <xdr:from>
      <xdr:col>14</xdr:col>
      <xdr:colOff>427654</xdr:colOff>
      <xdr:row>30</xdr:row>
      <xdr:rowOff>68037</xdr:rowOff>
    </xdr:from>
    <xdr:to>
      <xdr:col>17</xdr:col>
      <xdr:colOff>592884</xdr:colOff>
      <xdr:row>31</xdr:row>
      <xdr:rowOff>137846</xdr:rowOff>
    </xdr:to>
    <xdr:sp macro="" textlink="">
      <xdr:nvSpPr>
        <xdr:cNvPr id="5" name="Dikdörtgen 4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2E42D86-CBA0-4D56-99FE-183E43928CD7}"/>
            </a:ext>
          </a:extLst>
        </xdr:cNvPr>
        <xdr:cNvSpPr/>
      </xdr:nvSpPr>
      <xdr:spPr>
        <a:xfrm>
          <a:off x="10914873" y="5715001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Peysaj ve Sulama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427653</xdr:colOff>
      <xdr:row>32</xdr:row>
      <xdr:rowOff>155510</xdr:rowOff>
    </xdr:from>
    <xdr:to>
      <xdr:col>17</xdr:col>
      <xdr:colOff>592883</xdr:colOff>
      <xdr:row>34</xdr:row>
      <xdr:rowOff>30932</xdr:rowOff>
    </xdr:to>
    <xdr:sp macro="" textlink="">
      <xdr:nvSpPr>
        <xdr:cNvPr id="10" name="Dikdörtgen 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0AA1383-7C3C-4227-86B9-9D417AB1A70F}"/>
            </a:ext>
          </a:extLst>
        </xdr:cNvPr>
        <xdr:cNvSpPr/>
      </xdr:nvSpPr>
      <xdr:spPr>
        <a:xfrm>
          <a:off x="10914872" y="6191250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/>
            <a:t>  Mimari Detaylar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twoCellAnchor>
    <xdr:from>
      <xdr:col>14</xdr:col>
      <xdr:colOff>437373</xdr:colOff>
      <xdr:row>35</xdr:row>
      <xdr:rowOff>38878</xdr:rowOff>
    </xdr:from>
    <xdr:to>
      <xdr:col>17</xdr:col>
      <xdr:colOff>602603</xdr:colOff>
      <xdr:row>36</xdr:row>
      <xdr:rowOff>108687</xdr:rowOff>
    </xdr:to>
    <xdr:sp macro="" textlink="">
      <xdr:nvSpPr>
        <xdr:cNvPr id="12" name="Dikdörtgen 1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D87315B-CED6-4497-9B49-9C629E61E557}"/>
            </a:ext>
          </a:extLst>
        </xdr:cNvPr>
        <xdr:cNvSpPr/>
      </xdr:nvSpPr>
      <xdr:spPr>
        <a:xfrm>
          <a:off x="10924592" y="6657781"/>
          <a:ext cx="2002195" cy="264197"/>
        </a:xfrm>
        <a:prstGeom prst="rect">
          <a:avLst/>
        </a:prstGeom>
        <a:solidFill>
          <a:srgbClr val="990000"/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 baseline="0">
              <a:solidFill>
                <a:schemeClr val="lt1"/>
              </a:solidFill>
            </a:rPr>
            <a:t>  Teknik Kütüphane</a:t>
          </a:r>
          <a:endParaRPr lang="tr-TR" sz="900">
            <a:solidFill>
              <a:srgbClr val="FFC000"/>
            </a:solidFill>
          </a:endParaRPr>
        </a:p>
      </xdr:txBody>
    </xdr:sp>
    <xdr:clientData/>
  </xdr:twoCellAnchor>
  <xdr:oneCellAnchor>
    <xdr:from>
      <xdr:col>19</xdr:col>
      <xdr:colOff>301143</xdr:colOff>
      <xdr:row>38</xdr:row>
      <xdr:rowOff>171106</xdr:rowOff>
    </xdr:from>
    <xdr:ext cx="551196" cy="172258"/>
    <xdr:pic>
      <xdr:nvPicPr>
        <xdr:cNvPr id="9" name="Resim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B8A79CD-B145-492C-8A99-4F36D426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9970" y="6984397"/>
          <a:ext cx="551196" cy="172258"/>
        </a:xfrm>
        <a:prstGeom prst="rect">
          <a:avLst/>
        </a:prstGeom>
      </xdr:spPr>
    </xdr:pic>
    <xdr:clientData/>
  </xdr:oneCellAnchor>
  <xdr:oneCellAnchor>
    <xdr:from>
      <xdr:col>15</xdr:col>
      <xdr:colOff>214399</xdr:colOff>
      <xdr:row>38</xdr:row>
      <xdr:rowOff>115304</xdr:rowOff>
    </xdr:from>
    <xdr:ext cx="896272" cy="277839"/>
    <xdr:pic>
      <xdr:nvPicPr>
        <xdr:cNvPr id="14" name="Resim 13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91CCDCF-DD8E-4CEC-8797-1E89A21B6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13940" y="6928595"/>
          <a:ext cx="896272" cy="277839"/>
        </a:xfrm>
        <a:prstGeom prst="rect">
          <a:avLst/>
        </a:prstGeom>
      </xdr:spPr>
    </xdr:pic>
    <xdr:clientData/>
  </xdr:oneCellAnchor>
  <xdr:oneCellAnchor>
    <xdr:from>
      <xdr:col>16</xdr:col>
      <xdr:colOff>561411</xdr:colOff>
      <xdr:row>38</xdr:row>
      <xdr:rowOff>112448</xdr:rowOff>
    </xdr:from>
    <xdr:ext cx="672363" cy="263179"/>
    <xdr:pic>
      <xdr:nvPicPr>
        <xdr:cNvPr id="15" name="Resim 14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0D5B098A-9A0A-4B13-B211-A759060F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73273" y="6925739"/>
          <a:ext cx="672363" cy="263179"/>
        </a:xfrm>
        <a:prstGeom prst="rect">
          <a:avLst/>
        </a:prstGeom>
      </xdr:spPr>
    </xdr:pic>
    <xdr:clientData/>
  </xdr:oneCellAnchor>
  <xdr:oneCellAnchor>
    <xdr:from>
      <xdr:col>18</xdr:col>
      <xdr:colOff>57435</xdr:colOff>
      <xdr:row>38</xdr:row>
      <xdr:rowOff>115940</xdr:rowOff>
    </xdr:from>
    <xdr:ext cx="774525" cy="269407"/>
    <xdr:pic>
      <xdr:nvPicPr>
        <xdr:cNvPr id="16" name="Resim 15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2EF5E9B-4DA4-4365-AFA2-51352CCE9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93940" y="6929231"/>
          <a:ext cx="774525" cy="269407"/>
        </a:xfrm>
        <a:prstGeom prst="rect">
          <a:avLst/>
        </a:prstGeom>
      </xdr:spPr>
    </xdr:pic>
    <xdr:clientData/>
  </xdr:oneCellAnchor>
  <xdr:oneCellAnchor>
    <xdr:from>
      <xdr:col>14</xdr:col>
      <xdr:colOff>463614</xdr:colOff>
      <xdr:row>38</xdr:row>
      <xdr:rowOff>118826</xdr:rowOff>
    </xdr:from>
    <xdr:ext cx="291912" cy="275342"/>
    <xdr:pic>
      <xdr:nvPicPr>
        <xdr:cNvPr id="17" name="Resim 16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081F5B6C-F3F4-4B08-A20A-8B6929EA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50833" y="6932117"/>
          <a:ext cx="291912" cy="27534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16</xdr:row>
      <xdr:rowOff>57150</xdr:rowOff>
    </xdr:from>
    <xdr:to>
      <xdr:col>12</xdr:col>
      <xdr:colOff>23909</xdr:colOff>
      <xdr:row>20</xdr:row>
      <xdr:rowOff>166803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B4CB3-441A-4114-B023-EDBEF5B7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3733800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5</xdr:row>
      <xdr:rowOff>9525</xdr:rowOff>
    </xdr:from>
    <xdr:to>
      <xdr:col>6</xdr:col>
      <xdr:colOff>376172</xdr:colOff>
      <xdr:row>8</xdr:row>
      <xdr:rowOff>170716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67F17F-A4C2-4B62-9764-963707B21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1590675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6</xdr:row>
      <xdr:rowOff>95250</xdr:rowOff>
    </xdr:from>
    <xdr:to>
      <xdr:col>6</xdr:col>
      <xdr:colOff>168824</xdr:colOff>
      <xdr:row>7</xdr:row>
      <xdr:rowOff>20909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B1FE7377-932C-486A-AD59-F0F7966C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14775" y="1866900"/>
          <a:ext cx="283124" cy="1161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219075</xdr:colOff>
      <xdr:row>2</xdr:row>
      <xdr:rowOff>104775</xdr:rowOff>
    </xdr:from>
    <xdr:to>
      <xdr:col>2</xdr:col>
      <xdr:colOff>1491740</xdr:colOff>
      <xdr:row>6</xdr:row>
      <xdr:rowOff>95250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356F8BCC-F303-43D7-861C-22AFBACB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8275" y="485775"/>
          <a:ext cx="127266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20</xdr:row>
      <xdr:rowOff>64800</xdr:rowOff>
    </xdr:from>
    <xdr:to>
      <xdr:col>16</xdr:col>
      <xdr:colOff>390526</xdr:colOff>
      <xdr:row>24</xdr:row>
      <xdr:rowOff>4877</xdr:rowOff>
    </xdr:to>
    <xdr:pic>
      <xdr:nvPicPr>
        <xdr:cNvPr id="4" name="Resi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31F0BEF-E971-4342-840F-7F3844403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6951" y="4522500"/>
          <a:ext cx="952500" cy="702077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8</xdr:row>
      <xdr:rowOff>19050</xdr:rowOff>
    </xdr:from>
    <xdr:to>
      <xdr:col>11</xdr:col>
      <xdr:colOff>229900</xdr:colOff>
      <xdr:row>12</xdr:row>
      <xdr:rowOff>102226</xdr:rowOff>
    </xdr:to>
    <xdr:pic>
      <xdr:nvPicPr>
        <xdr:cNvPr id="3" name="Resim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FAC93E-F3D6-4941-BB9B-0CD1184D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0375" y="2162175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9</xdr:row>
      <xdr:rowOff>152400</xdr:rowOff>
    </xdr:from>
    <xdr:to>
      <xdr:col>11</xdr:col>
      <xdr:colOff>2012</xdr:colOff>
      <xdr:row>10</xdr:row>
      <xdr:rowOff>99182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B7647104-0729-44BA-B3A4-AB3DC3830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2486025"/>
          <a:ext cx="335387" cy="13728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26551</xdr:colOff>
      <xdr:row>6</xdr:row>
      <xdr:rowOff>7376</xdr:rowOff>
    </xdr:from>
    <xdr:ext cx="823968" cy="608524"/>
    <xdr:pic>
      <xdr:nvPicPr>
        <xdr:cNvPr id="13" name="Resim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620599-B60E-42B7-8D29-4437581C7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483" y="2691694"/>
          <a:ext cx="823968" cy="608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55218</xdr:colOff>
      <xdr:row>90</xdr:row>
      <xdr:rowOff>455543</xdr:rowOff>
    </xdr:from>
    <xdr:to>
      <xdr:col>17</xdr:col>
      <xdr:colOff>35919</xdr:colOff>
      <xdr:row>93</xdr:row>
      <xdr:rowOff>177155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39196C-80E6-4000-888D-1B36A6E7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85435" y="19477934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14</xdr:col>
      <xdr:colOff>320262</xdr:colOff>
      <xdr:row>2</xdr:row>
      <xdr:rowOff>11042</xdr:rowOff>
    </xdr:from>
    <xdr:to>
      <xdr:col>16</xdr:col>
      <xdr:colOff>411361</xdr:colOff>
      <xdr:row>3</xdr:row>
      <xdr:rowOff>552173</xdr:rowOff>
    </xdr:to>
    <xdr:pic>
      <xdr:nvPicPr>
        <xdr:cNvPr id="3" name="Resim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DC741B4-197B-4650-9976-10015505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79305" y="386520"/>
          <a:ext cx="1350056" cy="1347305"/>
        </a:xfrm>
        <a:prstGeom prst="rect">
          <a:avLst/>
        </a:prstGeom>
      </xdr:spPr>
    </xdr:pic>
    <xdr:clientData/>
  </xdr:twoCellAnchor>
  <xdr:twoCellAnchor editAs="oneCell">
    <xdr:from>
      <xdr:col>15</xdr:col>
      <xdr:colOff>171836</xdr:colOff>
      <xdr:row>2</xdr:row>
      <xdr:rowOff>535608</xdr:rowOff>
    </xdr:from>
    <xdr:to>
      <xdr:col>16</xdr:col>
      <xdr:colOff>27609</xdr:colOff>
      <xdr:row>2</xdr:row>
      <xdr:rowOff>722263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5438D82-6A52-4871-B2D8-F3336945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02053" y="922130"/>
          <a:ext cx="463165" cy="18665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476251</xdr:colOff>
      <xdr:row>4</xdr:row>
      <xdr:rowOff>13229</xdr:rowOff>
    </xdr:from>
    <xdr:to>
      <xdr:col>39</xdr:col>
      <xdr:colOff>315064</xdr:colOff>
      <xdr:row>17</xdr:row>
      <xdr:rowOff>136392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376516B-6DEB-132B-6BB6-2D6BBF25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08334" y="767292"/>
          <a:ext cx="2267266" cy="3734321"/>
        </a:xfrm>
        <a:prstGeom prst="rect">
          <a:avLst/>
        </a:prstGeom>
      </xdr:spPr>
    </xdr:pic>
    <xdr:clientData/>
  </xdr:twoCellAnchor>
  <xdr:twoCellAnchor editAs="oneCell">
    <xdr:from>
      <xdr:col>39</xdr:col>
      <xdr:colOff>410106</xdr:colOff>
      <xdr:row>4</xdr:row>
      <xdr:rowOff>0</xdr:rowOff>
    </xdr:from>
    <xdr:to>
      <xdr:col>43</xdr:col>
      <xdr:colOff>2337</xdr:colOff>
      <xdr:row>17</xdr:row>
      <xdr:rowOff>113638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C2B171E5-8D55-673C-A3D9-6805BE556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68612" y="778262"/>
          <a:ext cx="2224428" cy="3723705"/>
        </a:xfrm>
        <a:prstGeom prst="rect">
          <a:avLst/>
        </a:prstGeom>
      </xdr:spPr>
    </xdr:pic>
    <xdr:clientData/>
  </xdr:twoCellAnchor>
  <xdr:twoCellAnchor editAs="oneCell">
    <xdr:from>
      <xdr:col>35</xdr:col>
      <xdr:colOff>489479</xdr:colOff>
      <xdr:row>19</xdr:row>
      <xdr:rowOff>1</xdr:rowOff>
    </xdr:from>
    <xdr:to>
      <xdr:col>39</xdr:col>
      <xdr:colOff>303525</xdr:colOff>
      <xdr:row>36</xdr:row>
      <xdr:rowOff>28464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5B187C3-FA09-876A-F4A1-AB34D059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21562" y="4630209"/>
          <a:ext cx="2248214" cy="3753374"/>
        </a:xfrm>
        <a:prstGeom prst="rect">
          <a:avLst/>
        </a:prstGeom>
      </xdr:spPr>
    </xdr:pic>
    <xdr:clientData/>
  </xdr:twoCellAnchor>
  <xdr:twoCellAnchor editAs="oneCell">
    <xdr:from>
      <xdr:col>39</xdr:col>
      <xdr:colOff>423334</xdr:colOff>
      <xdr:row>18</xdr:row>
      <xdr:rowOff>171977</xdr:rowOff>
    </xdr:from>
    <xdr:to>
      <xdr:col>43</xdr:col>
      <xdr:colOff>11756</xdr:colOff>
      <xdr:row>36</xdr:row>
      <xdr:rowOff>3802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89186D9B-5358-84E5-A8C4-B52C6CDC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89584" y="4616977"/>
          <a:ext cx="2238687" cy="3753374"/>
        </a:xfrm>
        <a:prstGeom prst="rect">
          <a:avLst/>
        </a:prstGeom>
      </xdr:spPr>
    </xdr:pic>
    <xdr:clientData/>
  </xdr:twoCellAnchor>
  <xdr:twoCellAnchor editAs="oneCell">
    <xdr:from>
      <xdr:col>22</xdr:col>
      <xdr:colOff>538596</xdr:colOff>
      <xdr:row>41</xdr:row>
      <xdr:rowOff>28286</xdr:rowOff>
    </xdr:from>
    <xdr:to>
      <xdr:col>25</xdr:col>
      <xdr:colOff>156145</xdr:colOff>
      <xdr:row>43</xdr:row>
      <xdr:rowOff>78218</xdr:rowOff>
    </xdr:to>
    <xdr:pic>
      <xdr:nvPicPr>
        <xdr:cNvPr id="2" name="Resim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77075C-CE3B-466C-83EB-020592589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48937" y="9654309"/>
          <a:ext cx="1046299" cy="425159"/>
        </a:xfrm>
        <a:prstGeom prst="rect">
          <a:avLst/>
        </a:prstGeom>
      </xdr:spPr>
    </xdr:pic>
    <xdr:clientData/>
  </xdr:twoCellAnchor>
  <xdr:twoCellAnchor editAs="oneCell">
    <xdr:from>
      <xdr:col>14</xdr:col>
      <xdr:colOff>96919</xdr:colOff>
      <xdr:row>0</xdr:row>
      <xdr:rowOff>57627</xdr:rowOff>
    </xdr:from>
    <xdr:to>
      <xdr:col>16</xdr:col>
      <xdr:colOff>360997</xdr:colOff>
      <xdr:row>2</xdr:row>
      <xdr:rowOff>170474</xdr:rowOff>
    </xdr:to>
    <xdr:pic>
      <xdr:nvPicPr>
        <xdr:cNvPr id="3" name="Resim 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C3F6E4A-6AE9-4458-9855-081173A7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5942" y="57627"/>
          <a:ext cx="796050" cy="823412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238123</xdr:colOff>
      <xdr:row>2</xdr:row>
      <xdr:rowOff>4168</xdr:rowOff>
    </xdr:from>
    <xdr:to>
      <xdr:col>16</xdr:col>
      <xdr:colOff>353733</xdr:colOff>
      <xdr:row>2</xdr:row>
      <xdr:rowOff>160436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395ABEC-A73E-4E97-8F52-66C30AD1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85037" y="718543"/>
          <a:ext cx="381596" cy="154363"/>
        </a:xfrm>
        <a:prstGeom prst="rect">
          <a:avLst/>
        </a:prstGeom>
      </xdr:spPr>
    </xdr:pic>
    <xdr:clientData/>
  </xdr:twoCellAnchor>
  <xdr:twoCellAnchor editAs="oneCell">
    <xdr:from>
      <xdr:col>33</xdr:col>
      <xdr:colOff>13804</xdr:colOff>
      <xdr:row>40</xdr:row>
      <xdr:rowOff>49093</xdr:rowOff>
    </xdr:from>
    <xdr:to>
      <xdr:col>34</xdr:col>
      <xdr:colOff>179457</xdr:colOff>
      <xdr:row>42</xdr:row>
      <xdr:rowOff>163352</xdr:rowOff>
    </xdr:to>
    <xdr:pic>
      <xdr:nvPicPr>
        <xdr:cNvPr id="14" name="Resim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E92FFC-E5A5-4F3F-BF30-018563BEF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46304" y="9684528"/>
          <a:ext cx="773044" cy="56980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610308</xdr:colOff>
      <xdr:row>27</xdr:row>
      <xdr:rowOff>156829</xdr:rowOff>
    </xdr:from>
    <xdr:to>
      <xdr:col>17</xdr:col>
      <xdr:colOff>248429</xdr:colOff>
      <xdr:row>35</xdr:row>
      <xdr:rowOff>175258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C2ADBA6F-1477-835E-9FF8-B2C78BEF9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908" y="6664309"/>
          <a:ext cx="2133671" cy="1851038"/>
        </a:xfrm>
        <a:prstGeom prst="rect">
          <a:avLst/>
        </a:prstGeom>
      </xdr:spPr>
    </xdr:pic>
    <xdr:clientData/>
  </xdr:twoCellAnchor>
  <xdr:twoCellAnchor editAs="oneCell">
    <xdr:from>
      <xdr:col>13</xdr:col>
      <xdr:colOff>486853</xdr:colOff>
      <xdr:row>15</xdr:row>
      <xdr:rowOff>156986</xdr:rowOff>
    </xdr:from>
    <xdr:to>
      <xdr:col>17</xdr:col>
      <xdr:colOff>205746</xdr:colOff>
      <xdr:row>21</xdr:row>
      <xdr:rowOff>244284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2C68E7C7-B257-1651-59E5-2C0A43D88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6453" y="3723146"/>
          <a:ext cx="2206823" cy="1584628"/>
        </a:xfrm>
        <a:prstGeom prst="rect">
          <a:avLst/>
        </a:prstGeom>
      </xdr:spPr>
    </xdr:pic>
    <xdr:clientData/>
  </xdr:twoCellAnchor>
  <xdr:twoCellAnchor editAs="oneCell">
    <xdr:from>
      <xdr:col>13</xdr:col>
      <xdr:colOff>584789</xdr:colOff>
      <xdr:row>40</xdr:row>
      <xdr:rowOff>174265</xdr:rowOff>
    </xdr:from>
    <xdr:to>
      <xdr:col>17</xdr:col>
      <xdr:colOff>210450</xdr:colOff>
      <xdr:row>51</xdr:row>
      <xdr:rowOff>92415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C067FC45-2B2A-3BC3-F76B-96D1E126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64138" y="9513195"/>
          <a:ext cx="2102781" cy="2324386"/>
        </a:xfrm>
        <a:prstGeom prst="rect">
          <a:avLst/>
        </a:prstGeom>
      </xdr:spPr>
    </xdr:pic>
    <xdr:clientData/>
  </xdr:twoCellAnchor>
  <xdr:twoCellAnchor editAs="oneCell">
    <xdr:from>
      <xdr:col>2</xdr:col>
      <xdr:colOff>435612</xdr:colOff>
      <xdr:row>27</xdr:row>
      <xdr:rowOff>248649</xdr:rowOff>
    </xdr:from>
    <xdr:to>
      <xdr:col>3</xdr:col>
      <xdr:colOff>531628</xdr:colOff>
      <xdr:row>37</xdr:row>
      <xdr:rowOff>22533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379B31B8-3664-DDEC-3662-BA48451B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077" y="6699068"/>
          <a:ext cx="1992156" cy="2109235"/>
        </a:xfrm>
        <a:prstGeom prst="rect">
          <a:avLst/>
        </a:prstGeom>
      </xdr:spPr>
    </xdr:pic>
    <xdr:clientData/>
  </xdr:twoCellAnchor>
  <xdr:twoCellAnchor editAs="oneCell">
    <xdr:from>
      <xdr:col>2</xdr:col>
      <xdr:colOff>258636</xdr:colOff>
      <xdr:row>11</xdr:row>
      <xdr:rowOff>162228</xdr:rowOff>
    </xdr:from>
    <xdr:to>
      <xdr:col>3</xdr:col>
      <xdr:colOff>552514</xdr:colOff>
      <xdr:row>24</xdr:row>
      <xdr:rowOff>244638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9D0EF7B1-D70B-42DC-B218-032E486B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9101" y="2784926"/>
          <a:ext cx="2186208" cy="3187027"/>
        </a:xfrm>
        <a:prstGeom prst="rect">
          <a:avLst/>
        </a:prstGeom>
      </xdr:spPr>
    </xdr:pic>
    <xdr:clientData/>
  </xdr:twoCellAnchor>
  <xdr:twoCellAnchor editAs="oneCell">
    <xdr:from>
      <xdr:col>2</xdr:col>
      <xdr:colOff>204058</xdr:colOff>
      <xdr:row>39</xdr:row>
      <xdr:rowOff>135591</xdr:rowOff>
    </xdr:from>
    <xdr:to>
      <xdr:col>4</xdr:col>
      <xdr:colOff>59854</xdr:colOff>
      <xdr:row>45</xdr:row>
      <xdr:rowOff>212600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CBDC3F5B-B8DF-46AF-02E8-7CB272F3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4523" y="9279591"/>
          <a:ext cx="2368358" cy="149849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46</xdr:row>
      <xdr:rowOff>106680</xdr:rowOff>
    </xdr:from>
    <xdr:to>
      <xdr:col>4</xdr:col>
      <xdr:colOff>53340</xdr:colOff>
      <xdr:row>52</xdr:row>
      <xdr:rowOff>91768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3CF4EB79-2592-6C92-BFA0-2F56E1BDB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3520" y="11277600"/>
          <a:ext cx="2316480" cy="125572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144780</xdr:rowOff>
    </xdr:from>
    <xdr:to>
      <xdr:col>9</xdr:col>
      <xdr:colOff>811290</xdr:colOff>
      <xdr:row>15</xdr:row>
      <xdr:rowOff>98877</xdr:rowOff>
    </xdr:to>
    <xdr:pic>
      <xdr:nvPicPr>
        <xdr:cNvPr id="6" name="Resim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90515A0-6B57-46AD-9F71-53011E6F6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50375" y="1811655"/>
          <a:ext cx="805575" cy="823412"/>
        </a:xfrm>
        <a:prstGeom prst="rect">
          <a:avLst/>
        </a:prstGeom>
      </xdr:spPr>
    </xdr:pic>
    <xdr:clientData/>
  </xdr:twoCellAnchor>
  <xdr:twoCellAnchor editAs="oneCell">
    <xdr:from>
      <xdr:col>9</xdr:col>
      <xdr:colOff>399415</xdr:colOff>
      <xdr:row>14</xdr:row>
      <xdr:rowOff>206375</xdr:rowOff>
    </xdr:from>
    <xdr:to>
      <xdr:col>9</xdr:col>
      <xdr:colOff>803871</xdr:colOff>
      <xdr:row>15</xdr:row>
      <xdr:rowOff>96578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C14D1554-BDB5-4E24-B19B-2022C1F5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49790" y="2476500"/>
          <a:ext cx="404456" cy="156268"/>
        </a:xfrm>
        <a:prstGeom prst="rect">
          <a:avLst/>
        </a:prstGeom>
      </xdr:spPr>
    </xdr:pic>
    <xdr:clientData/>
  </xdr:twoCellAnchor>
  <xdr:twoCellAnchor editAs="oneCell">
    <xdr:from>
      <xdr:col>18</xdr:col>
      <xdr:colOff>4478421</xdr:colOff>
      <xdr:row>49</xdr:row>
      <xdr:rowOff>50131</xdr:rowOff>
    </xdr:from>
    <xdr:to>
      <xdr:col>19</xdr:col>
      <xdr:colOff>710879</xdr:colOff>
      <xdr:row>52</xdr:row>
      <xdr:rowOff>229467</xdr:rowOff>
    </xdr:to>
    <xdr:pic>
      <xdr:nvPicPr>
        <xdr:cNvPr id="12" name="Resim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2349452-196E-449F-BB6D-E77C18D1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356053" y="10895263"/>
          <a:ext cx="1195484" cy="88117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3</xdr:row>
      <xdr:rowOff>60157</xdr:rowOff>
    </xdr:from>
    <xdr:to>
      <xdr:col>11</xdr:col>
      <xdr:colOff>280737</xdr:colOff>
      <xdr:row>30</xdr:row>
      <xdr:rowOff>158741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CF1E2324-BD44-00D3-DA7B-3AB972DBB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684" y="1052762"/>
          <a:ext cx="6366710" cy="5917774"/>
        </a:xfrm>
        <a:prstGeom prst="rect">
          <a:avLst/>
        </a:prstGeom>
      </xdr:spPr>
    </xdr:pic>
    <xdr:clientData/>
  </xdr:twoCellAnchor>
  <xdr:twoCellAnchor editAs="oneCell">
    <xdr:from>
      <xdr:col>12</xdr:col>
      <xdr:colOff>423333</xdr:colOff>
      <xdr:row>3</xdr:row>
      <xdr:rowOff>74085</xdr:rowOff>
    </xdr:from>
    <xdr:to>
      <xdr:col>12</xdr:col>
      <xdr:colOff>1239345</xdr:colOff>
      <xdr:row>6</xdr:row>
      <xdr:rowOff>208098</xdr:rowOff>
    </xdr:to>
    <xdr:pic>
      <xdr:nvPicPr>
        <xdr:cNvPr id="8" name="Resim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E90EB3-3CAC-4F5F-BF0A-72CCC2E0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1058335"/>
          <a:ext cx="811290" cy="843097"/>
        </a:xfrm>
        <a:prstGeom prst="rect">
          <a:avLst/>
        </a:prstGeom>
      </xdr:spPr>
    </xdr:pic>
    <xdr:clientData/>
  </xdr:twoCellAnchor>
  <xdr:twoCellAnchor editAs="oneCell">
    <xdr:from>
      <xdr:col>12</xdr:col>
      <xdr:colOff>858007</xdr:colOff>
      <xdr:row>6</xdr:row>
      <xdr:rowOff>54430</xdr:rowOff>
    </xdr:from>
    <xdr:to>
      <xdr:col>12</xdr:col>
      <xdr:colOff>1210709</xdr:colOff>
      <xdr:row>6</xdr:row>
      <xdr:rowOff>204108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51F2E5B0-550F-4059-B216-C549F2CD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1846" y="1902734"/>
          <a:ext cx="352702" cy="149678"/>
        </a:xfrm>
        <a:prstGeom prst="rect">
          <a:avLst/>
        </a:prstGeom>
      </xdr:spPr>
    </xdr:pic>
    <xdr:clientData/>
  </xdr:twoCellAnchor>
  <xdr:twoCellAnchor editAs="oneCell">
    <xdr:from>
      <xdr:col>33</xdr:col>
      <xdr:colOff>22679</xdr:colOff>
      <xdr:row>1</xdr:row>
      <xdr:rowOff>532946</xdr:rowOff>
    </xdr:from>
    <xdr:to>
      <xdr:col>35</xdr:col>
      <xdr:colOff>38877</xdr:colOff>
      <xdr:row>5</xdr:row>
      <xdr:rowOff>30731</xdr:rowOff>
    </xdr:to>
    <xdr:pic>
      <xdr:nvPicPr>
        <xdr:cNvPr id="4" name="Resim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94F61AE-A9DF-4632-8A40-1CD29A3B4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39643" y="725714"/>
          <a:ext cx="1195484" cy="88117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21897</xdr:colOff>
      <xdr:row>40</xdr:row>
      <xdr:rowOff>77123</xdr:rowOff>
    </xdr:from>
    <xdr:to>
      <xdr:col>20</xdr:col>
      <xdr:colOff>306552</xdr:colOff>
      <xdr:row>43</xdr:row>
      <xdr:rowOff>180488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35CBF-220F-4AAF-8568-7CCE2FC1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26121" y="7138761"/>
          <a:ext cx="897758" cy="661727"/>
        </a:xfrm>
        <a:prstGeom prst="rect">
          <a:avLst/>
        </a:prstGeom>
      </xdr:spPr>
    </xdr:pic>
    <xdr:clientData/>
  </xdr:twoCellAnchor>
  <xdr:twoCellAnchor editAs="oneCell">
    <xdr:from>
      <xdr:col>23</xdr:col>
      <xdr:colOff>54741</xdr:colOff>
      <xdr:row>1</xdr:row>
      <xdr:rowOff>21896</xdr:rowOff>
    </xdr:from>
    <xdr:to>
      <xdr:col>24</xdr:col>
      <xdr:colOff>257650</xdr:colOff>
      <xdr:row>4</xdr:row>
      <xdr:rowOff>136750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CAB25B6-7E8E-4839-9DA6-03FE86097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44224" y="218965"/>
          <a:ext cx="816012" cy="848388"/>
        </a:xfrm>
        <a:prstGeom prst="rect">
          <a:avLst/>
        </a:prstGeom>
      </xdr:spPr>
    </xdr:pic>
    <xdr:clientData/>
  </xdr:twoCellAnchor>
  <xdr:twoCellAnchor editAs="oneCell">
    <xdr:from>
      <xdr:col>23</xdr:col>
      <xdr:colOff>503621</xdr:colOff>
      <xdr:row>3</xdr:row>
      <xdr:rowOff>218967</xdr:rowOff>
    </xdr:from>
    <xdr:to>
      <xdr:col>24</xdr:col>
      <xdr:colOff>229914</xdr:colOff>
      <xdr:row>4</xdr:row>
      <xdr:rowOff>133086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3973E9C-DF8C-4610-A6BB-89071243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93104" y="919657"/>
          <a:ext cx="339396" cy="14403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21771</xdr:colOff>
      <xdr:row>26</xdr:row>
      <xdr:rowOff>57104</xdr:rowOff>
    </xdr:from>
    <xdr:to>
      <xdr:col>32</xdr:col>
      <xdr:colOff>70536</xdr:colOff>
      <xdr:row>45</xdr:row>
      <xdr:rowOff>129145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1235" y="5255033"/>
          <a:ext cx="7870371" cy="4609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275034</xdr:colOff>
      <xdr:row>58</xdr:row>
      <xdr:rowOff>66322</xdr:rowOff>
    </xdr:from>
    <xdr:to>
      <xdr:col>34</xdr:col>
      <xdr:colOff>262373</xdr:colOff>
      <xdr:row>91</xdr:row>
      <xdr:rowOff>69762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3784" y="11696040"/>
          <a:ext cx="9815788" cy="6079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25210</xdr:colOff>
      <xdr:row>58</xdr:row>
      <xdr:rowOff>74191</xdr:rowOff>
    </xdr:from>
    <xdr:to>
      <xdr:col>17</xdr:col>
      <xdr:colOff>36955</xdr:colOff>
      <xdr:row>91</xdr:row>
      <xdr:rowOff>39346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734" y="11703909"/>
          <a:ext cx="8145583" cy="6048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272144</xdr:colOff>
      <xdr:row>28</xdr:row>
      <xdr:rowOff>14514</xdr:rowOff>
    </xdr:from>
    <xdr:to>
      <xdr:col>39</xdr:col>
      <xdr:colOff>300402</xdr:colOff>
      <xdr:row>40</xdr:row>
      <xdr:rowOff>32613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5686E391-EC48-D7A3-EF53-4A8F74FF4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00170" y="5796356"/>
          <a:ext cx="4664351" cy="2925201"/>
        </a:xfrm>
        <a:prstGeom prst="rect">
          <a:avLst/>
        </a:prstGeom>
      </xdr:spPr>
    </xdr:pic>
    <xdr:clientData/>
  </xdr:twoCellAnchor>
  <xdr:twoCellAnchor editAs="oneCell">
    <xdr:from>
      <xdr:col>2</xdr:col>
      <xdr:colOff>15876</xdr:colOff>
      <xdr:row>35</xdr:row>
      <xdr:rowOff>144873</xdr:rowOff>
    </xdr:from>
    <xdr:to>
      <xdr:col>6</xdr:col>
      <xdr:colOff>124733</xdr:colOff>
      <xdr:row>39</xdr:row>
      <xdr:rowOff>187952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ED47DB2-990B-20E6-6362-5B69EEFD1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626" y="7256873"/>
          <a:ext cx="2490107" cy="12337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136071</xdr:rowOff>
    </xdr:from>
    <xdr:to>
      <xdr:col>9</xdr:col>
      <xdr:colOff>221252</xdr:colOff>
      <xdr:row>45</xdr:row>
      <xdr:rowOff>181074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CF8199FF-A436-3153-B33F-3CD41030A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8014607"/>
          <a:ext cx="4095750" cy="1195326"/>
        </a:xfrm>
        <a:prstGeom prst="rect">
          <a:avLst/>
        </a:prstGeom>
      </xdr:spPr>
    </xdr:pic>
    <xdr:clientData/>
  </xdr:twoCellAnchor>
  <xdr:twoCellAnchor editAs="oneCell">
    <xdr:from>
      <xdr:col>41</xdr:col>
      <xdr:colOff>464349</xdr:colOff>
      <xdr:row>47</xdr:row>
      <xdr:rowOff>42905</xdr:rowOff>
    </xdr:from>
    <xdr:to>
      <xdr:col>43</xdr:col>
      <xdr:colOff>605543</xdr:colOff>
      <xdr:row>49</xdr:row>
      <xdr:rowOff>145168</xdr:rowOff>
    </xdr:to>
    <xdr:pic>
      <xdr:nvPicPr>
        <xdr:cNvPr id="6" name="Resim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DB93EF6-EB9F-47E0-80DF-F0DEAB293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4399" y="10482305"/>
          <a:ext cx="1360394" cy="483263"/>
        </a:xfrm>
        <a:prstGeom prst="rect">
          <a:avLst/>
        </a:prstGeom>
      </xdr:spPr>
    </xdr:pic>
    <xdr:clientData/>
  </xdr:twoCellAnchor>
  <xdr:twoCellAnchor editAs="oneCell">
    <xdr:from>
      <xdr:col>55</xdr:col>
      <xdr:colOff>69323</xdr:colOff>
      <xdr:row>21</xdr:row>
      <xdr:rowOff>95565</xdr:rowOff>
    </xdr:from>
    <xdr:to>
      <xdr:col>61</xdr:col>
      <xdr:colOff>563359</xdr:colOff>
      <xdr:row>35</xdr:row>
      <xdr:rowOff>213267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EEC6DDD-1FBB-BC16-E42F-5C52F638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08386" y="4322284"/>
          <a:ext cx="4290701" cy="2970690"/>
        </a:xfrm>
        <a:prstGeom prst="rect">
          <a:avLst/>
        </a:prstGeom>
      </xdr:spPr>
    </xdr:pic>
    <xdr:clientData/>
  </xdr:twoCellAnchor>
  <xdr:twoCellAnchor editAs="oneCell">
    <xdr:from>
      <xdr:col>55</xdr:col>
      <xdr:colOff>55722</xdr:colOff>
      <xdr:row>6</xdr:row>
      <xdr:rowOff>95408</xdr:rowOff>
    </xdr:from>
    <xdr:to>
      <xdr:col>61</xdr:col>
      <xdr:colOff>526655</xdr:colOff>
      <xdr:row>21</xdr:row>
      <xdr:rowOff>69056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874B450-5412-EDC0-AD19-B67E7E4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194785" y="1325721"/>
          <a:ext cx="4267598" cy="2962434"/>
        </a:xfrm>
        <a:prstGeom prst="rect">
          <a:avLst/>
        </a:prstGeom>
      </xdr:spPr>
    </xdr:pic>
    <xdr:clientData/>
  </xdr:twoCellAnchor>
  <xdr:twoCellAnchor editAs="oneCell">
    <xdr:from>
      <xdr:col>55</xdr:col>
      <xdr:colOff>93504</xdr:colOff>
      <xdr:row>4</xdr:row>
      <xdr:rowOff>1905</xdr:rowOff>
    </xdr:from>
    <xdr:to>
      <xdr:col>58</xdr:col>
      <xdr:colOff>527367</xdr:colOff>
      <xdr:row>6</xdr:row>
      <xdr:rowOff>70719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846A88A3-1A89-F3B4-C908-66212B45E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32567" y="795655"/>
          <a:ext cx="2327433" cy="480612"/>
        </a:xfrm>
        <a:prstGeom prst="rect">
          <a:avLst/>
        </a:prstGeom>
      </xdr:spPr>
    </xdr:pic>
    <xdr:clientData/>
  </xdr:twoCellAnchor>
  <xdr:twoCellAnchor editAs="oneCell">
    <xdr:from>
      <xdr:col>39</xdr:col>
      <xdr:colOff>44649</xdr:colOff>
      <xdr:row>44</xdr:row>
      <xdr:rowOff>238125</xdr:rowOff>
    </xdr:from>
    <xdr:to>
      <xdr:col>40</xdr:col>
      <xdr:colOff>569365</xdr:colOff>
      <xdr:row>47</xdr:row>
      <xdr:rowOff>181686</xdr:rowOff>
    </xdr:to>
    <xdr:pic>
      <xdr:nvPicPr>
        <xdr:cNvPr id="12" name="Resim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5D25232-51BF-45DA-BBCD-4F4652B1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592110" y="9614297"/>
          <a:ext cx="1134911" cy="836530"/>
        </a:xfrm>
        <a:prstGeom prst="rect">
          <a:avLst/>
        </a:prstGeom>
      </xdr:spPr>
    </xdr:pic>
    <xdr:clientData/>
  </xdr:twoCellAnchor>
  <xdr:twoCellAnchor editAs="oneCell">
    <xdr:from>
      <xdr:col>16</xdr:col>
      <xdr:colOff>226219</xdr:colOff>
      <xdr:row>1</xdr:row>
      <xdr:rowOff>154782</xdr:rowOff>
    </xdr:from>
    <xdr:to>
      <xdr:col>17</xdr:col>
      <xdr:colOff>475989</xdr:colOff>
      <xdr:row>3</xdr:row>
      <xdr:rowOff>343686</xdr:rowOff>
    </xdr:to>
    <xdr:pic>
      <xdr:nvPicPr>
        <xdr:cNvPr id="14" name="Resim 1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98E0038-4D42-40E9-A204-71E2FB778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24938" y="238126"/>
          <a:ext cx="654582" cy="65324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2</xdr:row>
      <xdr:rowOff>190500</xdr:rowOff>
    </xdr:from>
    <xdr:to>
      <xdr:col>17</xdr:col>
      <xdr:colOff>298483</xdr:colOff>
      <xdr:row>3</xdr:row>
      <xdr:rowOff>50871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B3469B39-CE03-4799-AACA-6571C1271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51156" y="500063"/>
          <a:ext cx="250858" cy="9849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619457</xdr:colOff>
      <xdr:row>9</xdr:row>
      <xdr:rowOff>162054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3564073-3F94-67E0-2D21-D937E13E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24000"/>
          <a:ext cx="2381582" cy="92405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9525</xdr:rowOff>
    </xdr:from>
    <xdr:to>
      <xdr:col>10</xdr:col>
      <xdr:colOff>285993</xdr:colOff>
      <xdr:row>9</xdr:row>
      <xdr:rowOff>9631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C23F35BC-2910-971D-A561-AB3DC5BD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1533525"/>
          <a:ext cx="1743318" cy="762106"/>
        </a:xfrm>
        <a:prstGeom prst="rect">
          <a:avLst/>
        </a:prstGeom>
      </xdr:spPr>
    </xdr:pic>
    <xdr:clientData/>
  </xdr:twoCellAnchor>
  <xdr:twoCellAnchor editAs="oneCell">
    <xdr:from>
      <xdr:col>22</xdr:col>
      <xdr:colOff>310815</xdr:colOff>
      <xdr:row>11</xdr:row>
      <xdr:rowOff>150395</xdr:rowOff>
    </xdr:from>
    <xdr:to>
      <xdr:col>24</xdr:col>
      <xdr:colOff>283089</xdr:colOff>
      <xdr:row>16</xdr:row>
      <xdr:rowOff>69046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C6DB3F-5BCE-4EE4-995F-6B47C89CF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43710" y="2416342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12898</xdr:colOff>
      <xdr:row>8</xdr:row>
      <xdr:rowOff>99795</xdr:rowOff>
    </xdr:to>
    <xdr:pic>
      <xdr:nvPicPr>
        <xdr:cNvPr id="6" name="Resim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CED2EB5-CCCD-41FA-A0E6-63E66F13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76737" y="1106905"/>
          <a:ext cx="654582" cy="653248"/>
        </a:xfrm>
        <a:prstGeom prst="rect">
          <a:avLst/>
        </a:prstGeom>
      </xdr:spPr>
    </xdr:pic>
    <xdr:clientData/>
  </xdr:twoCellAnchor>
  <xdr:twoCellAnchor editAs="oneCell">
    <xdr:from>
      <xdr:col>11</xdr:col>
      <xdr:colOff>224589</xdr:colOff>
      <xdr:row>6</xdr:row>
      <xdr:rowOff>64169</xdr:rowOff>
    </xdr:from>
    <xdr:to>
      <xdr:col>11</xdr:col>
      <xdr:colOff>444197</xdr:colOff>
      <xdr:row>6</xdr:row>
      <xdr:rowOff>150395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377F10FC-AA19-471F-8FD5-87CFEA18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40905" y="1377616"/>
          <a:ext cx="219608" cy="8622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45697</xdr:colOff>
      <xdr:row>2</xdr:row>
      <xdr:rowOff>137035</xdr:rowOff>
    </xdr:from>
    <xdr:to>
      <xdr:col>19</xdr:col>
      <xdr:colOff>212212</xdr:colOff>
      <xdr:row>21</xdr:row>
      <xdr:rowOff>54824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8E8385B0-2751-3662-4910-AA8410301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0957" y="1064795"/>
          <a:ext cx="10319546" cy="3450896"/>
        </a:xfrm>
        <a:prstGeom prst="rect">
          <a:avLst/>
        </a:prstGeom>
      </xdr:spPr>
    </xdr:pic>
    <xdr:clientData/>
  </xdr:twoCellAnchor>
  <xdr:twoCellAnchor editAs="oneCell">
    <xdr:from>
      <xdr:col>17</xdr:col>
      <xdr:colOff>17467</xdr:colOff>
      <xdr:row>19</xdr:row>
      <xdr:rowOff>46761</xdr:rowOff>
    </xdr:from>
    <xdr:to>
      <xdr:col>19</xdr:col>
      <xdr:colOff>91899</xdr:colOff>
      <xdr:row>21</xdr:row>
      <xdr:rowOff>20091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E4211BE-23F9-0139-3034-2F39B074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33961" y="4128904"/>
          <a:ext cx="1277179" cy="336814"/>
        </a:xfrm>
        <a:prstGeom prst="rect">
          <a:avLst/>
        </a:prstGeom>
      </xdr:spPr>
    </xdr:pic>
    <xdr:clientData/>
  </xdr:twoCellAnchor>
  <xdr:twoCellAnchor editAs="oneCell">
    <xdr:from>
      <xdr:col>17</xdr:col>
      <xdr:colOff>296883</xdr:colOff>
      <xdr:row>21</xdr:row>
      <xdr:rowOff>98961</xdr:rowOff>
    </xdr:from>
    <xdr:to>
      <xdr:col>19</xdr:col>
      <xdr:colOff>193890</xdr:colOff>
      <xdr:row>27</xdr:row>
      <xdr:rowOff>167208</xdr:rowOff>
    </xdr:to>
    <xdr:pic>
      <xdr:nvPicPr>
        <xdr:cNvPr id="6" name="Resim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6DCD7A-9317-455B-A636-F891A79C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16493" y="4143993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18</xdr:col>
      <xdr:colOff>383474</xdr:colOff>
      <xdr:row>26</xdr:row>
      <xdr:rowOff>136072</xdr:rowOff>
    </xdr:from>
    <xdr:to>
      <xdr:col>19</xdr:col>
      <xdr:colOff>185094</xdr:colOff>
      <xdr:row>27</xdr:row>
      <xdr:rowOff>162540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CD66E017-9CD6-4D7A-8CAD-9F55FC890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6851" y="5108864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50800</xdr:colOff>
      <xdr:row>45</xdr:row>
      <xdr:rowOff>71120</xdr:rowOff>
    </xdr:from>
    <xdr:to>
      <xdr:col>20</xdr:col>
      <xdr:colOff>403242</xdr:colOff>
      <xdr:row>49</xdr:row>
      <xdr:rowOff>16489</xdr:rowOff>
    </xdr:to>
    <xdr:pic>
      <xdr:nvPicPr>
        <xdr:cNvPr id="3" name="Resim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948DBE5-05D9-488D-A652-AA7EDBB0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1120" y="8442960"/>
          <a:ext cx="962042" cy="67688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34018</xdr:colOff>
      <xdr:row>19</xdr:row>
      <xdr:rowOff>90502</xdr:rowOff>
    </xdr:from>
    <xdr:to>
      <xdr:col>9</xdr:col>
      <xdr:colOff>603817</xdr:colOff>
      <xdr:row>22</xdr:row>
      <xdr:rowOff>149793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5077F-FFA1-44FE-803F-8572EE979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8839" y="4453292"/>
          <a:ext cx="841942" cy="6205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34019</xdr:rowOff>
    </xdr:from>
    <xdr:to>
      <xdr:col>6</xdr:col>
      <xdr:colOff>652907</xdr:colOff>
      <xdr:row>6</xdr:row>
      <xdr:rowOff>12928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BD1597-2F5D-4E76-B84D-BC16EF8F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27009" y="841943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391205</xdr:colOff>
      <xdr:row>5</xdr:row>
      <xdr:rowOff>144576</xdr:rowOff>
    </xdr:from>
    <xdr:to>
      <xdr:col>6</xdr:col>
      <xdr:colOff>644576</xdr:colOff>
      <xdr:row>6</xdr:row>
      <xdr:rowOff>11226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81FE99F9-7A1B-43F8-9920-656CDC806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8214" y="1411741"/>
          <a:ext cx="253371" cy="1047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25680</xdr:colOff>
      <xdr:row>1</xdr:row>
      <xdr:rowOff>303810</xdr:rowOff>
    </xdr:from>
    <xdr:to>
      <xdr:col>19</xdr:col>
      <xdr:colOff>92305</xdr:colOff>
      <xdr:row>20</xdr:row>
      <xdr:rowOff>102062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C9F458A-BFEC-9118-2040-1827EF1BC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9180" y="481610"/>
          <a:ext cx="10281235" cy="3330757"/>
        </a:xfrm>
        <a:prstGeom prst="rect">
          <a:avLst/>
        </a:prstGeom>
      </xdr:spPr>
    </xdr:pic>
    <xdr:clientData/>
  </xdr:twoCellAnchor>
  <xdr:twoCellAnchor editAs="oneCell">
    <xdr:from>
      <xdr:col>16</xdr:col>
      <xdr:colOff>507176</xdr:colOff>
      <xdr:row>18</xdr:row>
      <xdr:rowOff>123702</xdr:rowOff>
    </xdr:from>
    <xdr:to>
      <xdr:col>19</xdr:col>
      <xdr:colOff>1169</xdr:colOff>
      <xdr:row>20</xdr:row>
      <xdr:rowOff>93222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78CA8383-1A6B-4CB1-AD5E-5327A0F6E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17533" y="3599708"/>
          <a:ext cx="1286705" cy="334909"/>
        </a:xfrm>
        <a:prstGeom prst="rect">
          <a:avLst/>
        </a:prstGeom>
      </xdr:spPr>
    </xdr:pic>
    <xdr:clientData/>
  </xdr:twoCellAnchor>
  <xdr:twoCellAnchor editAs="oneCell">
    <xdr:from>
      <xdr:col>17</xdr:col>
      <xdr:colOff>185209</xdr:colOff>
      <xdr:row>21</xdr:row>
      <xdr:rowOff>0</xdr:rowOff>
    </xdr:from>
    <xdr:to>
      <xdr:col>19</xdr:col>
      <xdr:colOff>79124</xdr:colOff>
      <xdr:row>28</xdr:row>
      <xdr:rowOff>17392</xdr:rowOff>
    </xdr:to>
    <xdr:pic>
      <xdr:nvPicPr>
        <xdr:cNvPr id="8" name="Resim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92910CF-CD63-4653-8365-1F777086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01" y="4034896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18</xdr:col>
      <xdr:colOff>277813</xdr:colOff>
      <xdr:row>26</xdr:row>
      <xdr:rowOff>171979</xdr:rowOff>
    </xdr:from>
    <xdr:to>
      <xdr:col>19</xdr:col>
      <xdr:colOff>77886</xdr:colOff>
      <xdr:row>28</xdr:row>
      <xdr:rowOff>13582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C43349B-2B11-4F9A-99D3-34BF91BB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87917" y="5000625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44823</xdr:colOff>
      <xdr:row>49</xdr:row>
      <xdr:rowOff>33617</xdr:rowOff>
    </xdr:from>
    <xdr:to>
      <xdr:col>20</xdr:col>
      <xdr:colOff>401748</xdr:colOff>
      <xdr:row>52</xdr:row>
      <xdr:rowOff>172624</xdr:rowOff>
    </xdr:to>
    <xdr:pic>
      <xdr:nvPicPr>
        <xdr:cNvPr id="3" name="Resim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90230D4-B375-4F12-B884-86031469A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3382" y="8830235"/>
          <a:ext cx="962042" cy="67688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55195</xdr:colOff>
      <xdr:row>2</xdr:row>
      <xdr:rowOff>146536</xdr:rowOff>
    </xdr:from>
    <xdr:to>
      <xdr:col>18</xdr:col>
      <xdr:colOff>400337</xdr:colOff>
      <xdr:row>19</xdr:row>
      <xdr:rowOff>16181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EC170356-93E6-3186-4918-4EB3DD9BA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9416" y="653711"/>
          <a:ext cx="10128950" cy="3020218"/>
        </a:xfrm>
        <a:prstGeom prst="rect">
          <a:avLst/>
        </a:prstGeom>
      </xdr:spPr>
    </xdr:pic>
    <xdr:clientData/>
  </xdr:twoCellAnchor>
  <xdr:twoCellAnchor editAs="oneCell">
    <xdr:from>
      <xdr:col>16</xdr:col>
      <xdr:colOff>226473</xdr:colOff>
      <xdr:row>16</xdr:row>
      <xdr:rowOff>171277</xdr:rowOff>
    </xdr:from>
    <xdr:to>
      <xdr:col>18</xdr:col>
      <xdr:colOff>306620</xdr:colOff>
      <xdr:row>18</xdr:row>
      <xdr:rowOff>156038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51EE7221-FD0D-49AF-AEC8-51C1C9AFD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95564" y="3276180"/>
          <a:ext cx="1292420" cy="355864"/>
        </a:xfrm>
        <a:prstGeom prst="rect">
          <a:avLst/>
        </a:prstGeom>
      </xdr:spPr>
    </xdr:pic>
    <xdr:clientData/>
  </xdr:twoCellAnchor>
  <xdr:twoCellAnchor editAs="oneCell">
    <xdr:from>
      <xdr:col>16</xdr:col>
      <xdr:colOff>489480</xdr:colOff>
      <xdr:row>19</xdr:row>
      <xdr:rowOff>92604</xdr:rowOff>
    </xdr:from>
    <xdr:to>
      <xdr:col>18</xdr:col>
      <xdr:colOff>383395</xdr:colOff>
      <xdr:row>25</xdr:row>
      <xdr:rowOff>162913</xdr:rowOff>
    </xdr:to>
    <xdr:pic>
      <xdr:nvPicPr>
        <xdr:cNvPr id="5" name="Resim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99C9658-3509-4537-94DA-D3A09939E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0313" y="3757083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17</xdr:col>
      <xdr:colOff>582083</xdr:colOff>
      <xdr:row>24</xdr:row>
      <xdr:rowOff>132291</xdr:rowOff>
    </xdr:from>
    <xdr:to>
      <xdr:col>18</xdr:col>
      <xdr:colOff>382157</xdr:colOff>
      <xdr:row>25</xdr:row>
      <xdr:rowOff>159103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33999556-9E72-4876-9351-64148BD52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48229" y="4722812"/>
          <a:ext cx="395386" cy="212020"/>
        </a:xfrm>
        <a:prstGeom prst="rect">
          <a:avLst/>
        </a:prstGeom>
      </xdr:spPr>
    </xdr:pic>
    <xdr:clientData/>
  </xdr:twoCellAnchor>
  <xdr:oneCellAnchor>
    <xdr:from>
      <xdr:col>20</xdr:col>
      <xdr:colOff>36461</xdr:colOff>
      <xdr:row>48</xdr:row>
      <xdr:rowOff>41800</xdr:rowOff>
    </xdr:from>
    <xdr:ext cx="652046" cy="481555"/>
    <xdr:pic>
      <xdr:nvPicPr>
        <xdr:cNvPr id="7" name="Resim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062220-2327-4A06-9DF7-95A42C3AF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8544" y="9262529"/>
          <a:ext cx="652046" cy="48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69471</xdr:colOff>
      <xdr:row>3</xdr:row>
      <xdr:rowOff>84931</xdr:rowOff>
    </xdr:from>
    <xdr:to>
      <xdr:col>19</xdr:col>
      <xdr:colOff>136071</xdr:colOff>
      <xdr:row>18</xdr:row>
      <xdr:rowOff>147136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355103A1-8945-C662-E425-D5074EE3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3562" y="790028"/>
          <a:ext cx="9937964" cy="2932076"/>
        </a:xfrm>
        <a:prstGeom prst="rect">
          <a:avLst/>
        </a:prstGeom>
      </xdr:spPr>
    </xdr:pic>
    <xdr:clientData/>
  </xdr:twoCellAnchor>
  <xdr:twoCellAnchor editAs="oneCell">
    <xdr:from>
      <xdr:col>16</xdr:col>
      <xdr:colOff>569026</xdr:colOff>
      <xdr:row>16</xdr:row>
      <xdr:rowOff>173181</xdr:rowOff>
    </xdr:from>
    <xdr:to>
      <xdr:col>19</xdr:col>
      <xdr:colOff>59216</xdr:colOff>
      <xdr:row>18</xdr:row>
      <xdr:rowOff>137011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2BC84D9-8CA2-47CF-9D10-372F47B4E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03182" y="3352304"/>
          <a:ext cx="1271489" cy="359675"/>
        </a:xfrm>
        <a:prstGeom prst="rect">
          <a:avLst/>
        </a:prstGeom>
      </xdr:spPr>
    </xdr:pic>
    <xdr:clientData/>
  </xdr:twoCellAnchor>
  <xdr:twoCellAnchor editAs="oneCell">
    <xdr:from>
      <xdr:col>17</xdr:col>
      <xdr:colOff>235032</xdr:colOff>
      <xdr:row>19</xdr:row>
      <xdr:rowOff>12370</xdr:rowOff>
    </xdr:from>
    <xdr:to>
      <xdr:col>19</xdr:col>
      <xdr:colOff>132039</xdr:colOff>
      <xdr:row>25</xdr:row>
      <xdr:rowOff>43507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7796F32-260D-4A46-A7F2-749914E68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62954" y="3785260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18</xdr:col>
      <xdr:colOff>333994</xdr:colOff>
      <xdr:row>24</xdr:row>
      <xdr:rowOff>12370</xdr:rowOff>
    </xdr:from>
    <xdr:to>
      <xdr:col>19</xdr:col>
      <xdr:colOff>135613</xdr:colOff>
      <xdr:row>25</xdr:row>
      <xdr:rowOff>38838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658B38E4-4AB8-4453-B947-05FB33EEE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55682" y="4750130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18</xdr:col>
      <xdr:colOff>35442</xdr:colOff>
      <xdr:row>33</xdr:row>
      <xdr:rowOff>53163</xdr:rowOff>
    </xdr:from>
    <xdr:to>
      <xdr:col>19</xdr:col>
      <xdr:colOff>386112</xdr:colOff>
      <xdr:row>36</xdr:row>
      <xdr:rowOff>171843</xdr:rowOff>
    </xdr:to>
    <xdr:pic>
      <xdr:nvPicPr>
        <xdr:cNvPr id="2" name="Resim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2EBA738-47E8-475D-9D05-896F270F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99582" y="6432698"/>
          <a:ext cx="962042" cy="67688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358732</xdr:colOff>
      <xdr:row>2</xdr:row>
      <xdr:rowOff>74222</xdr:rowOff>
    </xdr:from>
    <xdr:to>
      <xdr:col>19</xdr:col>
      <xdr:colOff>461576</xdr:colOff>
      <xdr:row>18</xdr:row>
      <xdr:rowOff>115851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CEA1196D-498E-3789-8842-A39D3AEB4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5031" y="593767"/>
          <a:ext cx="10097909" cy="3134162"/>
        </a:xfrm>
        <a:prstGeom prst="rect">
          <a:avLst/>
        </a:prstGeom>
      </xdr:spPr>
    </xdr:pic>
    <xdr:clientData/>
  </xdr:twoCellAnchor>
  <xdr:twoCellAnchor editAs="oneCell">
    <xdr:from>
      <xdr:col>17</xdr:col>
      <xdr:colOff>358733</xdr:colOff>
      <xdr:row>16</xdr:row>
      <xdr:rowOff>86591</xdr:rowOff>
    </xdr:from>
    <xdr:to>
      <xdr:col>19</xdr:col>
      <xdr:colOff>344223</xdr:colOff>
      <xdr:row>18</xdr:row>
      <xdr:rowOff>69472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5576F352-B64A-4614-B4D0-DBFB7C48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14512" y="3302825"/>
          <a:ext cx="1173023" cy="378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556656</xdr:colOff>
      <xdr:row>19</xdr:row>
      <xdr:rowOff>0</xdr:rowOff>
    </xdr:from>
    <xdr:to>
      <xdr:col>19</xdr:col>
      <xdr:colOff>453663</xdr:colOff>
      <xdr:row>25</xdr:row>
      <xdr:rowOff>68247</xdr:rowOff>
    </xdr:to>
    <xdr:pic>
      <xdr:nvPicPr>
        <xdr:cNvPr id="16" name="Resim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F84B18D-02B6-4616-832B-0AA89E567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2435" y="3797630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19</xdr:col>
      <xdr:colOff>61851</xdr:colOff>
      <xdr:row>24</xdr:row>
      <xdr:rowOff>49480</xdr:rowOff>
    </xdr:from>
    <xdr:to>
      <xdr:col>19</xdr:col>
      <xdr:colOff>457237</xdr:colOff>
      <xdr:row>25</xdr:row>
      <xdr:rowOff>75948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32E638E9-023B-4E99-B2F5-98CEE1AD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05163" y="4774870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</xdr:colOff>
      <xdr:row>43</xdr:row>
      <xdr:rowOff>50800</xdr:rowOff>
    </xdr:from>
    <xdr:to>
      <xdr:col>16</xdr:col>
      <xdr:colOff>377842</xdr:colOff>
      <xdr:row>46</xdr:row>
      <xdr:rowOff>179049</xdr:rowOff>
    </xdr:to>
    <xdr:pic>
      <xdr:nvPicPr>
        <xdr:cNvPr id="2" name="Resim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699A64B-71BB-4668-9D8B-82D4A32FE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3500" y="8509000"/>
          <a:ext cx="949342" cy="69974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358734</xdr:colOff>
      <xdr:row>2</xdr:row>
      <xdr:rowOff>37111</xdr:rowOff>
    </xdr:from>
    <xdr:to>
      <xdr:col>18</xdr:col>
      <xdr:colOff>199965</xdr:colOff>
      <xdr:row>20</xdr:row>
      <xdr:rowOff>12338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B579BA34-ED7F-A1CD-8585-EAB025E6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6981" y="556656"/>
          <a:ext cx="9316750" cy="3315163"/>
        </a:xfrm>
        <a:prstGeom prst="rect">
          <a:avLst/>
        </a:prstGeom>
      </xdr:spPr>
    </xdr:pic>
    <xdr:clientData/>
  </xdr:twoCellAnchor>
  <xdr:twoCellAnchor editAs="oneCell">
    <xdr:from>
      <xdr:col>16</xdr:col>
      <xdr:colOff>222662</xdr:colOff>
      <xdr:row>17</xdr:row>
      <xdr:rowOff>173183</xdr:rowOff>
    </xdr:from>
    <xdr:to>
      <xdr:col>18</xdr:col>
      <xdr:colOff>170053</xdr:colOff>
      <xdr:row>20</xdr:row>
      <xdr:rowOff>14302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F449E03B-D397-40AF-888B-BACD3F4B3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8896" y="3476008"/>
          <a:ext cx="1134923" cy="397775"/>
        </a:xfrm>
        <a:prstGeom prst="rect">
          <a:avLst/>
        </a:prstGeom>
      </xdr:spPr>
    </xdr:pic>
    <xdr:clientData/>
  </xdr:twoCellAnchor>
  <xdr:twoCellAnchor editAs="oneCell">
    <xdr:from>
      <xdr:col>16</xdr:col>
      <xdr:colOff>296883</xdr:colOff>
      <xdr:row>20</xdr:row>
      <xdr:rowOff>86590</xdr:rowOff>
    </xdr:from>
    <xdr:to>
      <xdr:col>18</xdr:col>
      <xdr:colOff>193891</xdr:colOff>
      <xdr:row>26</xdr:row>
      <xdr:rowOff>154838</xdr:rowOff>
    </xdr:to>
    <xdr:pic>
      <xdr:nvPicPr>
        <xdr:cNvPr id="10" name="Resim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52144C-84FF-44E4-B03A-2B1274D08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3117" y="3946071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17</xdr:col>
      <xdr:colOff>395844</xdr:colOff>
      <xdr:row>25</xdr:row>
      <xdr:rowOff>136072</xdr:rowOff>
    </xdr:from>
    <xdr:to>
      <xdr:col>18</xdr:col>
      <xdr:colOff>197464</xdr:colOff>
      <xdr:row>26</xdr:row>
      <xdr:rowOff>162540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1EEE8DB9-5338-4754-B02A-E29A3768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25844" y="4923312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45358</xdr:colOff>
      <xdr:row>39</xdr:row>
      <xdr:rowOff>34017</xdr:rowOff>
    </xdr:from>
    <xdr:to>
      <xdr:col>20</xdr:col>
      <xdr:colOff>405057</xdr:colOff>
      <xdr:row>42</xdr:row>
      <xdr:rowOff>155463</xdr:rowOff>
    </xdr:to>
    <xdr:pic>
      <xdr:nvPicPr>
        <xdr:cNvPr id="2" name="Resim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93202B-7F2C-4F0C-8383-7BC7A283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97947" y="7688035"/>
          <a:ext cx="949342" cy="69974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24741</xdr:rowOff>
    </xdr:from>
    <xdr:to>
      <xdr:col>20</xdr:col>
      <xdr:colOff>135451</xdr:colOff>
      <xdr:row>17</xdr:row>
      <xdr:rowOff>173183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99E2E9F-6F48-712C-8F41-C839690F5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43" y="544286"/>
          <a:ext cx="10006814" cy="299357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581396</xdr:colOff>
      <xdr:row>15</xdr:row>
      <xdr:rowOff>136071</xdr:rowOff>
    </xdr:from>
    <xdr:to>
      <xdr:col>20</xdr:col>
      <xdr:colOff>14437</xdr:colOff>
      <xdr:row>17</xdr:row>
      <xdr:rowOff>143692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1F6EDB0F-8040-4604-B07A-C9CB6430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3604" y="3067792"/>
          <a:ext cx="1214339" cy="378725"/>
        </a:xfrm>
        <a:prstGeom prst="rect">
          <a:avLst/>
        </a:prstGeom>
      </xdr:spPr>
    </xdr:pic>
    <xdr:clientData/>
  </xdr:twoCellAnchor>
  <xdr:twoCellAnchor editAs="oneCell">
    <xdr:from>
      <xdr:col>18</xdr:col>
      <xdr:colOff>235032</xdr:colOff>
      <xdr:row>18</xdr:row>
      <xdr:rowOff>74221</xdr:rowOff>
    </xdr:from>
    <xdr:to>
      <xdr:col>20</xdr:col>
      <xdr:colOff>132040</xdr:colOff>
      <xdr:row>24</xdr:row>
      <xdr:rowOff>142468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40C1168-3882-4B17-A73B-1BCFEDE3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01006" y="3624448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19</xdr:col>
      <xdr:colOff>333995</xdr:colOff>
      <xdr:row>23</xdr:row>
      <xdr:rowOff>123702</xdr:rowOff>
    </xdr:from>
    <xdr:to>
      <xdr:col>20</xdr:col>
      <xdr:colOff>135615</xdr:colOff>
      <xdr:row>24</xdr:row>
      <xdr:rowOff>150170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95B9B8F-C21A-4A46-B98B-36238A0E5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93735" y="4601689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61311</xdr:colOff>
      <xdr:row>32</xdr:row>
      <xdr:rowOff>52552</xdr:rowOff>
    </xdr:from>
    <xdr:to>
      <xdr:col>20</xdr:col>
      <xdr:colOff>410249</xdr:colOff>
      <xdr:row>35</xdr:row>
      <xdr:rowOff>177648</xdr:rowOff>
    </xdr:to>
    <xdr:pic>
      <xdr:nvPicPr>
        <xdr:cNvPr id="5" name="Resim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DE306C-F420-4B3C-8A88-45A338D2D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21104" y="6122276"/>
          <a:ext cx="962042" cy="67688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66600</xdr:colOff>
      <xdr:row>2</xdr:row>
      <xdr:rowOff>18085</xdr:rowOff>
    </xdr:from>
    <xdr:to>
      <xdr:col>19</xdr:col>
      <xdr:colOff>175087</xdr:colOff>
      <xdr:row>21</xdr:row>
      <xdr:rowOff>16180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AB0D8A6F-697B-1D8A-83E9-3E60B093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1860" y="525260"/>
          <a:ext cx="10263423" cy="3519772"/>
        </a:xfrm>
        <a:prstGeom prst="rect">
          <a:avLst/>
        </a:prstGeom>
      </xdr:spPr>
    </xdr:pic>
    <xdr:clientData/>
  </xdr:twoCellAnchor>
  <xdr:twoCellAnchor editAs="oneCell">
    <xdr:from>
      <xdr:col>17</xdr:col>
      <xdr:colOff>49480</xdr:colOff>
      <xdr:row>18</xdr:row>
      <xdr:rowOff>160812</xdr:rowOff>
    </xdr:from>
    <xdr:to>
      <xdr:col>19</xdr:col>
      <xdr:colOff>114388</xdr:colOff>
      <xdr:row>20</xdr:row>
      <xdr:rowOff>134142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F26D881-D533-42DB-95AB-B9EB86A0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5974" y="3636818"/>
          <a:ext cx="1277180" cy="334909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272143</xdr:colOff>
      <xdr:row>21</xdr:row>
      <xdr:rowOff>86591</xdr:rowOff>
    </xdr:from>
    <xdr:to>
      <xdr:col>19</xdr:col>
      <xdr:colOff>169150</xdr:colOff>
      <xdr:row>27</xdr:row>
      <xdr:rowOff>154838</xdr:rowOff>
    </xdr:to>
    <xdr:pic>
      <xdr:nvPicPr>
        <xdr:cNvPr id="5" name="Resim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D92091-CFE1-489F-86B1-17EE94B5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91753" y="4131623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18</xdr:col>
      <xdr:colOff>358734</xdr:colOff>
      <xdr:row>26</xdr:row>
      <xdr:rowOff>123702</xdr:rowOff>
    </xdr:from>
    <xdr:to>
      <xdr:col>19</xdr:col>
      <xdr:colOff>160354</xdr:colOff>
      <xdr:row>27</xdr:row>
      <xdr:rowOff>150170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4777BB58-7186-48D9-A5C0-90C1C00EE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72111" y="5096494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44302</xdr:colOff>
      <xdr:row>39</xdr:row>
      <xdr:rowOff>79744</xdr:rowOff>
    </xdr:from>
    <xdr:to>
      <xdr:col>20</xdr:col>
      <xdr:colOff>394972</xdr:colOff>
      <xdr:row>43</xdr:row>
      <xdr:rowOff>12354</xdr:rowOff>
    </xdr:to>
    <xdr:pic>
      <xdr:nvPicPr>
        <xdr:cNvPr id="2" name="Resim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5CCE7AE-23FC-4526-9A0A-6CEAAFBE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3837" y="7478232"/>
          <a:ext cx="962042" cy="67688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37110</xdr:colOff>
      <xdr:row>2</xdr:row>
      <xdr:rowOff>59006</xdr:rowOff>
    </xdr:from>
    <xdr:to>
      <xdr:col>19</xdr:col>
      <xdr:colOff>130679</xdr:colOff>
      <xdr:row>21</xdr:row>
      <xdr:rowOff>59946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2DB8C9A6-AD0F-976F-4BE0-0220DD30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2370" y="566181"/>
          <a:ext cx="10225645" cy="3530237"/>
        </a:xfrm>
        <a:prstGeom prst="rect">
          <a:avLst/>
        </a:prstGeom>
      </xdr:spPr>
    </xdr:pic>
    <xdr:clientData/>
  </xdr:twoCellAnchor>
  <xdr:twoCellAnchor editAs="oneCell">
    <xdr:from>
      <xdr:col>17</xdr:col>
      <xdr:colOff>45670</xdr:colOff>
      <xdr:row>19</xdr:row>
      <xdr:rowOff>90402</xdr:rowOff>
    </xdr:from>
    <xdr:to>
      <xdr:col>19</xdr:col>
      <xdr:colOff>116293</xdr:colOff>
      <xdr:row>21</xdr:row>
      <xdr:rowOff>58017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7050506-0DEF-40F3-B9AA-4A4E2904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2164" y="3751960"/>
          <a:ext cx="1282895" cy="334909"/>
        </a:xfrm>
        <a:prstGeom prst="rect">
          <a:avLst/>
        </a:prstGeom>
      </xdr:spPr>
    </xdr:pic>
    <xdr:clientData/>
  </xdr:twoCellAnchor>
  <xdr:twoCellAnchor editAs="oneCell">
    <xdr:from>
      <xdr:col>17</xdr:col>
      <xdr:colOff>222663</xdr:colOff>
      <xdr:row>21</xdr:row>
      <xdr:rowOff>136071</xdr:rowOff>
    </xdr:from>
    <xdr:to>
      <xdr:col>19</xdr:col>
      <xdr:colOff>119670</xdr:colOff>
      <xdr:row>28</xdr:row>
      <xdr:rowOff>18766</xdr:rowOff>
    </xdr:to>
    <xdr:pic>
      <xdr:nvPicPr>
        <xdr:cNvPr id="6" name="Resim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F728FA-31E0-4910-B771-2C789FE8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273" y="4181103"/>
          <a:ext cx="1084540" cy="1181559"/>
        </a:xfrm>
        <a:prstGeom prst="rect">
          <a:avLst/>
        </a:prstGeom>
      </xdr:spPr>
    </xdr:pic>
    <xdr:clientData/>
  </xdr:twoCellAnchor>
  <xdr:twoCellAnchor editAs="oneCell">
    <xdr:from>
      <xdr:col>18</xdr:col>
      <xdr:colOff>321623</xdr:colOff>
      <xdr:row>27</xdr:row>
      <xdr:rowOff>0</xdr:rowOff>
    </xdr:from>
    <xdr:to>
      <xdr:col>19</xdr:col>
      <xdr:colOff>123243</xdr:colOff>
      <xdr:row>28</xdr:row>
      <xdr:rowOff>26468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2AD7A732-E590-4184-A6CB-6C7A66BE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0" y="5158344"/>
          <a:ext cx="395386" cy="212020"/>
        </a:xfrm>
        <a:prstGeom prst="rect">
          <a:avLst/>
        </a:prstGeom>
      </xdr:spPr>
    </xdr:pic>
    <xdr:clientData/>
  </xdr:twoCellAnchor>
  <xdr:twoCellAnchor editAs="oneCell">
    <xdr:from>
      <xdr:col>19</xdr:col>
      <xdr:colOff>61311</xdr:colOff>
      <xdr:row>39</xdr:row>
      <xdr:rowOff>61310</xdr:rowOff>
    </xdr:from>
    <xdr:to>
      <xdr:col>20</xdr:col>
      <xdr:colOff>410250</xdr:colOff>
      <xdr:row>43</xdr:row>
      <xdr:rowOff>2475</xdr:rowOff>
    </xdr:to>
    <xdr:pic>
      <xdr:nvPicPr>
        <xdr:cNvPr id="3" name="Resim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ED21521-3CE6-48A4-A8D6-5BAB70CD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83863" y="7374758"/>
          <a:ext cx="962042" cy="67688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34834</xdr:colOff>
      <xdr:row>2</xdr:row>
      <xdr:rowOff>90451</xdr:rowOff>
    </xdr:from>
    <xdr:to>
      <xdr:col>19</xdr:col>
      <xdr:colOff>114448</xdr:colOff>
      <xdr:row>21</xdr:row>
      <xdr:rowOff>95258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FC1748B6-46DC-47C6-906C-3DDCE2B4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9505" y="616833"/>
          <a:ext cx="9943002" cy="3576682"/>
        </a:xfrm>
        <a:prstGeom prst="rect">
          <a:avLst/>
        </a:prstGeom>
      </xdr:spPr>
    </xdr:pic>
    <xdr:clientData/>
  </xdr:twoCellAnchor>
  <xdr:twoCellAnchor editAs="oneCell">
    <xdr:from>
      <xdr:col>17</xdr:col>
      <xdr:colOff>17467</xdr:colOff>
      <xdr:row>19</xdr:row>
      <xdr:rowOff>46761</xdr:rowOff>
    </xdr:from>
    <xdr:to>
      <xdr:col>19</xdr:col>
      <xdr:colOff>91900</xdr:colOff>
      <xdr:row>21</xdr:row>
      <xdr:rowOff>20091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D243725A-DCB9-4842-BDDD-83FFD1FF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5252" y="3630066"/>
          <a:ext cx="1289822" cy="333375"/>
        </a:xfrm>
        <a:prstGeom prst="rect">
          <a:avLst/>
        </a:prstGeom>
      </xdr:spPr>
    </xdr:pic>
    <xdr:clientData/>
  </xdr:twoCellAnchor>
  <xdr:twoCellAnchor editAs="oneCell">
    <xdr:from>
      <xdr:col>17</xdr:col>
      <xdr:colOff>222664</xdr:colOff>
      <xdr:row>21</xdr:row>
      <xdr:rowOff>119583</xdr:rowOff>
    </xdr:from>
    <xdr:to>
      <xdr:col>19</xdr:col>
      <xdr:colOff>129112</xdr:colOff>
      <xdr:row>27</xdr:row>
      <xdr:rowOff>173182</xdr:rowOff>
    </xdr:to>
    <xdr:pic>
      <xdr:nvPicPr>
        <xdr:cNvPr id="9" name="Resim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AC22CD-A32E-7C69-B605-9BA8EC03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274" y="4164615"/>
          <a:ext cx="1093981" cy="1166911"/>
        </a:xfrm>
        <a:prstGeom prst="rect">
          <a:avLst/>
        </a:prstGeom>
      </xdr:spPr>
    </xdr:pic>
    <xdr:clientData/>
  </xdr:twoCellAnchor>
  <xdr:twoCellAnchor editAs="oneCell">
    <xdr:from>
      <xdr:col>18</xdr:col>
      <xdr:colOff>321622</xdr:colOff>
      <xdr:row>26</xdr:row>
      <xdr:rowOff>148443</xdr:rowOff>
    </xdr:from>
    <xdr:to>
      <xdr:col>19</xdr:col>
      <xdr:colOff>127962</xdr:colOff>
      <xdr:row>27</xdr:row>
      <xdr:rowOff>172470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432BA966-C7FD-9F67-3298-25BD75DE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4999" y="5121235"/>
          <a:ext cx="400106" cy="209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62631</xdr:colOff>
      <xdr:row>45</xdr:row>
      <xdr:rowOff>73068</xdr:rowOff>
    </xdr:from>
    <xdr:to>
      <xdr:col>20</xdr:col>
      <xdr:colOff>419248</xdr:colOff>
      <xdr:row>48</xdr:row>
      <xdr:rowOff>186286</xdr:rowOff>
    </xdr:to>
    <xdr:pic>
      <xdr:nvPicPr>
        <xdr:cNvPr id="2" name="Resim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DE1A6AB-405C-418F-A005-B8F33D99A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66521" y="8830849"/>
          <a:ext cx="962042" cy="67688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200527</xdr:colOff>
      <xdr:row>4</xdr:row>
      <xdr:rowOff>120316</xdr:rowOff>
    </xdr:from>
    <xdr:to>
      <xdr:col>12</xdr:col>
      <xdr:colOff>122247</xdr:colOff>
      <xdr:row>37</xdr:row>
      <xdr:rowOff>102141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1028A706-F264-4EF2-8F37-14DF3203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32" y="1163053"/>
          <a:ext cx="6649378" cy="62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521369</xdr:colOff>
      <xdr:row>4</xdr:row>
      <xdr:rowOff>120316</xdr:rowOff>
    </xdr:from>
    <xdr:to>
      <xdr:col>24</xdr:col>
      <xdr:colOff>22011</xdr:colOff>
      <xdr:row>13</xdr:row>
      <xdr:rowOff>139608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1EDDCF82-8BB1-B141-5C5D-A5D84AAA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0632" y="1163053"/>
          <a:ext cx="6839905" cy="1733792"/>
        </a:xfrm>
        <a:prstGeom prst="rect">
          <a:avLst/>
        </a:prstGeom>
      </xdr:spPr>
    </xdr:pic>
    <xdr:clientData/>
  </xdr:twoCellAnchor>
  <xdr:twoCellAnchor editAs="oneCell">
    <xdr:from>
      <xdr:col>12</xdr:col>
      <xdr:colOff>551448</xdr:colOff>
      <xdr:row>16</xdr:row>
      <xdr:rowOff>110289</xdr:rowOff>
    </xdr:from>
    <xdr:to>
      <xdr:col>23</xdr:col>
      <xdr:colOff>597010</xdr:colOff>
      <xdr:row>25</xdr:row>
      <xdr:rowOff>101002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DA18AA74-E996-8290-1FDA-DB4139205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0711" y="3439026"/>
          <a:ext cx="6773220" cy="1705213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571501</xdr:colOff>
      <xdr:row>28</xdr:row>
      <xdr:rowOff>80209</xdr:rowOff>
    </xdr:from>
    <xdr:to>
      <xdr:col>24</xdr:col>
      <xdr:colOff>8613</xdr:colOff>
      <xdr:row>37</xdr:row>
      <xdr:rowOff>40104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8C2C7651-0CF8-40D0-1637-062B6994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10764" y="5694946"/>
          <a:ext cx="6776375" cy="1674395"/>
        </a:xfrm>
        <a:prstGeom prst="rect">
          <a:avLst/>
        </a:prstGeom>
      </xdr:spPr>
    </xdr:pic>
    <xdr:clientData/>
  </xdr:twoCellAnchor>
  <xdr:twoCellAnchor editAs="oneCell">
    <xdr:from>
      <xdr:col>29</xdr:col>
      <xdr:colOff>30079</xdr:colOff>
      <xdr:row>33</xdr:row>
      <xdr:rowOff>80210</xdr:rowOff>
    </xdr:from>
    <xdr:to>
      <xdr:col>30</xdr:col>
      <xdr:colOff>287494</xdr:colOff>
      <xdr:row>36</xdr:row>
      <xdr:rowOff>149255</xdr:rowOff>
    </xdr:to>
    <xdr:pic>
      <xdr:nvPicPr>
        <xdr:cNvPr id="2" name="Resim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A2E4E21-3B9B-4EF3-8A86-D6040144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66632" y="6667499"/>
          <a:ext cx="869020" cy="64054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168443</xdr:rowOff>
    </xdr:from>
    <xdr:to>
      <xdr:col>12</xdr:col>
      <xdr:colOff>72190</xdr:colOff>
      <xdr:row>4</xdr:row>
      <xdr:rowOff>14621</xdr:rowOff>
    </xdr:to>
    <xdr:pic>
      <xdr:nvPicPr>
        <xdr:cNvPr id="4" name="Resim 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1051A46-7E61-45C3-95F4-D79891FFE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82063" y="352927"/>
          <a:ext cx="697832" cy="696410"/>
        </a:xfrm>
        <a:prstGeom prst="rect">
          <a:avLst/>
        </a:prstGeom>
      </xdr:spPr>
    </xdr:pic>
    <xdr:clientData/>
  </xdr:twoCellAnchor>
  <xdr:twoCellAnchor editAs="oneCell">
    <xdr:from>
      <xdr:col>11</xdr:col>
      <xdr:colOff>246648</xdr:colOff>
      <xdr:row>2</xdr:row>
      <xdr:rowOff>264696</xdr:rowOff>
    </xdr:from>
    <xdr:to>
      <xdr:col>11</xdr:col>
      <xdr:colOff>491289</xdr:colOff>
      <xdr:row>3</xdr:row>
      <xdr:rowOff>20392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A2240410-E4DE-4185-812C-A983BD503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74306" y="645696"/>
          <a:ext cx="244641" cy="1066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140970</xdr:rowOff>
    </xdr:from>
    <xdr:to>
      <xdr:col>7</xdr:col>
      <xdr:colOff>170719</xdr:colOff>
      <xdr:row>7</xdr:row>
      <xdr:rowOff>60406</xdr:rowOff>
    </xdr:to>
    <xdr:sp macro="" textlink="">
      <xdr:nvSpPr>
        <xdr:cNvPr id="3" name="Dikdörtgen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A0857-2B1F-4FCF-A573-5B0531EB649A}"/>
            </a:ext>
          </a:extLst>
        </xdr:cNvPr>
        <xdr:cNvSpPr/>
      </xdr:nvSpPr>
      <xdr:spPr>
        <a:xfrm>
          <a:off x="1219200" y="1588770"/>
          <a:ext cx="3218719" cy="28138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Somunlu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20955</xdr:colOff>
      <xdr:row>5</xdr:row>
      <xdr:rowOff>8234</xdr:rowOff>
    </xdr:from>
    <xdr:to>
      <xdr:col>1</xdr:col>
      <xdr:colOff>594359</xdr:colOff>
      <xdr:row>8</xdr:row>
      <xdr:rowOff>20423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C7138B37-236C-AE51-EB27-ACD1C156F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555" y="1456034"/>
          <a:ext cx="569594" cy="54558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9</xdr:row>
      <xdr:rowOff>74295</xdr:rowOff>
    </xdr:from>
    <xdr:to>
      <xdr:col>1</xdr:col>
      <xdr:colOff>602038</xdr:colOff>
      <xdr:row>12</xdr:row>
      <xdr:rowOff>76200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9CEAD95B-8CEF-566C-09AE-C62FCA871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2245995"/>
          <a:ext cx="571558" cy="544830"/>
        </a:xfrm>
        <a:prstGeom prst="rect">
          <a:avLst/>
        </a:prstGeom>
      </xdr:spPr>
    </xdr:pic>
    <xdr:clientData/>
  </xdr:twoCellAnchor>
  <xdr:twoCellAnchor>
    <xdr:from>
      <xdr:col>2</xdr:col>
      <xdr:colOff>7620</xdr:colOff>
      <xdr:row>10</xdr:row>
      <xdr:rowOff>20955</xdr:rowOff>
    </xdr:from>
    <xdr:to>
      <xdr:col>7</xdr:col>
      <xdr:colOff>170719</xdr:colOff>
      <xdr:row>11</xdr:row>
      <xdr:rowOff>115651</xdr:rowOff>
    </xdr:to>
    <xdr:sp macro="" textlink="">
      <xdr:nvSpPr>
        <xdr:cNvPr id="6" name="Dikdörtgen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2BB0850-6C14-4CF6-810A-F9266C4D4592}"/>
            </a:ext>
          </a:extLst>
        </xdr:cNvPr>
        <xdr:cNvSpPr/>
      </xdr:nvSpPr>
      <xdr:spPr>
        <a:xfrm>
          <a:off x="1226820" y="2373630"/>
          <a:ext cx="3211099" cy="275671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Kombi Somunlu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>
    <xdr:from>
      <xdr:col>2</xdr:col>
      <xdr:colOff>19050</xdr:colOff>
      <xdr:row>14</xdr:row>
      <xdr:rowOff>24765</xdr:rowOff>
    </xdr:from>
    <xdr:to>
      <xdr:col>7</xdr:col>
      <xdr:colOff>187864</xdr:colOff>
      <xdr:row>15</xdr:row>
      <xdr:rowOff>127081</xdr:rowOff>
    </xdr:to>
    <xdr:sp macro="" textlink="">
      <xdr:nvSpPr>
        <xdr:cNvPr id="8" name="Dikdörtgen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5A0E7C1-17DF-4EFD-BBF6-2532ED2C591A}"/>
            </a:ext>
          </a:extLst>
        </xdr:cNvPr>
        <xdr:cNvSpPr/>
      </xdr:nvSpPr>
      <xdr:spPr>
        <a:xfrm>
          <a:off x="1238250" y="3101340"/>
          <a:ext cx="3216814" cy="283291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KLASİK TRİFONLU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57150</xdr:colOff>
      <xdr:row>12</xdr:row>
      <xdr:rowOff>168281</xdr:rowOff>
    </xdr:from>
    <xdr:to>
      <xdr:col>1</xdr:col>
      <xdr:colOff>596265</xdr:colOff>
      <xdr:row>16</xdr:row>
      <xdr:rowOff>140969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38F82D48-EEA7-A098-DBAB-DD26F296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882906"/>
          <a:ext cx="539115" cy="696588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</xdr:row>
      <xdr:rowOff>85725</xdr:rowOff>
    </xdr:from>
    <xdr:to>
      <xdr:col>7</xdr:col>
      <xdr:colOff>182149</xdr:colOff>
      <xdr:row>20</xdr:row>
      <xdr:rowOff>3256</xdr:rowOff>
    </xdr:to>
    <xdr:sp macro="" textlink="">
      <xdr:nvSpPr>
        <xdr:cNvPr id="11" name="Dikdörtgen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9FB1942-215D-4B02-8DF2-7B2B0C2B9FC5}"/>
            </a:ext>
          </a:extLst>
        </xdr:cNvPr>
        <xdr:cNvSpPr/>
      </xdr:nvSpPr>
      <xdr:spPr>
        <a:xfrm>
          <a:off x="1228725" y="3886200"/>
          <a:ext cx="3220624" cy="279481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UZUN TRİFONLU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64770</xdr:colOff>
      <xdr:row>17</xdr:row>
      <xdr:rowOff>20955</xdr:rowOff>
    </xdr:from>
    <xdr:to>
      <xdr:col>1</xdr:col>
      <xdr:colOff>602773</xdr:colOff>
      <xdr:row>21</xdr:row>
      <xdr:rowOff>68580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421DE2B2-3F57-5403-C9FC-9A5967CA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" y="3640455"/>
          <a:ext cx="538003" cy="771525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</xdr:row>
      <xdr:rowOff>19050</xdr:rowOff>
    </xdr:from>
    <xdr:to>
      <xdr:col>7</xdr:col>
      <xdr:colOff>187864</xdr:colOff>
      <xdr:row>24</xdr:row>
      <xdr:rowOff>113746</xdr:rowOff>
    </xdr:to>
    <xdr:sp macro="" textlink="">
      <xdr:nvSpPr>
        <xdr:cNvPr id="13" name="Dikdörtgen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9C223A2-F399-488D-B822-58B690A019B8}"/>
            </a:ext>
          </a:extLst>
        </xdr:cNvPr>
        <xdr:cNvSpPr/>
      </xdr:nvSpPr>
      <xdr:spPr>
        <a:xfrm>
          <a:off x="1238250" y="4724400"/>
          <a:ext cx="3216814" cy="275671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AĞIR YÜK SOMUNLU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80009</xdr:colOff>
      <xdr:row>22</xdr:row>
      <xdr:rowOff>92354</xdr:rowOff>
    </xdr:from>
    <xdr:to>
      <xdr:col>1</xdr:col>
      <xdr:colOff>600074</xdr:colOff>
      <xdr:row>25</xdr:row>
      <xdr:rowOff>15240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6574AA5C-4FC9-D9CC-2B17-3637AA75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9609" y="4616729"/>
          <a:ext cx="520065" cy="465811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27</xdr:row>
      <xdr:rowOff>15240</xdr:rowOff>
    </xdr:from>
    <xdr:to>
      <xdr:col>7</xdr:col>
      <xdr:colOff>187864</xdr:colOff>
      <xdr:row>28</xdr:row>
      <xdr:rowOff>117556</xdr:rowOff>
    </xdr:to>
    <xdr:sp macro="" textlink="">
      <xdr:nvSpPr>
        <xdr:cNvPr id="15" name="Dikdörtgen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15E2EB8-EED7-4A4F-9261-C1D99927D424}"/>
            </a:ext>
          </a:extLst>
        </xdr:cNvPr>
        <xdr:cNvSpPr/>
      </xdr:nvSpPr>
      <xdr:spPr>
        <a:xfrm>
          <a:off x="1238250" y="5444490"/>
          <a:ext cx="3216814" cy="283291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AĞIR YÜK KAFALI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91441</xdr:colOff>
      <xdr:row>26</xdr:row>
      <xdr:rowOff>75277</xdr:rowOff>
    </xdr:from>
    <xdr:to>
      <xdr:col>1</xdr:col>
      <xdr:colOff>601980</xdr:colOff>
      <xdr:row>29</xdr:row>
      <xdr:rowOff>85433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ABDB68EA-577B-8F37-354B-3A4C5B81E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1041" y="5323552"/>
          <a:ext cx="510539" cy="553081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15</xdr:col>
      <xdr:colOff>174529</xdr:colOff>
      <xdr:row>7</xdr:row>
      <xdr:rowOff>98506</xdr:rowOff>
    </xdr:to>
    <xdr:sp macro="" textlink="">
      <xdr:nvSpPr>
        <xdr:cNvPr id="17" name="Dikdörtgen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68C4710-F7CB-42A3-9ADE-C3A95B34E89A}"/>
            </a:ext>
          </a:extLst>
        </xdr:cNvPr>
        <xdr:cNvSpPr/>
      </xdr:nvSpPr>
      <xdr:spPr>
        <a:xfrm>
          <a:off x="6096000" y="1714500"/>
          <a:ext cx="3222529" cy="28900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KLASİK Tip Sprinkler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9</xdr:col>
      <xdr:colOff>85725</xdr:colOff>
      <xdr:row>5</xdr:row>
      <xdr:rowOff>37878</xdr:rowOff>
    </xdr:from>
    <xdr:to>
      <xdr:col>9</xdr:col>
      <xdr:colOff>581025</xdr:colOff>
      <xdr:row>8</xdr:row>
      <xdr:rowOff>128699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4249272F-B4DB-9321-EE38-2D6143EC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72125" y="1561878"/>
          <a:ext cx="495300" cy="66232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10</xdr:row>
      <xdr:rowOff>0</xdr:rowOff>
    </xdr:from>
    <xdr:to>
      <xdr:col>9</xdr:col>
      <xdr:colOff>600075</xdr:colOff>
      <xdr:row>13</xdr:row>
      <xdr:rowOff>161273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52A6237-E0BF-5577-61DA-75C397B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91175" y="2476500"/>
          <a:ext cx="495300" cy="73277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11</xdr:row>
      <xdr:rowOff>0</xdr:rowOff>
    </xdr:from>
    <xdr:to>
      <xdr:col>15</xdr:col>
      <xdr:colOff>174529</xdr:colOff>
      <xdr:row>12</xdr:row>
      <xdr:rowOff>98506</xdr:rowOff>
    </xdr:to>
    <xdr:sp macro="" textlink="">
      <xdr:nvSpPr>
        <xdr:cNvPr id="19" name="Dikdörtgen 1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FDBC87C-B497-4E59-BCDA-D3D70A351F2B}"/>
            </a:ext>
          </a:extLst>
        </xdr:cNvPr>
        <xdr:cNvSpPr/>
      </xdr:nvSpPr>
      <xdr:spPr>
        <a:xfrm>
          <a:off x="6096000" y="2667000"/>
          <a:ext cx="3222529" cy="28900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UZUN Tip Sprinkler Kelepçe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15</xdr:col>
      <xdr:colOff>174529</xdr:colOff>
      <xdr:row>17</xdr:row>
      <xdr:rowOff>98506</xdr:rowOff>
    </xdr:to>
    <xdr:sp macro="" textlink="">
      <xdr:nvSpPr>
        <xdr:cNvPr id="2" name="Dikdörtgen 1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61234AC-864C-451F-9E41-CFD9B1851303}"/>
            </a:ext>
          </a:extLst>
        </xdr:cNvPr>
        <xdr:cNvSpPr/>
      </xdr:nvSpPr>
      <xdr:spPr>
        <a:xfrm>
          <a:off x="6096000" y="3619500"/>
          <a:ext cx="3222529" cy="28900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Rot / Tij 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9</xdr:col>
      <xdr:colOff>24034</xdr:colOff>
      <xdr:row>15</xdr:row>
      <xdr:rowOff>161926</xdr:rowOff>
    </xdr:from>
    <xdr:to>
      <xdr:col>9</xdr:col>
      <xdr:colOff>583794</xdr:colOff>
      <xdr:row>17</xdr:row>
      <xdr:rowOff>142876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5DA3D5E2-6E32-8E43-41B5-EADC67B9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10434" y="3590926"/>
          <a:ext cx="559760" cy="36195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20</xdr:row>
      <xdr:rowOff>0</xdr:rowOff>
    </xdr:from>
    <xdr:to>
      <xdr:col>15</xdr:col>
      <xdr:colOff>174529</xdr:colOff>
      <xdr:row>21</xdr:row>
      <xdr:rowOff>98506</xdr:rowOff>
    </xdr:to>
    <xdr:sp macro="" textlink="">
      <xdr:nvSpPr>
        <xdr:cNvPr id="21" name="Dikdörtgen 2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6B86B7B-F251-428E-A818-FD63B2B41DC0}"/>
            </a:ext>
          </a:extLst>
        </xdr:cNvPr>
        <xdr:cNvSpPr/>
      </xdr:nvSpPr>
      <xdr:spPr>
        <a:xfrm>
          <a:off x="6096000" y="4381500"/>
          <a:ext cx="3222529" cy="289006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aseline="0">
              <a:solidFill>
                <a:schemeClr val="lt1"/>
              </a:solidFill>
            </a:rPr>
            <a:t>U Bolt Ölçüleri</a:t>
          </a:r>
          <a:endParaRPr lang="tr-TR" sz="1200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9</xdr:col>
      <xdr:colOff>38100</xdr:colOff>
      <xdr:row>19</xdr:row>
      <xdr:rowOff>47625</xdr:rowOff>
    </xdr:from>
    <xdr:to>
      <xdr:col>9</xdr:col>
      <xdr:colOff>581025</xdr:colOff>
      <xdr:row>22</xdr:row>
      <xdr:rowOff>108604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862E50DD-7BE8-5F35-6490-736CAB17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4238625"/>
          <a:ext cx="542925" cy="632479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25</xdr:row>
      <xdr:rowOff>57149</xdr:rowOff>
    </xdr:from>
    <xdr:to>
      <xdr:col>15</xdr:col>
      <xdr:colOff>317242</xdr:colOff>
      <xdr:row>28</xdr:row>
      <xdr:rowOff>147752</xdr:rowOff>
    </xdr:to>
    <xdr:pic>
      <xdr:nvPicPr>
        <xdr:cNvPr id="20" name="Resim 19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C7B999C0-3F94-4E1F-8226-4A457945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62975" y="5105399"/>
          <a:ext cx="898267" cy="662103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594360</xdr:colOff>
      <xdr:row>2</xdr:row>
      <xdr:rowOff>114301</xdr:rowOff>
    </xdr:from>
    <xdr:to>
      <xdr:col>15</xdr:col>
      <xdr:colOff>100600</xdr:colOff>
      <xdr:row>5</xdr:row>
      <xdr:rowOff>30481</xdr:rowOff>
    </xdr:to>
    <xdr:pic>
      <xdr:nvPicPr>
        <xdr:cNvPr id="23" name="Resim 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F701A628-1BF3-48C1-BCDF-F1428A6D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17280" y="480061"/>
          <a:ext cx="755920" cy="7543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251461</xdr:colOff>
      <xdr:row>3</xdr:row>
      <xdr:rowOff>68580</xdr:rowOff>
    </xdr:from>
    <xdr:to>
      <xdr:col>14</xdr:col>
      <xdr:colOff>492422</xdr:colOff>
      <xdr:row>3</xdr:row>
      <xdr:rowOff>161925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FE8934EA-39CF-449B-B136-9861D90DF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85861" y="782955"/>
          <a:ext cx="240961" cy="9334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3</xdr:row>
      <xdr:rowOff>38100</xdr:rowOff>
    </xdr:from>
    <xdr:to>
      <xdr:col>9</xdr:col>
      <xdr:colOff>200742</xdr:colOff>
      <xdr:row>40</xdr:row>
      <xdr:rowOff>29557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8C3A359-8D3B-614E-1097-151B503BD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19100"/>
          <a:ext cx="5134692" cy="70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3</xdr:row>
      <xdr:rowOff>38100</xdr:rowOff>
    </xdr:from>
    <xdr:to>
      <xdr:col>17</xdr:col>
      <xdr:colOff>553169</xdr:colOff>
      <xdr:row>41</xdr:row>
      <xdr:rowOff>124847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4FC7499-DA87-78AA-BD20-06F4FFBD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419100"/>
          <a:ext cx="5153744" cy="732574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3</xdr:row>
      <xdr:rowOff>38100</xdr:rowOff>
    </xdr:from>
    <xdr:to>
      <xdr:col>26</xdr:col>
      <xdr:colOff>295992</xdr:colOff>
      <xdr:row>38</xdr:row>
      <xdr:rowOff>124768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6DEF9B90-42B0-9B62-3779-656E217F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19100"/>
          <a:ext cx="5134692" cy="6754168"/>
        </a:xfrm>
        <a:prstGeom prst="rect">
          <a:avLst/>
        </a:prstGeom>
      </xdr:spPr>
    </xdr:pic>
    <xdr:clientData/>
  </xdr:twoCellAnchor>
  <xdr:twoCellAnchor editAs="oneCell">
    <xdr:from>
      <xdr:col>26</xdr:col>
      <xdr:colOff>428625</xdr:colOff>
      <xdr:row>3</xdr:row>
      <xdr:rowOff>38100</xdr:rowOff>
    </xdr:from>
    <xdr:to>
      <xdr:col>35</xdr:col>
      <xdr:colOff>48338</xdr:colOff>
      <xdr:row>40</xdr:row>
      <xdr:rowOff>244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6D382067-215C-C596-1BD0-29CC589B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78225" y="419100"/>
          <a:ext cx="5106113" cy="7001852"/>
        </a:xfrm>
        <a:prstGeom prst="rect">
          <a:avLst/>
        </a:prstGeom>
      </xdr:spPr>
    </xdr:pic>
    <xdr:clientData/>
  </xdr:twoCellAnchor>
  <xdr:twoCellAnchor editAs="oneCell">
    <xdr:from>
      <xdr:col>33</xdr:col>
      <xdr:colOff>49482</xdr:colOff>
      <xdr:row>41</xdr:row>
      <xdr:rowOff>39585</xdr:rowOff>
    </xdr:from>
    <xdr:to>
      <xdr:col>34</xdr:col>
      <xdr:colOff>388069</xdr:colOff>
      <xdr:row>45</xdr:row>
      <xdr:rowOff>3954</xdr:rowOff>
    </xdr:to>
    <xdr:pic>
      <xdr:nvPicPr>
        <xdr:cNvPr id="6" name="Resim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8E2281-F09D-48B7-B6DB-D85F9B5D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23482" y="7778338"/>
          <a:ext cx="962042" cy="676889"/>
        </a:xfrm>
        <a:prstGeom prst="rect">
          <a:avLst/>
        </a:prstGeom>
      </xdr:spPr>
    </xdr:pic>
    <xdr:clientData/>
  </xdr:twoCellAnchor>
  <xdr:twoCellAnchor editAs="oneCell">
    <xdr:from>
      <xdr:col>33</xdr:col>
      <xdr:colOff>544286</xdr:colOff>
      <xdr:row>1</xdr:row>
      <xdr:rowOff>49480</xdr:rowOff>
    </xdr:from>
    <xdr:to>
      <xdr:col>34</xdr:col>
      <xdr:colOff>556655</xdr:colOff>
      <xdr:row>2</xdr:row>
      <xdr:rowOff>77049</xdr:rowOff>
    </xdr:to>
    <xdr:pic>
      <xdr:nvPicPr>
        <xdr:cNvPr id="7" name="Resim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2EC676D-29BC-4471-8543-C31A1CB82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46786" y="235032"/>
          <a:ext cx="618505" cy="633705"/>
        </a:xfrm>
        <a:prstGeom prst="rect">
          <a:avLst/>
        </a:prstGeom>
      </xdr:spPr>
    </xdr:pic>
    <xdr:clientData/>
  </xdr:twoCellAnchor>
  <xdr:twoCellAnchor editAs="oneCell">
    <xdr:from>
      <xdr:col>34</xdr:col>
      <xdr:colOff>123701</xdr:colOff>
      <xdr:row>1</xdr:row>
      <xdr:rowOff>309253</xdr:rowOff>
    </xdr:from>
    <xdr:to>
      <xdr:col>34</xdr:col>
      <xdr:colOff>383475</xdr:colOff>
      <xdr:row>1</xdr:row>
      <xdr:rowOff>409886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4466829D-1DD7-4E67-8236-EFF7C2BD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32337" y="494805"/>
          <a:ext cx="259774" cy="10063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36634</xdr:colOff>
      <xdr:row>14</xdr:row>
      <xdr:rowOff>83093</xdr:rowOff>
    </xdr:from>
    <xdr:to>
      <xdr:col>13</xdr:col>
      <xdr:colOff>322385</xdr:colOff>
      <xdr:row>17</xdr:row>
      <xdr:rowOff>170466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7A86BA-DC7F-4B76-A7E9-087805F97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8096" y="2969901"/>
          <a:ext cx="893885" cy="658873"/>
        </a:xfrm>
        <a:prstGeom prst="rect">
          <a:avLst/>
        </a:prstGeom>
      </xdr:spPr>
    </xdr:pic>
    <xdr:clientData/>
  </xdr:twoCellAnchor>
  <xdr:twoCellAnchor editAs="oneCell">
    <xdr:from>
      <xdr:col>7</xdr:col>
      <xdr:colOff>600808</xdr:colOff>
      <xdr:row>5</xdr:row>
      <xdr:rowOff>131885</xdr:rowOff>
    </xdr:from>
    <xdr:to>
      <xdr:col>8</xdr:col>
      <xdr:colOff>572720</xdr:colOff>
      <xdr:row>8</xdr:row>
      <xdr:rowOff>161192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26DB5D-10A9-4DB1-980B-61C2D692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1596" y="1304193"/>
          <a:ext cx="580047" cy="600807"/>
        </a:xfrm>
        <a:prstGeom prst="rect">
          <a:avLst/>
        </a:prstGeom>
      </xdr:spPr>
    </xdr:pic>
    <xdr:clientData/>
  </xdr:twoCellAnchor>
  <xdr:twoCellAnchor editAs="oneCell">
    <xdr:from>
      <xdr:col>8</xdr:col>
      <xdr:colOff>300404</xdr:colOff>
      <xdr:row>8</xdr:row>
      <xdr:rowOff>51289</xdr:rowOff>
    </xdr:from>
    <xdr:to>
      <xdr:col>8</xdr:col>
      <xdr:colOff>553775</xdr:colOff>
      <xdr:row>8</xdr:row>
      <xdr:rowOff>156064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D3A59F1-A398-495A-83C2-79E2CF90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9327" y="1795097"/>
          <a:ext cx="253371" cy="10477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7</xdr:row>
      <xdr:rowOff>53340</xdr:rowOff>
    </xdr:from>
    <xdr:to>
      <xdr:col>6</xdr:col>
      <xdr:colOff>457200</xdr:colOff>
      <xdr:row>9</xdr:row>
      <xdr:rowOff>76200</xdr:rowOff>
    </xdr:to>
    <xdr:sp macro="" textlink="">
      <xdr:nvSpPr>
        <xdr:cNvPr id="10" name="Yamuk 9">
          <a:extLst>
            <a:ext uri="{FF2B5EF4-FFF2-40B4-BE49-F238E27FC236}">
              <a16:creationId xmlns:a16="http://schemas.microsoft.com/office/drawing/2014/main" id="{FC2A48C1-0CE9-2A50-6345-79122C396C88}"/>
            </a:ext>
          </a:extLst>
        </xdr:cNvPr>
        <xdr:cNvSpPr/>
      </xdr:nvSpPr>
      <xdr:spPr>
        <a:xfrm>
          <a:off x="2339340" y="1379220"/>
          <a:ext cx="1165860" cy="464820"/>
        </a:xfrm>
        <a:prstGeom prst="trapezoid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38100</xdr:colOff>
      <xdr:row>5</xdr:row>
      <xdr:rowOff>160020</xdr:rowOff>
    </xdr:from>
    <xdr:to>
      <xdr:col>6</xdr:col>
      <xdr:colOff>312420</xdr:colOff>
      <xdr:row>6</xdr:row>
      <xdr:rowOff>152400</xdr:rowOff>
    </xdr:to>
    <xdr:sp macro="" textlink="">
      <xdr:nvSpPr>
        <xdr:cNvPr id="11" name="Akış Çizelgesi: İşlem 10">
          <a:extLst>
            <a:ext uri="{FF2B5EF4-FFF2-40B4-BE49-F238E27FC236}">
              <a16:creationId xmlns:a16="http://schemas.microsoft.com/office/drawing/2014/main" id="{57E7B4D5-9FFC-B92C-2834-8223712711B5}"/>
            </a:ext>
          </a:extLst>
        </xdr:cNvPr>
        <xdr:cNvSpPr/>
      </xdr:nvSpPr>
      <xdr:spPr>
        <a:xfrm>
          <a:off x="2476500" y="1074420"/>
          <a:ext cx="883920" cy="17526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495300</xdr:colOff>
      <xdr:row>10</xdr:row>
      <xdr:rowOff>114300</xdr:rowOff>
    </xdr:from>
    <xdr:to>
      <xdr:col>6</xdr:col>
      <xdr:colOff>472440</xdr:colOff>
      <xdr:row>12</xdr:row>
      <xdr:rowOff>175260</xdr:rowOff>
    </xdr:to>
    <xdr:sp macro="" textlink="">
      <xdr:nvSpPr>
        <xdr:cNvPr id="16" name="Akış Çizelgesi: İşlem 15">
          <a:extLst>
            <a:ext uri="{FF2B5EF4-FFF2-40B4-BE49-F238E27FC236}">
              <a16:creationId xmlns:a16="http://schemas.microsoft.com/office/drawing/2014/main" id="{A08EE1BF-4F5E-4BA3-9267-B40FC568C1BE}"/>
            </a:ext>
          </a:extLst>
        </xdr:cNvPr>
        <xdr:cNvSpPr/>
      </xdr:nvSpPr>
      <xdr:spPr>
        <a:xfrm>
          <a:off x="2324100" y="1943100"/>
          <a:ext cx="1196340" cy="42672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487680</xdr:colOff>
      <xdr:row>13</xdr:row>
      <xdr:rowOff>137160</xdr:rowOff>
    </xdr:from>
    <xdr:to>
      <xdr:col>6</xdr:col>
      <xdr:colOff>464820</xdr:colOff>
      <xdr:row>16</xdr:row>
      <xdr:rowOff>15240</xdr:rowOff>
    </xdr:to>
    <xdr:sp macro="" textlink="">
      <xdr:nvSpPr>
        <xdr:cNvPr id="17" name="Akış Çizelgesi: İşlem 16">
          <a:extLst>
            <a:ext uri="{FF2B5EF4-FFF2-40B4-BE49-F238E27FC236}">
              <a16:creationId xmlns:a16="http://schemas.microsoft.com/office/drawing/2014/main" id="{7024C929-C424-4A40-B67A-BBB17C6B3C53}"/>
            </a:ext>
          </a:extLst>
        </xdr:cNvPr>
        <xdr:cNvSpPr/>
      </xdr:nvSpPr>
      <xdr:spPr>
        <a:xfrm>
          <a:off x="2316480" y="2514600"/>
          <a:ext cx="1196340" cy="42672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480060</xdr:colOff>
      <xdr:row>20</xdr:row>
      <xdr:rowOff>45720</xdr:rowOff>
    </xdr:from>
    <xdr:to>
      <xdr:col>6</xdr:col>
      <xdr:colOff>487680</xdr:colOff>
      <xdr:row>23</xdr:row>
      <xdr:rowOff>167640</xdr:rowOff>
    </xdr:to>
    <xdr:sp macro="" textlink="">
      <xdr:nvSpPr>
        <xdr:cNvPr id="21" name="Akış Çizelgesi: İşlem 20">
          <a:extLst>
            <a:ext uri="{FF2B5EF4-FFF2-40B4-BE49-F238E27FC236}">
              <a16:creationId xmlns:a16="http://schemas.microsoft.com/office/drawing/2014/main" id="{FD8CDED6-423E-6334-1641-F46A4185063F}"/>
            </a:ext>
          </a:extLst>
        </xdr:cNvPr>
        <xdr:cNvSpPr/>
      </xdr:nvSpPr>
      <xdr:spPr>
        <a:xfrm>
          <a:off x="2308860" y="3703320"/>
          <a:ext cx="1226820" cy="67056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487680</xdr:colOff>
      <xdr:row>17</xdr:row>
      <xdr:rowOff>0</xdr:rowOff>
    </xdr:from>
    <xdr:to>
      <xdr:col>6</xdr:col>
      <xdr:colOff>464820</xdr:colOff>
      <xdr:row>19</xdr:row>
      <xdr:rowOff>60960</xdr:rowOff>
    </xdr:to>
    <xdr:sp macro="" textlink="">
      <xdr:nvSpPr>
        <xdr:cNvPr id="22" name="Akış Çizelgesi: İşlem 21">
          <a:extLst>
            <a:ext uri="{FF2B5EF4-FFF2-40B4-BE49-F238E27FC236}">
              <a16:creationId xmlns:a16="http://schemas.microsoft.com/office/drawing/2014/main" id="{F783BD60-935D-4682-94FF-5822B748C141}"/>
            </a:ext>
          </a:extLst>
        </xdr:cNvPr>
        <xdr:cNvSpPr/>
      </xdr:nvSpPr>
      <xdr:spPr>
        <a:xfrm>
          <a:off x="2316480" y="3108960"/>
          <a:ext cx="1196340" cy="42672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137160</xdr:colOff>
      <xdr:row>4</xdr:row>
      <xdr:rowOff>137160</xdr:rowOff>
    </xdr:from>
    <xdr:to>
      <xdr:col>6</xdr:col>
      <xdr:colOff>213360</xdr:colOff>
      <xdr:row>5</xdr:row>
      <xdr:rowOff>45720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81A44E67-5DA5-EA61-A8CD-7FECFB852941}"/>
            </a:ext>
          </a:extLst>
        </xdr:cNvPr>
        <xdr:cNvSpPr/>
      </xdr:nvSpPr>
      <xdr:spPr>
        <a:xfrm>
          <a:off x="2575560" y="868680"/>
          <a:ext cx="685800" cy="91440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487680</xdr:colOff>
      <xdr:row>6</xdr:row>
      <xdr:rowOff>53340</xdr:rowOff>
    </xdr:from>
    <xdr:to>
      <xdr:col>16</xdr:col>
      <xdr:colOff>563880</xdr:colOff>
      <xdr:row>6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8948D1B-55F5-44F6-AD43-E9C646204A5E}"/>
            </a:ext>
          </a:extLst>
        </xdr:cNvPr>
        <xdr:cNvSpPr/>
      </xdr:nvSpPr>
      <xdr:spPr>
        <a:xfrm>
          <a:off x="9022080" y="1150620"/>
          <a:ext cx="685800" cy="91440"/>
        </a:xfrm>
        <a:prstGeom prst="ellipse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396240</xdr:colOff>
      <xdr:row>7</xdr:row>
      <xdr:rowOff>30480</xdr:rowOff>
    </xdr:from>
    <xdr:to>
      <xdr:col>17</xdr:col>
      <xdr:colOff>60960</xdr:colOff>
      <xdr:row>8</xdr:row>
      <xdr:rowOff>22860</xdr:rowOff>
    </xdr:to>
    <xdr:sp macro="" textlink="">
      <xdr:nvSpPr>
        <xdr:cNvPr id="27" name="Akış Çizelgesi: İşlem 26">
          <a:extLst>
            <a:ext uri="{FF2B5EF4-FFF2-40B4-BE49-F238E27FC236}">
              <a16:creationId xmlns:a16="http://schemas.microsoft.com/office/drawing/2014/main" id="{5380B3B5-9E5F-45CE-9A61-EF2C7BA2E576}"/>
            </a:ext>
          </a:extLst>
        </xdr:cNvPr>
        <xdr:cNvSpPr/>
      </xdr:nvSpPr>
      <xdr:spPr>
        <a:xfrm>
          <a:off x="8930640" y="1356360"/>
          <a:ext cx="883920" cy="17526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259080</xdr:colOff>
      <xdr:row>8</xdr:row>
      <xdr:rowOff>144780</xdr:rowOff>
    </xdr:from>
    <xdr:to>
      <xdr:col>17</xdr:col>
      <xdr:colOff>205740</xdr:colOff>
      <xdr:row>11</xdr:row>
      <xdr:rowOff>91440</xdr:rowOff>
    </xdr:to>
    <xdr:sp macro="" textlink="">
      <xdr:nvSpPr>
        <xdr:cNvPr id="28" name="Yamuk 27">
          <a:extLst>
            <a:ext uri="{FF2B5EF4-FFF2-40B4-BE49-F238E27FC236}">
              <a16:creationId xmlns:a16="http://schemas.microsoft.com/office/drawing/2014/main" id="{07CDE820-7C3D-4399-8CAC-DBCF3353691C}"/>
            </a:ext>
          </a:extLst>
        </xdr:cNvPr>
        <xdr:cNvSpPr/>
      </xdr:nvSpPr>
      <xdr:spPr>
        <a:xfrm>
          <a:off x="8793480" y="1653540"/>
          <a:ext cx="1165860" cy="464820"/>
        </a:xfrm>
        <a:prstGeom prst="trapezoid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243840</xdr:colOff>
      <xdr:row>12</xdr:row>
      <xdr:rowOff>45720</xdr:rowOff>
    </xdr:from>
    <xdr:to>
      <xdr:col>17</xdr:col>
      <xdr:colOff>220980</xdr:colOff>
      <xdr:row>14</xdr:row>
      <xdr:rowOff>60960</xdr:rowOff>
    </xdr:to>
    <xdr:sp macro="" textlink="">
      <xdr:nvSpPr>
        <xdr:cNvPr id="29" name="Akış Çizelgesi: İşlem 28">
          <a:extLst>
            <a:ext uri="{FF2B5EF4-FFF2-40B4-BE49-F238E27FC236}">
              <a16:creationId xmlns:a16="http://schemas.microsoft.com/office/drawing/2014/main" id="{4C61D7B3-2EB4-418C-861F-96E602A70459}"/>
            </a:ext>
          </a:extLst>
        </xdr:cNvPr>
        <xdr:cNvSpPr/>
      </xdr:nvSpPr>
      <xdr:spPr>
        <a:xfrm>
          <a:off x="8778240" y="2255520"/>
          <a:ext cx="1196340" cy="38100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251460</xdr:colOff>
      <xdr:row>15</xdr:row>
      <xdr:rowOff>38100</xdr:rowOff>
    </xdr:from>
    <xdr:to>
      <xdr:col>17</xdr:col>
      <xdr:colOff>228600</xdr:colOff>
      <xdr:row>17</xdr:row>
      <xdr:rowOff>99060</xdr:rowOff>
    </xdr:to>
    <xdr:sp macro="" textlink="">
      <xdr:nvSpPr>
        <xdr:cNvPr id="30" name="Akış Çizelgesi: İşlem 29">
          <a:extLst>
            <a:ext uri="{FF2B5EF4-FFF2-40B4-BE49-F238E27FC236}">
              <a16:creationId xmlns:a16="http://schemas.microsoft.com/office/drawing/2014/main" id="{26688799-AFA6-4DD1-92CA-33E3733217EF}"/>
            </a:ext>
          </a:extLst>
        </xdr:cNvPr>
        <xdr:cNvSpPr/>
      </xdr:nvSpPr>
      <xdr:spPr>
        <a:xfrm>
          <a:off x="8785860" y="2796540"/>
          <a:ext cx="1196340" cy="42672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251460</xdr:colOff>
      <xdr:row>18</xdr:row>
      <xdr:rowOff>99060</xdr:rowOff>
    </xdr:from>
    <xdr:to>
      <xdr:col>17</xdr:col>
      <xdr:colOff>228600</xdr:colOff>
      <xdr:row>20</xdr:row>
      <xdr:rowOff>160020</xdr:rowOff>
    </xdr:to>
    <xdr:sp macro="" textlink="">
      <xdr:nvSpPr>
        <xdr:cNvPr id="31" name="Akış Çizelgesi: İşlem 30">
          <a:extLst>
            <a:ext uri="{FF2B5EF4-FFF2-40B4-BE49-F238E27FC236}">
              <a16:creationId xmlns:a16="http://schemas.microsoft.com/office/drawing/2014/main" id="{2B722CFF-290A-4811-8DAD-7D6D953969C1}"/>
            </a:ext>
          </a:extLst>
        </xdr:cNvPr>
        <xdr:cNvSpPr/>
      </xdr:nvSpPr>
      <xdr:spPr>
        <a:xfrm>
          <a:off x="8785860" y="3406140"/>
          <a:ext cx="1196340" cy="426720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6</xdr:col>
      <xdr:colOff>413620</xdr:colOff>
      <xdr:row>22</xdr:row>
      <xdr:rowOff>120544</xdr:rowOff>
    </xdr:from>
    <xdr:to>
      <xdr:col>8</xdr:col>
      <xdr:colOff>530250</xdr:colOff>
      <xdr:row>23</xdr:row>
      <xdr:rowOff>83987</xdr:rowOff>
    </xdr:to>
    <xdr:sp macro="" textlink="">
      <xdr:nvSpPr>
        <xdr:cNvPr id="41" name="Dikdörtgen 40">
          <a:extLst>
            <a:ext uri="{FF2B5EF4-FFF2-40B4-BE49-F238E27FC236}">
              <a16:creationId xmlns:a16="http://schemas.microsoft.com/office/drawing/2014/main" id="{8ED93553-08C8-4831-BE1B-F604463172AE}"/>
            </a:ext>
          </a:extLst>
        </xdr:cNvPr>
        <xdr:cNvSpPr/>
      </xdr:nvSpPr>
      <xdr:spPr>
        <a:xfrm rot="202644">
          <a:off x="3461620" y="4159144"/>
          <a:ext cx="1335830" cy="146323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8</xdr:col>
      <xdr:colOff>604120</xdr:colOff>
      <xdr:row>23</xdr:row>
      <xdr:rowOff>29103</xdr:rowOff>
    </xdr:from>
    <xdr:to>
      <xdr:col>11</xdr:col>
      <xdr:colOff>111150</xdr:colOff>
      <xdr:row>23</xdr:row>
      <xdr:rowOff>175426</xdr:rowOff>
    </xdr:to>
    <xdr:sp macro="" textlink="">
      <xdr:nvSpPr>
        <xdr:cNvPr id="42" name="Dikdörtgen 41">
          <a:extLst>
            <a:ext uri="{FF2B5EF4-FFF2-40B4-BE49-F238E27FC236}">
              <a16:creationId xmlns:a16="http://schemas.microsoft.com/office/drawing/2014/main" id="{DF00B831-0C53-4C87-A4BF-DEB96D6B6953}"/>
            </a:ext>
          </a:extLst>
        </xdr:cNvPr>
        <xdr:cNvSpPr/>
      </xdr:nvSpPr>
      <xdr:spPr>
        <a:xfrm rot="202644">
          <a:off x="4871320" y="4250583"/>
          <a:ext cx="1335830" cy="146323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11</xdr:col>
      <xdr:colOff>169781</xdr:colOff>
      <xdr:row>23</xdr:row>
      <xdr:rowOff>112923</xdr:rowOff>
    </xdr:from>
    <xdr:to>
      <xdr:col>13</xdr:col>
      <xdr:colOff>286411</xdr:colOff>
      <xdr:row>24</xdr:row>
      <xdr:rowOff>76366</xdr:rowOff>
    </xdr:to>
    <xdr:sp macro="" textlink="">
      <xdr:nvSpPr>
        <xdr:cNvPr id="43" name="Dikdörtgen 42">
          <a:extLst>
            <a:ext uri="{FF2B5EF4-FFF2-40B4-BE49-F238E27FC236}">
              <a16:creationId xmlns:a16="http://schemas.microsoft.com/office/drawing/2014/main" id="{E28005B7-41DD-48BB-AEF1-99CB6251A618}"/>
            </a:ext>
          </a:extLst>
        </xdr:cNvPr>
        <xdr:cNvSpPr/>
      </xdr:nvSpPr>
      <xdr:spPr>
        <a:xfrm rot="202644">
          <a:off x="6265781" y="4334403"/>
          <a:ext cx="1335830" cy="146323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</xdr:col>
      <xdr:colOff>106680</xdr:colOff>
      <xdr:row>4</xdr:row>
      <xdr:rowOff>129540</xdr:rowOff>
    </xdr:from>
    <xdr:to>
      <xdr:col>2</xdr:col>
      <xdr:colOff>121920</xdr:colOff>
      <xdr:row>24</xdr:row>
      <xdr:rowOff>15240</xdr:rowOff>
    </xdr:to>
    <xdr:cxnSp macro="">
      <xdr:nvCxnSpPr>
        <xdr:cNvPr id="46" name="Düz Ok Bağlayıcısı 45">
          <a:extLst>
            <a:ext uri="{FF2B5EF4-FFF2-40B4-BE49-F238E27FC236}">
              <a16:creationId xmlns:a16="http://schemas.microsoft.com/office/drawing/2014/main" id="{CBECD0AA-521D-F572-2AA4-317976EA66E8}"/>
            </a:ext>
          </a:extLst>
        </xdr:cNvPr>
        <xdr:cNvCxnSpPr/>
      </xdr:nvCxnSpPr>
      <xdr:spPr>
        <a:xfrm flipH="1" flipV="1">
          <a:off x="1371600" y="861060"/>
          <a:ext cx="15240" cy="3558540"/>
        </a:xfrm>
        <a:prstGeom prst="straightConnector1">
          <a:avLst/>
        </a:prstGeom>
        <a:ln>
          <a:headEnd type="arrow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365760</xdr:colOff>
      <xdr:row>5</xdr:row>
      <xdr:rowOff>152400</xdr:rowOff>
    </xdr:from>
    <xdr:to>
      <xdr:col>21</xdr:col>
      <xdr:colOff>381000</xdr:colOff>
      <xdr:row>26</xdr:row>
      <xdr:rowOff>38100</xdr:rowOff>
    </xdr:to>
    <xdr:cxnSp macro="">
      <xdr:nvCxnSpPr>
        <xdr:cNvPr id="50" name="Düz Ok Bağlayıcısı 49">
          <a:extLst>
            <a:ext uri="{FF2B5EF4-FFF2-40B4-BE49-F238E27FC236}">
              <a16:creationId xmlns:a16="http://schemas.microsoft.com/office/drawing/2014/main" id="{92E1DEF1-6A71-4A82-A45E-E07A33DCF8D0}"/>
            </a:ext>
          </a:extLst>
        </xdr:cNvPr>
        <xdr:cNvCxnSpPr/>
      </xdr:nvCxnSpPr>
      <xdr:spPr>
        <a:xfrm flipH="1" flipV="1">
          <a:off x="12641580" y="1066800"/>
          <a:ext cx="15240" cy="3558540"/>
        </a:xfrm>
        <a:prstGeom prst="straightConnector1">
          <a:avLst/>
        </a:prstGeom>
        <a:ln>
          <a:headEnd type="arrow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251113</xdr:colOff>
      <xdr:row>22</xdr:row>
      <xdr:rowOff>1</xdr:rowOff>
    </xdr:from>
    <xdr:to>
      <xdr:col>17</xdr:col>
      <xdr:colOff>258733</xdr:colOff>
      <xdr:row>25</xdr:row>
      <xdr:rowOff>121921</xdr:rowOff>
    </xdr:to>
    <xdr:sp macro="" textlink="">
      <xdr:nvSpPr>
        <xdr:cNvPr id="51" name="Akış Çizelgesi: İşlem 50">
          <a:extLst>
            <a:ext uri="{FF2B5EF4-FFF2-40B4-BE49-F238E27FC236}">
              <a16:creationId xmlns:a16="http://schemas.microsoft.com/office/drawing/2014/main" id="{240FA9D4-649D-408F-AB25-CC1BD88189B0}"/>
            </a:ext>
          </a:extLst>
        </xdr:cNvPr>
        <xdr:cNvSpPr/>
      </xdr:nvSpPr>
      <xdr:spPr>
        <a:xfrm>
          <a:off x="9092045" y="4017819"/>
          <a:ext cx="1219893" cy="667443"/>
        </a:xfrm>
        <a:prstGeom prst="flowChartProcess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13</xdr:col>
      <xdr:colOff>381001</xdr:colOff>
      <xdr:row>24</xdr:row>
      <xdr:rowOff>17319</xdr:rowOff>
    </xdr:from>
    <xdr:to>
      <xdr:col>15</xdr:col>
      <xdr:colOff>497631</xdr:colOff>
      <xdr:row>24</xdr:row>
      <xdr:rowOff>163642</xdr:rowOff>
    </xdr:to>
    <xdr:sp macro="" textlink="">
      <xdr:nvSpPr>
        <xdr:cNvPr id="52" name="Dikdörtgen 51">
          <a:extLst>
            <a:ext uri="{FF2B5EF4-FFF2-40B4-BE49-F238E27FC236}">
              <a16:creationId xmlns:a16="http://schemas.microsoft.com/office/drawing/2014/main" id="{7CD13240-9517-4A10-88B3-4A6131CBDC38}"/>
            </a:ext>
          </a:extLst>
        </xdr:cNvPr>
        <xdr:cNvSpPr/>
      </xdr:nvSpPr>
      <xdr:spPr>
        <a:xfrm rot="202644">
          <a:off x="8009660" y="4398819"/>
          <a:ext cx="1328903" cy="146323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21</xdr:col>
      <xdr:colOff>50131</xdr:colOff>
      <xdr:row>31</xdr:row>
      <xdr:rowOff>189643</xdr:rowOff>
    </xdr:from>
    <xdr:to>
      <xdr:col>23</xdr:col>
      <xdr:colOff>200527</xdr:colOff>
      <xdr:row>35</xdr:row>
      <xdr:rowOff>159282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9B9EA9-235A-4D83-B02A-8342113A5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1868" y="6606485"/>
          <a:ext cx="992606" cy="731639"/>
        </a:xfrm>
        <a:prstGeom prst="rect">
          <a:avLst/>
        </a:prstGeom>
      </xdr:spPr>
    </xdr:pic>
    <xdr:clientData/>
  </xdr:twoCellAnchor>
  <xdr:twoCellAnchor editAs="oneCell">
    <xdr:from>
      <xdr:col>11</xdr:col>
      <xdr:colOff>551447</xdr:colOff>
      <xdr:row>1</xdr:row>
      <xdr:rowOff>130342</xdr:rowOff>
    </xdr:from>
    <xdr:to>
      <xdr:col>13</xdr:col>
      <xdr:colOff>188792</xdr:colOff>
      <xdr:row>3</xdr:row>
      <xdr:rowOff>173413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9C93F-7EB7-4127-88E3-B94214C8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8158" y="320842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12</xdr:col>
      <xdr:colOff>220579</xdr:colOff>
      <xdr:row>1</xdr:row>
      <xdr:rowOff>441158</xdr:rowOff>
    </xdr:from>
    <xdr:to>
      <xdr:col>12</xdr:col>
      <xdr:colOff>555966</xdr:colOff>
      <xdr:row>1</xdr:row>
      <xdr:rowOff>578440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D9E86F86-E6BE-4074-89C8-7320D01CF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8842" y="631658"/>
          <a:ext cx="335387" cy="137282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40967</xdr:colOff>
      <xdr:row>26</xdr:row>
      <xdr:rowOff>53505</xdr:rowOff>
    </xdr:from>
    <xdr:to>
      <xdr:col>22</xdr:col>
      <xdr:colOff>256048</xdr:colOff>
      <xdr:row>29</xdr:row>
      <xdr:rowOff>164243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9A87E-9E71-4112-A4A9-CC6C9221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13790" y="5430521"/>
          <a:ext cx="942258" cy="694528"/>
        </a:xfrm>
        <a:prstGeom prst="rect">
          <a:avLst/>
        </a:prstGeom>
      </xdr:spPr>
    </xdr:pic>
    <xdr:clientData/>
  </xdr:twoCellAnchor>
  <xdr:twoCellAnchor editAs="oneCell">
    <xdr:from>
      <xdr:col>6</xdr:col>
      <xdr:colOff>256048</xdr:colOff>
      <xdr:row>2</xdr:row>
      <xdr:rowOff>0</xdr:rowOff>
    </xdr:from>
    <xdr:to>
      <xdr:col>6</xdr:col>
      <xdr:colOff>1076498</xdr:colOff>
      <xdr:row>5</xdr:row>
      <xdr:rowOff>56546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F97349-AC90-4B71-AEFB-018852FDC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50403" y="399435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6</xdr:col>
      <xdr:colOff>512097</xdr:colOff>
      <xdr:row>2</xdr:row>
      <xdr:rowOff>327743</xdr:rowOff>
    </xdr:from>
    <xdr:to>
      <xdr:col>6</xdr:col>
      <xdr:colOff>847484</xdr:colOff>
      <xdr:row>3</xdr:row>
      <xdr:rowOff>127041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A6BEB077-B79A-42D4-834B-12836820E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6452" y="727178"/>
          <a:ext cx="335387" cy="137282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59375</xdr:colOff>
      <xdr:row>40</xdr:row>
      <xdr:rowOff>69272</xdr:rowOff>
    </xdr:from>
    <xdr:to>
      <xdr:col>12</xdr:col>
      <xdr:colOff>397963</xdr:colOff>
      <xdr:row>44</xdr:row>
      <xdr:rowOff>23746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D69EE9-D722-4A7B-92CA-34A540B62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6544" y="8332519"/>
          <a:ext cx="962042" cy="676889"/>
        </a:xfrm>
        <a:prstGeom prst="rect">
          <a:avLst/>
        </a:prstGeom>
      </xdr:spPr>
    </xdr:pic>
    <xdr:clientData/>
  </xdr:twoCellAnchor>
  <xdr:twoCellAnchor editAs="oneCell">
    <xdr:from>
      <xdr:col>29</xdr:col>
      <xdr:colOff>160813</xdr:colOff>
      <xdr:row>2</xdr:row>
      <xdr:rowOff>74221</xdr:rowOff>
    </xdr:from>
    <xdr:to>
      <xdr:col>30</xdr:col>
      <xdr:colOff>387741</xdr:colOff>
      <xdr:row>6</xdr:row>
      <xdr:rowOff>123701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30C083-A032-4BEC-A7E2-C93DEB38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09871" y="729838"/>
          <a:ext cx="833065" cy="853538"/>
        </a:xfrm>
        <a:prstGeom prst="rect">
          <a:avLst/>
        </a:prstGeom>
      </xdr:spPr>
    </xdr:pic>
    <xdr:clientData/>
  </xdr:twoCellAnchor>
  <xdr:twoCellAnchor editAs="oneCell">
    <xdr:from>
      <xdr:col>29</xdr:col>
      <xdr:colOff>445322</xdr:colOff>
      <xdr:row>4</xdr:row>
      <xdr:rowOff>24740</xdr:rowOff>
    </xdr:from>
    <xdr:to>
      <xdr:col>30</xdr:col>
      <xdr:colOff>148440</xdr:colOff>
      <xdr:row>4</xdr:row>
      <xdr:rowOff>144541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F0AC5FB-D58E-4A81-8275-FF79C6666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94380" y="1039091"/>
          <a:ext cx="309255" cy="119801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361115</xdr:colOff>
      <xdr:row>5</xdr:row>
      <xdr:rowOff>595312</xdr:rowOff>
    </xdr:from>
    <xdr:to>
      <xdr:col>7</xdr:col>
      <xdr:colOff>357187</xdr:colOff>
      <xdr:row>24</xdr:row>
      <xdr:rowOff>78104</xdr:rowOff>
    </xdr:to>
    <xdr:sp macro="" textlink="">
      <xdr:nvSpPr>
        <xdr:cNvPr id="2" name="Dikdörtgen 1">
          <a:extLst>
            <a:ext uri="{FF2B5EF4-FFF2-40B4-BE49-F238E27FC236}">
              <a16:creationId xmlns:a16="http://schemas.microsoft.com/office/drawing/2014/main" id="{6BEBE54B-2C01-49CC-B9B5-8E6230F03814}"/>
            </a:ext>
          </a:extLst>
        </xdr:cNvPr>
        <xdr:cNvSpPr/>
      </xdr:nvSpPr>
      <xdr:spPr>
        <a:xfrm>
          <a:off x="1370765" y="1947862"/>
          <a:ext cx="3044072" cy="5226367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10</xdr:col>
      <xdr:colOff>83219</xdr:colOff>
      <xdr:row>29</xdr:row>
      <xdr:rowOff>138905</xdr:rowOff>
    </xdr:from>
    <xdr:to>
      <xdr:col>12</xdr:col>
      <xdr:colOff>19845</xdr:colOff>
      <xdr:row>39</xdr:row>
      <xdr:rowOff>39875</xdr:rowOff>
    </xdr:to>
    <xdr:sp macro="" textlink="">
      <xdr:nvSpPr>
        <xdr:cNvPr id="3" name="Dikdörtgen 2">
          <a:extLst>
            <a:ext uri="{FF2B5EF4-FFF2-40B4-BE49-F238E27FC236}">
              <a16:creationId xmlns:a16="http://schemas.microsoft.com/office/drawing/2014/main" id="{AF4065EB-4645-4338-962C-0074755C06FD}"/>
            </a:ext>
          </a:extLst>
        </xdr:cNvPr>
        <xdr:cNvSpPr/>
      </xdr:nvSpPr>
      <xdr:spPr>
        <a:xfrm>
          <a:off x="6064919" y="8358980"/>
          <a:ext cx="1251076" cy="257749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107540</xdr:colOff>
      <xdr:row>25</xdr:row>
      <xdr:rowOff>14654</xdr:rowOff>
    </xdr:from>
    <xdr:to>
      <xdr:col>4</xdr:col>
      <xdr:colOff>352011</xdr:colOff>
      <xdr:row>33</xdr:row>
      <xdr:rowOff>124240</xdr:rowOff>
    </xdr:to>
    <xdr:sp macro="" textlink="">
      <xdr:nvSpPr>
        <xdr:cNvPr id="4" name="Dikdörtgen 3">
          <a:extLst>
            <a:ext uri="{FF2B5EF4-FFF2-40B4-BE49-F238E27FC236}">
              <a16:creationId xmlns:a16="http://schemas.microsoft.com/office/drawing/2014/main" id="{2F7DF0A7-A9D1-484C-9461-89CC2AE49D4E}"/>
            </a:ext>
          </a:extLst>
        </xdr:cNvPr>
        <xdr:cNvSpPr/>
      </xdr:nvSpPr>
      <xdr:spPr>
        <a:xfrm>
          <a:off x="2302431" y="7613947"/>
          <a:ext cx="244471" cy="2449423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88370</xdr:colOff>
      <xdr:row>32</xdr:row>
      <xdr:rowOff>1</xdr:rowOff>
    </xdr:from>
    <xdr:to>
      <xdr:col>9</xdr:col>
      <xdr:colOff>396012</xdr:colOff>
      <xdr:row>33</xdr:row>
      <xdr:rowOff>124240</xdr:rowOff>
    </xdr:to>
    <xdr:sp macro="" textlink="">
      <xdr:nvSpPr>
        <xdr:cNvPr id="5" name="Dikdörtgen 4">
          <a:extLst>
            <a:ext uri="{FF2B5EF4-FFF2-40B4-BE49-F238E27FC236}">
              <a16:creationId xmlns:a16="http://schemas.microsoft.com/office/drawing/2014/main" id="{2BB99BB1-FE21-4586-8955-952330597BA6}"/>
            </a:ext>
          </a:extLst>
        </xdr:cNvPr>
        <xdr:cNvSpPr/>
      </xdr:nvSpPr>
      <xdr:spPr>
        <a:xfrm>
          <a:off x="2366087" y="9835599"/>
          <a:ext cx="3413621" cy="310598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263770</xdr:colOff>
      <xdr:row>24</xdr:row>
      <xdr:rowOff>183173</xdr:rowOff>
    </xdr:from>
    <xdr:to>
      <xdr:col>5</xdr:col>
      <xdr:colOff>476249</xdr:colOff>
      <xdr:row>35</xdr:row>
      <xdr:rowOff>95250</xdr:rowOff>
    </xdr:to>
    <xdr:sp macro="" textlink="">
      <xdr:nvSpPr>
        <xdr:cNvPr id="6" name="Dikdörtgen 5">
          <a:extLst>
            <a:ext uri="{FF2B5EF4-FFF2-40B4-BE49-F238E27FC236}">
              <a16:creationId xmlns:a16="http://schemas.microsoft.com/office/drawing/2014/main" id="{E89D0F7A-D401-4CF3-B8D2-38578A43DA82}"/>
            </a:ext>
          </a:extLst>
        </xdr:cNvPr>
        <xdr:cNvSpPr/>
      </xdr:nvSpPr>
      <xdr:spPr>
        <a:xfrm>
          <a:off x="3102220" y="7279298"/>
          <a:ext cx="212479" cy="2683852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</xdr:col>
      <xdr:colOff>15291</xdr:colOff>
      <xdr:row>21</xdr:row>
      <xdr:rowOff>78486</xdr:rowOff>
    </xdr:from>
    <xdr:to>
      <xdr:col>7</xdr:col>
      <xdr:colOff>232087</xdr:colOff>
      <xdr:row>21</xdr:row>
      <xdr:rowOff>309736</xdr:rowOff>
    </xdr:to>
    <xdr:sp macro="" textlink="">
      <xdr:nvSpPr>
        <xdr:cNvPr id="7" name="Dikdörtgen 6">
          <a:extLst>
            <a:ext uri="{FF2B5EF4-FFF2-40B4-BE49-F238E27FC236}">
              <a16:creationId xmlns:a16="http://schemas.microsoft.com/office/drawing/2014/main" id="{6DDD466F-3F83-43C0-984F-9738BA81DE40}"/>
            </a:ext>
          </a:extLst>
        </xdr:cNvPr>
        <xdr:cNvSpPr/>
      </xdr:nvSpPr>
      <xdr:spPr>
        <a:xfrm>
          <a:off x="1609693" y="6642453"/>
          <a:ext cx="2618753" cy="23125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277812</xdr:colOff>
      <xdr:row>32</xdr:row>
      <xdr:rowOff>0</xdr:rowOff>
    </xdr:from>
    <xdr:to>
      <xdr:col>17</xdr:col>
      <xdr:colOff>21980</xdr:colOff>
      <xdr:row>33</xdr:row>
      <xdr:rowOff>85727</xdr:rowOff>
    </xdr:to>
    <xdr:sp macro="" textlink="">
      <xdr:nvSpPr>
        <xdr:cNvPr id="8" name="Dikdörtgen 7">
          <a:extLst>
            <a:ext uri="{FF2B5EF4-FFF2-40B4-BE49-F238E27FC236}">
              <a16:creationId xmlns:a16="http://schemas.microsoft.com/office/drawing/2014/main" id="{8E8D0773-6BD5-4706-B150-B982E6A7EED7}"/>
            </a:ext>
          </a:extLst>
        </xdr:cNvPr>
        <xdr:cNvSpPr/>
      </xdr:nvSpPr>
      <xdr:spPr>
        <a:xfrm>
          <a:off x="7573962" y="9296400"/>
          <a:ext cx="2687393" cy="276227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277812</xdr:colOff>
      <xdr:row>34</xdr:row>
      <xdr:rowOff>178594</xdr:rowOff>
    </xdr:from>
    <xdr:to>
      <xdr:col>17</xdr:col>
      <xdr:colOff>22336</xdr:colOff>
      <xdr:row>36</xdr:row>
      <xdr:rowOff>79375</xdr:rowOff>
    </xdr:to>
    <xdr:sp macro="" textlink="">
      <xdr:nvSpPr>
        <xdr:cNvPr id="9" name="Dikdörtgen 8">
          <a:extLst>
            <a:ext uri="{FF2B5EF4-FFF2-40B4-BE49-F238E27FC236}">
              <a16:creationId xmlns:a16="http://schemas.microsoft.com/office/drawing/2014/main" id="{10FE0376-10F8-40FB-BE1F-3359F11231B1}"/>
            </a:ext>
          </a:extLst>
        </xdr:cNvPr>
        <xdr:cNvSpPr/>
      </xdr:nvSpPr>
      <xdr:spPr>
        <a:xfrm>
          <a:off x="7573962" y="9855994"/>
          <a:ext cx="2687749" cy="281781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541538</xdr:colOff>
      <xdr:row>15</xdr:row>
      <xdr:rowOff>13477</xdr:rowOff>
    </xdr:from>
    <xdr:to>
      <xdr:col>18</xdr:col>
      <xdr:colOff>110558</xdr:colOff>
      <xdr:row>25</xdr:row>
      <xdr:rowOff>35458</xdr:rowOff>
    </xdr:to>
    <xdr:sp macro="" textlink="">
      <xdr:nvSpPr>
        <xdr:cNvPr id="10" name="Dikdörtgen 9">
          <a:extLst>
            <a:ext uri="{FF2B5EF4-FFF2-40B4-BE49-F238E27FC236}">
              <a16:creationId xmlns:a16="http://schemas.microsoft.com/office/drawing/2014/main" id="{EEBAC615-BD4E-4754-A652-85C6DB6C8196}"/>
            </a:ext>
          </a:extLst>
        </xdr:cNvPr>
        <xdr:cNvSpPr/>
      </xdr:nvSpPr>
      <xdr:spPr>
        <a:xfrm>
          <a:off x="1078091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400881</xdr:colOff>
      <xdr:row>25</xdr:row>
      <xdr:rowOff>125587</xdr:rowOff>
    </xdr:from>
    <xdr:to>
      <xdr:col>18</xdr:col>
      <xdr:colOff>244294</xdr:colOff>
      <xdr:row>27</xdr:row>
      <xdr:rowOff>31056</xdr:rowOff>
    </xdr:to>
    <xdr:sp macro="" textlink="">
      <xdr:nvSpPr>
        <xdr:cNvPr id="11" name="Akış Çizelgesi: Bağlayıcı 10">
          <a:extLst>
            <a:ext uri="{FF2B5EF4-FFF2-40B4-BE49-F238E27FC236}">
              <a16:creationId xmlns:a16="http://schemas.microsoft.com/office/drawing/2014/main" id="{B23A2466-9D5A-4436-A40C-D82ACF51C007}"/>
            </a:ext>
          </a:extLst>
        </xdr:cNvPr>
        <xdr:cNvSpPr/>
      </xdr:nvSpPr>
      <xdr:spPr>
        <a:xfrm>
          <a:off x="1064025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400881</xdr:colOff>
      <xdr:row>25</xdr:row>
      <xdr:rowOff>125587</xdr:rowOff>
    </xdr:from>
    <xdr:to>
      <xdr:col>18</xdr:col>
      <xdr:colOff>17069</xdr:colOff>
      <xdr:row>26</xdr:row>
      <xdr:rowOff>163688</xdr:rowOff>
    </xdr:to>
    <xdr:cxnSp macro="">
      <xdr:nvCxnSpPr>
        <xdr:cNvPr id="12" name="Düz Bağlayıcı 11">
          <a:extLst>
            <a:ext uri="{FF2B5EF4-FFF2-40B4-BE49-F238E27FC236}">
              <a16:creationId xmlns:a16="http://schemas.microsoft.com/office/drawing/2014/main" id="{7BB41AA5-D29B-4F19-A719-90F3992EA55D}"/>
            </a:ext>
          </a:extLst>
        </xdr:cNvPr>
        <xdr:cNvCxnSpPr>
          <a:stCxn id="11" idx="2"/>
          <a:endCxn id="11" idx="0"/>
        </xdr:cNvCxnSpPr>
      </xdr:nvCxnSpPr>
      <xdr:spPr>
        <a:xfrm flipV="1">
          <a:off x="1064025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17069</xdr:colOff>
      <xdr:row>25</xdr:row>
      <xdr:rowOff>125587</xdr:rowOff>
    </xdr:from>
    <xdr:to>
      <xdr:col>18</xdr:col>
      <xdr:colOff>244294</xdr:colOff>
      <xdr:row>26</xdr:row>
      <xdr:rowOff>163688</xdr:rowOff>
    </xdr:to>
    <xdr:cxnSp macro="">
      <xdr:nvCxnSpPr>
        <xdr:cNvPr id="13" name="Düz Bağlayıcı 12">
          <a:extLst>
            <a:ext uri="{FF2B5EF4-FFF2-40B4-BE49-F238E27FC236}">
              <a16:creationId xmlns:a16="http://schemas.microsoft.com/office/drawing/2014/main" id="{E897F368-1913-4771-89DB-2328CC4E8CD1}"/>
            </a:ext>
          </a:extLst>
        </xdr:cNvPr>
        <xdr:cNvCxnSpPr>
          <a:stCxn id="11" idx="0"/>
          <a:endCxn id="11" idx="6"/>
        </xdr:cNvCxnSpPr>
      </xdr:nvCxnSpPr>
      <xdr:spPr>
        <a:xfrm>
          <a:off x="1086604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182190</xdr:colOff>
      <xdr:row>31</xdr:row>
      <xdr:rowOff>132207</xdr:rowOff>
    </xdr:from>
    <xdr:to>
      <xdr:col>51</xdr:col>
      <xdr:colOff>0</xdr:colOff>
      <xdr:row>33</xdr:row>
      <xdr:rowOff>138266</xdr:rowOff>
    </xdr:to>
    <xdr:sp macro="" textlink="">
      <xdr:nvSpPr>
        <xdr:cNvPr id="14" name="Dikdörtgen 13">
          <a:extLst>
            <a:ext uri="{FF2B5EF4-FFF2-40B4-BE49-F238E27FC236}">
              <a16:creationId xmlns:a16="http://schemas.microsoft.com/office/drawing/2014/main" id="{240974E7-1786-4CDC-AF48-467DEBBFB869}"/>
            </a:ext>
          </a:extLst>
        </xdr:cNvPr>
        <xdr:cNvSpPr/>
      </xdr:nvSpPr>
      <xdr:spPr>
        <a:xfrm>
          <a:off x="10421565" y="9238107"/>
          <a:ext cx="20696610" cy="387059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153629</xdr:colOff>
      <xdr:row>34</xdr:row>
      <xdr:rowOff>120740</xdr:rowOff>
    </xdr:from>
    <xdr:to>
      <xdr:col>51</xdr:col>
      <xdr:colOff>0</xdr:colOff>
      <xdr:row>36</xdr:row>
      <xdr:rowOff>92178</xdr:rowOff>
    </xdr:to>
    <xdr:sp macro="" textlink="">
      <xdr:nvSpPr>
        <xdr:cNvPr id="15" name="Dikdörtgen 14">
          <a:extLst>
            <a:ext uri="{FF2B5EF4-FFF2-40B4-BE49-F238E27FC236}">
              <a16:creationId xmlns:a16="http://schemas.microsoft.com/office/drawing/2014/main" id="{54735F80-AF37-4FAD-8559-5EB79DBF5D85}"/>
            </a:ext>
          </a:extLst>
        </xdr:cNvPr>
        <xdr:cNvSpPr/>
      </xdr:nvSpPr>
      <xdr:spPr>
        <a:xfrm>
          <a:off x="10393004" y="9798140"/>
          <a:ext cx="20725171" cy="352438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532063</xdr:colOff>
      <xdr:row>27</xdr:row>
      <xdr:rowOff>188450</xdr:rowOff>
    </xdr:from>
    <xdr:to>
      <xdr:col>18</xdr:col>
      <xdr:colOff>96331</xdr:colOff>
      <xdr:row>32</xdr:row>
      <xdr:rowOff>91071</xdr:rowOff>
    </xdr:to>
    <xdr:sp macro="" textlink="">
      <xdr:nvSpPr>
        <xdr:cNvPr id="16" name="Dikdörtgen 15">
          <a:extLst>
            <a:ext uri="{FF2B5EF4-FFF2-40B4-BE49-F238E27FC236}">
              <a16:creationId xmlns:a16="http://schemas.microsoft.com/office/drawing/2014/main" id="{E656B1FA-8FCA-482A-94B5-B64F5D64F803}"/>
            </a:ext>
          </a:extLst>
        </xdr:cNvPr>
        <xdr:cNvSpPr/>
      </xdr:nvSpPr>
      <xdr:spPr>
        <a:xfrm>
          <a:off x="1077143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18</xdr:col>
      <xdr:colOff>475580</xdr:colOff>
      <xdr:row>14</xdr:row>
      <xdr:rowOff>402464</xdr:rowOff>
    </xdr:from>
    <xdr:to>
      <xdr:col>19</xdr:col>
      <xdr:colOff>174401</xdr:colOff>
      <xdr:row>35</xdr:row>
      <xdr:rowOff>85043</xdr:rowOff>
    </xdr:to>
    <xdr:sp macro="" textlink="">
      <xdr:nvSpPr>
        <xdr:cNvPr id="17" name="Dikdörtgen 16">
          <a:extLst>
            <a:ext uri="{FF2B5EF4-FFF2-40B4-BE49-F238E27FC236}">
              <a16:creationId xmlns:a16="http://schemas.microsoft.com/office/drawing/2014/main" id="{71850994-7EC4-4561-884C-F16BA6C25AE0}"/>
            </a:ext>
          </a:extLst>
        </xdr:cNvPr>
        <xdr:cNvSpPr/>
      </xdr:nvSpPr>
      <xdr:spPr>
        <a:xfrm>
          <a:off x="1132455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22</xdr:col>
      <xdr:colOff>541538</xdr:colOff>
      <xdr:row>15</xdr:row>
      <xdr:rowOff>13477</xdr:rowOff>
    </xdr:from>
    <xdr:to>
      <xdr:col>23</xdr:col>
      <xdr:colOff>110558</xdr:colOff>
      <xdr:row>25</xdr:row>
      <xdr:rowOff>35458</xdr:rowOff>
    </xdr:to>
    <xdr:sp macro="" textlink="">
      <xdr:nvSpPr>
        <xdr:cNvPr id="18" name="Dikdörtgen 17">
          <a:extLst>
            <a:ext uri="{FF2B5EF4-FFF2-40B4-BE49-F238E27FC236}">
              <a16:creationId xmlns:a16="http://schemas.microsoft.com/office/drawing/2014/main" id="{09928A83-0D88-4674-9151-424D48B47CC0}"/>
            </a:ext>
          </a:extLst>
        </xdr:cNvPr>
        <xdr:cNvSpPr/>
      </xdr:nvSpPr>
      <xdr:spPr>
        <a:xfrm>
          <a:off x="1392416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22</xdr:col>
      <xdr:colOff>400881</xdr:colOff>
      <xdr:row>25</xdr:row>
      <xdr:rowOff>125587</xdr:rowOff>
    </xdr:from>
    <xdr:to>
      <xdr:col>23</xdr:col>
      <xdr:colOff>244294</xdr:colOff>
      <xdr:row>27</xdr:row>
      <xdr:rowOff>31056</xdr:rowOff>
    </xdr:to>
    <xdr:sp macro="" textlink="">
      <xdr:nvSpPr>
        <xdr:cNvPr id="19" name="Akış Çizelgesi: Bağlayıcı 18">
          <a:extLst>
            <a:ext uri="{FF2B5EF4-FFF2-40B4-BE49-F238E27FC236}">
              <a16:creationId xmlns:a16="http://schemas.microsoft.com/office/drawing/2014/main" id="{0EA31710-1349-4FBA-ADF7-3F1766682BCC}"/>
            </a:ext>
          </a:extLst>
        </xdr:cNvPr>
        <xdr:cNvSpPr/>
      </xdr:nvSpPr>
      <xdr:spPr>
        <a:xfrm>
          <a:off x="1378350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22</xdr:col>
      <xdr:colOff>400881</xdr:colOff>
      <xdr:row>25</xdr:row>
      <xdr:rowOff>125587</xdr:rowOff>
    </xdr:from>
    <xdr:to>
      <xdr:col>23</xdr:col>
      <xdr:colOff>17069</xdr:colOff>
      <xdr:row>26</xdr:row>
      <xdr:rowOff>163688</xdr:rowOff>
    </xdr:to>
    <xdr:cxnSp macro="">
      <xdr:nvCxnSpPr>
        <xdr:cNvPr id="20" name="Düz Bağlayıcı 19">
          <a:extLst>
            <a:ext uri="{FF2B5EF4-FFF2-40B4-BE49-F238E27FC236}">
              <a16:creationId xmlns:a16="http://schemas.microsoft.com/office/drawing/2014/main" id="{7F572BD4-812E-401B-9904-57F723ABBC38}"/>
            </a:ext>
          </a:extLst>
        </xdr:cNvPr>
        <xdr:cNvCxnSpPr>
          <a:stCxn id="19" idx="2"/>
          <a:endCxn id="19" idx="0"/>
        </xdr:cNvCxnSpPr>
      </xdr:nvCxnSpPr>
      <xdr:spPr>
        <a:xfrm flipV="1">
          <a:off x="1378350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17069</xdr:colOff>
      <xdr:row>25</xdr:row>
      <xdr:rowOff>125587</xdr:rowOff>
    </xdr:from>
    <xdr:to>
      <xdr:col>23</xdr:col>
      <xdr:colOff>244294</xdr:colOff>
      <xdr:row>26</xdr:row>
      <xdr:rowOff>163688</xdr:rowOff>
    </xdr:to>
    <xdr:cxnSp macro="">
      <xdr:nvCxnSpPr>
        <xdr:cNvPr id="21" name="Düz Bağlayıcı 20">
          <a:extLst>
            <a:ext uri="{FF2B5EF4-FFF2-40B4-BE49-F238E27FC236}">
              <a16:creationId xmlns:a16="http://schemas.microsoft.com/office/drawing/2014/main" id="{A0CA768F-C5B5-4CB4-B4AD-E332A10B8CBF}"/>
            </a:ext>
          </a:extLst>
        </xdr:cNvPr>
        <xdr:cNvCxnSpPr>
          <a:stCxn id="19" idx="0"/>
          <a:endCxn id="19" idx="6"/>
        </xdr:cNvCxnSpPr>
      </xdr:nvCxnSpPr>
      <xdr:spPr>
        <a:xfrm>
          <a:off x="1400929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532063</xdr:colOff>
      <xdr:row>27</xdr:row>
      <xdr:rowOff>188450</xdr:rowOff>
    </xdr:from>
    <xdr:to>
      <xdr:col>23</xdr:col>
      <xdr:colOff>96331</xdr:colOff>
      <xdr:row>32</xdr:row>
      <xdr:rowOff>91071</xdr:rowOff>
    </xdr:to>
    <xdr:sp macro="" textlink="">
      <xdr:nvSpPr>
        <xdr:cNvPr id="22" name="Dikdörtgen 21">
          <a:extLst>
            <a:ext uri="{FF2B5EF4-FFF2-40B4-BE49-F238E27FC236}">
              <a16:creationId xmlns:a16="http://schemas.microsoft.com/office/drawing/2014/main" id="{55A41997-C318-4082-AE27-08C4BB893D52}"/>
            </a:ext>
          </a:extLst>
        </xdr:cNvPr>
        <xdr:cNvSpPr/>
      </xdr:nvSpPr>
      <xdr:spPr>
        <a:xfrm>
          <a:off x="1391468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23</xdr:col>
      <xdr:colOff>475580</xdr:colOff>
      <xdr:row>14</xdr:row>
      <xdr:rowOff>402464</xdr:rowOff>
    </xdr:from>
    <xdr:to>
      <xdr:col>24</xdr:col>
      <xdr:colOff>174401</xdr:colOff>
      <xdr:row>35</xdr:row>
      <xdr:rowOff>85043</xdr:rowOff>
    </xdr:to>
    <xdr:sp macro="" textlink="">
      <xdr:nvSpPr>
        <xdr:cNvPr id="23" name="Dikdörtgen 22">
          <a:extLst>
            <a:ext uri="{FF2B5EF4-FFF2-40B4-BE49-F238E27FC236}">
              <a16:creationId xmlns:a16="http://schemas.microsoft.com/office/drawing/2014/main" id="{F27CFFFA-C32D-4FE7-A4C8-1175E9B75509}"/>
            </a:ext>
          </a:extLst>
        </xdr:cNvPr>
        <xdr:cNvSpPr/>
      </xdr:nvSpPr>
      <xdr:spPr>
        <a:xfrm>
          <a:off x="1446780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27</xdr:col>
      <xdr:colOff>541538</xdr:colOff>
      <xdr:row>15</xdr:row>
      <xdr:rowOff>13477</xdr:rowOff>
    </xdr:from>
    <xdr:to>
      <xdr:col>28</xdr:col>
      <xdr:colOff>110558</xdr:colOff>
      <xdr:row>25</xdr:row>
      <xdr:rowOff>35458</xdr:rowOff>
    </xdr:to>
    <xdr:sp macro="" textlink="">
      <xdr:nvSpPr>
        <xdr:cNvPr id="24" name="Dikdörtgen 23">
          <a:extLst>
            <a:ext uri="{FF2B5EF4-FFF2-40B4-BE49-F238E27FC236}">
              <a16:creationId xmlns:a16="http://schemas.microsoft.com/office/drawing/2014/main" id="{9BA03179-3BA7-4B22-92B4-66F1890AC281}"/>
            </a:ext>
          </a:extLst>
        </xdr:cNvPr>
        <xdr:cNvSpPr/>
      </xdr:nvSpPr>
      <xdr:spPr>
        <a:xfrm>
          <a:off x="1691501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27</xdr:col>
      <xdr:colOff>400881</xdr:colOff>
      <xdr:row>25</xdr:row>
      <xdr:rowOff>125587</xdr:rowOff>
    </xdr:from>
    <xdr:to>
      <xdr:col>28</xdr:col>
      <xdr:colOff>244294</xdr:colOff>
      <xdr:row>27</xdr:row>
      <xdr:rowOff>31056</xdr:rowOff>
    </xdr:to>
    <xdr:sp macro="" textlink="">
      <xdr:nvSpPr>
        <xdr:cNvPr id="25" name="Akış Çizelgesi: Bağlayıcı 24">
          <a:extLst>
            <a:ext uri="{FF2B5EF4-FFF2-40B4-BE49-F238E27FC236}">
              <a16:creationId xmlns:a16="http://schemas.microsoft.com/office/drawing/2014/main" id="{1137B5FF-0C7C-4149-8A16-539FF793E639}"/>
            </a:ext>
          </a:extLst>
        </xdr:cNvPr>
        <xdr:cNvSpPr/>
      </xdr:nvSpPr>
      <xdr:spPr>
        <a:xfrm>
          <a:off x="1677435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27</xdr:col>
      <xdr:colOff>400881</xdr:colOff>
      <xdr:row>25</xdr:row>
      <xdr:rowOff>125587</xdr:rowOff>
    </xdr:from>
    <xdr:to>
      <xdr:col>28</xdr:col>
      <xdr:colOff>17069</xdr:colOff>
      <xdr:row>26</xdr:row>
      <xdr:rowOff>163688</xdr:rowOff>
    </xdr:to>
    <xdr:cxnSp macro="">
      <xdr:nvCxnSpPr>
        <xdr:cNvPr id="26" name="Düz Bağlayıcı 25">
          <a:extLst>
            <a:ext uri="{FF2B5EF4-FFF2-40B4-BE49-F238E27FC236}">
              <a16:creationId xmlns:a16="http://schemas.microsoft.com/office/drawing/2014/main" id="{F3EC425A-B1E5-4624-9A6C-BDF52B966FDE}"/>
            </a:ext>
          </a:extLst>
        </xdr:cNvPr>
        <xdr:cNvCxnSpPr>
          <a:stCxn id="25" idx="2"/>
          <a:endCxn id="25" idx="0"/>
        </xdr:cNvCxnSpPr>
      </xdr:nvCxnSpPr>
      <xdr:spPr>
        <a:xfrm flipV="1">
          <a:off x="1677435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17069</xdr:colOff>
      <xdr:row>25</xdr:row>
      <xdr:rowOff>125587</xdr:rowOff>
    </xdr:from>
    <xdr:to>
      <xdr:col>28</xdr:col>
      <xdr:colOff>244294</xdr:colOff>
      <xdr:row>26</xdr:row>
      <xdr:rowOff>163688</xdr:rowOff>
    </xdr:to>
    <xdr:cxnSp macro="">
      <xdr:nvCxnSpPr>
        <xdr:cNvPr id="27" name="Düz Bağlayıcı 26">
          <a:extLst>
            <a:ext uri="{FF2B5EF4-FFF2-40B4-BE49-F238E27FC236}">
              <a16:creationId xmlns:a16="http://schemas.microsoft.com/office/drawing/2014/main" id="{89BE7A5B-1884-465C-8BBF-1D890DD781D3}"/>
            </a:ext>
          </a:extLst>
        </xdr:cNvPr>
        <xdr:cNvCxnSpPr>
          <a:stCxn id="25" idx="0"/>
          <a:endCxn id="25" idx="6"/>
        </xdr:cNvCxnSpPr>
      </xdr:nvCxnSpPr>
      <xdr:spPr>
        <a:xfrm>
          <a:off x="1700014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532063</xdr:colOff>
      <xdr:row>27</xdr:row>
      <xdr:rowOff>188450</xdr:rowOff>
    </xdr:from>
    <xdr:to>
      <xdr:col>28</xdr:col>
      <xdr:colOff>96331</xdr:colOff>
      <xdr:row>32</xdr:row>
      <xdr:rowOff>91071</xdr:rowOff>
    </xdr:to>
    <xdr:sp macro="" textlink="">
      <xdr:nvSpPr>
        <xdr:cNvPr id="28" name="Dikdörtgen 27">
          <a:extLst>
            <a:ext uri="{FF2B5EF4-FFF2-40B4-BE49-F238E27FC236}">
              <a16:creationId xmlns:a16="http://schemas.microsoft.com/office/drawing/2014/main" id="{236C9849-2721-4538-9C1E-906B98351EA2}"/>
            </a:ext>
          </a:extLst>
        </xdr:cNvPr>
        <xdr:cNvSpPr/>
      </xdr:nvSpPr>
      <xdr:spPr>
        <a:xfrm>
          <a:off x="1690553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28</xdr:col>
      <xdr:colOff>475580</xdr:colOff>
      <xdr:row>14</xdr:row>
      <xdr:rowOff>402464</xdr:rowOff>
    </xdr:from>
    <xdr:to>
      <xdr:col>29</xdr:col>
      <xdr:colOff>174401</xdr:colOff>
      <xdr:row>35</xdr:row>
      <xdr:rowOff>85043</xdr:rowOff>
    </xdr:to>
    <xdr:sp macro="" textlink="">
      <xdr:nvSpPr>
        <xdr:cNvPr id="29" name="Dikdörtgen 28">
          <a:extLst>
            <a:ext uri="{FF2B5EF4-FFF2-40B4-BE49-F238E27FC236}">
              <a16:creationId xmlns:a16="http://schemas.microsoft.com/office/drawing/2014/main" id="{C25E0443-4FE2-4693-A24C-E589FE35699E}"/>
            </a:ext>
          </a:extLst>
        </xdr:cNvPr>
        <xdr:cNvSpPr/>
      </xdr:nvSpPr>
      <xdr:spPr>
        <a:xfrm>
          <a:off x="1745865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32</xdr:col>
      <xdr:colOff>541538</xdr:colOff>
      <xdr:row>15</xdr:row>
      <xdr:rowOff>13477</xdr:rowOff>
    </xdr:from>
    <xdr:to>
      <xdr:col>33</xdr:col>
      <xdr:colOff>110558</xdr:colOff>
      <xdr:row>25</xdr:row>
      <xdr:rowOff>35458</xdr:rowOff>
    </xdr:to>
    <xdr:sp macro="" textlink="">
      <xdr:nvSpPr>
        <xdr:cNvPr id="30" name="Dikdörtgen 29">
          <a:extLst>
            <a:ext uri="{FF2B5EF4-FFF2-40B4-BE49-F238E27FC236}">
              <a16:creationId xmlns:a16="http://schemas.microsoft.com/office/drawing/2014/main" id="{3EED8A1B-DA07-461D-8611-2328658FAA78}"/>
            </a:ext>
          </a:extLst>
        </xdr:cNvPr>
        <xdr:cNvSpPr/>
      </xdr:nvSpPr>
      <xdr:spPr>
        <a:xfrm>
          <a:off x="2019161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32</xdr:col>
      <xdr:colOff>400881</xdr:colOff>
      <xdr:row>25</xdr:row>
      <xdr:rowOff>125587</xdr:rowOff>
    </xdr:from>
    <xdr:to>
      <xdr:col>33</xdr:col>
      <xdr:colOff>244294</xdr:colOff>
      <xdr:row>27</xdr:row>
      <xdr:rowOff>31056</xdr:rowOff>
    </xdr:to>
    <xdr:sp macro="" textlink="">
      <xdr:nvSpPr>
        <xdr:cNvPr id="31" name="Akış Çizelgesi: Bağlayıcı 30">
          <a:extLst>
            <a:ext uri="{FF2B5EF4-FFF2-40B4-BE49-F238E27FC236}">
              <a16:creationId xmlns:a16="http://schemas.microsoft.com/office/drawing/2014/main" id="{CC297BAD-7ED9-42B9-ADC2-6EB2CDEB3383}"/>
            </a:ext>
          </a:extLst>
        </xdr:cNvPr>
        <xdr:cNvSpPr/>
      </xdr:nvSpPr>
      <xdr:spPr>
        <a:xfrm>
          <a:off x="2005095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32</xdr:col>
      <xdr:colOff>400881</xdr:colOff>
      <xdr:row>25</xdr:row>
      <xdr:rowOff>125587</xdr:rowOff>
    </xdr:from>
    <xdr:to>
      <xdr:col>33</xdr:col>
      <xdr:colOff>17788</xdr:colOff>
      <xdr:row>26</xdr:row>
      <xdr:rowOff>164047</xdr:rowOff>
    </xdr:to>
    <xdr:cxnSp macro="">
      <xdr:nvCxnSpPr>
        <xdr:cNvPr id="32" name="Düz Bağlayıcı 31">
          <a:extLst>
            <a:ext uri="{FF2B5EF4-FFF2-40B4-BE49-F238E27FC236}">
              <a16:creationId xmlns:a16="http://schemas.microsoft.com/office/drawing/2014/main" id="{88612DE4-955E-4A43-BCF5-426F1AA5DED3}"/>
            </a:ext>
          </a:extLst>
        </xdr:cNvPr>
        <xdr:cNvCxnSpPr>
          <a:stCxn id="31" idx="2"/>
          <a:endCxn id="31" idx="0"/>
        </xdr:cNvCxnSpPr>
      </xdr:nvCxnSpPr>
      <xdr:spPr>
        <a:xfrm flipV="1">
          <a:off x="20603406" y="7412212"/>
          <a:ext cx="226507" cy="2289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17788</xdr:colOff>
      <xdr:row>25</xdr:row>
      <xdr:rowOff>125587</xdr:rowOff>
    </xdr:from>
    <xdr:to>
      <xdr:col>33</xdr:col>
      <xdr:colOff>244294</xdr:colOff>
      <xdr:row>26</xdr:row>
      <xdr:rowOff>164047</xdr:rowOff>
    </xdr:to>
    <xdr:cxnSp macro="">
      <xdr:nvCxnSpPr>
        <xdr:cNvPr id="33" name="Düz Bağlayıcı 32">
          <a:extLst>
            <a:ext uri="{FF2B5EF4-FFF2-40B4-BE49-F238E27FC236}">
              <a16:creationId xmlns:a16="http://schemas.microsoft.com/office/drawing/2014/main" id="{649DF3A4-1DE3-4893-A8E7-A4FFADDBA7D1}"/>
            </a:ext>
          </a:extLst>
        </xdr:cNvPr>
        <xdr:cNvCxnSpPr>
          <a:stCxn id="31" idx="0"/>
          <a:endCxn id="31" idx="6"/>
        </xdr:cNvCxnSpPr>
      </xdr:nvCxnSpPr>
      <xdr:spPr>
        <a:xfrm>
          <a:off x="20829913" y="7412212"/>
          <a:ext cx="226506" cy="22896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532063</xdr:colOff>
      <xdr:row>27</xdr:row>
      <xdr:rowOff>188450</xdr:rowOff>
    </xdr:from>
    <xdr:to>
      <xdr:col>33</xdr:col>
      <xdr:colOff>96331</xdr:colOff>
      <xdr:row>32</xdr:row>
      <xdr:rowOff>91071</xdr:rowOff>
    </xdr:to>
    <xdr:sp macro="" textlink="">
      <xdr:nvSpPr>
        <xdr:cNvPr id="34" name="Dikdörtgen 33">
          <a:extLst>
            <a:ext uri="{FF2B5EF4-FFF2-40B4-BE49-F238E27FC236}">
              <a16:creationId xmlns:a16="http://schemas.microsoft.com/office/drawing/2014/main" id="{8AF9C8A0-154D-469D-91A4-0289618107D1}"/>
            </a:ext>
          </a:extLst>
        </xdr:cNvPr>
        <xdr:cNvSpPr/>
      </xdr:nvSpPr>
      <xdr:spPr>
        <a:xfrm>
          <a:off x="2018213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33</xdr:col>
      <xdr:colOff>475580</xdr:colOff>
      <xdr:row>14</xdr:row>
      <xdr:rowOff>402464</xdr:rowOff>
    </xdr:from>
    <xdr:to>
      <xdr:col>34</xdr:col>
      <xdr:colOff>174401</xdr:colOff>
      <xdr:row>35</xdr:row>
      <xdr:rowOff>85043</xdr:rowOff>
    </xdr:to>
    <xdr:sp macro="" textlink="">
      <xdr:nvSpPr>
        <xdr:cNvPr id="35" name="Dikdörtgen 34">
          <a:extLst>
            <a:ext uri="{FF2B5EF4-FFF2-40B4-BE49-F238E27FC236}">
              <a16:creationId xmlns:a16="http://schemas.microsoft.com/office/drawing/2014/main" id="{3013EF7F-F532-47CA-81BD-6A513D423384}"/>
            </a:ext>
          </a:extLst>
        </xdr:cNvPr>
        <xdr:cNvSpPr/>
      </xdr:nvSpPr>
      <xdr:spPr>
        <a:xfrm>
          <a:off x="2073525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37</xdr:col>
      <xdr:colOff>541538</xdr:colOff>
      <xdr:row>15</xdr:row>
      <xdr:rowOff>13477</xdr:rowOff>
    </xdr:from>
    <xdr:to>
      <xdr:col>38</xdr:col>
      <xdr:colOff>110558</xdr:colOff>
      <xdr:row>25</xdr:row>
      <xdr:rowOff>35458</xdr:rowOff>
    </xdr:to>
    <xdr:sp macro="" textlink="">
      <xdr:nvSpPr>
        <xdr:cNvPr id="36" name="Dikdörtgen 35">
          <a:extLst>
            <a:ext uri="{FF2B5EF4-FFF2-40B4-BE49-F238E27FC236}">
              <a16:creationId xmlns:a16="http://schemas.microsoft.com/office/drawing/2014/main" id="{F2041D88-9F4D-4275-BE66-09C13B4DD4F6}"/>
            </a:ext>
          </a:extLst>
        </xdr:cNvPr>
        <xdr:cNvSpPr/>
      </xdr:nvSpPr>
      <xdr:spPr>
        <a:xfrm>
          <a:off x="2325866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37</xdr:col>
      <xdr:colOff>400881</xdr:colOff>
      <xdr:row>25</xdr:row>
      <xdr:rowOff>125587</xdr:rowOff>
    </xdr:from>
    <xdr:to>
      <xdr:col>38</xdr:col>
      <xdr:colOff>244294</xdr:colOff>
      <xdr:row>27</xdr:row>
      <xdr:rowOff>31056</xdr:rowOff>
    </xdr:to>
    <xdr:sp macro="" textlink="">
      <xdr:nvSpPr>
        <xdr:cNvPr id="37" name="Akış Çizelgesi: Bağlayıcı 36">
          <a:extLst>
            <a:ext uri="{FF2B5EF4-FFF2-40B4-BE49-F238E27FC236}">
              <a16:creationId xmlns:a16="http://schemas.microsoft.com/office/drawing/2014/main" id="{F57E2999-7DD3-45AD-8360-41D5B55F25E2}"/>
            </a:ext>
          </a:extLst>
        </xdr:cNvPr>
        <xdr:cNvSpPr/>
      </xdr:nvSpPr>
      <xdr:spPr>
        <a:xfrm>
          <a:off x="2311800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37</xdr:col>
      <xdr:colOff>400881</xdr:colOff>
      <xdr:row>25</xdr:row>
      <xdr:rowOff>125587</xdr:rowOff>
    </xdr:from>
    <xdr:to>
      <xdr:col>38</xdr:col>
      <xdr:colOff>17069</xdr:colOff>
      <xdr:row>26</xdr:row>
      <xdr:rowOff>163688</xdr:rowOff>
    </xdr:to>
    <xdr:cxnSp macro="">
      <xdr:nvCxnSpPr>
        <xdr:cNvPr id="38" name="Düz Bağlayıcı 37">
          <a:extLst>
            <a:ext uri="{FF2B5EF4-FFF2-40B4-BE49-F238E27FC236}">
              <a16:creationId xmlns:a16="http://schemas.microsoft.com/office/drawing/2014/main" id="{48C50DFE-B03F-4421-AD78-CF33653AF337}"/>
            </a:ext>
          </a:extLst>
        </xdr:cNvPr>
        <xdr:cNvCxnSpPr>
          <a:stCxn id="37" idx="2"/>
          <a:endCxn id="37" idx="0"/>
        </xdr:cNvCxnSpPr>
      </xdr:nvCxnSpPr>
      <xdr:spPr>
        <a:xfrm flipV="1">
          <a:off x="2311800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17069</xdr:colOff>
      <xdr:row>25</xdr:row>
      <xdr:rowOff>125587</xdr:rowOff>
    </xdr:from>
    <xdr:to>
      <xdr:col>38</xdr:col>
      <xdr:colOff>244294</xdr:colOff>
      <xdr:row>26</xdr:row>
      <xdr:rowOff>163688</xdr:rowOff>
    </xdr:to>
    <xdr:cxnSp macro="">
      <xdr:nvCxnSpPr>
        <xdr:cNvPr id="39" name="Düz Bağlayıcı 38">
          <a:extLst>
            <a:ext uri="{FF2B5EF4-FFF2-40B4-BE49-F238E27FC236}">
              <a16:creationId xmlns:a16="http://schemas.microsoft.com/office/drawing/2014/main" id="{AC84649D-A65F-467E-8C4D-02CA1C2701FB}"/>
            </a:ext>
          </a:extLst>
        </xdr:cNvPr>
        <xdr:cNvCxnSpPr>
          <a:stCxn id="37" idx="0"/>
          <a:endCxn id="37" idx="6"/>
        </xdr:cNvCxnSpPr>
      </xdr:nvCxnSpPr>
      <xdr:spPr>
        <a:xfrm>
          <a:off x="2334379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532063</xdr:colOff>
      <xdr:row>27</xdr:row>
      <xdr:rowOff>188450</xdr:rowOff>
    </xdr:from>
    <xdr:to>
      <xdr:col>38</xdr:col>
      <xdr:colOff>96331</xdr:colOff>
      <xdr:row>32</xdr:row>
      <xdr:rowOff>91071</xdr:rowOff>
    </xdr:to>
    <xdr:sp macro="" textlink="">
      <xdr:nvSpPr>
        <xdr:cNvPr id="40" name="Dikdörtgen 39">
          <a:extLst>
            <a:ext uri="{FF2B5EF4-FFF2-40B4-BE49-F238E27FC236}">
              <a16:creationId xmlns:a16="http://schemas.microsoft.com/office/drawing/2014/main" id="{E8654CDA-949F-41DD-B7FA-F2CE669A504D}"/>
            </a:ext>
          </a:extLst>
        </xdr:cNvPr>
        <xdr:cNvSpPr/>
      </xdr:nvSpPr>
      <xdr:spPr>
        <a:xfrm>
          <a:off x="2324918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38</xdr:col>
      <xdr:colOff>475580</xdr:colOff>
      <xdr:row>14</xdr:row>
      <xdr:rowOff>402464</xdr:rowOff>
    </xdr:from>
    <xdr:to>
      <xdr:col>39</xdr:col>
      <xdr:colOff>174401</xdr:colOff>
      <xdr:row>35</xdr:row>
      <xdr:rowOff>85043</xdr:rowOff>
    </xdr:to>
    <xdr:sp macro="" textlink="">
      <xdr:nvSpPr>
        <xdr:cNvPr id="41" name="Dikdörtgen 40">
          <a:extLst>
            <a:ext uri="{FF2B5EF4-FFF2-40B4-BE49-F238E27FC236}">
              <a16:creationId xmlns:a16="http://schemas.microsoft.com/office/drawing/2014/main" id="{B9FAD2C9-44C1-4956-9E5F-CC1C88B5DC91}"/>
            </a:ext>
          </a:extLst>
        </xdr:cNvPr>
        <xdr:cNvSpPr/>
      </xdr:nvSpPr>
      <xdr:spPr>
        <a:xfrm>
          <a:off x="2380230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42</xdr:col>
      <xdr:colOff>541538</xdr:colOff>
      <xdr:row>15</xdr:row>
      <xdr:rowOff>13477</xdr:rowOff>
    </xdr:from>
    <xdr:to>
      <xdr:col>43</xdr:col>
      <xdr:colOff>110558</xdr:colOff>
      <xdr:row>25</xdr:row>
      <xdr:rowOff>35458</xdr:rowOff>
    </xdr:to>
    <xdr:sp macro="" textlink="">
      <xdr:nvSpPr>
        <xdr:cNvPr id="42" name="Dikdörtgen 41">
          <a:extLst>
            <a:ext uri="{FF2B5EF4-FFF2-40B4-BE49-F238E27FC236}">
              <a16:creationId xmlns:a16="http://schemas.microsoft.com/office/drawing/2014/main" id="{7CC7CE62-38C4-4989-B059-83E48017A13F}"/>
            </a:ext>
          </a:extLst>
        </xdr:cNvPr>
        <xdr:cNvSpPr/>
      </xdr:nvSpPr>
      <xdr:spPr>
        <a:xfrm>
          <a:off x="2632571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42</xdr:col>
      <xdr:colOff>400881</xdr:colOff>
      <xdr:row>25</xdr:row>
      <xdr:rowOff>125587</xdr:rowOff>
    </xdr:from>
    <xdr:to>
      <xdr:col>43</xdr:col>
      <xdr:colOff>244294</xdr:colOff>
      <xdr:row>27</xdr:row>
      <xdr:rowOff>31056</xdr:rowOff>
    </xdr:to>
    <xdr:sp macro="" textlink="">
      <xdr:nvSpPr>
        <xdr:cNvPr id="43" name="Akış Çizelgesi: Bağlayıcı 42">
          <a:extLst>
            <a:ext uri="{FF2B5EF4-FFF2-40B4-BE49-F238E27FC236}">
              <a16:creationId xmlns:a16="http://schemas.microsoft.com/office/drawing/2014/main" id="{3F3CC856-997B-4C45-A0E7-1F6F9DAAF375}"/>
            </a:ext>
          </a:extLst>
        </xdr:cNvPr>
        <xdr:cNvSpPr/>
      </xdr:nvSpPr>
      <xdr:spPr>
        <a:xfrm>
          <a:off x="2618505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42</xdr:col>
      <xdr:colOff>400881</xdr:colOff>
      <xdr:row>25</xdr:row>
      <xdr:rowOff>125587</xdr:rowOff>
    </xdr:from>
    <xdr:to>
      <xdr:col>43</xdr:col>
      <xdr:colOff>17069</xdr:colOff>
      <xdr:row>26</xdr:row>
      <xdr:rowOff>163688</xdr:rowOff>
    </xdr:to>
    <xdr:cxnSp macro="">
      <xdr:nvCxnSpPr>
        <xdr:cNvPr id="44" name="Düz Bağlayıcı 43">
          <a:extLst>
            <a:ext uri="{FF2B5EF4-FFF2-40B4-BE49-F238E27FC236}">
              <a16:creationId xmlns:a16="http://schemas.microsoft.com/office/drawing/2014/main" id="{F678803E-89FD-40A0-97E7-FA564047D6BF}"/>
            </a:ext>
          </a:extLst>
        </xdr:cNvPr>
        <xdr:cNvCxnSpPr>
          <a:stCxn id="43" idx="2"/>
          <a:endCxn id="43" idx="0"/>
        </xdr:cNvCxnSpPr>
      </xdr:nvCxnSpPr>
      <xdr:spPr>
        <a:xfrm flipV="1">
          <a:off x="2618505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17069</xdr:colOff>
      <xdr:row>25</xdr:row>
      <xdr:rowOff>125587</xdr:rowOff>
    </xdr:from>
    <xdr:to>
      <xdr:col>43</xdr:col>
      <xdr:colOff>244294</xdr:colOff>
      <xdr:row>26</xdr:row>
      <xdr:rowOff>163688</xdr:rowOff>
    </xdr:to>
    <xdr:cxnSp macro="">
      <xdr:nvCxnSpPr>
        <xdr:cNvPr id="45" name="Düz Bağlayıcı 44">
          <a:extLst>
            <a:ext uri="{FF2B5EF4-FFF2-40B4-BE49-F238E27FC236}">
              <a16:creationId xmlns:a16="http://schemas.microsoft.com/office/drawing/2014/main" id="{9A5E073C-273F-4931-AB2B-A118CE71FEF3}"/>
            </a:ext>
          </a:extLst>
        </xdr:cNvPr>
        <xdr:cNvCxnSpPr>
          <a:stCxn id="43" idx="0"/>
          <a:endCxn id="43" idx="6"/>
        </xdr:cNvCxnSpPr>
      </xdr:nvCxnSpPr>
      <xdr:spPr>
        <a:xfrm>
          <a:off x="2641084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532063</xdr:colOff>
      <xdr:row>27</xdr:row>
      <xdr:rowOff>188450</xdr:rowOff>
    </xdr:from>
    <xdr:to>
      <xdr:col>43</xdr:col>
      <xdr:colOff>96331</xdr:colOff>
      <xdr:row>32</xdr:row>
      <xdr:rowOff>91071</xdr:rowOff>
    </xdr:to>
    <xdr:sp macro="" textlink="">
      <xdr:nvSpPr>
        <xdr:cNvPr id="46" name="Dikdörtgen 45">
          <a:extLst>
            <a:ext uri="{FF2B5EF4-FFF2-40B4-BE49-F238E27FC236}">
              <a16:creationId xmlns:a16="http://schemas.microsoft.com/office/drawing/2014/main" id="{47BB98B6-11E4-4CD0-8942-D95A6158F42A}"/>
            </a:ext>
          </a:extLst>
        </xdr:cNvPr>
        <xdr:cNvSpPr/>
      </xdr:nvSpPr>
      <xdr:spPr>
        <a:xfrm>
          <a:off x="2631623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43</xdr:col>
      <xdr:colOff>475580</xdr:colOff>
      <xdr:row>14</xdr:row>
      <xdr:rowOff>402464</xdr:rowOff>
    </xdr:from>
    <xdr:to>
      <xdr:col>44</xdr:col>
      <xdr:colOff>174401</xdr:colOff>
      <xdr:row>35</xdr:row>
      <xdr:rowOff>85043</xdr:rowOff>
    </xdr:to>
    <xdr:sp macro="" textlink="">
      <xdr:nvSpPr>
        <xdr:cNvPr id="47" name="Dikdörtgen 46">
          <a:extLst>
            <a:ext uri="{FF2B5EF4-FFF2-40B4-BE49-F238E27FC236}">
              <a16:creationId xmlns:a16="http://schemas.microsoft.com/office/drawing/2014/main" id="{126FBD30-B09E-4315-BFB1-FD56E960E25A}"/>
            </a:ext>
          </a:extLst>
        </xdr:cNvPr>
        <xdr:cNvSpPr/>
      </xdr:nvSpPr>
      <xdr:spPr>
        <a:xfrm>
          <a:off x="2686935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47</xdr:col>
      <xdr:colOff>541538</xdr:colOff>
      <xdr:row>15</xdr:row>
      <xdr:rowOff>13477</xdr:rowOff>
    </xdr:from>
    <xdr:to>
      <xdr:col>48</xdr:col>
      <xdr:colOff>110558</xdr:colOff>
      <xdr:row>25</xdr:row>
      <xdr:rowOff>35458</xdr:rowOff>
    </xdr:to>
    <xdr:sp macro="" textlink="">
      <xdr:nvSpPr>
        <xdr:cNvPr id="48" name="Dikdörtgen 47">
          <a:extLst>
            <a:ext uri="{FF2B5EF4-FFF2-40B4-BE49-F238E27FC236}">
              <a16:creationId xmlns:a16="http://schemas.microsoft.com/office/drawing/2014/main" id="{AFB71C6B-1E51-4B14-9E40-3DE399A91291}"/>
            </a:ext>
          </a:extLst>
        </xdr:cNvPr>
        <xdr:cNvSpPr/>
      </xdr:nvSpPr>
      <xdr:spPr>
        <a:xfrm>
          <a:off x="29354663" y="5109352"/>
          <a:ext cx="178620" cy="221273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47</xdr:col>
      <xdr:colOff>400881</xdr:colOff>
      <xdr:row>25</xdr:row>
      <xdr:rowOff>125587</xdr:rowOff>
    </xdr:from>
    <xdr:to>
      <xdr:col>48</xdr:col>
      <xdr:colOff>244294</xdr:colOff>
      <xdr:row>27</xdr:row>
      <xdr:rowOff>31056</xdr:rowOff>
    </xdr:to>
    <xdr:sp macro="" textlink="">
      <xdr:nvSpPr>
        <xdr:cNvPr id="49" name="Akış Çizelgesi: Bağlayıcı 48">
          <a:extLst>
            <a:ext uri="{FF2B5EF4-FFF2-40B4-BE49-F238E27FC236}">
              <a16:creationId xmlns:a16="http://schemas.microsoft.com/office/drawing/2014/main" id="{8E1183DB-B2D6-424A-878E-394809EC0F10}"/>
            </a:ext>
          </a:extLst>
        </xdr:cNvPr>
        <xdr:cNvSpPr/>
      </xdr:nvSpPr>
      <xdr:spPr>
        <a:xfrm>
          <a:off x="29214006" y="7412212"/>
          <a:ext cx="453013" cy="457919"/>
        </a:xfrm>
        <a:prstGeom prst="flowChartConnector">
          <a:avLst/>
        </a:prstGeom>
        <a:solidFill>
          <a:srgbClr val="E4E4E4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47</xdr:col>
      <xdr:colOff>400881</xdr:colOff>
      <xdr:row>25</xdr:row>
      <xdr:rowOff>125587</xdr:rowOff>
    </xdr:from>
    <xdr:to>
      <xdr:col>48</xdr:col>
      <xdr:colOff>17069</xdr:colOff>
      <xdr:row>26</xdr:row>
      <xdr:rowOff>163688</xdr:rowOff>
    </xdr:to>
    <xdr:cxnSp macro="">
      <xdr:nvCxnSpPr>
        <xdr:cNvPr id="50" name="Düz Bağlayıcı 49">
          <a:extLst>
            <a:ext uri="{FF2B5EF4-FFF2-40B4-BE49-F238E27FC236}">
              <a16:creationId xmlns:a16="http://schemas.microsoft.com/office/drawing/2014/main" id="{8D87B314-E6B6-4855-AB89-3A6871270A5A}"/>
            </a:ext>
          </a:extLst>
        </xdr:cNvPr>
        <xdr:cNvCxnSpPr>
          <a:stCxn id="49" idx="2"/>
          <a:endCxn id="49" idx="0"/>
        </xdr:cNvCxnSpPr>
      </xdr:nvCxnSpPr>
      <xdr:spPr>
        <a:xfrm flipV="1">
          <a:off x="29214006" y="7412212"/>
          <a:ext cx="225788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17069</xdr:colOff>
      <xdr:row>25</xdr:row>
      <xdr:rowOff>125587</xdr:rowOff>
    </xdr:from>
    <xdr:to>
      <xdr:col>48</xdr:col>
      <xdr:colOff>244294</xdr:colOff>
      <xdr:row>26</xdr:row>
      <xdr:rowOff>163688</xdr:rowOff>
    </xdr:to>
    <xdr:cxnSp macro="">
      <xdr:nvCxnSpPr>
        <xdr:cNvPr id="51" name="Düz Bağlayıcı 50">
          <a:extLst>
            <a:ext uri="{FF2B5EF4-FFF2-40B4-BE49-F238E27FC236}">
              <a16:creationId xmlns:a16="http://schemas.microsoft.com/office/drawing/2014/main" id="{28563501-0A5B-4DF5-83F7-BCF63687975B}"/>
            </a:ext>
          </a:extLst>
        </xdr:cNvPr>
        <xdr:cNvCxnSpPr>
          <a:stCxn id="49" idx="0"/>
          <a:endCxn id="49" idx="6"/>
        </xdr:cNvCxnSpPr>
      </xdr:nvCxnSpPr>
      <xdr:spPr>
        <a:xfrm>
          <a:off x="29439794" y="7412212"/>
          <a:ext cx="227225" cy="228601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532063</xdr:colOff>
      <xdr:row>27</xdr:row>
      <xdr:rowOff>188450</xdr:rowOff>
    </xdr:from>
    <xdr:to>
      <xdr:col>48</xdr:col>
      <xdr:colOff>96331</xdr:colOff>
      <xdr:row>32</xdr:row>
      <xdr:rowOff>91071</xdr:rowOff>
    </xdr:to>
    <xdr:sp macro="" textlink="">
      <xdr:nvSpPr>
        <xdr:cNvPr id="52" name="Dikdörtgen 51">
          <a:extLst>
            <a:ext uri="{FF2B5EF4-FFF2-40B4-BE49-F238E27FC236}">
              <a16:creationId xmlns:a16="http://schemas.microsoft.com/office/drawing/2014/main" id="{5653371F-722D-4407-9CC1-8723E1A13222}"/>
            </a:ext>
          </a:extLst>
        </xdr:cNvPr>
        <xdr:cNvSpPr/>
      </xdr:nvSpPr>
      <xdr:spPr>
        <a:xfrm>
          <a:off x="29345188" y="8027525"/>
          <a:ext cx="173868" cy="1359946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48</xdr:col>
      <xdr:colOff>475580</xdr:colOff>
      <xdr:row>14</xdr:row>
      <xdr:rowOff>402464</xdr:rowOff>
    </xdr:from>
    <xdr:to>
      <xdr:col>49</xdr:col>
      <xdr:colOff>174401</xdr:colOff>
      <xdr:row>35</xdr:row>
      <xdr:rowOff>85043</xdr:rowOff>
    </xdr:to>
    <xdr:sp macro="" textlink="">
      <xdr:nvSpPr>
        <xdr:cNvPr id="53" name="Dikdörtgen 52">
          <a:extLst>
            <a:ext uri="{FF2B5EF4-FFF2-40B4-BE49-F238E27FC236}">
              <a16:creationId xmlns:a16="http://schemas.microsoft.com/office/drawing/2014/main" id="{BF7C4EC1-6FB0-4B3E-A207-12C92101FDB4}"/>
            </a:ext>
          </a:extLst>
        </xdr:cNvPr>
        <xdr:cNvSpPr/>
      </xdr:nvSpPr>
      <xdr:spPr>
        <a:xfrm>
          <a:off x="29898305" y="5098289"/>
          <a:ext cx="175071" cy="4854654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51</xdr:col>
      <xdr:colOff>35373</xdr:colOff>
      <xdr:row>32</xdr:row>
      <xdr:rowOff>59532</xdr:rowOff>
    </xdr:from>
    <xdr:to>
      <xdr:col>55</xdr:col>
      <xdr:colOff>1292064</xdr:colOff>
      <xdr:row>33</xdr:row>
      <xdr:rowOff>23685</xdr:rowOff>
    </xdr:to>
    <xdr:sp macro="" textlink="">
      <xdr:nvSpPr>
        <xdr:cNvPr id="56" name="Dikdörtgen 55">
          <a:extLst>
            <a:ext uri="{FF2B5EF4-FFF2-40B4-BE49-F238E27FC236}">
              <a16:creationId xmlns:a16="http://schemas.microsoft.com/office/drawing/2014/main" id="{A13C5594-AE0A-4BFF-8264-DAC1498FFC26}"/>
            </a:ext>
          </a:extLst>
        </xdr:cNvPr>
        <xdr:cNvSpPr/>
      </xdr:nvSpPr>
      <xdr:spPr>
        <a:xfrm>
          <a:off x="31923416" y="9294641"/>
          <a:ext cx="3140985" cy="150511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32</xdr:col>
      <xdr:colOff>410406</xdr:colOff>
      <xdr:row>26</xdr:row>
      <xdr:rowOff>221197</xdr:rowOff>
    </xdr:from>
    <xdr:to>
      <xdr:col>33</xdr:col>
      <xdr:colOff>253819</xdr:colOff>
      <xdr:row>26</xdr:row>
      <xdr:rowOff>221197</xdr:rowOff>
    </xdr:to>
    <xdr:cxnSp macro="">
      <xdr:nvCxnSpPr>
        <xdr:cNvPr id="60" name="Düz Bağlayıcı 59">
          <a:extLst>
            <a:ext uri="{FF2B5EF4-FFF2-40B4-BE49-F238E27FC236}">
              <a16:creationId xmlns:a16="http://schemas.microsoft.com/office/drawing/2014/main" id="{30DA76FC-A908-1059-42F7-FF19C4378B42}"/>
            </a:ext>
          </a:extLst>
        </xdr:cNvPr>
        <xdr:cNvCxnSpPr/>
      </xdr:nvCxnSpPr>
      <xdr:spPr>
        <a:xfrm>
          <a:off x="20612931" y="7698322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419931</xdr:colOff>
      <xdr:row>26</xdr:row>
      <xdr:rowOff>211312</xdr:rowOff>
    </xdr:from>
    <xdr:to>
      <xdr:col>28</xdr:col>
      <xdr:colOff>263344</xdr:colOff>
      <xdr:row>26</xdr:row>
      <xdr:rowOff>211312</xdr:rowOff>
    </xdr:to>
    <xdr:cxnSp macro="">
      <xdr:nvCxnSpPr>
        <xdr:cNvPr id="64" name="Düz Bağlayıcı 63">
          <a:extLst>
            <a:ext uri="{FF2B5EF4-FFF2-40B4-BE49-F238E27FC236}">
              <a16:creationId xmlns:a16="http://schemas.microsoft.com/office/drawing/2014/main" id="{1B4EA2B9-89F7-46AC-B5C1-9F5EA419920C}"/>
            </a:ext>
          </a:extLst>
        </xdr:cNvPr>
        <xdr:cNvCxnSpPr/>
      </xdr:nvCxnSpPr>
      <xdr:spPr>
        <a:xfrm>
          <a:off x="17183931" y="7688437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391356</xdr:colOff>
      <xdr:row>26</xdr:row>
      <xdr:rowOff>211312</xdr:rowOff>
    </xdr:from>
    <xdr:to>
      <xdr:col>23</xdr:col>
      <xdr:colOff>234769</xdr:colOff>
      <xdr:row>26</xdr:row>
      <xdr:rowOff>211312</xdr:rowOff>
    </xdr:to>
    <xdr:cxnSp macro="">
      <xdr:nvCxnSpPr>
        <xdr:cNvPr id="65" name="Düz Bağlayıcı 64">
          <a:extLst>
            <a:ext uri="{FF2B5EF4-FFF2-40B4-BE49-F238E27FC236}">
              <a16:creationId xmlns:a16="http://schemas.microsoft.com/office/drawing/2014/main" id="{820718EB-2317-461D-A82D-FFCEFAC23B8C}"/>
            </a:ext>
          </a:extLst>
        </xdr:cNvPr>
        <xdr:cNvCxnSpPr/>
      </xdr:nvCxnSpPr>
      <xdr:spPr>
        <a:xfrm>
          <a:off x="14002581" y="7688437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391356</xdr:colOff>
      <xdr:row>26</xdr:row>
      <xdr:rowOff>211312</xdr:rowOff>
    </xdr:from>
    <xdr:to>
      <xdr:col>18</xdr:col>
      <xdr:colOff>234769</xdr:colOff>
      <xdr:row>26</xdr:row>
      <xdr:rowOff>211312</xdr:rowOff>
    </xdr:to>
    <xdr:cxnSp macro="">
      <xdr:nvCxnSpPr>
        <xdr:cNvPr id="66" name="Düz Bağlayıcı 65">
          <a:extLst>
            <a:ext uri="{FF2B5EF4-FFF2-40B4-BE49-F238E27FC236}">
              <a16:creationId xmlns:a16="http://schemas.microsoft.com/office/drawing/2014/main" id="{0568313E-B316-4424-B457-037473A31C32}"/>
            </a:ext>
          </a:extLst>
        </xdr:cNvPr>
        <xdr:cNvCxnSpPr/>
      </xdr:nvCxnSpPr>
      <xdr:spPr>
        <a:xfrm>
          <a:off x="10859331" y="7688437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391356</xdr:colOff>
      <xdr:row>26</xdr:row>
      <xdr:rowOff>211312</xdr:rowOff>
    </xdr:from>
    <xdr:to>
      <xdr:col>38</xdr:col>
      <xdr:colOff>234769</xdr:colOff>
      <xdr:row>26</xdr:row>
      <xdr:rowOff>211312</xdr:rowOff>
    </xdr:to>
    <xdr:cxnSp macro="">
      <xdr:nvCxnSpPr>
        <xdr:cNvPr id="68" name="Düz Bağlayıcı 67">
          <a:extLst>
            <a:ext uri="{FF2B5EF4-FFF2-40B4-BE49-F238E27FC236}">
              <a16:creationId xmlns:a16="http://schemas.microsoft.com/office/drawing/2014/main" id="{7BAC64D4-D4C4-4744-B13B-171C7AE9017A}"/>
            </a:ext>
          </a:extLst>
        </xdr:cNvPr>
        <xdr:cNvCxnSpPr/>
      </xdr:nvCxnSpPr>
      <xdr:spPr>
        <a:xfrm>
          <a:off x="23822856" y="7688437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400881</xdr:colOff>
      <xdr:row>26</xdr:row>
      <xdr:rowOff>201787</xdr:rowOff>
    </xdr:from>
    <xdr:to>
      <xdr:col>43</xdr:col>
      <xdr:colOff>244294</xdr:colOff>
      <xdr:row>26</xdr:row>
      <xdr:rowOff>201787</xdr:rowOff>
    </xdr:to>
    <xdr:cxnSp macro="">
      <xdr:nvCxnSpPr>
        <xdr:cNvPr id="69" name="Düz Bağlayıcı 68">
          <a:extLst>
            <a:ext uri="{FF2B5EF4-FFF2-40B4-BE49-F238E27FC236}">
              <a16:creationId xmlns:a16="http://schemas.microsoft.com/office/drawing/2014/main" id="{2E79504D-DD8F-4B6F-9E7D-F13B79A20A25}"/>
            </a:ext>
          </a:extLst>
        </xdr:cNvPr>
        <xdr:cNvCxnSpPr/>
      </xdr:nvCxnSpPr>
      <xdr:spPr>
        <a:xfrm>
          <a:off x="27061356" y="7678912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400881</xdr:colOff>
      <xdr:row>26</xdr:row>
      <xdr:rowOff>201787</xdr:rowOff>
    </xdr:from>
    <xdr:to>
      <xdr:col>48</xdr:col>
      <xdr:colOff>244294</xdr:colOff>
      <xdr:row>26</xdr:row>
      <xdr:rowOff>201787</xdr:rowOff>
    </xdr:to>
    <xdr:cxnSp macro="">
      <xdr:nvCxnSpPr>
        <xdr:cNvPr id="70" name="Düz Bağlayıcı 69">
          <a:extLst>
            <a:ext uri="{FF2B5EF4-FFF2-40B4-BE49-F238E27FC236}">
              <a16:creationId xmlns:a16="http://schemas.microsoft.com/office/drawing/2014/main" id="{EAAB04FF-DC09-4BE6-9E23-A37900DE2034}"/>
            </a:ext>
          </a:extLst>
        </xdr:cNvPr>
        <xdr:cNvCxnSpPr/>
      </xdr:nvCxnSpPr>
      <xdr:spPr>
        <a:xfrm>
          <a:off x="30252231" y="7678912"/>
          <a:ext cx="453013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372718</xdr:colOff>
      <xdr:row>26</xdr:row>
      <xdr:rowOff>0</xdr:rowOff>
    </xdr:from>
    <xdr:to>
      <xdr:col>2</xdr:col>
      <xdr:colOff>36710</xdr:colOff>
      <xdr:row>30</xdr:row>
      <xdr:rowOff>271291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CF4840E5-3BD8-A0B7-DAD6-C5F3076B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718" y="7785652"/>
          <a:ext cx="1543265" cy="1438476"/>
        </a:xfrm>
        <a:prstGeom prst="rect">
          <a:avLst/>
        </a:prstGeom>
      </xdr:spPr>
    </xdr:pic>
    <xdr:clientData/>
  </xdr:twoCellAnchor>
  <xdr:twoCellAnchor>
    <xdr:from>
      <xdr:col>2</xdr:col>
      <xdr:colOff>120804</xdr:colOff>
      <xdr:row>30</xdr:row>
      <xdr:rowOff>127675</xdr:rowOff>
    </xdr:from>
    <xdr:to>
      <xdr:col>4</xdr:col>
      <xdr:colOff>144948</xdr:colOff>
      <xdr:row>30</xdr:row>
      <xdr:rowOff>248478</xdr:rowOff>
    </xdr:to>
    <xdr:sp macro="" textlink="">
      <xdr:nvSpPr>
        <xdr:cNvPr id="61" name="Dikdörtgen 60">
          <a:extLst>
            <a:ext uri="{FF2B5EF4-FFF2-40B4-BE49-F238E27FC236}">
              <a16:creationId xmlns:a16="http://schemas.microsoft.com/office/drawing/2014/main" id="{A97FBBE2-D2C2-49E8-824C-0A22A56215C1}"/>
            </a:ext>
          </a:extLst>
        </xdr:cNvPr>
        <xdr:cNvSpPr/>
      </xdr:nvSpPr>
      <xdr:spPr>
        <a:xfrm rot="16200000">
          <a:off x="1666876" y="8520733"/>
          <a:ext cx="120803" cy="1225122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55</xdr:col>
      <xdr:colOff>144946</xdr:colOff>
      <xdr:row>12</xdr:row>
      <xdr:rowOff>35273</xdr:rowOff>
    </xdr:from>
    <xdr:to>
      <xdr:col>57</xdr:col>
      <xdr:colOff>41413</xdr:colOff>
      <xdr:row>28</xdr:row>
      <xdr:rowOff>117734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E613CA72-2E1E-052C-349A-3B3A04BF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17283" y="4425056"/>
          <a:ext cx="2112065" cy="4022415"/>
        </a:xfrm>
        <a:prstGeom prst="rect">
          <a:avLst/>
        </a:prstGeom>
      </xdr:spPr>
    </xdr:pic>
    <xdr:clientData/>
  </xdr:twoCellAnchor>
  <xdr:twoCellAnchor>
    <xdr:from>
      <xdr:col>55</xdr:col>
      <xdr:colOff>1118151</xdr:colOff>
      <xdr:row>24</xdr:row>
      <xdr:rowOff>82826</xdr:rowOff>
    </xdr:from>
    <xdr:to>
      <xdr:col>55</xdr:col>
      <xdr:colOff>1283804</xdr:colOff>
      <xdr:row>32</xdr:row>
      <xdr:rowOff>179456</xdr:rowOff>
    </xdr:to>
    <xdr:sp macro="" textlink="">
      <xdr:nvSpPr>
        <xdr:cNvPr id="63" name="Dikdörtgen 62">
          <a:extLst>
            <a:ext uri="{FF2B5EF4-FFF2-40B4-BE49-F238E27FC236}">
              <a16:creationId xmlns:a16="http://schemas.microsoft.com/office/drawing/2014/main" id="{272F84B3-181A-406B-9DD5-E3C1D74689DA}"/>
            </a:ext>
          </a:extLst>
        </xdr:cNvPr>
        <xdr:cNvSpPr/>
      </xdr:nvSpPr>
      <xdr:spPr>
        <a:xfrm>
          <a:off x="34890488" y="7495761"/>
          <a:ext cx="165653" cy="2436467"/>
        </a:xfrm>
        <a:prstGeom prst="rect">
          <a:avLst/>
        </a:prstGeom>
        <a:solidFill>
          <a:srgbClr val="FF000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248478</xdr:colOff>
      <xdr:row>34</xdr:row>
      <xdr:rowOff>144946</xdr:rowOff>
    </xdr:from>
    <xdr:to>
      <xdr:col>9</xdr:col>
      <xdr:colOff>372717</xdr:colOff>
      <xdr:row>36</xdr:row>
      <xdr:rowOff>41414</xdr:rowOff>
    </xdr:to>
    <xdr:sp macro="" textlink="">
      <xdr:nvSpPr>
        <xdr:cNvPr id="67" name="Dikdörtgen 66">
          <a:extLst>
            <a:ext uri="{FF2B5EF4-FFF2-40B4-BE49-F238E27FC236}">
              <a16:creationId xmlns:a16="http://schemas.microsoft.com/office/drawing/2014/main" id="{5B60A43C-8CF6-4A38-A0BA-E1366CF440E8}"/>
            </a:ext>
          </a:extLst>
        </xdr:cNvPr>
        <xdr:cNvSpPr/>
      </xdr:nvSpPr>
      <xdr:spPr>
        <a:xfrm>
          <a:off x="3043858" y="10270435"/>
          <a:ext cx="2629729" cy="269186"/>
        </a:xfrm>
        <a:prstGeom prst="rect">
          <a:avLst/>
        </a:prstGeom>
        <a:solidFill>
          <a:srgbClr val="0070C0"/>
        </a:solidFill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58</xdr:col>
      <xdr:colOff>86590</xdr:colOff>
      <xdr:row>46</xdr:row>
      <xdr:rowOff>43295</xdr:rowOff>
    </xdr:from>
    <xdr:to>
      <xdr:col>60</xdr:col>
      <xdr:colOff>81350</xdr:colOff>
      <xdr:row>48</xdr:row>
      <xdr:rowOff>432954</xdr:rowOff>
    </xdr:to>
    <xdr:pic>
      <xdr:nvPicPr>
        <xdr:cNvPr id="54" name="Resim 5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FE2AB22-A766-490A-9A9C-F02897CFC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6135" y="12988636"/>
          <a:ext cx="1791522" cy="1320511"/>
        </a:xfrm>
        <a:prstGeom prst="rect">
          <a:avLst/>
        </a:prstGeom>
      </xdr:spPr>
    </xdr:pic>
    <xdr:clientData/>
  </xdr:twoCellAnchor>
  <xdr:twoCellAnchor editAs="oneCell">
    <xdr:from>
      <xdr:col>58</xdr:col>
      <xdr:colOff>389660</xdr:colOff>
      <xdr:row>3</xdr:row>
      <xdr:rowOff>691933</xdr:rowOff>
    </xdr:from>
    <xdr:to>
      <xdr:col>60</xdr:col>
      <xdr:colOff>145442</xdr:colOff>
      <xdr:row>6</xdr:row>
      <xdr:rowOff>272356</xdr:rowOff>
    </xdr:to>
    <xdr:pic>
      <xdr:nvPicPr>
        <xdr:cNvPr id="57" name="Resim 5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C7898B2-298F-4B31-A510-505FF6EC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09205" y="1081592"/>
          <a:ext cx="1552544" cy="1766844"/>
        </a:xfrm>
        <a:prstGeom prst="rect">
          <a:avLst/>
        </a:prstGeom>
      </xdr:spPr>
    </xdr:pic>
    <xdr:clientData/>
  </xdr:twoCellAnchor>
  <xdr:twoCellAnchor editAs="oneCell">
    <xdr:from>
      <xdr:col>59</xdr:col>
      <xdr:colOff>776318</xdr:colOff>
      <xdr:row>5</xdr:row>
      <xdr:rowOff>736023</xdr:rowOff>
    </xdr:from>
    <xdr:to>
      <xdr:col>60</xdr:col>
      <xdr:colOff>131489</xdr:colOff>
      <xdr:row>6</xdr:row>
      <xdr:rowOff>262530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812C9BB5-5AA9-4BF5-9B65-980E00CBA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2000" y="2532784"/>
          <a:ext cx="545796" cy="30582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4</xdr:row>
      <xdr:rowOff>66675</xdr:rowOff>
    </xdr:from>
    <xdr:to>
      <xdr:col>12</xdr:col>
      <xdr:colOff>695325</xdr:colOff>
      <xdr:row>26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8D1F12-C70B-44E2-A585-4F22256D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866775"/>
          <a:ext cx="2028825" cy="425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171450</xdr:colOff>
      <xdr:row>11</xdr:row>
      <xdr:rowOff>57150</xdr:rowOff>
    </xdr:from>
    <xdr:to>
      <xdr:col>14</xdr:col>
      <xdr:colOff>180975</xdr:colOff>
      <xdr:row>18</xdr:row>
      <xdr:rowOff>114300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BF098E6C-2A70-4A2E-B22A-3339653E3AA0}"/>
            </a:ext>
          </a:extLst>
        </xdr:cNvPr>
        <xdr:cNvSpPr>
          <a:spLocks noChangeShapeType="1"/>
        </xdr:cNvSpPr>
      </xdr:nvSpPr>
      <xdr:spPr bwMode="auto">
        <a:xfrm flipV="1">
          <a:off x="10020300" y="2209800"/>
          <a:ext cx="9525" cy="140017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10</xdr:row>
      <xdr:rowOff>57150</xdr:rowOff>
    </xdr:from>
    <xdr:to>
      <xdr:col>9</xdr:col>
      <xdr:colOff>0</xdr:colOff>
      <xdr:row>20</xdr:row>
      <xdr:rowOff>238125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450424D9-4865-4BED-92CF-B8715353D0BC}"/>
            </a:ext>
          </a:extLst>
        </xdr:cNvPr>
        <xdr:cNvSpPr>
          <a:spLocks noChangeShapeType="1"/>
        </xdr:cNvSpPr>
      </xdr:nvSpPr>
      <xdr:spPr bwMode="auto">
        <a:xfrm flipV="1">
          <a:off x="7010400" y="2019300"/>
          <a:ext cx="0" cy="204787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533400</xdr:colOff>
      <xdr:row>6</xdr:row>
      <xdr:rowOff>38100</xdr:rowOff>
    </xdr:from>
    <xdr:to>
      <xdr:col>6</xdr:col>
      <xdr:colOff>542925</xdr:colOff>
      <xdr:row>23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FCA65A16-4391-4F07-8675-CADAFE77CDD1}"/>
            </a:ext>
          </a:extLst>
        </xdr:cNvPr>
        <xdr:cNvSpPr>
          <a:spLocks noChangeShapeType="1"/>
        </xdr:cNvSpPr>
      </xdr:nvSpPr>
      <xdr:spPr bwMode="auto">
        <a:xfrm flipV="1">
          <a:off x="6343650" y="1219200"/>
          <a:ext cx="9525" cy="3390900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323850</xdr:colOff>
      <xdr:row>23</xdr:row>
      <xdr:rowOff>57150</xdr:rowOff>
    </xdr:from>
    <xdr:to>
      <xdr:col>9</xdr:col>
      <xdr:colOff>323850</xdr:colOff>
      <xdr:row>23</xdr:row>
      <xdr:rowOff>85725</xdr:rowOff>
    </xdr:to>
    <xdr:cxnSp macro="">
      <xdr:nvCxnSpPr>
        <xdr:cNvPr id="6" name="Düz Bağlayıcı 5">
          <a:extLst>
            <a:ext uri="{FF2B5EF4-FFF2-40B4-BE49-F238E27FC236}">
              <a16:creationId xmlns:a16="http://schemas.microsoft.com/office/drawing/2014/main" id="{C4750BAF-CDD8-4C24-BF2A-D18660C357A0}"/>
            </a:ext>
          </a:extLst>
        </xdr:cNvPr>
        <xdr:cNvCxnSpPr/>
      </xdr:nvCxnSpPr>
      <xdr:spPr>
        <a:xfrm>
          <a:off x="7334250" y="4514850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22</xdr:row>
      <xdr:rowOff>9525</xdr:rowOff>
    </xdr:from>
    <xdr:to>
      <xdr:col>12</xdr:col>
      <xdr:colOff>638175</xdr:colOff>
      <xdr:row>28</xdr:row>
      <xdr:rowOff>9525</xdr:rowOff>
    </xdr:to>
    <xdr:cxnSp macro="">
      <xdr:nvCxnSpPr>
        <xdr:cNvPr id="7" name="Düz Ok Bağlayıcısı 6">
          <a:extLst>
            <a:ext uri="{FF2B5EF4-FFF2-40B4-BE49-F238E27FC236}">
              <a16:creationId xmlns:a16="http://schemas.microsoft.com/office/drawing/2014/main" id="{FCF77A96-DE67-49C6-B1DC-7B1FAF26C87A}"/>
            </a:ext>
          </a:extLst>
        </xdr:cNvPr>
        <xdr:cNvCxnSpPr/>
      </xdr:nvCxnSpPr>
      <xdr:spPr>
        <a:xfrm>
          <a:off x="8429625" y="4276725"/>
          <a:ext cx="857250" cy="1152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335387</xdr:colOff>
      <xdr:row>0</xdr:row>
      <xdr:rowOff>76330</xdr:rowOff>
    </xdr:from>
    <xdr:to>
      <xdr:col>39</xdr:col>
      <xdr:colOff>558040</xdr:colOff>
      <xdr:row>39</xdr:row>
      <xdr:rowOff>179678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82497BB8-0FEC-4E6E-B25E-4C5E636E9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4225" y="76330"/>
          <a:ext cx="5052230" cy="10401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93909</xdr:colOff>
      <xdr:row>12</xdr:row>
      <xdr:rowOff>160982</xdr:rowOff>
    </xdr:from>
    <xdr:to>
      <xdr:col>31</xdr:col>
      <xdr:colOff>214874</xdr:colOff>
      <xdr:row>40</xdr:row>
      <xdr:rowOff>53657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8406FD6-E9B6-4388-A3CA-82223FCB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3592" y="3353869"/>
          <a:ext cx="9780120" cy="7150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201232</xdr:colOff>
      <xdr:row>1</xdr:row>
      <xdr:rowOff>13418</xdr:rowOff>
    </xdr:from>
    <xdr:to>
      <xdr:col>31</xdr:col>
      <xdr:colOff>214648</xdr:colOff>
      <xdr:row>12</xdr:row>
      <xdr:rowOff>79310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154D56AC-0246-823C-2F48-8054C5E8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4190" y="120742"/>
          <a:ext cx="4239296" cy="3179470"/>
        </a:xfrm>
        <a:prstGeom prst="rect">
          <a:avLst/>
        </a:prstGeom>
      </xdr:spPr>
    </xdr:pic>
    <xdr:clientData/>
  </xdr:twoCellAnchor>
  <xdr:twoCellAnchor editAs="oneCell">
    <xdr:from>
      <xdr:col>15</xdr:col>
      <xdr:colOff>107324</xdr:colOff>
      <xdr:row>1</xdr:row>
      <xdr:rowOff>13415</xdr:rowOff>
    </xdr:from>
    <xdr:to>
      <xdr:col>24</xdr:col>
      <xdr:colOff>174400</xdr:colOff>
      <xdr:row>12</xdr:row>
      <xdr:rowOff>83949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11F532DE-ABD2-1494-68EA-F250B8CCE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7007" y="120739"/>
          <a:ext cx="5500351" cy="3184112"/>
        </a:xfrm>
        <a:prstGeom prst="rect">
          <a:avLst/>
        </a:prstGeom>
      </xdr:spPr>
    </xdr:pic>
    <xdr:clientData/>
  </xdr:twoCellAnchor>
  <xdr:twoCellAnchor editAs="oneCell">
    <xdr:from>
      <xdr:col>14</xdr:col>
      <xdr:colOff>27609</xdr:colOff>
      <xdr:row>36</xdr:row>
      <xdr:rowOff>207065</xdr:rowOff>
    </xdr:from>
    <xdr:to>
      <xdr:col>15</xdr:col>
      <xdr:colOff>27127</xdr:colOff>
      <xdr:row>39</xdr:row>
      <xdr:rowOff>190961</xdr:rowOff>
    </xdr:to>
    <xdr:pic>
      <xdr:nvPicPr>
        <xdr:cNvPr id="2" name="Resim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ACF6FFF-C331-441C-8CFC-4A64E6C7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00761" y="9663043"/>
          <a:ext cx="952018" cy="701722"/>
        </a:xfrm>
        <a:prstGeom prst="rect">
          <a:avLst/>
        </a:prstGeom>
      </xdr:spPr>
    </xdr:pic>
    <xdr:clientData/>
  </xdr:twoCellAnchor>
  <xdr:twoCellAnchor editAs="oneCell">
    <xdr:from>
      <xdr:col>1</xdr:col>
      <xdr:colOff>303696</xdr:colOff>
      <xdr:row>4</xdr:row>
      <xdr:rowOff>0</xdr:rowOff>
    </xdr:from>
    <xdr:to>
      <xdr:col>2</xdr:col>
      <xdr:colOff>349211</xdr:colOff>
      <xdr:row>6</xdr:row>
      <xdr:rowOff>110297</xdr:rowOff>
    </xdr:to>
    <xdr:pic>
      <xdr:nvPicPr>
        <xdr:cNvPr id="7" name="Resim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C76C090-3CB3-4CDA-90CE-D8C68D8A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3587" y="1062935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96630</xdr:colOff>
      <xdr:row>5</xdr:row>
      <xdr:rowOff>345108</xdr:rowOff>
    </xdr:from>
    <xdr:to>
      <xdr:col>2</xdr:col>
      <xdr:colOff>350001</xdr:colOff>
      <xdr:row>6</xdr:row>
      <xdr:rowOff>90970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F65EE996-403C-4FCF-BB84-FAF830CD5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3913" y="1615108"/>
          <a:ext cx="253371" cy="10477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77540</xdr:colOff>
      <xdr:row>12</xdr:row>
      <xdr:rowOff>75397</xdr:rowOff>
    </xdr:from>
    <xdr:to>
      <xdr:col>31</xdr:col>
      <xdr:colOff>335386</xdr:colOff>
      <xdr:row>35</xdr:row>
      <xdr:rowOff>115532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5910" y="3347027"/>
          <a:ext cx="9976106" cy="5653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432382</xdr:colOff>
      <xdr:row>0</xdr:row>
      <xdr:rowOff>175846</xdr:rowOff>
    </xdr:from>
    <xdr:to>
      <xdr:col>40</xdr:col>
      <xdr:colOff>40248</xdr:colOff>
      <xdr:row>35</xdr:row>
      <xdr:rowOff>115531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344" y="175846"/>
          <a:ext cx="5147018" cy="8863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325464</xdr:colOff>
      <xdr:row>39</xdr:row>
      <xdr:rowOff>133420</xdr:rowOff>
    </xdr:from>
    <xdr:to>
      <xdr:col>30</xdr:col>
      <xdr:colOff>564137</xdr:colOff>
      <xdr:row>43</xdr:row>
      <xdr:rowOff>175004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9F7B0526-9CCF-7FF6-B3F9-532412876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87084" y="10087716"/>
          <a:ext cx="842371" cy="878241"/>
        </a:xfrm>
        <a:prstGeom prst="rect">
          <a:avLst/>
        </a:prstGeom>
      </xdr:spPr>
    </xdr:pic>
    <xdr:clientData/>
  </xdr:twoCellAnchor>
  <xdr:twoCellAnchor editAs="oneCell">
    <xdr:from>
      <xdr:col>29</xdr:col>
      <xdr:colOff>312416</xdr:colOff>
      <xdr:row>36</xdr:row>
      <xdr:rowOff>39511</xdr:rowOff>
    </xdr:from>
    <xdr:to>
      <xdr:col>31</xdr:col>
      <xdr:colOff>571101</xdr:colOff>
      <xdr:row>39</xdr:row>
      <xdr:rowOff>15360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2F1BFFEC-A119-D9F3-8B14-158E9393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0749" y="9322606"/>
          <a:ext cx="1468210" cy="731337"/>
        </a:xfrm>
        <a:prstGeom prst="rect">
          <a:avLst/>
        </a:prstGeom>
      </xdr:spPr>
    </xdr:pic>
    <xdr:clientData/>
  </xdr:twoCellAnchor>
  <xdr:twoCellAnchor editAs="oneCell">
    <xdr:from>
      <xdr:col>25</xdr:col>
      <xdr:colOff>90288</xdr:colOff>
      <xdr:row>37</xdr:row>
      <xdr:rowOff>50255</xdr:rowOff>
    </xdr:from>
    <xdr:to>
      <xdr:col>26</xdr:col>
      <xdr:colOff>551858</xdr:colOff>
      <xdr:row>38</xdr:row>
      <xdr:rowOff>180955</xdr:rowOff>
    </xdr:to>
    <xdr:pic>
      <xdr:nvPicPr>
        <xdr:cNvPr id="10" name="Resim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EFD4C45-A136-4B4B-995D-3342A206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11955" y="10618469"/>
          <a:ext cx="1066332" cy="423545"/>
        </a:xfrm>
        <a:prstGeom prst="rect">
          <a:avLst/>
        </a:prstGeom>
      </xdr:spPr>
    </xdr:pic>
    <xdr:clientData/>
  </xdr:twoCellAnchor>
  <xdr:twoCellAnchor editAs="oneCell">
    <xdr:from>
      <xdr:col>15</xdr:col>
      <xdr:colOff>67077</xdr:colOff>
      <xdr:row>0</xdr:row>
      <xdr:rowOff>174401</xdr:rowOff>
    </xdr:from>
    <xdr:to>
      <xdr:col>24</xdr:col>
      <xdr:colOff>247790</xdr:colOff>
      <xdr:row>12</xdr:row>
      <xdr:rowOff>27526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B6F5D24C-0FAD-40A0-83A4-59A100F7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28697" y="174401"/>
          <a:ext cx="5613988" cy="3180167"/>
        </a:xfrm>
        <a:prstGeom prst="rect">
          <a:avLst/>
        </a:prstGeom>
      </xdr:spPr>
    </xdr:pic>
    <xdr:clientData/>
  </xdr:twoCellAnchor>
  <xdr:twoCellAnchor editAs="oneCell">
    <xdr:from>
      <xdr:col>24</xdr:col>
      <xdr:colOff>281726</xdr:colOff>
      <xdr:row>0</xdr:row>
      <xdr:rowOff>174703</xdr:rowOff>
    </xdr:from>
    <xdr:to>
      <xdr:col>31</xdr:col>
      <xdr:colOff>337038</xdr:colOff>
      <xdr:row>12</xdr:row>
      <xdr:rowOff>26831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D9D372DB-0FF6-4687-B280-0CF10602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91457" y="174703"/>
          <a:ext cx="4363543" cy="3149243"/>
        </a:xfrm>
        <a:prstGeom prst="rect">
          <a:avLst/>
        </a:prstGeom>
      </xdr:spPr>
    </xdr:pic>
    <xdr:clientData/>
  </xdr:twoCellAnchor>
  <xdr:twoCellAnchor editAs="oneCell">
    <xdr:from>
      <xdr:col>7</xdr:col>
      <xdr:colOff>14432</xdr:colOff>
      <xdr:row>39</xdr:row>
      <xdr:rowOff>115454</xdr:rowOff>
    </xdr:from>
    <xdr:to>
      <xdr:col>8</xdr:col>
      <xdr:colOff>603780</xdr:colOff>
      <xdr:row>43</xdr:row>
      <xdr:rowOff>174018</xdr:rowOff>
    </xdr:to>
    <xdr:pic>
      <xdr:nvPicPr>
        <xdr:cNvPr id="5" name="Resim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6D35779-2FB2-4647-A2CA-DB048AF9A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60455" y="9957954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8</xdr:col>
      <xdr:colOff>375229</xdr:colOff>
      <xdr:row>0</xdr:row>
      <xdr:rowOff>173181</xdr:rowOff>
    </xdr:from>
    <xdr:to>
      <xdr:col>9</xdr:col>
      <xdr:colOff>533979</xdr:colOff>
      <xdr:row>3</xdr:row>
      <xdr:rowOff>113966</xdr:rowOff>
    </xdr:to>
    <xdr:pic>
      <xdr:nvPicPr>
        <xdr:cNvPr id="4" name="Resim 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8DA9C81-DCE9-4AE8-9226-A186B175F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27388" y="173181"/>
          <a:ext cx="764886" cy="792262"/>
        </a:xfrm>
        <a:prstGeom prst="rect">
          <a:avLst/>
        </a:prstGeom>
      </xdr:spPr>
    </xdr:pic>
    <xdr:clientData/>
  </xdr:twoCellAnchor>
  <xdr:twoCellAnchor editAs="oneCell">
    <xdr:from>
      <xdr:col>9</xdr:col>
      <xdr:colOff>202045</xdr:colOff>
      <xdr:row>3</xdr:row>
      <xdr:rowOff>0</xdr:rowOff>
    </xdr:from>
    <xdr:to>
      <xdr:col>9</xdr:col>
      <xdr:colOff>455416</xdr:colOff>
      <xdr:row>3</xdr:row>
      <xdr:rowOff>104775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4B49C4BB-9D2A-4BAB-A886-BE6DB20F6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60340" y="851477"/>
          <a:ext cx="253371" cy="104775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114301</xdr:colOff>
      <xdr:row>51</xdr:row>
      <xdr:rowOff>66675</xdr:rowOff>
    </xdr:from>
    <xdr:to>
      <xdr:col>24</xdr:col>
      <xdr:colOff>149679</xdr:colOff>
      <xdr:row>73</xdr:row>
      <xdr:rowOff>72030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984BA8D-D457-4AD5-A464-37AFE3BEE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1" y="8277225"/>
          <a:ext cx="3121479" cy="419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51</xdr:row>
      <xdr:rowOff>66675</xdr:rowOff>
    </xdr:from>
    <xdr:to>
      <xdr:col>12</xdr:col>
      <xdr:colOff>309857</xdr:colOff>
      <xdr:row>68</xdr:row>
      <xdr:rowOff>72389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338FDD7F-9D42-41EE-8E82-277224A0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8277225"/>
          <a:ext cx="3855717" cy="3244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51</xdr:row>
      <xdr:rowOff>57150</xdr:rowOff>
    </xdr:from>
    <xdr:to>
      <xdr:col>5</xdr:col>
      <xdr:colOff>624538</xdr:colOff>
      <xdr:row>64</xdr:row>
      <xdr:rowOff>148070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46A7C6CB-3BE2-43EC-A70D-DE8AF183D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8267700"/>
          <a:ext cx="4208669" cy="2567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114301</xdr:colOff>
      <xdr:row>51</xdr:row>
      <xdr:rowOff>66675</xdr:rowOff>
    </xdr:from>
    <xdr:to>
      <xdr:col>24</xdr:col>
      <xdr:colOff>149679</xdr:colOff>
      <xdr:row>73</xdr:row>
      <xdr:rowOff>72030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637A192-8CC1-40A5-9C1C-AB26EF62A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1" y="8277225"/>
          <a:ext cx="3121479" cy="4196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51</xdr:row>
      <xdr:rowOff>66675</xdr:rowOff>
    </xdr:from>
    <xdr:to>
      <xdr:col>12</xdr:col>
      <xdr:colOff>309857</xdr:colOff>
      <xdr:row>68</xdr:row>
      <xdr:rowOff>72389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32A87379-66B8-4A84-B0D7-646933F52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8277225"/>
          <a:ext cx="3855717" cy="3244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51</xdr:row>
      <xdr:rowOff>57150</xdr:rowOff>
    </xdr:from>
    <xdr:to>
      <xdr:col>5</xdr:col>
      <xdr:colOff>624538</xdr:colOff>
      <xdr:row>64</xdr:row>
      <xdr:rowOff>148070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C65073D-3112-4CBC-8A8A-25D41CF33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8267700"/>
          <a:ext cx="4208669" cy="2567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151321</xdr:colOff>
      <xdr:row>14</xdr:row>
      <xdr:rowOff>36943</xdr:rowOff>
    </xdr:from>
    <xdr:to>
      <xdr:col>29</xdr:col>
      <xdr:colOff>175605</xdr:colOff>
      <xdr:row>16</xdr:row>
      <xdr:rowOff>54106</xdr:rowOff>
    </xdr:to>
    <xdr:pic>
      <xdr:nvPicPr>
        <xdr:cNvPr id="8" name="Resim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1CB9937-A72E-49AF-AD98-6412A8EB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30178" y="823133"/>
          <a:ext cx="1076570" cy="380020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37</xdr:row>
      <xdr:rowOff>166687</xdr:rowOff>
    </xdr:from>
    <xdr:to>
      <xdr:col>6</xdr:col>
      <xdr:colOff>83343</xdr:colOff>
      <xdr:row>41</xdr:row>
      <xdr:rowOff>194523</xdr:rowOff>
    </xdr:to>
    <xdr:pic>
      <xdr:nvPicPr>
        <xdr:cNvPr id="11" name="Resim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F6B579D-174B-44AE-B1EF-341B15C8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81500" y="6643687"/>
          <a:ext cx="1071562" cy="789836"/>
        </a:xfrm>
        <a:prstGeom prst="rect">
          <a:avLst/>
        </a:prstGeom>
      </xdr:spPr>
    </xdr:pic>
    <xdr:clientData/>
  </xdr:twoCellAnchor>
  <xdr:twoCellAnchor editAs="oneCell">
    <xdr:from>
      <xdr:col>6</xdr:col>
      <xdr:colOff>202406</xdr:colOff>
      <xdr:row>11</xdr:row>
      <xdr:rowOff>285749</xdr:rowOff>
    </xdr:from>
    <xdr:to>
      <xdr:col>7</xdr:col>
      <xdr:colOff>164751</xdr:colOff>
      <xdr:row>14</xdr:row>
      <xdr:rowOff>80962</xdr:rowOff>
    </xdr:to>
    <xdr:pic>
      <xdr:nvPicPr>
        <xdr:cNvPr id="12" name="Resim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476776B-9381-4BFE-98BB-C054AB5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2125" y="988218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583406</xdr:colOff>
      <xdr:row>13</xdr:row>
      <xdr:rowOff>285749</xdr:rowOff>
    </xdr:from>
    <xdr:to>
      <xdr:col>7</xdr:col>
      <xdr:colOff>146215</xdr:colOff>
      <xdr:row>14</xdr:row>
      <xdr:rowOff>69056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4B857B3D-408D-4245-B636-8CD7D0927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53125" y="1547812"/>
          <a:ext cx="253371" cy="104775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156073</xdr:colOff>
      <xdr:row>13</xdr:row>
      <xdr:rowOff>160387</xdr:rowOff>
    </xdr:from>
    <xdr:to>
      <xdr:col>25</xdr:col>
      <xdr:colOff>542663</xdr:colOff>
      <xdr:row>22</xdr:row>
      <xdr:rowOff>55086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7573CB42-0358-B194-2CAC-1A303B547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5157" y="3015592"/>
          <a:ext cx="2782760" cy="1703301"/>
        </a:xfrm>
        <a:prstGeom prst="rect">
          <a:avLst/>
        </a:prstGeom>
      </xdr:spPr>
    </xdr:pic>
    <xdr:clientData/>
  </xdr:twoCellAnchor>
  <xdr:twoCellAnchor editAs="oneCell">
    <xdr:from>
      <xdr:col>13</xdr:col>
      <xdr:colOff>100966</xdr:colOff>
      <xdr:row>3</xdr:row>
      <xdr:rowOff>358141</xdr:rowOff>
    </xdr:from>
    <xdr:to>
      <xdr:col>14</xdr:col>
      <xdr:colOff>581025</xdr:colOff>
      <xdr:row>6</xdr:row>
      <xdr:rowOff>47862</xdr:rowOff>
    </xdr:to>
    <xdr:pic>
      <xdr:nvPicPr>
        <xdr:cNvPr id="4" name="Resi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9D3C92-13D4-4B17-87C4-8D47E2876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9916" y="805816"/>
          <a:ext cx="651509" cy="680321"/>
        </a:xfrm>
        <a:prstGeom prst="rect">
          <a:avLst/>
        </a:prstGeom>
      </xdr:spPr>
    </xdr:pic>
    <xdr:clientData/>
  </xdr:twoCellAnchor>
  <xdr:twoCellAnchor editAs="oneCell">
    <xdr:from>
      <xdr:col>14</xdr:col>
      <xdr:colOff>272415</xdr:colOff>
      <xdr:row>5</xdr:row>
      <xdr:rowOff>110490</xdr:rowOff>
    </xdr:from>
    <xdr:to>
      <xdr:col>14</xdr:col>
      <xdr:colOff>581025</xdr:colOff>
      <xdr:row>6</xdr:row>
      <xdr:rowOff>43815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E089590C-86AC-4545-B041-8778FBA8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2815" y="1358265"/>
          <a:ext cx="308610" cy="123825"/>
        </a:xfrm>
        <a:prstGeom prst="rect">
          <a:avLst/>
        </a:prstGeom>
      </xdr:spPr>
    </xdr:pic>
    <xdr:clientData/>
  </xdr:twoCellAnchor>
  <xdr:twoCellAnchor editAs="oneCell">
    <xdr:from>
      <xdr:col>28</xdr:col>
      <xdr:colOff>29766</xdr:colOff>
      <xdr:row>24</xdr:row>
      <xdr:rowOff>89296</xdr:rowOff>
    </xdr:from>
    <xdr:to>
      <xdr:col>30</xdr:col>
      <xdr:colOff>12064</xdr:colOff>
      <xdr:row>27</xdr:row>
      <xdr:rowOff>146959</xdr:rowOff>
    </xdr:to>
    <xdr:pic>
      <xdr:nvPicPr>
        <xdr:cNvPr id="3" name="Resim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02B9313-FD7A-4221-8150-877F769B4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4766" y="5208984"/>
          <a:ext cx="845501" cy="62320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617838</xdr:colOff>
      <xdr:row>4</xdr:row>
      <xdr:rowOff>154459</xdr:rowOff>
    </xdr:from>
    <xdr:to>
      <xdr:col>17</xdr:col>
      <xdr:colOff>0</xdr:colOff>
      <xdr:row>6</xdr:row>
      <xdr:rowOff>61784</xdr:rowOff>
    </xdr:to>
    <xdr:sp macro="" textlink="">
      <xdr:nvSpPr>
        <xdr:cNvPr id="4" name="Dikdörtgen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871CAC-4F6F-4D93-A58A-CA5D686585C2}"/>
            </a:ext>
          </a:extLst>
        </xdr:cNvPr>
        <xdr:cNvSpPr/>
      </xdr:nvSpPr>
      <xdr:spPr>
        <a:xfrm>
          <a:off x="8062784" y="1215081"/>
          <a:ext cx="2224216" cy="298622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200" b="0" baseline="0">
              <a:solidFill>
                <a:srgbClr val="FFFFCC"/>
              </a:solidFill>
            </a:rPr>
            <a:t>    Havuz Denge Depo Hesabı</a:t>
          </a:r>
          <a:endParaRPr lang="tr-TR" sz="1200" b="0">
            <a:solidFill>
              <a:srgbClr val="FFFFCC"/>
            </a:solidFill>
          </a:endParaRPr>
        </a:p>
      </xdr:txBody>
    </xdr:sp>
    <xdr:clientData/>
  </xdr:twoCellAnchor>
  <xdr:twoCellAnchor editAs="oneCell">
    <xdr:from>
      <xdr:col>23</xdr:col>
      <xdr:colOff>34848</xdr:colOff>
      <xdr:row>47</xdr:row>
      <xdr:rowOff>11615</xdr:rowOff>
    </xdr:from>
    <xdr:to>
      <xdr:col>24</xdr:col>
      <xdr:colOff>383324</xdr:colOff>
      <xdr:row>50</xdr:row>
      <xdr:rowOff>156131</xdr:rowOff>
    </xdr:to>
    <xdr:pic>
      <xdr:nvPicPr>
        <xdr:cNvPr id="5" name="Resim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2AEECF-F628-4429-A2EC-A9EC702BB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36037" y="8363414"/>
          <a:ext cx="952500" cy="702077"/>
        </a:xfrm>
        <a:prstGeom prst="rect">
          <a:avLst/>
        </a:prstGeom>
      </xdr:spPr>
    </xdr:pic>
    <xdr:clientData/>
  </xdr:twoCellAnchor>
  <xdr:twoCellAnchor editAs="oneCell">
    <xdr:from>
      <xdr:col>17</xdr:col>
      <xdr:colOff>222662</xdr:colOff>
      <xdr:row>4</xdr:row>
      <xdr:rowOff>160812</xdr:rowOff>
    </xdr:from>
    <xdr:to>
      <xdr:col>19</xdr:col>
      <xdr:colOff>22030</xdr:colOff>
      <xdr:row>8</xdr:row>
      <xdr:rowOff>45399</xdr:rowOff>
    </xdr:to>
    <xdr:pic>
      <xdr:nvPicPr>
        <xdr:cNvPr id="2" name="Resim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FB8DF64-401E-4076-AEAD-CF55057EA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7727" y="1224643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18</xdr:col>
      <xdr:colOff>272142</xdr:colOff>
      <xdr:row>7</xdr:row>
      <xdr:rowOff>136072</xdr:rowOff>
    </xdr:from>
    <xdr:to>
      <xdr:col>19</xdr:col>
      <xdr:colOff>18338</xdr:colOff>
      <xdr:row>8</xdr:row>
      <xdr:rowOff>42925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911D6405-E56D-4501-80DA-26DFE070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13571" y="1793669"/>
          <a:ext cx="253371" cy="104775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16144</xdr:colOff>
      <xdr:row>20</xdr:row>
      <xdr:rowOff>88791</xdr:rowOff>
    </xdr:from>
    <xdr:to>
      <xdr:col>17</xdr:col>
      <xdr:colOff>379131</xdr:colOff>
      <xdr:row>23</xdr:row>
      <xdr:rowOff>203127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6CBD11-7476-4237-8AE5-7F1869D9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97775" y="4399257"/>
          <a:ext cx="976462" cy="719739"/>
        </a:xfrm>
        <a:prstGeom prst="rect">
          <a:avLst/>
        </a:prstGeom>
      </xdr:spPr>
    </xdr:pic>
    <xdr:clientData/>
  </xdr:twoCellAnchor>
  <xdr:twoCellAnchor editAs="oneCell">
    <xdr:from>
      <xdr:col>7</xdr:col>
      <xdr:colOff>137224</xdr:colOff>
      <xdr:row>5</xdr:row>
      <xdr:rowOff>32287</xdr:rowOff>
    </xdr:from>
    <xdr:to>
      <xdr:col>7</xdr:col>
      <xdr:colOff>790131</xdr:colOff>
      <xdr:row>8</xdr:row>
      <xdr:rowOff>103160</xdr:rowOff>
    </xdr:to>
    <xdr:pic>
      <xdr:nvPicPr>
        <xdr:cNvPr id="5" name="Resim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1F4DCF-7AC9-4732-8363-9DA8B3525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4851" y="1113940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7</xdr:col>
      <xdr:colOff>540827</xdr:colOff>
      <xdr:row>7</xdr:row>
      <xdr:rowOff>185657</xdr:rowOff>
    </xdr:from>
    <xdr:to>
      <xdr:col>7</xdr:col>
      <xdr:colOff>794198</xdr:colOff>
      <xdr:row>8</xdr:row>
      <xdr:rowOff>88631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A27A5DB9-AFE9-45EA-A555-D45CF2486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98454" y="1670911"/>
          <a:ext cx="253371" cy="104775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28</xdr:row>
      <xdr:rowOff>9525</xdr:rowOff>
    </xdr:from>
    <xdr:to>
      <xdr:col>5</xdr:col>
      <xdr:colOff>238578</xdr:colOff>
      <xdr:row>38</xdr:row>
      <xdr:rowOff>86003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6B1E7556-0276-3CCE-1904-34876C4A0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4581525"/>
          <a:ext cx="3248478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15</xdr:row>
      <xdr:rowOff>85725</xdr:rowOff>
    </xdr:from>
    <xdr:to>
      <xdr:col>5</xdr:col>
      <xdr:colOff>152836</xdr:colOff>
      <xdr:row>27</xdr:row>
      <xdr:rowOff>808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D8D58C5D-3361-305E-5E05-EAB6B9B87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181225"/>
          <a:ext cx="3124636" cy="2191056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</xdr:row>
      <xdr:rowOff>180975</xdr:rowOff>
    </xdr:from>
    <xdr:to>
      <xdr:col>17</xdr:col>
      <xdr:colOff>172394</xdr:colOff>
      <xdr:row>36</xdr:row>
      <xdr:rowOff>52486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45854C84-411B-3BCB-F38E-BC1698503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1950" y="180975"/>
          <a:ext cx="6763694" cy="6087325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4</xdr:row>
      <xdr:rowOff>175962</xdr:rowOff>
    </xdr:from>
    <xdr:to>
      <xdr:col>28</xdr:col>
      <xdr:colOff>524832</xdr:colOff>
      <xdr:row>32</xdr:row>
      <xdr:rowOff>123577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42178404-7E35-BF28-D760-44AA2562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9870" y="175962"/>
          <a:ext cx="6881015" cy="5131220"/>
        </a:xfrm>
        <a:prstGeom prst="rect">
          <a:avLst/>
        </a:prstGeom>
      </xdr:spPr>
    </xdr:pic>
    <xdr:clientData/>
  </xdr:twoCellAnchor>
  <xdr:twoCellAnchor editAs="oneCell">
    <xdr:from>
      <xdr:col>14</xdr:col>
      <xdr:colOff>159418</xdr:colOff>
      <xdr:row>5</xdr:row>
      <xdr:rowOff>82216</xdr:rowOff>
    </xdr:from>
    <xdr:to>
      <xdr:col>17</xdr:col>
      <xdr:colOff>73693</xdr:colOff>
      <xdr:row>7</xdr:row>
      <xdr:rowOff>160266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C450C02F-0748-F8C4-13DC-6629C2146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2997" y="262690"/>
          <a:ext cx="1749091" cy="489129"/>
        </a:xfrm>
        <a:prstGeom prst="rect">
          <a:avLst/>
        </a:prstGeom>
      </xdr:spPr>
    </xdr:pic>
    <xdr:clientData/>
  </xdr:twoCellAnchor>
  <xdr:twoCellAnchor editAs="oneCell">
    <xdr:from>
      <xdr:col>24</xdr:col>
      <xdr:colOff>51209</xdr:colOff>
      <xdr:row>33</xdr:row>
      <xdr:rowOff>96106</xdr:rowOff>
    </xdr:from>
    <xdr:to>
      <xdr:col>25</xdr:col>
      <xdr:colOff>307258</xdr:colOff>
      <xdr:row>36</xdr:row>
      <xdr:rowOff>154000</xdr:rowOff>
    </xdr:to>
    <xdr:pic>
      <xdr:nvPicPr>
        <xdr:cNvPr id="9" name="Resim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FFA08FA-97FF-4AD2-B9E3-F4917454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99032" y="6650945"/>
          <a:ext cx="870565" cy="641684"/>
        </a:xfrm>
        <a:prstGeom prst="rect">
          <a:avLst/>
        </a:prstGeom>
      </xdr:spPr>
    </xdr:pic>
    <xdr:clientData/>
  </xdr:twoCellAnchor>
  <xdr:twoCellAnchor editAs="oneCell">
    <xdr:from>
      <xdr:col>6</xdr:col>
      <xdr:colOff>112661</xdr:colOff>
      <xdr:row>0</xdr:row>
      <xdr:rowOff>122902</xdr:rowOff>
    </xdr:from>
    <xdr:to>
      <xdr:col>7</xdr:col>
      <xdr:colOff>207692</xdr:colOff>
      <xdr:row>4</xdr:row>
      <xdr:rowOff>56722</xdr:rowOff>
    </xdr:to>
    <xdr:pic>
      <xdr:nvPicPr>
        <xdr:cNvPr id="11" name="Resim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CF1962F-A0A2-430F-A320-9F3EC56F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9193" y="122902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6</xdr:col>
      <xdr:colOff>327743</xdr:colOff>
      <xdr:row>2</xdr:row>
      <xdr:rowOff>0</xdr:rowOff>
    </xdr:from>
    <xdr:to>
      <xdr:col>6</xdr:col>
      <xdr:colOff>610867</xdr:colOff>
      <xdr:row>2</xdr:row>
      <xdr:rowOff>116159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CFFF9DED-D15D-4E6A-9E0B-BC8FD0F8E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4275" y="399435"/>
          <a:ext cx="283124" cy="11615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285750</xdr:colOff>
      <xdr:row>22</xdr:row>
      <xdr:rowOff>57150</xdr:rowOff>
    </xdr:from>
    <xdr:to>
      <xdr:col>15</xdr:col>
      <xdr:colOff>461283</xdr:colOff>
      <xdr:row>33</xdr:row>
      <xdr:rowOff>104775</xdr:rowOff>
    </xdr:to>
    <xdr:sp macro="" textlink="">
      <xdr:nvSpPr>
        <xdr:cNvPr id="33793" name="Object 1" hidden="1">
          <a:extLst>
            <a:ext uri="{63B3BB69-23CF-44E3-9099-C40C66FF867C}">
              <a14:compatExt xmlns:a14="http://schemas.microsoft.com/office/drawing/2010/main" spid="_x0000_s33793"/>
            </a:ext>
            <a:ext uri="{FF2B5EF4-FFF2-40B4-BE49-F238E27FC236}">
              <a16:creationId xmlns:a16="http://schemas.microsoft.com/office/drawing/2014/main" id="{00000000-0008-0000-0100-0000018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40423</xdr:colOff>
      <xdr:row>2</xdr:row>
      <xdr:rowOff>202813</xdr:rowOff>
    </xdr:from>
    <xdr:to>
      <xdr:col>36</xdr:col>
      <xdr:colOff>237196</xdr:colOff>
      <xdr:row>39</xdr:row>
      <xdr:rowOff>20289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9112" y="365435"/>
          <a:ext cx="6539029" cy="7506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285750</xdr:colOff>
      <xdr:row>22</xdr:row>
      <xdr:rowOff>57150</xdr:rowOff>
    </xdr:from>
    <xdr:to>
      <xdr:col>15</xdr:col>
      <xdr:colOff>461283</xdr:colOff>
      <xdr:row>33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FED88B-99CD-2102-EB0F-7AAB7B83E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53" r="21353"/>
        <a:stretch>
          <a:fillRect/>
        </a:stretch>
      </xdr:blipFill>
      <xdr:spPr bwMode="auto">
        <a:xfrm>
          <a:off x="4400550" y="4248150"/>
          <a:ext cx="217170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42</xdr:col>
      <xdr:colOff>36635</xdr:colOff>
      <xdr:row>36</xdr:row>
      <xdr:rowOff>158750</xdr:rowOff>
    </xdr:from>
    <xdr:to>
      <xdr:col>44</xdr:col>
      <xdr:colOff>10965</xdr:colOff>
      <xdr:row>40</xdr:row>
      <xdr:rowOff>172909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E7611F-2A16-4E33-A650-4D59B22A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94616" y="7497885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13</xdr:col>
      <xdr:colOff>184451</xdr:colOff>
      <xdr:row>3</xdr:row>
      <xdr:rowOff>109903</xdr:rowOff>
    </xdr:to>
    <xdr:pic>
      <xdr:nvPicPr>
        <xdr:cNvPr id="5" name="Resi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C52EAB3-9F75-4724-A63D-181520564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69423" y="329712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12</xdr:col>
      <xdr:colOff>219808</xdr:colOff>
      <xdr:row>2</xdr:row>
      <xdr:rowOff>293077</xdr:rowOff>
    </xdr:from>
    <xdr:to>
      <xdr:col>12</xdr:col>
      <xdr:colOff>502932</xdr:colOff>
      <xdr:row>2</xdr:row>
      <xdr:rowOff>409236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C817084B-1114-466F-9465-A24514CE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9231" y="622789"/>
          <a:ext cx="283124" cy="11615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34018</xdr:colOff>
      <xdr:row>14</xdr:row>
      <xdr:rowOff>80201</xdr:rowOff>
    </xdr:from>
    <xdr:to>
      <xdr:col>19</xdr:col>
      <xdr:colOff>289153</xdr:colOff>
      <xdr:row>17</xdr:row>
      <xdr:rowOff>158298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CB2D4-C209-4C5F-B5D5-6E022C67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3304" y="3694598"/>
          <a:ext cx="867456" cy="639392"/>
        </a:xfrm>
        <a:prstGeom prst="rect">
          <a:avLst/>
        </a:prstGeom>
      </xdr:spPr>
    </xdr:pic>
    <xdr:clientData/>
  </xdr:twoCellAnchor>
  <xdr:twoCellAnchor editAs="oneCell">
    <xdr:from>
      <xdr:col>12</xdr:col>
      <xdr:colOff>246629</xdr:colOff>
      <xdr:row>6</xdr:row>
      <xdr:rowOff>595312</xdr:rowOff>
    </xdr:from>
    <xdr:to>
      <xdr:col>14</xdr:col>
      <xdr:colOff>389268</xdr:colOff>
      <xdr:row>8</xdr:row>
      <xdr:rowOff>157502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55E556-ECFE-411A-A006-168ECC77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46361" y="1819955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127566</xdr:colOff>
      <xdr:row>8</xdr:row>
      <xdr:rowOff>51027</xdr:rowOff>
    </xdr:from>
    <xdr:to>
      <xdr:col>14</xdr:col>
      <xdr:colOff>380937</xdr:colOff>
      <xdr:row>8</xdr:row>
      <xdr:rowOff>155802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AA6DA02D-81EE-4EEE-BD91-0AF1F520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37566" y="2389755"/>
          <a:ext cx="253371" cy="104775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8</xdr:row>
      <xdr:rowOff>142875</xdr:rowOff>
    </xdr:from>
    <xdr:to>
      <xdr:col>9</xdr:col>
      <xdr:colOff>0</xdr:colOff>
      <xdr:row>8</xdr:row>
      <xdr:rowOff>142875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ShapeType="1"/>
        </xdr:cNvSpPr>
      </xdr:nvSpPr>
      <xdr:spPr bwMode="auto">
        <a:xfrm flipV="1">
          <a:off x="7496175" y="147637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390525</xdr:colOff>
      <xdr:row>8</xdr:row>
      <xdr:rowOff>104775</xdr:rowOff>
    </xdr:from>
    <xdr:to>
      <xdr:col>25</xdr:col>
      <xdr:colOff>57150</xdr:colOff>
      <xdr:row>16</xdr:row>
      <xdr:rowOff>104775</xdr:rowOff>
    </xdr:to>
    <xdr:sp macro="" textlink="">
      <xdr:nvSpPr>
        <xdr:cNvPr id="3" name="Metin 5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>
          <a:spLocks noChangeArrowheads="1"/>
        </xdr:cNvSpPr>
      </xdr:nvSpPr>
      <xdr:spPr bwMode="auto">
        <a:xfrm>
          <a:off x="4895850" y="1438275"/>
          <a:ext cx="2657475" cy="13144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tr-TR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Kullanım Faktörleri :</a:t>
          </a:r>
          <a:endParaRPr lang="tr-TR" sz="8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0,3        = Havuz Brandalı Gece Çalışması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0,6        =  Havuz Brandasız Gece Çalışması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1,0        = Özel kullanım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1,5        = Hotel Havuzları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2,0-2,5   = Eğitim ve Halka Açık Havuzlar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(2,2)      = Ortalama Faktör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2,7        = Dalgalı Havuzlar , Su Kaydırağı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Arial"/>
              <a:cs typeface="Arial"/>
            </a:rPr>
            <a:t>3,0        = Girdap havuzu, Şelale ve benzer atraksiyonlar</a:t>
          </a:r>
          <a:endParaRPr lang="tr-TR"/>
        </a:p>
      </xdr:txBody>
    </xdr:sp>
    <xdr:clientData/>
  </xdr:twoCellAnchor>
  <xdr:twoCellAnchor>
    <xdr:from>
      <xdr:col>1</xdr:col>
      <xdr:colOff>28575</xdr:colOff>
      <xdr:row>1</xdr:row>
      <xdr:rowOff>0</xdr:rowOff>
    </xdr:from>
    <xdr:to>
      <xdr:col>9</xdr:col>
      <xdr:colOff>9525</xdr:colOff>
      <xdr:row>2</xdr:row>
      <xdr:rowOff>9525</xdr:rowOff>
    </xdr:to>
    <xdr:sp macro="" textlink="">
      <xdr:nvSpPr>
        <xdr:cNvPr id="4" name="Metin 55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>
          <a:spLocks noChangeArrowheads="1"/>
        </xdr:cNvSpPr>
      </xdr:nvSpPr>
      <xdr:spPr bwMode="auto">
        <a:xfrm>
          <a:off x="790575" y="85725"/>
          <a:ext cx="6705600" cy="390525"/>
        </a:xfrm>
        <a:prstGeom prst="rect">
          <a:avLst/>
        </a:prstGeom>
        <a:solidFill>
          <a:schemeClr val="accent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45720" tIns="41148" rIns="45720" bIns="0" anchor="t" upright="1"/>
        <a:lstStyle/>
        <a:p>
          <a:pPr algn="ctr" rtl="0">
            <a:defRPr sz="1000"/>
          </a:pPr>
          <a:r>
            <a:rPr lang="tr-TR" sz="2200" b="1" i="0" u="none" strike="noStrike" baseline="0">
              <a:solidFill>
                <a:srgbClr val="000000"/>
              </a:solidFill>
              <a:latin typeface="Mistral" panose="03090702030407020403" pitchFamily="66" charset="0"/>
            </a:rPr>
            <a:t>Kapalı Havuz Nem Alma Hesabı</a:t>
          </a:r>
          <a:endParaRPr lang="tr-TR">
            <a:latin typeface="Mistral" panose="03090702030407020403" pitchFamily="66" charset="0"/>
          </a:endParaRPr>
        </a:p>
      </xdr:txBody>
    </xdr:sp>
    <xdr:clientData/>
  </xdr:twoCellAnchor>
  <xdr:twoCellAnchor>
    <xdr:from>
      <xdr:col>21</xdr:col>
      <xdr:colOff>0</xdr:colOff>
      <xdr:row>10</xdr:row>
      <xdr:rowOff>142875</xdr:rowOff>
    </xdr:from>
    <xdr:to>
      <xdr:col>21</xdr:col>
      <xdr:colOff>0</xdr:colOff>
      <xdr:row>10</xdr:row>
      <xdr:rowOff>142875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>
          <a:spLocks noChangeShapeType="1"/>
        </xdr:cNvSpPr>
      </xdr:nvSpPr>
      <xdr:spPr bwMode="auto">
        <a:xfrm flipV="1">
          <a:off x="7496175" y="1800225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381000</xdr:colOff>
      <xdr:row>12</xdr:row>
      <xdr:rowOff>19050</xdr:rowOff>
    </xdr:from>
    <xdr:to>
      <xdr:col>22</xdr:col>
      <xdr:colOff>57150</xdr:colOff>
      <xdr:row>18</xdr:row>
      <xdr:rowOff>104775</xdr:rowOff>
    </xdr:to>
    <xdr:sp macro="" textlink="">
      <xdr:nvSpPr>
        <xdr:cNvPr id="6" name="Metin 52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>
          <a:spLocks noChangeArrowheads="1"/>
        </xdr:cNvSpPr>
      </xdr:nvSpPr>
      <xdr:spPr bwMode="auto">
        <a:xfrm>
          <a:off x="7496175" y="2000250"/>
          <a:ext cx="0" cy="10572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tr-TR" sz="700" b="1" i="0" u="none" strike="noStrike" baseline="0">
              <a:solidFill>
                <a:srgbClr val="000000"/>
              </a:solidFill>
              <a:latin typeface="Frutiger 55 Roman"/>
            </a:rPr>
            <a:t>Gesamtverdunstungsbeiwert empirisch [g/(hPa m2 h)]:</a:t>
          </a:r>
          <a:endParaRPr lang="tr-TR" sz="700" b="0" i="0" u="none" strike="noStrike" baseline="0">
            <a:solidFill>
              <a:srgbClr val="000000"/>
            </a:solidFill>
            <a:latin typeface="Frutiger 55 Roman"/>
          </a:endParaRP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0,5 = Ruhebetrieb mit Beckenabdeckung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5,0 = Ruhebetrieb ohne Beckenabdeck.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15  = Wohnhausbad, kleine Wasserfläche, geringe Pers.-zahl/m2 Wasserfl. 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20  =Hallenbad, Normalbetrieb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28  = Freizeitbad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35  = Wellenbad (während d. Wellenbetriebs)</a:t>
          </a:r>
        </a:p>
        <a:p>
          <a:pPr algn="l" rtl="0">
            <a:defRPr sz="1000"/>
          </a:pPr>
          <a:r>
            <a:rPr lang="tr-TR" sz="700" b="0" i="0" u="none" strike="noStrike" baseline="0">
              <a:solidFill>
                <a:srgbClr val="000000"/>
              </a:solidFill>
              <a:latin typeface="Frutiger 55 Roman"/>
            </a:rPr>
            <a:t>(40  = Whirl-Pool)</a:t>
          </a:r>
          <a:endParaRPr lang="tr-TR"/>
        </a:p>
      </xdr:txBody>
    </xdr:sp>
    <xdr:clientData/>
  </xdr:twoCellAnchor>
  <xdr:twoCellAnchor>
    <xdr:from>
      <xdr:col>13</xdr:col>
      <xdr:colOff>142875</xdr:colOff>
      <xdr:row>1</xdr:row>
      <xdr:rowOff>19050</xdr:rowOff>
    </xdr:from>
    <xdr:to>
      <xdr:col>22</xdr:col>
      <xdr:colOff>133350</xdr:colOff>
      <xdr:row>3</xdr:row>
      <xdr:rowOff>19050</xdr:rowOff>
    </xdr:to>
    <xdr:sp macro="" textlink="">
      <xdr:nvSpPr>
        <xdr:cNvPr id="7" name="Metin 5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>
          <a:spLocks noChangeArrowheads="1"/>
        </xdr:cNvSpPr>
      </xdr:nvSpPr>
      <xdr:spPr bwMode="auto">
        <a:xfrm>
          <a:off x="7496175" y="104775"/>
          <a:ext cx="0" cy="4381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  <xdr:txBody>
        <a:bodyPr vertOverflow="clip" wrap="square" lIns="54864" tIns="50292" rIns="54864" bIns="50292" anchor="ctr" upright="1"/>
        <a:lstStyle/>
        <a:p>
          <a:pPr algn="ctr" rtl="0">
            <a:defRPr sz="1000"/>
          </a:pPr>
          <a:r>
            <a:rPr lang="tr-TR" sz="2600" b="1" i="0" u="none" strike="noStrike" baseline="0">
              <a:solidFill>
                <a:srgbClr val="000000"/>
              </a:solidFill>
              <a:latin typeface="Frutiger 55 Roman"/>
            </a:rPr>
            <a:t>GEA Happel - Fricostar </a:t>
          </a:r>
          <a:endParaRPr lang="tr-TR"/>
        </a:p>
      </xdr:txBody>
    </xdr:sp>
    <xdr:clientData/>
  </xdr:twoCellAnchor>
  <xdr:twoCellAnchor editAs="oneCell">
    <xdr:from>
      <xdr:col>26</xdr:col>
      <xdr:colOff>123825</xdr:colOff>
      <xdr:row>4</xdr:row>
      <xdr:rowOff>9525</xdr:rowOff>
    </xdr:from>
    <xdr:to>
      <xdr:col>33</xdr:col>
      <xdr:colOff>676275</xdr:colOff>
      <xdr:row>33</xdr:row>
      <xdr:rowOff>136405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590550"/>
          <a:ext cx="588645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8506</xdr:colOff>
      <xdr:row>34</xdr:row>
      <xdr:rowOff>17009</xdr:rowOff>
    </xdr:from>
    <xdr:to>
      <xdr:col>25</xdr:col>
      <xdr:colOff>719396</xdr:colOff>
      <xdr:row>36</xdr:row>
      <xdr:rowOff>166802</xdr:rowOff>
    </xdr:to>
    <xdr:pic>
      <xdr:nvPicPr>
        <xdr:cNvPr id="11" name="Resim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91A6534-A6C5-4E50-AC5B-8917652E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9444" y="5638460"/>
          <a:ext cx="710890" cy="523989"/>
        </a:xfrm>
        <a:prstGeom prst="rect">
          <a:avLst/>
        </a:prstGeom>
      </xdr:spPr>
    </xdr:pic>
    <xdr:clientData/>
  </xdr:twoCellAnchor>
  <xdr:twoCellAnchor editAs="oneCell">
    <xdr:from>
      <xdr:col>25</xdr:col>
      <xdr:colOff>119063</xdr:colOff>
      <xdr:row>1</xdr:row>
      <xdr:rowOff>8504</xdr:rowOff>
    </xdr:from>
    <xdr:to>
      <xdr:col>26</xdr:col>
      <xdr:colOff>63209</xdr:colOff>
      <xdr:row>5</xdr:row>
      <xdr:rowOff>52334</xdr:rowOff>
    </xdr:to>
    <xdr:pic>
      <xdr:nvPicPr>
        <xdr:cNvPr id="8" name="Resim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6A81BC6-7178-42B3-8118-B7289F069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1" y="93549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25</xdr:col>
      <xdr:colOff>340179</xdr:colOff>
      <xdr:row>1</xdr:row>
      <xdr:rowOff>289152</xdr:rowOff>
    </xdr:from>
    <xdr:to>
      <xdr:col>25</xdr:col>
      <xdr:colOff>623303</xdr:colOff>
      <xdr:row>2</xdr:row>
      <xdr:rowOff>22610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6A7CD6ED-6F3D-465B-9947-F588B701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1117" y="374197"/>
          <a:ext cx="283124" cy="11615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44929</xdr:colOff>
      <xdr:row>25</xdr:row>
      <xdr:rowOff>108184</xdr:rowOff>
    </xdr:from>
    <xdr:to>
      <xdr:col>23</xdr:col>
      <xdr:colOff>143774</xdr:colOff>
      <xdr:row>28</xdr:row>
      <xdr:rowOff>162310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12A8D8-FC6C-41E7-886E-119E3C73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769" y="5248090"/>
          <a:ext cx="853656" cy="62922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80872</xdr:colOff>
      <xdr:row>3</xdr:row>
      <xdr:rowOff>242618</xdr:rowOff>
    </xdr:from>
    <xdr:to>
      <xdr:col>14</xdr:col>
      <xdr:colOff>356373</xdr:colOff>
      <xdr:row>7</xdr:row>
      <xdr:rowOff>92195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EF2A5D-6AE6-459B-91DF-B91A8C543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77900" y="889599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107831</xdr:colOff>
      <xdr:row>6</xdr:row>
      <xdr:rowOff>161746</xdr:rowOff>
    </xdr:from>
    <xdr:to>
      <xdr:col>14</xdr:col>
      <xdr:colOff>361202</xdr:colOff>
      <xdr:row>7</xdr:row>
      <xdr:rowOff>77818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CA5B65D1-E9C1-4975-8A29-50FB21D7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82265" y="1446722"/>
          <a:ext cx="253371" cy="104775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23</xdr:row>
      <xdr:rowOff>57150</xdr:rowOff>
    </xdr:from>
    <xdr:to>
      <xdr:col>9</xdr:col>
      <xdr:colOff>323850</xdr:colOff>
      <xdr:row>23</xdr:row>
      <xdr:rowOff>85725</xdr:rowOff>
    </xdr:to>
    <xdr:cxnSp macro="">
      <xdr:nvCxnSpPr>
        <xdr:cNvPr id="18" name="Düz Bağlayıcı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>
          <a:off x="7943850" y="4448175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304800</xdr:colOff>
      <xdr:row>5</xdr:row>
      <xdr:rowOff>66675</xdr:rowOff>
    </xdr:from>
    <xdr:to>
      <xdr:col>12</xdr:col>
      <xdr:colOff>695325</xdr:colOff>
      <xdr:row>27</xdr:row>
      <xdr:rowOff>152400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57275"/>
          <a:ext cx="2028825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171450</xdr:colOff>
      <xdr:row>12</xdr:row>
      <xdr:rowOff>57150</xdr:rowOff>
    </xdr:from>
    <xdr:to>
      <xdr:col>14</xdr:col>
      <xdr:colOff>180975</xdr:colOff>
      <xdr:row>19</xdr:row>
      <xdr:rowOff>114300</xdr:rowOff>
    </xdr:to>
    <xdr:sp macro="" textlink="">
      <xdr:nvSpPr>
        <xdr:cNvPr id="9" name="Line 2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>
          <a:spLocks noChangeShapeType="1"/>
        </xdr:cNvSpPr>
      </xdr:nvSpPr>
      <xdr:spPr bwMode="auto">
        <a:xfrm flipV="1">
          <a:off x="10020300" y="2400300"/>
          <a:ext cx="9525" cy="140017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11</xdr:row>
      <xdr:rowOff>57150</xdr:rowOff>
    </xdr:from>
    <xdr:to>
      <xdr:col>9</xdr:col>
      <xdr:colOff>0</xdr:colOff>
      <xdr:row>21</xdr:row>
      <xdr:rowOff>238125</xdr:rowOff>
    </xdr:to>
    <xdr:sp macro="" textlink="">
      <xdr:nvSpPr>
        <xdr:cNvPr id="10" name="Line 3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>
          <a:spLocks noChangeShapeType="1"/>
        </xdr:cNvSpPr>
      </xdr:nvSpPr>
      <xdr:spPr bwMode="auto">
        <a:xfrm flipV="1">
          <a:off x="7010400" y="2209800"/>
          <a:ext cx="0" cy="204787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533400</xdr:colOff>
      <xdr:row>7</xdr:row>
      <xdr:rowOff>38100</xdr:rowOff>
    </xdr:from>
    <xdr:to>
      <xdr:col>6</xdr:col>
      <xdr:colOff>542925</xdr:colOff>
      <xdr:row>24</xdr:row>
      <xdr:rowOff>152400</xdr:rowOff>
    </xdr:to>
    <xdr:sp macro="" textlink="">
      <xdr:nvSpPr>
        <xdr:cNvPr id="11" name="Line 4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>
          <a:spLocks noChangeShapeType="1"/>
        </xdr:cNvSpPr>
      </xdr:nvSpPr>
      <xdr:spPr bwMode="auto">
        <a:xfrm flipV="1">
          <a:off x="6343650" y="1409700"/>
          <a:ext cx="9525" cy="3381375"/>
        </a:xfrm>
        <a:prstGeom prst="line">
          <a:avLst/>
        </a:prstGeom>
        <a:noFill/>
        <a:ln w="190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323850</xdr:colOff>
      <xdr:row>24</xdr:row>
      <xdr:rowOff>57150</xdr:rowOff>
    </xdr:from>
    <xdr:to>
      <xdr:col>9</xdr:col>
      <xdr:colOff>323850</xdr:colOff>
      <xdr:row>24</xdr:row>
      <xdr:rowOff>85725</xdr:rowOff>
    </xdr:to>
    <xdr:cxnSp macro="">
      <xdr:nvCxnSpPr>
        <xdr:cNvPr id="16" name="Düz Bağlayıcı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CxnSpPr/>
      </xdr:nvCxnSpPr>
      <xdr:spPr>
        <a:xfrm>
          <a:off x="7334250" y="4695825"/>
          <a:ext cx="0" cy="28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23</xdr:row>
      <xdr:rowOff>9525</xdr:rowOff>
    </xdr:from>
    <xdr:to>
      <xdr:col>12</xdr:col>
      <xdr:colOff>638175</xdr:colOff>
      <xdr:row>29</xdr:row>
      <xdr:rowOff>9525</xdr:rowOff>
    </xdr:to>
    <xdr:cxnSp macro="">
      <xdr:nvCxnSpPr>
        <xdr:cNvPr id="17" name="Düz Ok Bağlayıcısı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CxnSpPr/>
      </xdr:nvCxnSpPr>
      <xdr:spPr>
        <a:xfrm>
          <a:off x="8429625" y="4457700"/>
          <a:ext cx="857250" cy="1143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48598</xdr:colOff>
      <xdr:row>22</xdr:row>
      <xdr:rowOff>98288</xdr:rowOff>
    </xdr:from>
    <xdr:to>
      <xdr:col>5</xdr:col>
      <xdr:colOff>340179</xdr:colOff>
      <xdr:row>25</xdr:row>
      <xdr:rowOff>181382</xdr:rowOff>
    </xdr:to>
    <xdr:pic>
      <xdr:nvPicPr>
        <xdr:cNvPr id="3" name="Resim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8BD5E0-4DD9-45AF-A50F-23041247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5868" y="4841349"/>
          <a:ext cx="903903" cy="666257"/>
        </a:xfrm>
        <a:prstGeom prst="rect">
          <a:avLst/>
        </a:prstGeom>
      </xdr:spPr>
    </xdr:pic>
    <xdr:clientData/>
  </xdr:twoCellAnchor>
  <xdr:twoCellAnchor editAs="oneCell">
    <xdr:from>
      <xdr:col>4</xdr:col>
      <xdr:colOff>281862</xdr:colOff>
      <xdr:row>1</xdr:row>
      <xdr:rowOff>19439</xdr:rowOff>
    </xdr:from>
    <xdr:to>
      <xdr:col>5</xdr:col>
      <xdr:colOff>322447</xdr:colOff>
      <xdr:row>2</xdr:row>
      <xdr:rowOff>102832</xdr:rowOff>
    </xdr:to>
    <xdr:pic>
      <xdr:nvPicPr>
        <xdr:cNvPr id="2" name="Resim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45095F6-6E56-45BC-B3F6-BC1EFE4A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9132" y="213827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5</xdr:col>
      <xdr:colOff>48597</xdr:colOff>
      <xdr:row>2</xdr:row>
      <xdr:rowOff>9720</xdr:rowOff>
    </xdr:from>
    <xdr:to>
      <xdr:col>5</xdr:col>
      <xdr:colOff>301968</xdr:colOff>
      <xdr:row>2</xdr:row>
      <xdr:rowOff>114495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7DEC33B-120D-42D8-AA5F-2C0269D82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8189" y="796990"/>
          <a:ext cx="253371" cy="104775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123825</xdr:rowOff>
    </xdr:from>
    <xdr:to>
      <xdr:col>13</xdr:col>
      <xdr:colOff>238125</xdr:colOff>
      <xdr:row>30</xdr:row>
      <xdr:rowOff>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14325"/>
          <a:ext cx="7743825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466725</xdr:colOff>
      <xdr:row>1</xdr:row>
      <xdr:rowOff>133350</xdr:rowOff>
    </xdr:from>
    <xdr:to>
      <xdr:col>27</xdr:col>
      <xdr:colOff>368569</xdr:colOff>
      <xdr:row>30</xdr:row>
      <xdr:rowOff>19050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323850"/>
          <a:ext cx="8436244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1</xdr:row>
      <xdr:rowOff>123825</xdr:rowOff>
    </xdr:from>
    <xdr:to>
      <xdr:col>13</xdr:col>
      <xdr:colOff>238125</xdr:colOff>
      <xdr:row>30</xdr:row>
      <xdr:rowOff>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14325"/>
          <a:ext cx="7743825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466725</xdr:colOff>
      <xdr:row>1</xdr:row>
      <xdr:rowOff>133350</xdr:rowOff>
    </xdr:from>
    <xdr:to>
      <xdr:col>27</xdr:col>
      <xdr:colOff>368569</xdr:colOff>
      <xdr:row>30</xdr:row>
      <xdr:rowOff>19050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5" y="323850"/>
          <a:ext cx="8436244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45358</xdr:colOff>
      <xdr:row>37</xdr:row>
      <xdr:rowOff>68035</xdr:rowOff>
    </xdr:from>
    <xdr:to>
      <xdr:col>28</xdr:col>
      <xdr:colOff>16199</xdr:colOff>
      <xdr:row>41</xdr:row>
      <xdr:rowOff>178142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EC7F2C-81D9-4C56-9DA9-88C08F81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65715" y="7279821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28</xdr:col>
      <xdr:colOff>22678</xdr:colOff>
      <xdr:row>1</xdr:row>
      <xdr:rowOff>147411</xdr:rowOff>
    </xdr:from>
    <xdr:to>
      <xdr:col>29</xdr:col>
      <xdr:colOff>63264</xdr:colOff>
      <xdr:row>5</xdr:row>
      <xdr:rowOff>52615</xdr:rowOff>
    </xdr:to>
    <xdr:pic>
      <xdr:nvPicPr>
        <xdr:cNvPr id="3" name="Resim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3536BB-7D30-46E4-8474-24411668F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67678" y="340179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28</xdr:col>
      <xdr:colOff>396875</xdr:colOff>
      <xdr:row>4</xdr:row>
      <xdr:rowOff>136072</xdr:rowOff>
    </xdr:from>
    <xdr:to>
      <xdr:col>29</xdr:col>
      <xdr:colOff>37925</xdr:colOff>
      <xdr:row>5</xdr:row>
      <xdr:rowOff>48079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BD54F78F-CBCD-4B06-B729-1844BA6F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41875" y="907143"/>
          <a:ext cx="253371" cy="104775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171450</xdr:rowOff>
    </xdr:from>
    <xdr:to>
      <xdr:col>16</xdr:col>
      <xdr:colOff>219075</xdr:colOff>
      <xdr:row>34</xdr:row>
      <xdr:rowOff>171450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552450"/>
          <a:ext cx="9305925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2</xdr:row>
      <xdr:rowOff>171450</xdr:rowOff>
    </xdr:from>
    <xdr:to>
      <xdr:col>16</xdr:col>
      <xdr:colOff>219075</xdr:colOff>
      <xdr:row>34</xdr:row>
      <xdr:rowOff>171450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552450"/>
          <a:ext cx="9305925" cy="609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39689</xdr:colOff>
      <xdr:row>30</xdr:row>
      <xdr:rowOff>84073</xdr:rowOff>
    </xdr:from>
    <xdr:to>
      <xdr:col>23</xdr:col>
      <xdr:colOff>327422</xdr:colOff>
      <xdr:row>33</xdr:row>
      <xdr:rowOff>176723</xdr:rowOff>
    </xdr:to>
    <xdr:pic>
      <xdr:nvPicPr>
        <xdr:cNvPr id="5" name="Resim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65A188-E21A-4F5D-AFA8-A0ACE8647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54845" y="5739542"/>
          <a:ext cx="892968" cy="658197"/>
        </a:xfrm>
        <a:prstGeom prst="rect">
          <a:avLst/>
        </a:prstGeom>
      </xdr:spPr>
    </xdr:pic>
    <xdr:clientData/>
  </xdr:twoCellAnchor>
  <xdr:twoCellAnchor editAs="oneCell">
    <xdr:from>
      <xdr:col>16</xdr:col>
      <xdr:colOff>595312</xdr:colOff>
      <xdr:row>2</xdr:row>
      <xdr:rowOff>158751</xdr:rowOff>
    </xdr:from>
    <xdr:to>
      <xdr:col>18</xdr:col>
      <xdr:colOff>37750</xdr:colOff>
      <xdr:row>6</xdr:row>
      <xdr:rowOff>80963</xdr:rowOff>
    </xdr:to>
    <xdr:pic>
      <xdr:nvPicPr>
        <xdr:cNvPr id="4" name="Resim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CB4795-1C14-4FA1-98F6-7215F0382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79062" y="535782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17</xdr:col>
      <xdr:colOff>377031</xdr:colOff>
      <xdr:row>5</xdr:row>
      <xdr:rowOff>148829</xdr:rowOff>
    </xdr:from>
    <xdr:to>
      <xdr:col>18</xdr:col>
      <xdr:colOff>25167</xdr:colOff>
      <xdr:row>6</xdr:row>
      <xdr:rowOff>65088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224CD73E-0928-44C3-B0CA-2CD629ED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6015" y="1091407"/>
          <a:ext cx="253371" cy="104775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191502</xdr:colOff>
      <xdr:row>7</xdr:row>
      <xdr:rowOff>106781</xdr:rowOff>
    </xdr:from>
    <xdr:to>
      <xdr:col>12</xdr:col>
      <xdr:colOff>2525127</xdr:colOff>
      <xdr:row>36</xdr:row>
      <xdr:rowOff>133306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344" y="2011781"/>
          <a:ext cx="4378994" cy="555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30079</xdr:colOff>
      <xdr:row>5</xdr:row>
      <xdr:rowOff>190727</xdr:rowOff>
    </xdr:from>
    <xdr:to>
      <xdr:col>17</xdr:col>
      <xdr:colOff>912395</xdr:colOff>
      <xdr:row>8</xdr:row>
      <xdr:rowOff>179335</xdr:rowOff>
    </xdr:to>
    <xdr:pic>
      <xdr:nvPicPr>
        <xdr:cNvPr id="2" name="Resim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8B738A-52D0-41E7-A80C-BF11DD21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62947" y="1624490"/>
          <a:ext cx="882316" cy="650345"/>
        </a:xfrm>
        <a:prstGeom prst="rect">
          <a:avLst/>
        </a:prstGeom>
      </xdr:spPr>
    </xdr:pic>
    <xdr:clientData/>
  </xdr:twoCellAnchor>
  <xdr:twoCellAnchor editAs="oneCell">
    <xdr:from>
      <xdr:col>7</xdr:col>
      <xdr:colOff>230605</xdr:colOff>
      <xdr:row>4</xdr:row>
      <xdr:rowOff>20052</xdr:rowOff>
    </xdr:from>
    <xdr:to>
      <xdr:col>9</xdr:col>
      <xdr:colOff>121512</xdr:colOff>
      <xdr:row>6</xdr:row>
      <xdr:rowOff>144880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6C446BD-4F67-4571-959E-23167ECC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90447" y="1183105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230606</xdr:colOff>
      <xdr:row>6</xdr:row>
      <xdr:rowOff>30079</xdr:rowOff>
    </xdr:from>
    <xdr:to>
      <xdr:col>9</xdr:col>
      <xdr:colOff>102977</xdr:colOff>
      <xdr:row>6</xdr:row>
      <xdr:rowOff>134854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C7F5658C-1523-40C0-B907-14172297C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71448" y="1744579"/>
          <a:ext cx="253371" cy="10477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9237</xdr:rowOff>
    </xdr:from>
    <xdr:to>
      <xdr:col>3</xdr:col>
      <xdr:colOff>1571132</xdr:colOff>
      <xdr:row>27</xdr:row>
      <xdr:rowOff>34924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79B1CDF1-80B5-7ADC-6FAD-6868CFD38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3366655"/>
          <a:ext cx="4734586" cy="2057687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17</xdr:row>
      <xdr:rowOff>133350</xdr:rowOff>
    </xdr:from>
    <xdr:to>
      <xdr:col>10</xdr:col>
      <xdr:colOff>871755</xdr:colOff>
      <xdr:row>20</xdr:row>
      <xdr:rowOff>176328</xdr:rowOff>
    </xdr:to>
    <xdr:pic>
      <xdr:nvPicPr>
        <xdr:cNvPr id="3" name="Resim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4488509-6660-4333-BF94-200C93C64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20400" y="3762375"/>
          <a:ext cx="833655" cy="614478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</xdr:row>
      <xdr:rowOff>190500</xdr:rowOff>
    </xdr:from>
    <xdr:to>
      <xdr:col>14</xdr:col>
      <xdr:colOff>109982</xdr:colOff>
      <xdr:row>6</xdr:row>
      <xdr:rowOff>123825</xdr:rowOff>
    </xdr:to>
    <xdr:pic>
      <xdr:nvPicPr>
        <xdr:cNvPr id="2" name="Resim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ED2BFEE-0A22-4EB8-8F06-E76D18A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8025" y="981075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6</xdr:row>
      <xdr:rowOff>9525</xdr:rowOff>
    </xdr:from>
    <xdr:to>
      <xdr:col>14</xdr:col>
      <xdr:colOff>110496</xdr:colOff>
      <xdr:row>6</xdr:row>
      <xdr:rowOff>114300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301E718-255F-487E-B0F8-F23C36BCD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78075" y="1543050"/>
          <a:ext cx="253371" cy="10477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228122</xdr:colOff>
      <xdr:row>8</xdr:row>
      <xdr:rowOff>189867</xdr:rowOff>
    </xdr:from>
    <xdr:to>
      <xdr:col>16</xdr:col>
      <xdr:colOff>523736</xdr:colOff>
      <xdr:row>20</xdr:row>
      <xdr:rowOff>114076</xdr:rowOff>
    </xdr:to>
    <xdr:pic>
      <xdr:nvPicPr>
        <xdr:cNvPr id="3" name="图片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381647" y="1856742"/>
          <a:ext cx="1514814" cy="1572034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16</xdr:col>
      <xdr:colOff>38877</xdr:colOff>
      <xdr:row>29</xdr:row>
      <xdr:rowOff>100843</xdr:rowOff>
    </xdr:from>
    <xdr:to>
      <xdr:col>17</xdr:col>
      <xdr:colOff>340179</xdr:colOff>
      <xdr:row>32</xdr:row>
      <xdr:rowOff>161942</xdr:rowOff>
    </xdr:to>
    <xdr:pic>
      <xdr:nvPicPr>
        <xdr:cNvPr id="2" name="Resim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9CDE9C-6DC1-4242-8D41-593823DD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8903" y="5747807"/>
          <a:ext cx="913623" cy="673421"/>
        </a:xfrm>
        <a:prstGeom prst="rect">
          <a:avLst/>
        </a:prstGeom>
      </xdr:spPr>
    </xdr:pic>
    <xdr:clientData/>
  </xdr:twoCellAnchor>
  <xdr:twoCellAnchor editAs="oneCell">
    <xdr:from>
      <xdr:col>7</xdr:col>
      <xdr:colOff>77756</xdr:colOff>
      <xdr:row>3</xdr:row>
      <xdr:rowOff>38878</xdr:rowOff>
    </xdr:from>
    <xdr:to>
      <xdr:col>8</xdr:col>
      <xdr:colOff>366221</xdr:colOff>
      <xdr:row>6</xdr:row>
      <xdr:rowOff>27363</xdr:rowOff>
    </xdr:to>
    <xdr:pic>
      <xdr:nvPicPr>
        <xdr:cNvPr id="4" name="Resim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324723F-43DD-42BF-96D3-B6C956271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470" y="1127449"/>
          <a:ext cx="580047" cy="600807"/>
        </a:xfrm>
        <a:prstGeom prst="rect">
          <a:avLst/>
        </a:prstGeom>
      </xdr:spPr>
    </xdr:pic>
    <xdr:clientData/>
  </xdr:twoCellAnchor>
  <xdr:twoCellAnchor editAs="oneCell">
    <xdr:from>
      <xdr:col>8</xdr:col>
      <xdr:colOff>116633</xdr:colOff>
      <xdr:row>5</xdr:row>
      <xdr:rowOff>126352</xdr:rowOff>
    </xdr:from>
    <xdr:to>
      <xdr:col>8</xdr:col>
      <xdr:colOff>370004</xdr:colOff>
      <xdr:row>6</xdr:row>
      <xdr:rowOff>27020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1905E9F6-9FAE-4E3A-9C4C-3E5CD6E5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78929" y="1623138"/>
          <a:ext cx="253371" cy="104775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581025</xdr:rowOff>
    </xdr:from>
    <xdr:to>
      <xdr:col>4</xdr:col>
      <xdr:colOff>295275</xdr:colOff>
      <xdr:row>17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57300" y="1685925"/>
          <a:ext cx="1476375" cy="130492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3</xdr:col>
      <xdr:colOff>69237</xdr:colOff>
      <xdr:row>18</xdr:row>
      <xdr:rowOff>0</xdr:rowOff>
    </xdr:from>
    <xdr:to>
      <xdr:col>12</xdr:col>
      <xdr:colOff>618565</xdr:colOff>
      <xdr:row>36</xdr:row>
      <xdr:rowOff>8369</xdr:rowOff>
    </xdr:to>
    <xdr:pic>
      <xdr:nvPicPr>
        <xdr:cNvPr id="5" name="图片 2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951825" y="2286000"/>
          <a:ext cx="7111493" cy="328945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19</xdr:col>
      <xdr:colOff>25513</xdr:colOff>
      <xdr:row>31</xdr:row>
      <xdr:rowOff>34963</xdr:rowOff>
    </xdr:from>
    <xdr:to>
      <xdr:col>20</xdr:col>
      <xdr:colOff>399710</xdr:colOff>
      <xdr:row>34</xdr:row>
      <xdr:rowOff>166801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845A57-DDDD-4465-A504-98584C91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5146146"/>
          <a:ext cx="986518" cy="727151"/>
        </a:xfrm>
        <a:prstGeom prst="rect">
          <a:avLst/>
        </a:prstGeom>
      </xdr:spPr>
    </xdr:pic>
    <xdr:clientData/>
  </xdr:twoCellAnchor>
  <xdr:twoCellAnchor editAs="oneCell">
    <xdr:from>
      <xdr:col>17</xdr:col>
      <xdr:colOff>510268</xdr:colOff>
      <xdr:row>7</xdr:row>
      <xdr:rowOff>51027</xdr:rowOff>
    </xdr:from>
    <xdr:to>
      <xdr:col>18</xdr:col>
      <xdr:colOff>477994</xdr:colOff>
      <xdr:row>10</xdr:row>
      <xdr:rowOff>39513</xdr:rowOff>
    </xdr:to>
    <xdr:pic>
      <xdr:nvPicPr>
        <xdr:cNvPr id="4" name="Resim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179758E-C8EC-46D7-8E55-5FB219EAF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42612" y="1216139"/>
          <a:ext cx="580047" cy="600807"/>
        </a:xfrm>
        <a:prstGeom prst="rect">
          <a:avLst/>
        </a:prstGeom>
      </xdr:spPr>
    </xdr:pic>
    <xdr:clientData/>
  </xdr:twoCellAnchor>
  <xdr:twoCellAnchor editAs="oneCell">
    <xdr:from>
      <xdr:col>18</xdr:col>
      <xdr:colOff>212612</xdr:colOff>
      <xdr:row>9</xdr:row>
      <xdr:rowOff>144576</xdr:rowOff>
    </xdr:from>
    <xdr:to>
      <xdr:col>18</xdr:col>
      <xdr:colOff>465983</xdr:colOff>
      <xdr:row>10</xdr:row>
      <xdr:rowOff>45244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F9B3B6D1-10DB-4888-B9FC-79AFA1A5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57277" y="1717902"/>
          <a:ext cx="253371" cy="104775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29158</xdr:colOff>
      <xdr:row>31</xdr:row>
      <xdr:rowOff>82957</xdr:rowOff>
    </xdr:from>
    <xdr:to>
      <xdr:col>10</xdr:col>
      <xdr:colOff>388775</xdr:colOff>
      <xdr:row>35</xdr:row>
      <xdr:rowOff>16153</xdr:rowOff>
    </xdr:to>
    <xdr:pic>
      <xdr:nvPicPr>
        <xdr:cNvPr id="4" name="Resi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BDD489-8590-497D-B4E8-D9F214D9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1479" y="6332523"/>
          <a:ext cx="845587" cy="623273"/>
        </a:xfrm>
        <a:prstGeom prst="rect">
          <a:avLst/>
        </a:prstGeom>
      </xdr:spPr>
    </xdr:pic>
    <xdr:clientData/>
  </xdr:twoCellAnchor>
  <xdr:twoCellAnchor editAs="oneCell">
    <xdr:from>
      <xdr:col>7</xdr:col>
      <xdr:colOff>7776</xdr:colOff>
      <xdr:row>3</xdr:row>
      <xdr:rowOff>93306</xdr:rowOff>
    </xdr:from>
    <xdr:to>
      <xdr:col>7</xdr:col>
      <xdr:colOff>662358</xdr:colOff>
      <xdr:row>4</xdr:row>
      <xdr:rowOff>140065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BB188F-D66B-42C6-B8AD-D2F38A96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2327" y="606490"/>
          <a:ext cx="654582" cy="653248"/>
        </a:xfrm>
        <a:prstGeom prst="rect">
          <a:avLst/>
        </a:prstGeom>
      </xdr:spPr>
    </xdr:pic>
    <xdr:clientData/>
  </xdr:twoCellAnchor>
  <xdr:twoCellAnchor editAs="oneCell">
    <xdr:from>
      <xdr:col>7</xdr:col>
      <xdr:colOff>233263</xdr:colOff>
      <xdr:row>3</xdr:row>
      <xdr:rowOff>295470</xdr:rowOff>
    </xdr:from>
    <xdr:to>
      <xdr:col>7</xdr:col>
      <xdr:colOff>450980</xdr:colOff>
      <xdr:row>3</xdr:row>
      <xdr:rowOff>470924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2038887C-0DA5-4FBE-BBC4-593819FB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7814" y="808654"/>
          <a:ext cx="217717" cy="17545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38101</xdr:colOff>
      <xdr:row>6</xdr:row>
      <xdr:rowOff>9525</xdr:rowOff>
    </xdr:from>
    <xdr:to>
      <xdr:col>6</xdr:col>
      <xdr:colOff>28575</xdr:colOff>
      <xdr:row>25</xdr:row>
      <xdr:rowOff>47625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1" y="1152525"/>
          <a:ext cx="181927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6</xdr:row>
      <xdr:rowOff>9525</xdr:rowOff>
    </xdr:from>
    <xdr:to>
      <xdr:col>7</xdr:col>
      <xdr:colOff>552450</xdr:colOff>
      <xdr:row>9</xdr:row>
      <xdr:rowOff>96716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152525"/>
          <a:ext cx="590550" cy="6586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380999</xdr:colOff>
      <xdr:row>9</xdr:row>
      <xdr:rowOff>161924</xdr:rowOff>
    </xdr:from>
    <xdr:to>
      <xdr:col>7</xdr:col>
      <xdr:colOff>586316</xdr:colOff>
      <xdr:row>13</xdr:row>
      <xdr:rowOff>133349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599" y="1876424"/>
          <a:ext cx="814917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57151</xdr:colOff>
      <xdr:row>13</xdr:row>
      <xdr:rowOff>152401</xdr:rowOff>
    </xdr:from>
    <xdr:to>
      <xdr:col>7</xdr:col>
      <xdr:colOff>514351</xdr:colOff>
      <xdr:row>17</xdr:row>
      <xdr:rowOff>179951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1" y="2628901"/>
          <a:ext cx="457200" cy="79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342900</xdr:colOff>
      <xdr:row>18</xdr:row>
      <xdr:rowOff>19051</xdr:rowOff>
    </xdr:from>
    <xdr:to>
      <xdr:col>8</xdr:col>
      <xdr:colOff>205299</xdr:colOff>
      <xdr:row>21</xdr:row>
      <xdr:rowOff>19051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3448051"/>
          <a:ext cx="108159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</xdr:colOff>
      <xdr:row>12</xdr:row>
      <xdr:rowOff>38100</xdr:rowOff>
    </xdr:from>
    <xdr:to>
      <xdr:col>9</xdr:col>
      <xdr:colOff>468276</xdr:colOff>
      <xdr:row>15</xdr:row>
      <xdr:rowOff>133350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2324100"/>
          <a:ext cx="12954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352426</xdr:colOff>
      <xdr:row>30</xdr:row>
      <xdr:rowOff>171450</xdr:rowOff>
    </xdr:from>
    <xdr:to>
      <xdr:col>6</xdr:col>
      <xdr:colOff>86018</xdr:colOff>
      <xdr:row>50</xdr:row>
      <xdr:rowOff>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6" y="5886450"/>
          <a:ext cx="2171992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31</xdr:row>
      <xdr:rowOff>28575</xdr:rowOff>
    </xdr:from>
    <xdr:to>
      <xdr:col>7</xdr:col>
      <xdr:colOff>571500</xdr:colOff>
      <xdr:row>35</xdr:row>
      <xdr:rowOff>137780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5934075"/>
          <a:ext cx="542925" cy="871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</xdr:colOff>
      <xdr:row>36</xdr:row>
      <xdr:rowOff>28575</xdr:rowOff>
    </xdr:from>
    <xdr:to>
      <xdr:col>7</xdr:col>
      <xdr:colOff>542925</xdr:colOff>
      <xdr:row>40</xdr:row>
      <xdr:rowOff>63745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6886575"/>
          <a:ext cx="457200" cy="79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40</xdr:row>
      <xdr:rowOff>142875</xdr:rowOff>
    </xdr:from>
    <xdr:to>
      <xdr:col>8</xdr:col>
      <xdr:colOff>519</xdr:colOff>
      <xdr:row>44</xdr:row>
      <xdr:rowOff>76200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7762875"/>
          <a:ext cx="58154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409575</xdr:colOff>
      <xdr:row>44</xdr:row>
      <xdr:rowOff>171450</xdr:rowOff>
    </xdr:from>
    <xdr:to>
      <xdr:col>8</xdr:col>
      <xdr:colOff>271974</xdr:colOff>
      <xdr:row>47</xdr:row>
      <xdr:rowOff>171450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8553450"/>
          <a:ext cx="108159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</xdr:colOff>
      <xdr:row>37</xdr:row>
      <xdr:rowOff>9525</xdr:rowOff>
    </xdr:from>
    <xdr:to>
      <xdr:col>9</xdr:col>
      <xdr:colOff>468276</xdr:colOff>
      <xdr:row>40</xdr:row>
      <xdr:rowOff>104775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7058025"/>
          <a:ext cx="12954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</xdr:colOff>
      <xdr:row>54</xdr:row>
      <xdr:rowOff>180975</xdr:rowOff>
    </xdr:from>
    <xdr:to>
      <xdr:col>6</xdr:col>
      <xdr:colOff>363756</xdr:colOff>
      <xdr:row>68</xdr:row>
      <xdr:rowOff>76200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0277475"/>
          <a:ext cx="2783106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55</xdr:row>
      <xdr:rowOff>171450</xdr:rowOff>
    </xdr:from>
    <xdr:to>
      <xdr:col>7</xdr:col>
      <xdr:colOff>571500</xdr:colOff>
      <xdr:row>58</xdr:row>
      <xdr:rowOff>75467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10458450"/>
          <a:ext cx="561975" cy="475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58</xdr:row>
      <xdr:rowOff>114300</xdr:rowOff>
    </xdr:from>
    <xdr:to>
      <xdr:col>7</xdr:col>
      <xdr:colOff>562321</xdr:colOff>
      <xdr:row>61</xdr:row>
      <xdr:rowOff>180975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5775" y="10972800"/>
          <a:ext cx="533746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247650</xdr:colOff>
      <xdr:row>61</xdr:row>
      <xdr:rowOff>180976</xdr:rowOff>
    </xdr:from>
    <xdr:to>
      <xdr:col>8</xdr:col>
      <xdr:colOff>18083</xdr:colOff>
      <xdr:row>64</xdr:row>
      <xdr:rowOff>152400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1610976"/>
          <a:ext cx="989633" cy="542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64</xdr:row>
      <xdr:rowOff>57150</xdr:rowOff>
    </xdr:from>
    <xdr:to>
      <xdr:col>7</xdr:col>
      <xdr:colOff>561975</xdr:colOff>
      <xdr:row>69</xdr:row>
      <xdr:rowOff>87813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2058650"/>
          <a:ext cx="523875" cy="983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114300</xdr:colOff>
      <xdr:row>62</xdr:row>
      <xdr:rowOff>66675</xdr:rowOff>
    </xdr:from>
    <xdr:to>
      <xdr:col>9</xdr:col>
      <xdr:colOff>359250</xdr:colOff>
      <xdr:row>65</xdr:row>
      <xdr:rowOff>66675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1687175"/>
          <a:ext cx="1081599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342900</xdr:colOff>
      <xdr:row>62</xdr:row>
      <xdr:rowOff>38100</xdr:rowOff>
    </xdr:from>
    <xdr:to>
      <xdr:col>9</xdr:col>
      <xdr:colOff>1638300</xdr:colOff>
      <xdr:row>65</xdr:row>
      <xdr:rowOff>133350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11658600"/>
          <a:ext cx="129540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74</xdr:row>
      <xdr:rowOff>0</xdr:rowOff>
    </xdr:from>
    <xdr:to>
      <xdr:col>6</xdr:col>
      <xdr:colOff>28575</xdr:colOff>
      <xdr:row>86</xdr:row>
      <xdr:rowOff>105139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13716000"/>
          <a:ext cx="1933575" cy="2391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523875</xdr:colOff>
      <xdr:row>76</xdr:row>
      <xdr:rowOff>180975</xdr:rowOff>
    </xdr:from>
    <xdr:to>
      <xdr:col>8</xdr:col>
      <xdr:colOff>0</xdr:colOff>
      <xdr:row>80</xdr:row>
      <xdr:rowOff>47625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4277975"/>
          <a:ext cx="69532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73</xdr:row>
      <xdr:rowOff>177665</xdr:rowOff>
    </xdr:from>
    <xdr:to>
      <xdr:col>7</xdr:col>
      <xdr:colOff>571500</xdr:colOff>
      <xdr:row>76</xdr:row>
      <xdr:rowOff>123825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3703165"/>
          <a:ext cx="752475" cy="51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409575</xdr:colOff>
      <xdr:row>91</xdr:row>
      <xdr:rowOff>9525</xdr:rowOff>
    </xdr:from>
    <xdr:to>
      <xdr:col>7</xdr:col>
      <xdr:colOff>552450</xdr:colOff>
      <xdr:row>93</xdr:row>
      <xdr:rowOff>146185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6773525"/>
          <a:ext cx="752475" cy="51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476250</xdr:colOff>
      <xdr:row>94</xdr:row>
      <xdr:rowOff>9525</xdr:rowOff>
    </xdr:from>
    <xdr:to>
      <xdr:col>7</xdr:col>
      <xdr:colOff>561975</xdr:colOff>
      <xdr:row>97</xdr:row>
      <xdr:rowOff>66675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3850" y="17345025"/>
          <a:ext cx="69532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91</xdr:row>
      <xdr:rowOff>47626</xdr:rowOff>
    </xdr:from>
    <xdr:to>
      <xdr:col>6</xdr:col>
      <xdr:colOff>185304</xdr:colOff>
      <xdr:row>104</xdr:row>
      <xdr:rowOff>9525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3076" y="16811626"/>
          <a:ext cx="2099828" cy="2438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24740</xdr:colOff>
      <xdr:row>13</xdr:row>
      <xdr:rowOff>164757</xdr:rowOff>
    </xdr:from>
    <xdr:to>
      <xdr:col>21</xdr:col>
      <xdr:colOff>457695</xdr:colOff>
      <xdr:row>18</xdr:row>
      <xdr:rowOff>2899</xdr:rowOff>
    </xdr:to>
    <xdr:pic>
      <xdr:nvPicPr>
        <xdr:cNvPr id="19" name="Resim 18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97A6E08D-5BF7-443B-9EDE-BCF7A0A3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742727" y="2576932"/>
          <a:ext cx="1039091" cy="765902"/>
        </a:xfrm>
        <a:prstGeom prst="rect">
          <a:avLst/>
        </a:prstGeom>
      </xdr:spPr>
    </xdr:pic>
    <xdr:clientData/>
  </xdr:twoCellAnchor>
  <xdr:twoCellAnchor editAs="oneCell">
    <xdr:from>
      <xdr:col>20</xdr:col>
      <xdr:colOff>148442</xdr:colOff>
      <xdr:row>1</xdr:row>
      <xdr:rowOff>138545</xdr:rowOff>
    </xdr:from>
    <xdr:to>
      <xdr:col>21</xdr:col>
      <xdr:colOff>179570</xdr:colOff>
      <xdr:row>5</xdr:row>
      <xdr:rowOff>79274</xdr:rowOff>
    </xdr:to>
    <xdr:pic>
      <xdr:nvPicPr>
        <xdr:cNvPr id="29" name="Resim 28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FE1D5D89-199C-407B-90B0-7D62FE81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25559" y="316675"/>
          <a:ext cx="654582" cy="653248"/>
        </a:xfrm>
        <a:prstGeom prst="rect">
          <a:avLst/>
        </a:prstGeom>
      </xdr:spPr>
    </xdr:pic>
    <xdr:clientData/>
  </xdr:twoCellAnchor>
  <xdr:twoCellAnchor editAs="oneCell">
    <xdr:from>
      <xdr:col>20</xdr:col>
      <xdr:colOff>385947</xdr:colOff>
      <xdr:row>2</xdr:row>
      <xdr:rowOff>168234</xdr:rowOff>
    </xdr:from>
    <xdr:to>
      <xdr:col>20</xdr:col>
      <xdr:colOff>603664</xdr:colOff>
      <xdr:row>3</xdr:row>
      <xdr:rowOff>165558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D25BDEA3-74AC-4123-857B-1E3F5E14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3064" y="524494"/>
          <a:ext cx="217717" cy="17545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</xdr:colOff>
      <xdr:row>0</xdr:row>
      <xdr:rowOff>152400</xdr:rowOff>
    </xdr:from>
    <xdr:to>
      <xdr:col>24</xdr:col>
      <xdr:colOff>47625</xdr:colOff>
      <xdr:row>36</xdr:row>
      <xdr:rowOff>85725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44375" y="152400"/>
          <a:ext cx="6124575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3571875</xdr:colOff>
      <xdr:row>78</xdr:row>
      <xdr:rowOff>0</xdr:rowOff>
    </xdr:from>
    <xdr:to>
      <xdr:col>2</xdr:col>
      <xdr:colOff>3857625</xdr:colOff>
      <xdr:row>79</xdr:row>
      <xdr:rowOff>95250</xdr:rowOff>
    </xdr:to>
    <xdr:pic>
      <xdr:nvPicPr>
        <xdr:cNvPr id="5" name="Grafik 299">
          <a:extLst>
            <a:ext uri="{FF2B5EF4-FFF2-40B4-BE49-F238E27FC236}">
              <a16:creationId xmlns:a16="http://schemas.microsoft.com/office/drawing/2014/main" id="{25331617-CD84-4913-A381-624F76CB8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12258675"/>
          <a:ext cx="2286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3045907</xdr:colOff>
      <xdr:row>77</xdr:row>
      <xdr:rowOff>83736</xdr:rowOff>
    </xdr:from>
    <xdr:to>
      <xdr:col>2</xdr:col>
      <xdr:colOff>3274507</xdr:colOff>
      <xdr:row>78</xdr:row>
      <xdr:rowOff>169174</xdr:rowOff>
    </xdr:to>
    <xdr:pic>
      <xdr:nvPicPr>
        <xdr:cNvPr id="6" name="Grafik 299">
          <a:extLst>
            <a:ext uri="{FF2B5EF4-FFF2-40B4-BE49-F238E27FC236}">
              <a16:creationId xmlns:a16="http://schemas.microsoft.com/office/drawing/2014/main" id="{D47FE4B1-E3D7-462F-9429-F3AEEDD99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7473" y="14936456"/>
          <a:ext cx="228600" cy="2738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3114675</xdr:colOff>
      <xdr:row>81</xdr:row>
      <xdr:rowOff>0</xdr:rowOff>
    </xdr:from>
    <xdr:to>
      <xdr:col>2</xdr:col>
      <xdr:colOff>3352800</xdr:colOff>
      <xdr:row>82</xdr:row>
      <xdr:rowOff>9525</xdr:rowOff>
    </xdr:to>
    <xdr:pic>
      <xdr:nvPicPr>
        <xdr:cNvPr id="7" name="Picture 28">
          <a:extLst>
            <a:ext uri="{FF2B5EF4-FFF2-40B4-BE49-F238E27FC236}">
              <a16:creationId xmlns:a16="http://schemas.microsoft.com/office/drawing/2014/main" id="{2AC7CE88-39BE-4AA7-AC6A-44207086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3706475"/>
          <a:ext cx="2381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2752725</xdr:colOff>
      <xdr:row>82</xdr:row>
      <xdr:rowOff>9525</xdr:rowOff>
    </xdr:from>
    <xdr:to>
      <xdr:col>2</xdr:col>
      <xdr:colOff>2981325</xdr:colOff>
      <xdr:row>83</xdr:row>
      <xdr:rowOff>28575</xdr:rowOff>
    </xdr:to>
    <xdr:pic>
      <xdr:nvPicPr>
        <xdr:cNvPr id="8" name="Picture 28">
          <a:extLst>
            <a:ext uri="{FF2B5EF4-FFF2-40B4-BE49-F238E27FC236}">
              <a16:creationId xmlns:a16="http://schemas.microsoft.com/office/drawing/2014/main" id="{0A1ADD9B-3C19-4D47-817D-C9EFC196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3906500"/>
          <a:ext cx="2286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2333625</xdr:colOff>
      <xdr:row>83</xdr:row>
      <xdr:rowOff>9525</xdr:rowOff>
    </xdr:from>
    <xdr:to>
      <xdr:col>2</xdr:col>
      <xdr:colOff>2628900</xdr:colOff>
      <xdr:row>83</xdr:row>
      <xdr:rowOff>219075</xdr:rowOff>
    </xdr:to>
    <xdr:pic>
      <xdr:nvPicPr>
        <xdr:cNvPr id="9" name="Picture 105">
          <a:extLst>
            <a:ext uri="{FF2B5EF4-FFF2-40B4-BE49-F238E27FC236}">
              <a16:creationId xmlns:a16="http://schemas.microsoft.com/office/drawing/2014/main" id="{A4EECCB3-CA8E-4394-AAC3-FA6CBBA75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14097000"/>
          <a:ext cx="2952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2695575</xdr:colOff>
      <xdr:row>84</xdr:row>
      <xdr:rowOff>9525</xdr:rowOff>
    </xdr:from>
    <xdr:to>
      <xdr:col>2</xdr:col>
      <xdr:colOff>3000375</xdr:colOff>
      <xdr:row>84</xdr:row>
      <xdr:rowOff>219075</xdr:rowOff>
    </xdr:to>
    <xdr:pic>
      <xdr:nvPicPr>
        <xdr:cNvPr id="10" name="Picture 105">
          <a:extLst>
            <a:ext uri="{FF2B5EF4-FFF2-40B4-BE49-F238E27FC236}">
              <a16:creationId xmlns:a16="http://schemas.microsoft.com/office/drawing/2014/main" id="{309BA4A0-5DAD-4361-8A09-0F7884B5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14277975"/>
          <a:ext cx="3048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37111</xdr:colOff>
      <xdr:row>28</xdr:row>
      <xdr:rowOff>158253</xdr:rowOff>
    </xdr:from>
    <xdr:to>
      <xdr:col>14</xdr:col>
      <xdr:colOff>445324</xdr:colOff>
      <xdr:row>32</xdr:row>
      <xdr:rowOff>163711</xdr:rowOff>
    </xdr:to>
    <xdr:pic>
      <xdr:nvPicPr>
        <xdr:cNvPr id="3" name="Resim 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D2E2052-E7CE-4D78-95D6-6091EAAF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74286" y="5700071"/>
          <a:ext cx="1014350" cy="747666"/>
        </a:xfrm>
        <a:prstGeom prst="rect">
          <a:avLst/>
        </a:prstGeom>
      </xdr:spPr>
    </xdr:pic>
    <xdr:clientData/>
  </xdr:twoCellAnchor>
  <xdr:twoCellAnchor editAs="oneCell">
    <xdr:from>
      <xdr:col>12</xdr:col>
      <xdr:colOff>247402</xdr:colOff>
      <xdr:row>0</xdr:row>
      <xdr:rowOff>128650</xdr:rowOff>
    </xdr:from>
    <xdr:to>
      <xdr:col>13</xdr:col>
      <xdr:colOff>496582</xdr:colOff>
      <xdr:row>4</xdr:row>
      <xdr:rowOff>108858</xdr:rowOff>
    </xdr:to>
    <xdr:pic>
      <xdr:nvPicPr>
        <xdr:cNvPr id="11" name="Resim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ACF2B8E-7884-4DA3-B3CA-7A0DB03F0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95116" y="128650"/>
          <a:ext cx="872635" cy="870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573974</xdr:colOff>
      <xdr:row>2</xdr:row>
      <xdr:rowOff>79169</xdr:rowOff>
    </xdr:from>
    <xdr:to>
      <xdr:col>13</xdr:col>
      <xdr:colOff>237034</xdr:colOff>
      <xdr:row>2</xdr:row>
      <xdr:rowOff>237507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381CC0E4-37FB-48E7-B588-32DC82D3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21688" y="445325"/>
          <a:ext cx="286515" cy="15833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4</xdr:row>
      <xdr:rowOff>38100</xdr:rowOff>
    </xdr:from>
    <xdr:to>
      <xdr:col>5</xdr:col>
      <xdr:colOff>323850</xdr:colOff>
      <xdr:row>13</xdr:row>
      <xdr:rowOff>133350</xdr:rowOff>
    </xdr:to>
    <xdr:sp macro="" textlink="">
      <xdr:nvSpPr>
        <xdr:cNvPr id="2" name="Line 3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ShapeType="1"/>
        </xdr:cNvSpPr>
      </xdr:nvSpPr>
      <xdr:spPr bwMode="auto">
        <a:xfrm>
          <a:off x="3648075" y="1704975"/>
          <a:ext cx="0" cy="139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323850</xdr:colOff>
      <xdr:row>19</xdr:row>
      <xdr:rowOff>38100</xdr:rowOff>
    </xdr:from>
    <xdr:to>
      <xdr:col>5</xdr:col>
      <xdr:colOff>323850</xdr:colOff>
      <xdr:row>27</xdr:row>
      <xdr:rowOff>133350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>
          <a:spLocks noChangeShapeType="1"/>
        </xdr:cNvSpPr>
      </xdr:nvSpPr>
      <xdr:spPr bwMode="auto">
        <a:xfrm>
          <a:off x="3648075" y="1704975"/>
          <a:ext cx="0" cy="139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323850</xdr:colOff>
      <xdr:row>34</xdr:row>
      <xdr:rowOff>38100</xdr:rowOff>
    </xdr:from>
    <xdr:to>
      <xdr:col>5</xdr:col>
      <xdr:colOff>323850</xdr:colOff>
      <xdr:row>44</xdr:row>
      <xdr:rowOff>133350</xdr:rowOff>
    </xdr:to>
    <xdr:sp macro="" textlink="">
      <xdr:nvSpPr>
        <xdr:cNvPr id="4" name="Line 1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>
          <a:spLocks noChangeShapeType="1"/>
        </xdr:cNvSpPr>
      </xdr:nvSpPr>
      <xdr:spPr bwMode="auto">
        <a:xfrm>
          <a:off x="3648075" y="1714500"/>
          <a:ext cx="0" cy="13906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20</xdr:col>
      <xdr:colOff>61850</xdr:colOff>
      <xdr:row>41</xdr:row>
      <xdr:rowOff>158891</xdr:rowOff>
    </xdr:from>
    <xdr:to>
      <xdr:col>21</xdr:col>
      <xdr:colOff>519545</xdr:colOff>
      <xdr:row>45</xdr:row>
      <xdr:rowOff>188451</xdr:rowOff>
    </xdr:to>
    <xdr:pic>
      <xdr:nvPicPr>
        <xdr:cNvPr id="5" name="Resim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E6BD6-2B61-462A-84DC-A60517109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28766" y="8360287"/>
          <a:ext cx="1063831" cy="784138"/>
        </a:xfrm>
        <a:prstGeom prst="rect">
          <a:avLst/>
        </a:prstGeom>
      </xdr:spPr>
    </xdr:pic>
    <xdr:clientData/>
  </xdr:twoCellAnchor>
  <xdr:twoCellAnchor editAs="oneCell">
    <xdr:from>
      <xdr:col>12</xdr:col>
      <xdr:colOff>395844</xdr:colOff>
      <xdr:row>0</xdr:row>
      <xdr:rowOff>138544</xdr:rowOff>
    </xdr:from>
    <xdr:to>
      <xdr:col>14</xdr:col>
      <xdr:colOff>21570</xdr:colOff>
      <xdr:row>4</xdr:row>
      <xdr:rowOff>89063</xdr:rowOff>
    </xdr:to>
    <xdr:pic>
      <xdr:nvPicPr>
        <xdr:cNvPr id="7" name="Resim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0A034AF-E07F-49E2-B11D-EEEA95C26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42961" y="138544"/>
          <a:ext cx="872635" cy="870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108857</xdr:colOff>
      <xdr:row>2</xdr:row>
      <xdr:rowOff>29689</xdr:rowOff>
    </xdr:from>
    <xdr:to>
      <xdr:col>13</xdr:col>
      <xdr:colOff>395372</xdr:colOff>
      <xdr:row>2</xdr:row>
      <xdr:rowOff>188027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6DB6CA8A-38B7-4576-8618-0C3E5D605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9428" y="445325"/>
          <a:ext cx="286515" cy="15833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295275</xdr:colOff>
      <xdr:row>0</xdr:row>
      <xdr:rowOff>179456</xdr:rowOff>
    </xdr:from>
    <xdr:to>
      <xdr:col>26</xdr:col>
      <xdr:colOff>441543</xdr:colOff>
      <xdr:row>21</xdr:row>
      <xdr:rowOff>232179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6927" y="179456"/>
          <a:ext cx="6042438" cy="4619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76200</xdr:colOff>
      <xdr:row>16</xdr:row>
      <xdr:rowOff>19050</xdr:rowOff>
    </xdr:from>
    <xdr:to>
      <xdr:col>34</xdr:col>
      <xdr:colOff>131445</xdr:colOff>
      <xdr:row>29</xdr:row>
      <xdr:rowOff>91615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7493" y="3237843"/>
          <a:ext cx="3733866" cy="310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97873</xdr:colOff>
      <xdr:row>0</xdr:row>
      <xdr:rowOff>179457</xdr:rowOff>
    </xdr:from>
    <xdr:to>
      <xdr:col>35</xdr:col>
      <xdr:colOff>95968</xdr:colOff>
      <xdr:row>12</xdr:row>
      <xdr:rowOff>170526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4743" y="179457"/>
          <a:ext cx="5026301" cy="2749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331745</xdr:colOff>
      <xdr:row>0</xdr:row>
      <xdr:rowOff>130480</xdr:rowOff>
    </xdr:from>
    <xdr:to>
      <xdr:col>43</xdr:col>
      <xdr:colOff>474662</xdr:colOff>
      <xdr:row>13</xdr:row>
      <xdr:rowOff>54227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061613E-288E-96CC-1404-6EE07D89D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25067" y="130480"/>
          <a:ext cx="5064184" cy="2954026"/>
        </a:xfrm>
        <a:prstGeom prst="rect">
          <a:avLst/>
        </a:prstGeom>
      </xdr:spPr>
    </xdr:pic>
    <xdr:clientData/>
  </xdr:twoCellAnchor>
  <xdr:twoCellAnchor editAs="oneCell">
    <xdr:from>
      <xdr:col>34</xdr:col>
      <xdr:colOff>270259</xdr:colOff>
      <xdr:row>28</xdr:row>
      <xdr:rowOff>191520</xdr:rowOff>
    </xdr:from>
    <xdr:to>
      <xdr:col>44</xdr:col>
      <xdr:colOff>363724</xdr:colOff>
      <xdr:row>45</xdr:row>
      <xdr:rowOff>129870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8B23313-70D6-BEEF-C917-1D3E3F85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50327" y="6180527"/>
          <a:ext cx="6214570" cy="3516629"/>
        </a:xfrm>
        <a:prstGeom prst="rect">
          <a:avLst/>
        </a:prstGeom>
      </xdr:spPr>
    </xdr:pic>
    <xdr:clientData/>
  </xdr:twoCellAnchor>
  <xdr:twoCellAnchor editAs="oneCell">
    <xdr:from>
      <xdr:col>34</xdr:col>
      <xdr:colOff>263957</xdr:colOff>
      <xdr:row>16</xdr:row>
      <xdr:rowOff>21896</xdr:rowOff>
    </xdr:from>
    <xdr:to>
      <xdr:col>44</xdr:col>
      <xdr:colOff>342439</xdr:colOff>
      <xdr:row>28</xdr:row>
      <xdr:rowOff>96677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C871A93D-6A87-C688-78CD-B700AA60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44025" y="3270834"/>
          <a:ext cx="6211017" cy="2839857"/>
        </a:xfrm>
        <a:prstGeom prst="rect">
          <a:avLst/>
        </a:prstGeom>
      </xdr:spPr>
    </xdr:pic>
    <xdr:clientData/>
  </xdr:twoCellAnchor>
  <xdr:twoCellAnchor editAs="oneCell">
    <xdr:from>
      <xdr:col>26</xdr:col>
      <xdr:colOff>40246</xdr:colOff>
      <xdr:row>34</xdr:row>
      <xdr:rowOff>49165</xdr:rowOff>
    </xdr:from>
    <xdr:to>
      <xdr:col>27</xdr:col>
      <xdr:colOff>456127</xdr:colOff>
      <xdr:row>37</xdr:row>
      <xdr:rowOff>156741</xdr:rowOff>
    </xdr:to>
    <xdr:pic>
      <xdr:nvPicPr>
        <xdr:cNvPr id="5" name="Resim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5274AB4-1A42-4051-BE3B-E394F29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9859" y="7870397"/>
          <a:ext cx="1019578" cy="751520"/>
        </a:xfrm>
        <a:prstGeom prst="rect">
          <a:avLst/>
        </a:prstGeom>
      </xdr:spPr>
    </xdr:pic>
    <xdr:clientData/>
  </xdr:twoCellAnchor>
  <xdr:twoCellAnchor editAs="oneCell">
    <xdr:from>
      <xdr:col>43</xdr:col>
      <xdr:colOff>576866</xdr:colOff>
      <xdr:row>0</xdr:row>
      <xdr:rowOff>134155</xdr:rowOff>
    </xdr:from>
    <xdr:to>
      <xdr:col>45</xdr:col>
      <xdr:colOff>189922</xdr:colOff>
      <xdr:row>2</xdr:row>
      <xdr:rowOff>160986</xdr:rowOff>
    </xdr:to>
    <xdr:pic>
      <xdr:nvPicPr>
        <xdr:cNvPr id="12" name="Resim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B32E36B-9785-4674-9F14-E06E7C6B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39331" y="134155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44</xdr:col>
      <xdr:colOff>456127</xdr:colOff>
      <xdr:row>2</xdr:row>
      <xdr:rowOff>13416</xdr:rowOff>
    </xdr:from>
    <xdr:to>
      <xdr:col>45</xdr:col>
      <xdr:colOff>187817</xdr:colOff>
      <xdr:row>2</xdr:row>
      <xdr:rowOff>150698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7685A664-4D85-4B7E-8065-D3C91673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22289" y="831761"/>
          <a:ext cx="335387" cy="137282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458363</xdr:colOff>
      <xdr:row>1</xdr:row>
      <xdr:rowOff>86979</xdr:rowOff>
    </xdr:from>
    <xdr:to>
      <xdr:col>28</xdr:col>
      <xdr:colOff>429787</xdr:colOff>
      <xdr:row>14</xdr:row>
      <xdr:rowOff>30664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1350BA5D-89E6-6423-8CE2-EEB59773B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3089" y="284449"/>
          <a:ext cx="5337948" cy="2801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304800</xdr:colOff>
      <xdr:row>11</xdr:row>
      <xdr:rowOff>28575</xdr:rowOff>
    </xdr:from>
    <xdr:to>
      <xdr:col>12</xdr:col>
      <xdr:colOff>342901</xdr:colOff>
      <xdr:row>15</xdr:row>
      <xdr:rowOff>180975</xdr:rowOff>
    </xdr:to>
    <xdr:sp macro="" textlink="">
      <xdr:nvSpPr>
        <xdr:cNvPr id="8" name="Eksi İşareti 7">
          <a:extLst>
            <a:ext uri="{FF2B5EF4-FFF2-40B4-BE49-F238E27FC236}">
              <a16:creationId xmlns:a16="http://schemas.microsoft.com/office/drawing/2014/main" id="{71D7EFC9-7D1C-06FF-7300-88755788FD6B}"/>
            </a:ext>
          </a:extLst>
        </xdr:cNvPr>
        <xdr:cNvSpPr/>
      </xdr:nvSpPr>
      <xdr:spPr>
        <a:xfrm>
          <a:off x="3743325" y="4219575"/>
          <a:ext cx="3086101" cy="933450"/>
        </a:xfrm>
        <a:prstGeom prst="mathMinus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123824</xdr:colOff>
      <xdr:row>11</xdr:row>
      <xdr:rowOff>38100</xdr:rowOff>
    </xdr:from>
    <xdr:to>
      <xdr:col>17</xdr:col>
      <xdr:colOff>457200</xdr:colOff>
      <xdr:row>16</xdr:row>
      <xdr:rowOff>0</xdr:rowOff>
    </xdr:to>
    <xdr:sp macro="" textlink="">
      <xdr:nvSpPr>
        <xdr:cNvPr id="9" name="Eksi İşareti 8">
          <a:extLst>
            <a:ext uri="{FF2B5EF4-FFF2-40B4-BE49-F238E27FC236}">
              <a16:creationId xmlns:a16="http://schemas.microsoft.com/office/drawing/2014/main" id="{82043FB3-7995-4932-9995-DCEF2E95C0A9}"/>
            </a:ext>
          </a:extLst>
        </xdr:cNvPr>
        <xdr:cNvSpPr/>
      </xdr:nvSpPr>
      <xdr:spPr>
        <a:xfrm>
          <a:off x="6610349" y="4229100"/>
          <a:ext cx="3381376" cy="933450"/>
        </a:xfrm>
        <a:prstGeom prst="mathMinus">
          <a:avLst/>
        </a:prstGeom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11</xdr:col>
      <xdr:colOff>552450</xdr:colOff>
      <xdr:row>12</xdr:row>
      <xdr:rowOff>9525</xdr:rowOff>
    </xdr:from>
    <xdr:to>
      <xdr:col>12</xdr:col>
      <xdr:colOff>552450</xdr:colOff>
      <xdr:row>15</xdr:row>
      <xdr:rowOff>19050</xdr:rowOff>
    </xdr:to>
    <xdr:sp macro="" textlink="">
      <xdr:nvSpPr>
        <xdr:cNvPr id="10" name="Akış Çizelgesi: Bağlayıcı 9">
          <a:extLst>
            <a:ext uri="{FF2B5EF4-FFF2-40B4-BE49-F238E27FC236}">
              <a16:creationId xmlns:a16="http://schemas.microsoft.com/office/drawing/2014/main" id="{80C1F19C-C06F-60DC-6FD0-CB235C1340F0}"/>
            </a:ext>
          </a:extLst>
        </xdr:cNvPr>
        <xdr:cNvSpPr/>
      </xdr:nvSpPr>
      <xdr:spPr>
        <a:xfrm>
          <a:off x="5429250" y="5724525"/>
          <a:ext cx="609600" cy="581025"/>
        </a:xfrm>
        <a:prstGeom prst="flowChartConnec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104775</xdr:colOff>
      <xdr:row>12</xdr:row>
      <xdr:rowOff>38105</xdr:rowOff>
    </xdr:from>
    <xdr:to>
      <xdr:col>12</xdr:col>
      <xdr:colOff>533400</xdr:colOff>
      <xdr:row>14</xdr:row>
      <xdr:rowOff>177930</xdr:rowOff>
    </xdr:to>
    <xdr:sp macro="" textlink="">
      <xdr:nvSpPr>
        <xdr:cNvPr id="12" name="İkizkenar Üçgen 11">
          <a:extLst>
            <a:ext uri="{FF2B5EF4-FFF2-40B4-BE49-F238E27FC236}">
              <a16:creationId xmlns:a16="http://schemas.microsoft.com/office/drawing/2014/main" id="{50A6A775-E4D9-7E1A-10CE-25D4ED7AEAFF}"/>
            </a:ext>
          </a:extLst>
        </xdr:cNvPr>
        <xdr:cNvSpPr/>
      </xdr:nvSpPr>
      <xdr:spPr>
        <a:xfrm rot="5400000">
          <a:off x="5545075" y="5799205"/>
          <a:ext cx="520825" cy="428625"/>
        </a:xfrm>
        <a:prstGeom prst="triangl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10</xdr:col>
      <xdr:colOff>246933</xdr:colOff>
      <xdr:row>8</xdr:row>
      <xdr:rowOff>153834</xdr:rowOff>
    </xdr:from>
    <xdr:to>
      <xdr:col>11</xdr:col>
      <xdr:colOff>380283</xdr:colOff>
      <xdr:row>13</xdr:row>
      <xdr:rowOff>115734</xdr:rowOff>
    </xdr:to>
    <xdr:sp macro="" textlink="">
      <xdr:nvSpPr>
        <xdr:cNvPr id="13" name="Eksi İşareti 12">
          <a:extLst>
            <a:ext uri="{FF2B5EF4-FFF2-40B4-BE49-F238E27FC236}">
              <a16:creationId xmlns:a16="http://schemas.microsoft.com/office/drawing/2014/main" id="{58969BC2-D036-8C70-02AF-2AF31BEB0DBF}"/>
            </a:ext>
          </a:extLst>
        </xdr:cNvPr>
        <xdr:cNvSpPr/>
      </xdr:nvSpPr>
      <xdr:spPr>
        <a:xfrm rot="16200000">
          <a:off x="6109110" y="3171415"/>
          <a:ext cx="945125" cy="747867"/>
        </a:xfrm>
        <a:prstGeom prst="mathMinu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13</xdr:col>
      <xdr:colOff>209550</xdr:colOff>
      <xdr:row>8</xdr:row>
      <xdr:rowOff>152400</xdr:rowOff>
    </xdr:from>
    <xdr:to>
      <xdr:col>14</xdr:col>
      <xdr:colOff>342900</xdr:colOff>
      <xdr:row>13</xdr:row>
      <xdr:rowOff>114300</xdr:rowOff>
    </xdr:to>
    <xdr:sp macro="" textlink="">
      <xdr:nvSpPr>
        <xdr:cNvPr id="14" name="Eksi İşareti 13">
          <a:extLst>
            <a:ext uri="{FF2B5EF4-FFF2-40B4-BE49-F238E27FC236}">
              <a16:creationId xmlns:a16="http://schemas.microsoft.com/office/drawing/2014/main" id="{CE07FB3A-C9F0-44CF-846F-EA311F563A91}"/>
            </a:ext>
          </a:extLst>
        </xdr:cNvPr>
        <xdr:cNvSpPr/>
      </xdr:nvSpPr>
      <xdr:spPr>
        <a:xfrm rot="16200000">
          <a:off x="6219825" y="5191125"/>
          <a:ext cx="914400" cy="742950"/>
        </a:xfrm>
        <a:prstGeom prst="mathMinu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10</xdr:col>
      <xdr:colOff>390525</xdr:colOff>
      <xdr:row>6</xdr:row>
      <xdr:rowOff>172884</xdr:rowOff>
    </xdr:from>
    <xdr:to>
      <xdr:col>11</xdr:col>
      <xdr:colOff>238125</xdr:colOff>
      <xdr:row>9</xdr:row>
      <xdr:rowOff>58584</xdr:rowOff>
    </xdr:to>
    <xdr:sp macro="" textlink="">
      <xdr:nvSpPr>
        <xdr:cNvPr id="15" name="Akış Çizelgesi: Bağlayıcı 14">
          <a:extLst>
            <a:ext uri="{FF2B5EF4-FFF2-40B4-BE49-F238E27FC236}">
              <a16:creationId xmlns:a16="http://schemas.microsoft.com/office/drawing/2014/main" id="{15143523-B031-B3D7-838E-B90AC969A599}"/>
            </a:ext>
          </a:extLst>
        </xdr:cNvPr>
        <xdr:cNvSpPr/>
      </xdr:nvSpPr>
      <xdr:spPr>
        <a:xfrm>
          <a:off x="6351331" y="2702642"/>
          <a:ext cx="462117" cy="469490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13</xdr:col>
      <xdr:colOff>352425</xdr:colOff>
      <xdr:row>6</xdr:row>
      <xdr:rowOff>171450</xdr:rowOff>
    </xdr:from>
    <xdr:to>
      <xdr:col>14</xdr:col>
      <xdr:colOff>200025</xdr:colOff>
      <xdr:row>9</xdr:row>
      <xdr:rowOff>57150</xdr:rowOff>
    </xdr:to>
    <xdr:sp macro="" textlink="">
      <xdr:nvSpPr>
        <xdr:cNvPr id="16" name="Akış Çizelgesi: Bağlayıcı 15">
          <a:extLst>
            <a:ext uri="{FF2B5EF4-FFF2-40B4-BE49-F238E27FC236}">
              <a16:creationId xmlns:a16="http://schemas.microsoft.com/office/drawing/2014/main" id="{0147BE39-DA8E-422E-9552-E9CF90041F18}"/>
            </a:ext>
          </a:extLst>
        </xdr:cNvPr>
        <xdr:cNvSpPr/>
      </xdr:nvSpPr>
      <xdr:spPr>
        <a:xfrm>
          <a:off x="6448425" y="4743450"/>
          <a:ext cx="457200" cy="457200"/>
        </a:xfrm>
        <a:prstGeom prst="flowChartConnector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9</xdr:col>
      <xdr:colOff>371475</xdr:colOff>
      <xdr:row>12</xdr:row>
      <xdr:rowOff>47625</xdr:rowOff>
    </xdr:from>
    <xdr:to>
      <xdr:col>10</xdr:col>
      <xdr:colOff>161925</xdr:colOff>
      <xdr:row>14</xdr:row>
      <xdr:rowOff>149355</xdr:rowOff>
    </xdr:to>
    <xdr:sp macro="" textlink="">
      <xdr:nvSpPr>
        <xdr:cNvPr id="17" name="İkizkenar Üçgen 16">
          <a:extLst>
            <a:ext uri="{FF2B5EF4-FFF2-40B4-BE49-F238E27FC236}">
              <a16:creationId xmlns:a16="http://schemas.microsoft.com/office/drawing/2014/main" id="{35A8A807-ABB3-30BC-A154-DBC88743F1D7}"/>
            </a:ext>
          </a:extLst>
        </xdr:cNvPr>
        <xdr:cNvSpPr/>
      </xdr:nvSpPr>
      <xdr:spPr>
        <a:xfrm rot="16200000">
          <a:off x="3987735" y="5803965"/>
          <a:ext cx="482730" cy="400050"/>
        </a:xfrm>
        <a:prstGeom prst="triangl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8</xdr:col>
      <xdr:colOff>600075</xdr:colOff>
      <xdr:row>12</xdr:row>
      <xdr:rowOff>47625</xdr:rowOff>
    </xdr:from>
    <xdr:to>
      <xdr:col>9</xdr:col>
      <xdr:colOff>390525</xdr:colOff>
      <xdr:row>14</xdr:row>
      <xdr:rowOff>149355</xdr:rowOff>
    </xdr:to>
    <xdr:sp macro="" textlink="">
      <xdr:nvSpPr>
        <xdr:cNvPr id="21" name="İkizkenar Üçgen 20">
          <a:extLst>
            <a:ext uri="{FF2B5EF4-FFF2-40B4-BE49-F238E27FC236}">
              <a16:creationId xmlns:a16="http://schemas.microsoft.com/office/drawing/2014/main" id="{242F4ADC-B8DD-4935-9E66-3EDEA55B4C77}"/>
            </a:ext>
          </a:extLst>
        </xdr:cNvPr>
        <xdr:cNvSpPr/>
      </xdr:nvSpPr>
      <xdr:spPr>
        <a:xfrm rot="5400000">
          <a:off x="3606735" y="5803965"/>
          <a:ext cx="482730" cy="400050"/>
        </a:xfrm>
        <a:prstGeom prst="triangl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14</xdr:col>
      <xdr:colOff>504825</xdr:colOff>
      <xdr:row>12</xdr:row>
      <xdr:rowOff>76200</xdr:rowOff>
    </xdr:from>
    <xdr:to>
      <xdr:col>15</xdr:col>
      <xdr:colOff>295275</xdr:colOff>
      <xdr:row>14</xdr:row>
      <xdr:rowOff>177930</xdr:rowOff>
    </xdr:to>
    <xdr:sp macro="" textlink="">
      <xdr:nvSpPr>
        <xdr:cNvPr id="22" name="İkizkenar Üçgen 21">
          <a:extLst>
            <a:ext uri="{FF2B5EF4-FFF2-40B4-BE49-F238E27FC236}">
              <a16:creationId xmlns:a16="http://schemas.microsoft.com/office/drawing/2014/main" id="{69A58133-6534-4B54-8221-1BFB39C3570B}"/>
            </a:ext>
          </a:extLst>
        </xdr:cNvPr>
        <xdr:cNvSpPr/>
      </xdr:nvSpPr>
      <xdr:spPr>
        <a:xfrm rot="5400000">
          <a:off x="7169085" y="5832540"/>
          <a:ext cx="482730" cy="400050"/>
        </a:xfrm>
        <a:prstGeom prst="triangl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15</xdr:col>
      <xdr:colOff>285750</xdr:colOff>
      <xdr:row>12</xdr:row>
      <xdr:rowOff>76200</xdr:rowOff>
    </xdr:from>
    <xdr:to>
      <xdr:col>16</xdr:col>
      <xdr:colOff>76200</xdr:colOff>
      <xdr:row>14</xdr:row>
      <xdr:rowOff>177930</xdr:rowOff>
    </xdr:to>
    <xdr:sp macro="" textlink="">
      <xdr:nvSpPr>
        <xdr:cNvPr id="23" name="İkizkenar Üçgen 22">
          <a:extLst>
            <a:ext uri="{FF2B5EF4-FFF2-40B4-BE49-F238E27FC236}">
              <a16:creationId xmlns:a16="http://schemas.microsoft.com/office/drawing/2014/main" id="{4BDEC584-5875-441E-9639-9EAFBA82D693}"/>
            </a:ext>
          </a:extLst>
        </xdr:cNvPr>
        <xdr:cNvSpPr/>
      </xdr:nvSpPr>
      <xdr:spPr>
        <a:xfrm rot="16200000">
          <a:off x="7559610" y="5832540"/>
          <a:ext cx="482730" cy="400050"/>
        </a:xfrm>
        <a:prstGeom prst="triangl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7</xdr:col>
      <xdr:colOff>9525</xdr:colOff>
      <xdr:row>12</xdr:row>
      <xdr:rowOff>190499</xdr:rowOff>
    </xdr:from>
    <xdr:to>
      <xdr:col>8</xdr:col>
      <xdr:colOff>76200</xdr:colOff>
      <xdr:row>14</xdr:row>
      <xdr:rowOff>47624</xdr:rowOff>
    </xdr:to>
    <xdr:sp macro="" textlink="">
      <xdr:nvSpPr>
        <xdr:cNvPr id="24" name="Ok: Sağ 23">
          <a:extLst>
            <a:ext uri="{FF2B5EF4-FFF2-40B4-BE49-F238E27FC236}">
              <a16:creationId xmlns:a16="http://schemas.microsoft.com/office/drawing/2014/main" id="{44879440-4676-ECC6-7B56-021A2A010DFD}"/>
            </a:ext>
          </a:extLst>
        </xdr:cNvPr>
        <xdr:cNvSpPr/>
      </xdr:nvSpPr>
      <xdr:spPr>
        <a:xfrm>
          <a:off x="2447925" y="5905499"/>
          <a:ext cx="676275" cy="238125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10</xdr:col>
      <xdr:colOff>550299</xdr:colOff>
      <xdr:row>7</xdr:row>
      <xdr:rowOff>59581</xdr:rowOff>
    </xdr:from>
    <xdr:to>
      <xdr:col>11</xdr:col>
      <xdr:colOff>140444</xdr:colOff>
      <xdr:row>8</xdr:row>
      <xdr:rowOff>78351</xdr:rowOff>
    </xdr:to>
    <xdr:cxnSp macro="">
      <xdr:nvCxnSpPr>
        <xdr:cNvPr id="28" name="Düz Bağlayıcı 27">
          <a:extLst>
            <a:ext uri="{FF2B5EF4-FFF2-40B4-BE49-F238E27FC236}">
              <a16:creationId xmlns:a16="http://schemas.microsoft.com/office/drawing/2014/main" id="{691B76F7-456E-02D4-AAAC-D6E58C1E54D1}"/>
            </a:ext>
          </a:extLst>
        </xdr:cNvPr>
        <xdr:cNvCxnSpPr/>
      </xdr:nvCxnSpPr>
      <xdr:spPr>
        <a:xfrm flipV="1">
          <a:off x="6511105" y="2783936"/>
          <a:ext cx="204662" cy="2133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533400</xdr:colOff>
      <xdr:row>7</xdr:row>
      <xdr:rowOff>57150</xdr:rowOff>
    </xdr:from>
    <xdr:to>
      <xdr:col>14</xdr:col>
      <xdr:colOff>123545</xdr:colOff>
      <xdr:row>8</xdr:row>
      <xdr:rowOff>75920</xdr:rowOff>
    </xdr:to>
    <xdr:cxnSp macro="">
      <xdr:nvCxnSpPr>
        <xdr:cNvPr id="30" name="Düz Bağlayıcı 29">
          <a:extLst>
            <a:ext uri="{FF2B5EF4-FFF2-40B4-BE49-F238E27FC236}">
              <a16:creationId xmlns:a16="http://schemas.microsoft.com/office/drawing/2014/main" id="{B906D1DE-EFC3-4FB7-9EFB-EC85EDCCB7D6}"/>
            </a:ext>
          </a:extLst>
        </xdr:cNvPr>
        <xdr:cNvCxnSpPr/>
      </xdr:nvCxnSpPr>
      <xdr:spPr>
        <a:xfrm flipV="1">
          <a:off x="6629400" y="4819650"/>
          <a:ext cx="199745" cy="2092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</xdr:colOff>
      <xdr:row>20</xdr:row>
      <xdr:rowOff>0</xdr:rowOff>
    </xdr:from>
    <xdr:to>
      <xdr:col>13</xdr:col>
      <xdr:colOff>40967</xdr:colOff>
      <xdr:row>23</xdr:row>
      <xdr:rowOff>19050</xdr:rowOff>
    </xdr:to>
    <xdr:sp macro="" textlink="">
      <xdr:nvSpPr>
        <xdr:cNvPr id="31" name="Akış Çizelgesi: Bağlayıcı 30">
          <a:extLst>
            <a:ext uri="{FF2B5EF4-FFF2-40B4-BE49-F238E27FC236}">
              <a16:creationId xmlns:a16="http://schemas.microsoft.com/office/drawing/2014/main" id="{BCB2D1FF-1C0D-4821-8AA2-FC10FA24C482}"/>
            </a:ext>
          </a:extLst>
        </xdr:cNvPr>
        <xdr:cNvSpPr/>
      </xdr:nvSpPr>
      <xdr:spPr>
        <a:xfrm>
          <a:off x="7199363" y="5274597"/>
          <a:ext cx="645959" cy="664292"/>
        </a:xfrm>
        <a:prstGeom prst="flowChartConnector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202176</xdr:colOff>
      <xdr:row>20</xdr:row>
      <xdr:rowOff>49060</xdr:rowOff>
    </xdr:from>
    <xdr:to>
      <xdr:col>13</xdr:col>
      <xdr:colOff>16285</xdr:colOff>
      <xdr:row>22</xdr:row>
      <xdr:rowOff>188885</xdr:rowOff>
    </xdr:to>
    <xdr:sp macro="" textlink="">
      <xdr:nvSpPr>
        <xdr:cNvPr id="32" name="İkizkenar Üçgen 31">
          <a:extLst>
            <a:ext uri="{FF2B5EF4-FFF2-40B4-BE49-F238E27FC236}">
              <a16:creationId xmlns:a16="http://schemas.microsoft.com/office/drawing/2014/main" id="{D654C905-0EBD-4266-BC2E-536AAE1BA191}"/>
            </a:ext>
          </a:extLst>
        </xdr:cNvPr>
        <xdr:cNvSpPr/>
      </xdr:nvSpPr>
      <xdr:spPr>
        <a:xfrm rot="5400000">
          <a:off x="7321335" y="5394337"/>
          <a:ext cx="569986" cy="428625"/>
        </a:xfrm>
        <a:prstGeom prst="triangl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17</xdr:col>
      <xdr:colOff>85725</xdr:colOff>
      <xdr:row>12</xdr:row>
      <xdr:rowOff>171450</xdr:rowOff>
    </xdr:from>
    <xdr:to>
      <xdr:col>17</xdr:col>
      <xdr:colOff>762000</xdr:colOff>
      <xdr:row>14</xdr:row>
      <xdr:rowOff>28575</xdr:rowOff>
    </xdr:to>
    <xdr:sp macro="" textlink="">
      <xdr:nvSpPr>
        <xdr:cNvPr id="33" name="Ok: Sağ 32">
          <a:extLst>
            <a:ext uri="{FF2B5EF4-FFF2-40B4-BE49-F238E27FC236}">
              <a16:creationId xmlns:a16="http://schemas.microsoft.com/office/drawing/2014/main" id="{7DACCC1E-18AC-473A-87CC-7BA45DC2DE72}"/>
            </a:ext>
          </a:extLst>
        </xdr:cNvPr>
        <xdr:cNvSpPr/>
      </xdr:nvSpPr>
      <xdr:spPr>
        <a:xfrm>
          <a:off x="9620250" y="4552950"/>
          <a:ext cx="676275" cy="238125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12</xdr:col>
      <xdr:colOff>286774</xdr:colOff>
      <xdr:row>16</xdr:row>
      <xdr:rowOff>102419</xdr:rowOff>
    </xdr:from>
    <xdr:to>
      <xdr:col>12</xdr:col>
      <xdr:colOff>337984</xdr:colOff>
      <xdr:row>18</xdr:row>
      <xdr:rowOff>153629</xdr:rowOff>
    </xdr:to>
    <xdr:cxnSp macro="">
      <xdr:nvCxnSpPr>
        <xdr:cNvPr id="11" name="Düz Ok Bağlayıcısı 10">
          <a:extLst>
            <a:ext uri="{FF2B5EF4-FFF2-40B4-BE49-F238E27FC236}">
              <a16:creationId xmlns:a16="http://schemas.microsoft.com/office/drawing/2014/main" id="{B67B0794-BE91-AC04-A452-70518DCB478F}"/>
            </a:ext>
          </a:extLst>
        </xdr:cNvPr>
        <xdr:cNvCxnSpPr/>
      </xdr:nvCxnSpPr>
      <xdr:spPr>
        <a:xfrm>
          <a:off x="7476613" y="5182419"/>
          <a:ext cx="51210" cy="4404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23233</xdr:colOff>
      <xdr:row>5</xdr:row>
      <xdr:rowOff>151006</xdr:rowOff>
    </xdr:from>
    <xdr:to>
      <xdr:col>3</xdr:col>
      <xdr:colOff>267165</xdr:colOff>
      <xdr:row>8</xdr:row>
      <xdr:rowOff>23232</xdr:rowOff>
    </xdr:to>
    <xdr:sp macro="" textlink="">
      <xdr:nvSpPr>
        <xdr:cNvPr id="3" name="Dikdörtgen: Köşeleri Yuvarlatılmış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E61CA5-96F1-6F3B-0BC1-274C30C3186E}"/>
            </a:ext>
          </a:extLst>
        </xdr:cNvPr>
        <xdr:cNvSpPr/>
      </xdr:nvSpPr>
      <xdr:spPr>
        <a:xfrm>
          <a:off x="627257" y="1521677"/>
          <a:ext cx="2358018" cy="429787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ysClr val="windowText" lastClr="000000"/>
              </a:solidFill>
            </a:rPr>
            <a:t>Toplam</a:t>
          </a:r>
          <a:r>
            <a:rPr lang="tr-TR" sz="1600" b="1" baseline="0">
              <a:solidFill>
                <a:sysClr val="windowText" lastClr="000000"/>
              </a:solidFill>
            </a:rPr>
            <a:t> </a:t>
          </a:r>
          <a:r>
            <a:rPr lang="tr-TR" sz="1600" b="1">
              <a:solidFill>
                <a:sysClr val="windowText" lastClr="000000"/>
              </a:solidFill>
            </a:rPr>
            <a:t>Malzeme Listesi</a:t>
          </a:r>
        </a:p>
      </xdr:txBody>
    </xdr:sp>
    <xdr:clientData/>
  </xdr:twoCellAnchor>
  <xdr:twoCellAnchor>
    <xdr:from>
      <xdr:col>14</xdr:col>
      <xdr:colOff>58080</xdr:colOff>
      <xdr:row>15</xdr:row>
      <xdr:rowOff>11616</xdr:rowOff>
    </xdr:from>
    <xdr:to>
      <xdr:col>17</xdr:col>
      <xdr:colOff>1080274</xdr:colOff>
      <xdr:row>22</xdr:row>
      <xdr:rowOff>151006</xdr:rowOff>
    </xdr:to>
    <xdr:cxnSp macro="">
      <xdr:nvCxnSpPr>
        <xdr:cNvPr id="4" name="Düz Ok Bağlayıcısı 3">
          <a:extLst>
            <a:ext uri="{FF2B5EF4-FFF2-40B4-BE49-F238E27FC236}">
              <a16:creationId xmlns:a16="http://schemas.microsoft.com/office/drawing/2014/main" id="{7EEF2861-BB4D-404E-B7EA-4F2F4582C5B7}"/>
            </a:ext>
          </a:extLst>
        </xdr:cNvPr>
        <xdr:cNvCxnSpPr/>
      </xdr:nvCxnSpPr>
      <xdr:spPr>
        <a:xfrm>
          <a:off x="8990671" y="3264055"/>
          <a:ext cx="2834268" cy="15216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69695</xdr:colOff>
      <xdr:row>15</xdr:row>
      <xdr:rowOff>116159</xdr:rowOff>
    </xdr:from>
    <xdr:to>
      <xdr:col>10</xdr:col>
      <xdr:colOff>418171</xdr:colOff>
      <xdr:row>22</xdr:row>
      <xdr:rowOff>92926</xdr:rowOff>
    </xdr:to>
    <xdr:cxnSp macro="">
      <xdr:nvCxnSpPr>
        <xdr:cNvPr id="7" name="Düz Ok Bağlayıcısı 6">
          <a:extLst>
            <a:ext uri="{FF2B5EF4-FFF2-40B4-BE49-F238E27FC236}">
              <a16:creationId xmlns:a16="http://schemas.microsoft.com/office/drawing/2014/main" id="{7BFEC531-967D-4DCF-9726-7FD89603E5D5}"/>
            </a:ext>
          </a:extLst>
        </xdr:cNvPr>
        <xdr:cNvCxnSpPr/>
      </xdr:nvCxnSpPr>
      <xdr:spPr>
        <a:xfrm flipH="1">
          <a:off x="4774116" y="3368598"/>
          <a:ext cx="2160549" cy="1359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22151</xdr:colOff>
      <xdr:row>37</xdr:row>
      <xdr:rowOff>18791</xdr:rowOff>
    </xdr:from>
    <xdr:to>
      <xdr:col>29</xdr:col>
      <xdr:colOff>387645</xdr:colOff>
      <xdr:row>40</xdr:row>
      <xdr:rowOff>172340</xdr:rowOff>
    </xdr:to>
    <xdr:pic>
      <xdr:nvPicPr>
        <xdr:cNvPr id="6" name="Resim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983390C-4C4A-424D-8F10-30F9C6F98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43081" y="7561262"/>
          <a:ext cx="974651" cy="7184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365495</xdr:colOff>
      <xdr:row>0</xdr:row>
      <xdr:rowOff>188284</xdr:rowOff>
    </xdr:from>
    <xdr:to>
      <xdr:col>16</xdr:col>
      <xdr:colOff>406732</xdr:colOff>
      <xdr:row>2</xdr:row>
      <xdr:rowOff>38686</xdr:rowOff>
    </xdr:to>
    <xdr:pic>
      <xdr:nvPicPr>
        <xdr:cNvPr id="18" name="Resim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2279AA8-28A2-4BB9-A00B-EB4C2985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56948" y="188284"/>
          <a:ext cx="650394" cy="669995"/>
        </a:xfrm>
        <a:prstGeom prst="rect">
          <a:avLst/>
        </a:prstGeom>
      </xdr:spPr>
    </xdr:pic>
    <xdr:clientData/>
  </xdr:twoCellAnchor>
  <xdr:twoCellAnchor editAs="oneCell">
    <xdr:from>
      <xdr:col>16</xdr:col>
      <xdr:colOff>110755</xdr:colOff>
      <xdr:row>1</xdr:row>
      <xdr:rowOff>542705</xdr:rowOff>
    </xdr:from>
    <xdr:to>
      <xdr:col>16</xdr:col>
      <xdr:colOff>361613</xdr:colOff>
      <xdr:row>2</xdr:row>
      <xdr:rowOff>25154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40FB0DF1-EE86-41EF-97E0-858CE593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11365" y="742065"/>
          <a:ext cx="250858" cy="102682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466725</xdr:colOff>
      <xdr:row>7</xdr:row>
      <xdr:rowOff>151520</xdr:rowOff>
    </xdr:from>
    <xdr:to>
      <xdr:col>10</xdr:col>
      <xdr:colOff>114300</xdr:colOff>
      <xdr:row>12</xdr:row>
      <xdr:rowOff>143334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8683E-E656-4BE4-B55C-62423AB89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485020"/>
          <a:ext cx="866775" cy="944314"/>
        </a:xfrm>
        <a:prstGeom prst="rect">
          <a:avLst/>
        </a:prstGeom>
      </xdr:spPr>
    </xdr:pic>
    <xdr:clientData/>
  </xdr:twoCellAnchor>
  <xdr:twoCellAnchor>
    <xdr:from>
      <xdr:col>0</xdr:col>
      <xdr:colOff>609599</xdr:colOff>
      <xdr:row>4</xdr:row>
      <xdr:rowOff>0</xdr:rowOff>
    </xdr:from>
    <xdr:to>
      <xdr:col>3</xdr:col>
      <xdr:colOff>114299</xdr:colOff>
      <xdr:row>6</xdr:row>
      <xdr:rowOff>180975</xdr:rowOff>
    </xdr:to>
    <xdr:sp macro="" textlink="">
      <xdr:nvSpPr>
        <xdr:cNvPr id="4" name="Dikdörtgen: Köşeleri Yuvarlatılmış 3">
          <a:extLst>
            <a:ext uri="{FF2B5EF4-FFF2-40B4-BE49-F238E27FC236}">
              <a16:creationId xmlns:a16="http://schemas.microsoft.com/office/drawing/2014/main" id="{431F13FB-63CA-4FD2-B2E9-B0F476CC4174}"/>
            </a:ext>
          </a:extLst>
        </xdr:cNvPr>
        <xdr:cNvSpPr/>
      </xdr:nvSpPr>
      <xdr:spPr>
        <a:xfrm>
          <a:off x="609599" y="762000"/>
          <a:ext cx="2562225" cy="561975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ysClr val="windowText" lastClr="000000"/>
              </a:solidFill>
            </a:rPr>
            <a:t>Regülatör</a:t>
          </a:r>
          <a:r>
            <a:rPr lang="tr-TR" sz="1600" b="1" baseline="0">
              <a:solidFill>
                <a:sysClr val="windowText" lastClr="000000"/>
              </a:solidFill>
            </a:rPr>
            <a:t> </a:t>
          </a:r>
          <a:r>
            <a:rPr lang="tr-TR" sz="1600" b="1">
              <a:solidFill>
                <a:sysClr val="windowText" lastClr="000000"/>
              </a:solidFill>
            </a:rPr>
            <a:t>Malzeme Listesi</a:t>
          </a:r>
        </a:p>
      </xdr:txBody>
    </xdr:sp>
    <xdr:clientData/>
  </xdr:twoCellAnchor>
  <xdr:twoCellAnchor editAs="oneCell">
    <xdr:from>
      <xdr:col>9</xdr:col>
      <xdr:colOff>133350</xdr:colOff>
      <xdr:row>9</xdr:row>
      <xdr:rowOff>104775</xdr:rowOff>
    </xdr:from>
    <xdr:to>
      <xdr:col>9</xdr:col>
      <xdr:colOff>488604</xdr:colOff>
      <xdr:row>10</xdr:row>
      <xdr:rowOff>104775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56FD68E1-CA09-4C19-A907-3EF568010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0225" y="1819275"/>
          <a:ext cx="355254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38878</xdr:colOff>
      <xdr:row>30</xdr:row>
      <xdr:rowOff>19437</xdr:rowOff>
    </xdr:from>
    <xdr:to>
      <xdr:col>13</xdr:col>
      <xdr:colOff>397876</xdr:colOff>
      <xdr:row>33</xdr:row>
      <xdr:rowOff>152223</xdr:rowOff>
    </xdr:to>
    <xdr:pic>
      <xdr:nvPicPr>
        <xdr:cNvPr id="3" name="Resim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5529B8C-FBC7-4160-B37F-8004F181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7296" y="5851070"/>
          <a:ext cx="971320" cy="71594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26831</xdr:colOff>
      <xdr:row>15</xdr:row>
      <xdr:rowOff>101787</xdr:rowOff>
    </xdr:from>
    <xdr:to>
      <xdr:col>10</xdr:col>
      <xdr:colOff>355511</xdr:colOff>
      <xdr:row>18</xdr:row>
      <xdr:rowOff>170156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CF15F9-0A35-4F7D-AFEA-781F5A54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3292" y="3596523"/>
          <a:ext cx="939085" cy="692189"/>
        </a:xfrm>
        <a:prstGeom prst="rect">
          <a:avLst/>
        </a:prstGeom>
      </xdr:spPr>
    </xdr:pic>
    <xdr:clientData/>
  </xdr:twoCellAnchor>
  <xdr:twoCellAnchor editAs="oneCell">
    <xdr:from>
      <xdr:col>8</xdr:col>
      <xdr:colOff>254895</xdr:colOff>
      <xdr:row>3</xdr:row>
      <xdr:rowOff>0</xdr:rowOff>
    </xdr:from>
    <xdr:to>
      <xdr:col>9</xdr:col>
      <xdr:colOff>297397</xdr:colOff>
      <xdr:row>5</xdr:row>
      <xdr:rowOff>193317</xdr:rowOff>
    </xdr:to>
    <xdr:pic>
      <xdr:nvPicPr>
        <xdr:cNvPr id="3" name="Resim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5A1467-A522-4A1C-A840-5E397B01A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0951" y="838468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9</xdr:col>
      <xdr:colOff>33539</xdr:colOff>
      <xdr:row>5</xdr:row>
      <xdr:rowOff>73786</xdr:rowOff>
    </xdr:from>
    <xdr:to>
      <xdr:col>9</xdr:col>
      <xdr:colOff>286910</xdr:colOff>
      <xdr:row>5</xdr:row>
      <xdr:rowOff>178561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E55D4F0A-19E9-4911-B8E1-A590F78AB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1395212"/>
          <a:ext cx="253371" cy="104775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131108</xdr:colOff>
      <xdr:row>2</xdr:row>
      <xdr:rowOff>172290</xdr:rowOff>
    </xdr:from>
    <xdr:to>
      <xdr:col>20</xdr:col>
      <xdr:colOff>98051</xdr:colOff>
      <xdr:row>27</xdr:row>
      <xdr:rowOff>79516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0630" y="466444"/>
          <a:ext cx="6270252" cy="552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2</xdr:row>
      <xdr:rowOff>0</xdr:rowOff>
    </xdr:from>
    <xdr:to>
      <xdr:col>28</xdr:col>
      <xdr:colOff>97155</xdr:colOff>
      <xdr:row>43</xdr:row>
      <xdr:rowOff>157445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0"/>
          <a:ext cx="4914900" cy="882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466725</xdr:colOff>
      <xdr:row>28</xdr:row>
      <xdr:rowOff>95250</xdr:rowOff>
    </xdr:from>
    <xdr:to>
      <xdr:col>18</xdr:col>
      <xdr:colOff>304800</xdr:colOff>
      <xdr:row>49</xdr:row>
      <xdr:rowOff>182790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" y="5410200"/>
          <a:ext cx="3638550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250387</xdr:colOff>
      <xdr:row>38</xdr:row>
      <xdr:rowOff>41494</xdr:rowOff>
    </xdr:from>
    <xdr:to>
      <xdr:col>10</xdr:col>
      <xdr:colOff>183911</xdr:colOff>
      <xdr:row>50</xdr:row>
      <xdr:rowOff>41492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87" y="7354942"/>
          <a:ext cx="6622941" cy="2233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12701</xdr:colOff>
      <xdr:row>11</xdr:row>
      <xdr:rowOff>190500</xdr:rowOff>
    </xdr:from>
    <xdr:to>
      <xdr:col>39</xdr:col>
      <xdr:colOff>95119</xdr:colOff>
      <xdr:row>43</xdr:row>
      <xdr:rowOff>25399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3663816D-4C19-81FF-BEE0-E329ED5F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1" y="2273300"/>
          <a:ext cx="6788018" cy="6692899"/>
        </a:xfrm>
        <a:prstGeom prst="rect">
          <a:avLst/>
        </a:prstGeom>
      </xdr:spPr>
    </xdr:pic>
    <xdr:clientData/>
  </xdr:twoCellAnchor>
  <xdr:twoCellAnchor editAs="oneCell">
    <xdr:from>
      <xdr:col>8</xdr:col>
      <xdr:colOff>65240</xdr:colOff>
      <xdr:row>32</xdr:row>
      <xdr:rowOff>68470</xdr:rowOff>
    </xdr:from>
    <xdr:to>
      <xdr:col>9</xdr:col>
      <xdr:colOff>534966</xdr:colOff>
      <xdr:row>37</xdr:row>
      <xdr:rowOff>98302</xdr:rowOff>
    </xdr:to>
    <xdr:pic>
      <xdr:nvPicPr>
        <xdr:cNvPr id="8" name="Resim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FF81EE1-3957-4928-BC76-F68FA346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4213" y="7062169"/>
          <a:ext cx="1226506" cy="904044"/>
        </a:xfrm>
        <a:prstGeom prst="rect">
          <a:avLst/>
        </a:prstGeom>
      </xdr:spPr>
    </xdr:pic>
    <xdr:clientData/>
  </xdr:twoCellAnchor>
  <xdr:twoCellAnchor editAs="oneCell">
    <xdr:from>
      <xdr:col>28</xdr:col>
      <xdr:colOff>378390</xdr:colOff>
      <xdr:row>2</xdr:row>
      <xdr:rowOff>13047</xdr:rowOff>
    </xdr:from>
    <xdr:to>
      <xdr:col>30</xdr:col>
      <xdr:colOff>36389</xdr:colOff>
      <xdr:row>5</xdr:row>
      <xdr:rowOff>195719</xdr:rowOff>
    </xdr:to>
    <xdr:pic>
      <xdr:nvPicPr>
        <xdr:cNvPr id="9" name="Resim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74417B6-C350-4506-90D9-C56552BF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67123" y="313150"/>
          <a:ext cx="884506" cy="913357"/>
        </a:xfrm>
        <a:prstGeom prst="rect">
          <a:avLst/>
        </a:prstGeom>
      </xdr:spPr>
    </xdr:pic>
    <xdr:clientData/>
  </xdr:twoCellAnchor>
  <xdr:twoCellAnchor editAs="oneCell">
    <xdr:from>
      <xdr:col>29</xdr:col>
      <xdr:colOff>65239</xdr:colOff>
      <xdr:row>3</xdr:row>
      <xdr:rowOff>169623</xdr:rowOff>
    </xdr:from>
    <xdr:to>
      <xdr:col>29</xdr:col>
      <xdr:colOff>384222</xdr:colOff>
      <xdr:row>3</xdr:row>
      <xdr:rowOff>300494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90C5F92B-CA9D-41E3-8C8C-FC75727F0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67225" y="665445"/>
          <a:ext cx="318983" cy="130871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285751</xdr:colOff>
      <xdr:row>22</xdr:row>
      <xdr:rowOff>0</xdr:rowOff>
    </xdr:from>
    <xdr:to>
      <xdr:col>21</xdr:col>
      <xdr:colOff>365044</xdr:colOff>
      <xdr:row>37</xdr:row>
      <xdr:rowOff>130968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A3C231A9-56A4-38E6-CDCE-D4AC33267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4939" y="4119563"/>
          <a:ext cx="6157196" cy="2631281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190499</xdr:colOff>
      <xdr:row>37</xdr:row>
      <xdr:rowOff>23814</xdr:rowOff>
    </xdr:from>
    <xdr:to>
      <xdr:col>10</xdr:col>
      <xdr:colOff>18837</xdr:colOff>
      <xdr:row>45</xdr:row>
      <xdr:rowOff>16193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B0D4D2A-3EDF-A02F-DDE4-87A68D09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0812" y="6643689"/>
          <a:ext cx="1657614" cy="1333499"/>
        </a:xfrm>
        <a:prstGeom prst="rect">
          <a:avLst/>
        </a:prstGeom>
      </xdr:spPr>
    </xdr:pic>
    <xdr:clientData/>
  </xdr:twoCellAnchor>
  <xdr:twoCellAnchor editAs="oneCell">
    <xdr:from>
      <xdr:col>10</xdr:col>
      <xdr:colOff>345281</xdr:colOff>
      <xdr:row>40</xdr:row>
      <xdr:rowOff>35719</xdr:rowOff>
    </xdr:from>
    <xdr:to>
      <xdr:col>20</xdr:col>
      <xdr:colOff>474734</xdr:colOff>
      <xdr:row>44</xdr:row>
      <xdr:rowOff>125359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5D5D6289-EED9-39CA-1B22-B9860441C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0" y="7155657"/>
          <a:ext cx="6201640" cy="752580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476251</xdr:colOff>
      <xdr:row>19</xdr:row>
      <xdr:rowOff>59532</xdr:rowOff>
    </xdr:from>
    <xdr:to>
      <xdr:col>33</xdr:col>
      <xdr:colOff>94791</xdr:colOff>
      <xdr:row>37</xdr:row>
      <xdr:rowOff>154779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FACBFE09-ECC7-5F62-DAEC-DBE73D9A1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87626" y="3679032"/>
          <a:ext cx="6912785" cy="3095623"/>
        </a:xfrm>
        <a:prstGeom prst="rect">
          <a:avLst/>
        </a:prstGeom>
      </xdr:spPr>
    </xdr:pic>
    <xdr:clientData/>
  </xdr:twoCellAnchor>
  <xdr:twoCellAnchor editAs="oneCell">
    <xdr:from>
      <xdr:col>6</xdr:col>
      <xdr:colOff>1059657</xdr:colOff>
      <xdr:row>4</xdr:row>
      <xdr:rowOff>95248</xdr:rowOff>
    </xdr:from>
    <xdr:to>
      <xdr:col>10</xdr:col>
      <xdr:colOff>130970</xdr:colOff>
      <xdr:row>20</xdr:row>
      <xdr:rowOff>17902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64249575-B408-8391-A0AB-0A4D3A24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1" y="857248"/>
          <a:ext cx="2393156" cy="2661092"/>
        </a:xfrm>
        <a:prstGeom prst="rect">
          <a:avLst/>
        </a:prstGeom>
      </xdr:spPr>
    </xdr:pic>
    <xdr:clientData/>
  </xdr:twoCellAnchor>
  <xdr:twoCellAnchor editAs="oneCell">
    <xdr:from>
      <xdr:col>21</xdr:col>
      <xdr:colOff>511969</xdr:colOff>
      <xdr:row>1</xdr:row>
      <xdr:rowOff>11906</xdr:rowOff>
    </xdr:from>
    <xdr:to>
      <xdr:col>33</xdr:col>
      <xdr:colOff>170973</xdr:colOff>
      <xdr:row>18</xdr:row>
      <xdr:rowOff>157997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693D5772-B6DC-E27C-A405-56A75C877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23344" y="202406"/>
          <a:ext cx="6953249" cy="3328969"/>
        </a:xfrm>
        <a:prstGeom prst="rect">
          <a:avLst/>
        </a:prstGeom>
      </xdr:spPr>
    </xdr:pic>
    <xdr:clientData/>
  </xdr:twoCellAnchor>
  <xdr:twoCellAnchor editAs="oneCell">
    <xdr:from>
      <xdr:col>10</xdr:col>
      <xdr:colOff>97535</xdr:colOff>
      <xdr:row>4</xdr:row>
      <xdr:rowOff>54010</xdr:rowOff>
    </xdr:from>
    <xdr:to>
      <xdr:col>14</xdr:col>
      <xdr:colOff>59531</xdr:colOff>
      <xdr:row>20</xdr:row>
      <xdr:rowOff>28663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756FFBB9-6C78-65B9-F930-4A4AD5D1C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0473" y="816010"/>
          <a:ext cx="2390871" cy="2716901"/>
        </a:xfrm>
        <a:prstGeom prst="rect">
          <a:avLst/>
        </a:prstGeom>
      </xdr:spPr>
    </xdr:pic>
    <xdr:clientData/>
  </xdr:twoCellAnchor>
  <xdr:twoCellAnchor editAs="oneCell">
    <xdr:from>
      <xdr:col>14</xdr:col>
      <xdr:colOff>83346</xdr:colOff>
      <xdr:row>4</xdr:row>
      <xdr:rowOff>95251</xdr:rowOff>
    </xdr:from>
    <xdr:to>
      <xdr:col>18</xdr:col>
      <xdr:colOff>95875</xdr:colOff>
      <xdr:row>20</xdr:row>
      <xdr:rowOff>87155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976F5B0E-20A4-AA24-EF96-1F973ADB2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5159" y="857251"/>
          <a:ext cx="2441404" cy="27265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35719</xdr:rowOff>
    </xdr:from>
    <xdr:to>
      <xdr:col>22</xdr:col>
      <xdr:colOff>19526</xdr:colOff>
      <xdr:row>20</xdr:row>
      <xdr:rowOff>95041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9AAB719E-F1F4-B4A5-3CCD-B2100B2BD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20688" y="797719"/>
          <a:ext cx="2440781" cy="2805380"/>
        </a:xfrm>
        <a:prstGeom prst="rect">
          <a:avLst/>
        </a:prstGeom>
      </xdr:spPr>
    </xdr:pic>
    <xdr:clientData/>
  </xdr:twoCellAnchor>
  <xdr:twoCellAnchor editAs="oneCell">
    <xdr:from>
      <xdr:col>6</xdr:col>
      <xdr:colOff>1023937</xdr:colOff>
      <xdr:row>18</xdr:row>
      <xdr:rowOff>123051</xdr:rowOff>
    </xdr:from>
    <xdr:to>
      <xdr:col>10</xdr:col>
      <xdr:colOff>170974</xdr:colOff>
      <xdr:row>35</xdr:row>
      <xdr:rowOff>131249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FB2B2706-CE15-1DB0-E316-0ADEF362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5031" y="3575864"/>
          <a:ext cx="2476500" cy="2841885"/>
        </a:xfrm>
        <a:prstGeom prst="rect">
          <a:avLst/>
        </a:prstGeom>
      </xdr:spPr>
    </xdr:pic>
    <xdr:clientData/>
  </xdr:twoCellAnchor>
  <xdr:twoCellAnchor editAs="oneCell">
    <xdr:from>
      <xdr:col>29</xdr:col>
      <xdr:colOff>34847</xdr:colOff>
      <xdr:row>38</xdr:row>
      <xdr:rowOff>23231</xdr:rowOff>
    </xdr:from>
    <xdr:to>
      <xdr:col>31</xdr:col>
      <xdr:colOff>22283</xdr:colOff>
      <xdr:row>43</xdr:row>
      <xdr:rowOff>33220</xdr:rowOff>
    </xdr:to>
    <xdr:pic>
      <xdr:nvPicPr>
        <xdr:cNvPr id="8" name="Resim 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99944CE-EA3A-4365-BA9D-C14A5F5B3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28262" y="6957896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709547</xdr:colOff>
      <xdr:row>3</xdr:row>
      <xdr:rowOff>140283</xdr:rowOff>
    </xdr:to>
    <xdr:pic>
      <xdr:nvPicPr>
        <xdr:cNvPr id="15" name="Resim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72F116C-3C71-4C76-A153-DC03FB96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06433" y="185854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6</xdr:col>
      <xdr:colOff>232318</xdr:colOff>
      <xdr:row>1</xdr:row>
      <xdr:rowOff>267164</xdr:rowOff>
    </xdr:from>
    <xdr:to>
      <xdr:col>6</xdr:col>
      <xdr:colOff>515442</xdr:colOff>
      <xdr:row>1</xdr:row>
      <xdr:rowOff>383323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BB0EA1-397F-47F1-8F35-0D2B23F2D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38751" y="453018"/>
          <a:ext cx="283124" cy="11615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401052</xdr:colOff>
      <xdr:row>46</xdr:row>
      <xdr:rowOff>43616</xdr:rowOff>
    </xdr:from>
    <xdr:to>
      <xdr:col>20</xdr:col>
      <xdr:colOff>594357</xdr:colOff>
      <xdr:row>68</xdr:row>
      <xdr:rowOff>176966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0953" y="2287004"/>
          <a:ext cx="7199193" cy="42692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100264</xdr:colOff>
      <xdr:row>50</xdr:row>
      <xdr:rowOff>112796</xdr:rowOff>
    </xdr:from>
    <xdr:to>
      <xdr:col>9</xdr:col>
      <xdr:colOff>386652</xdr:colOff>
      <xdr:row>61</xdr:row>
      <xdr:rowOff>73977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1C2558B-5DC0-C8D0-E93A-7A53CE0DD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3915" y="3032960"/>
          <a:ext cx="4572638" cy="2029108"/>
        </a:xfrm>
        <a:prstGeom prst="rect">
          <a:avLst/>
        </a:prstGeom>
      </xdr:spPr>
    </xdr:pic>
    <xdr:clientData/>
  </xdr:twoCellAnchor>
  <xdr:twoCellAnchor>
    <xdr:from>
      <xdr:col>13</xdr:col>
      <xdr:colOff>567344</xdr:colOff>
      <xdr:row>20</xdr:row>
      <xdr:rowOff>164156</xdr:rowOff>
    </xdr:from>
    <xdr:to>
      <xdr:col>14</xdr:col>
      <xdr:colOff>256055</xdr:colOff>
      <xdr:row>45</xdr:row>
      <xdr:rowOff>114866</xdr:rowOff>
    </xdr:to>
    <xdr:sp macro="" textlink="">
      <xdr:nvSpPr>
        <xdr:cNvPr id="5" name="Ok: Aşağı 4">
          <a:extLst>
            <a:ext uri="{FF2B5EF4-FFF2-40B4-BE49-F238E27FC236}">
              <a16:creationId xmlns:a16="http://schemas.microsoft.com/office/drawing/2014/main" id="{E8D13EF4-6FDD-E2A4-3551-A4D119D7DD5B}"/>
            </a:ext>
          </a:extLst>
        </xdr:cNvPr>
        <xdr:cNvSpPr/>
      </xdr:nvSpPr>
      <xdr:spPr>
        <a:xfrm rot="19535998">
          <a:off x="10305403" y="1116656"/>
          <a:ext cx="302823" cy="105360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18</xdr:col>
      <xdr:colOff>382343</xdr:colOff>
      <xdr:row>64</xdr:row>
      <xdr:rowOff>151541</xdr:rowOff>
    </xdr:from>
    <xdr:to>
      <xdr:col>19</xdr:col>
      <xdr:colOff>71054</xdr:colOff>
      <xdr:row>68</xdr:row>
      <xdr:rowOff>63721</xdr:rowOff>
    </xdr:to>
    <xdr:sp macro="" textlink="">
      <xdr:nvSpPr>
        <xdr:cNvPr id="7" name="Ok: Aşağı 6">
          <a:extLst>
            <a:ext uri="{FF2B5EF4-FFF2-40B4-BE49-F238E27FC236}">
              <a16:creationId xmlns:a16="http://schemas.microsoft.com/office/drawing/2014/main" id="{044AED10-AB3F-48D7-80FA-43B5797ABD58}"/>
            </a:ext>
          </a:extLst>
        </xdr:cNvPr>
        <xdr:cNvSpPr/>
      </xdr:nvSpPr>
      <xdr:spPr>
        <a:xfrm rot="11872926">
          <a:off x="12789909" y="5778811"/>
          <a:ext cx="302823" cy="66415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22</xdr:col>
      <xdr:colOff>41867</xdr:colOff>
      <xdr:row>17</xdr:row>
      <xdr:rowOff>65042</xdr:rowOff>
    </xdr:from>
    <xdr:to>
      <xdr:col>23</xdr:col>
      <xdr:colOff>471017</xdr:colOff>
      <xdr:row>21</xdr:row>
      <xdr:rowOff>12412</xdr:rowOff>
    </xdr:to>
    <xdr:pic>
      <xdr:nvPicPr>
        <xdr:cNvPr id="6" name="Resim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B88304D-FB40-4031-891C-54F6FE0F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21318" y="724465"/>
          <a:ext cx="1036237" cy="76379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52336</xdr:rowOff>
    </xdr:from>
    <xdr:to>
      <xdr:col>25</xdr:col>
      <xdr:colOff>102459</xdr:colOff>
      <xdr:row>20</xdr:row>
      <xdr:rowOff>157005</xdr:rowOff>
    </xdr:to>
    <xdr:pic>
      <xdr:nvPicPr>
        <xdr:cNvPr id="8" name="Resim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1B57D26-F691-4B03-8D2D-50CA5EAC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93626" y="711759"/>
          <a:ext cx="709547" cy="732691"/>
        </a:xfrm>
        <a:prstGeom prst="rect">
          <a:avLst/>
        </a:prstGeom>
      </xdr:spPr>
    </xdr:pic>
    <xdr:clientData/>
  </xdr:twoCellAnchor>
  <xdr:twoCellAnchor editAs="oneCell">
    <xdr:from>
      <xdr:col>24</xdr:col>
      <xdr:colOff>219806</xdr:colOff>
      <xdr:row>18</xdr:row>
      <xdr:rowOff>136071</xdr:rowOff>
    </xdr:from>
    <xdr:to>
      <xdr:col>24</xdr:col>
      <xdr:colOff>513277</xdr:colOff>
      <xdr:row>19</xdr:row>
      <xdr:rowOff>15734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483F2E87-9A17-4B0E-A7EB-3DE5D4124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213432" y="994368"/>
          <a:ext cx="293471" cy="120404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549922</xdr:colOff>
      <xdr:row>2</xdr:row>
      <xdr:rowOff>19050</xdr:rowOff>
    </xdr:from>
    <xdr:to>
      <xdr:col>16</xdr:col>
      <xdr:colOff>187176</xdr:colOff>
      <xdr:row>34</xdr:row>
      <xdr:rowOff>85531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963" y="392274"/>
          <a:ext cx="8919447" cy="6038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142875</xdr:colOff>
      <xdr:row>2</xdr:row>
      <xdr:rowOff>19050</xdr:rowOff>
    </xdr:from>
    <xdr:to>
      <xdr:col>29</xdr:col>
      <xdr:colOff>5953</xdr:colOff>
      <xdr:row>22</xdr:row>
      <xdr:rowOff>171450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6475" y="400050"/>
          <a:ext cx="7877175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19844</xdr:colOff>
      <xdr:row>30</xdr:row>
      <xdr:rowOff>74152</xdr:rowOff>
    </xdr:from>
    <xdr:to>
      <xdr:col>22</xdr:col>
      <xdr:colOff>307578</xdr:colOff>
      <xdr:row>33</xdr:row>
      <xdr:rowOff>166802</xdr:rowOff>
    </xdr:to>
    <xdr:pic>
      <xdr:nvPicPr>
        <xdr:cNvPr id="2" name="Resim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2457F0-B84D-4130-A9EC-14D38B779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29766" y="5729621"/>
          <a:ext cx="892968" cy="658197"/>
        </a:xfrm>
        <a:prstGeom prst="rect">
          <a:avLst/>
        </a:prstGeom>
      </xdr:spPr>
    </xdr:pic>
    <xdr:clientData/>
  </xdr:twoCellAnchor>
  <xdr:twoCellAnchor editAs="oneCell">
    <xdr:from>
      <xdr:col>29</xdr:col>
      <xdr:colOff>109139</xdr:colOff>
      <xdr:row>2</xdr:row>
      <xdr:rowOff>9922</xdr:rowOff>
    </xdr:from>
    <xdr:to>
      <xdr:col>30</xdr:col>
      <xdr:colOff>156812</xdr:colOff>
      <xdr:row>5</xdr:row>
      <xdr:rowOff>120650</xdr:rowOff>
    </xdr:to>
    <xdr:pic>
      <xdr:nvPicPr>
        <xdr:cNvPr id="5" name="Resi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43177D-621E-449D-B560-10E881F2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750233" y="386953"/>
          <a:ext cx="652907" cy="676275"/>
        </a:xfrm>
        <a:prstGeom prst="rect">
          <a:avLst/>
        </a:prstGeom>
      </xdr:spPr>
    </xdr:pic>
    <xdr:clientData/>
  </xdr:twoCellAnchor>
  <xdr:twoCellAnchor editAs="oneCell">
    <xdr:from>
      <xdr:col>29</xdr:col>
      <xdr:colOff>486171</xdr:colOff>
      <xdr:row>4</xdr:row>
      <xdr:rowOff>188514</xdr:rowOff>
    </xdr:from>
    <xdr:to>
      <xdr:col>30</xdr:col>
      <xdr:colOff>134308</xdr:colOff>
      <xdr:row>5</xdr:row>
      <xdr:rowOff>104774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815BA653-E407-4D18-B001-47D355D62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27265" y="942577"/>
          <a:ext cx="253371" cy="104775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190499</xdr:colOff>
      <xdr:row>16</xdr:row>
      <xdr:rowOff>153315</xdr:rowOff>
    </xdr:from>
    <xdr:to>
      <xdr:col>21</xdr:col>
      <xdr:colOff>170448</xdr:colOff>
      <xdr:row>25</xdr:row>
      <xdr:rowOff>33587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9C3AA1A-E7E9-4F7C-A7EB-48171F590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29183" y="4123736"/>
          <a:ext cx="2556712" cy="2457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40106</xdr:colOff>
      <xdr:row>0</xdr:row>
      <xdr:rowOff>280737</xdr:rowOff>
    </xdr:from>
    <xdr:to>
      <xdr:col>20</xdr:col>
      <xdr:colOff>513695</xdr:colOff>
      <xdr:row>3</xdr:row>
      <xdr:rowOff>209415</xdr:rowOff>
    </xdr:to>
    <xdr:pic>
      <xdr:nvPicPr>
        <xdr:cNvPr id="4" name="Resi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5EE3E1-C178-4A75-874A-50696C8A2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40790" y="280737"/>
          <a:ext cx="1195484" cy="881178"/>
        </a:xfrm>
        <a:prstGeom prst="rect">
          <a:avLst/>
        </a:prstGeom>
      </xdr:spPr>
    </xdr:pic>
    <xdr:clientData/>
  </xdr:twoCellAnchor>
  <xdr:twoCellAnchor editAs="oneCell">
    <xdr:from>
      <xdr:col>19</xdr:col>
      <xdr:colOff>312821</xdr:colOff>
      <xdr:row>5</xdr:row>
      <xdr:rowOff>112295</xdr:rowOff>
    </xdr:from>
    <xdr:to>
      <xdr:col>20</xdr:col>
      <xdr:colOff>439498</xdr:colOff>
      <xdr:row>9</xdr:row>
      <xdr:rowOff>84794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D54D4A1-C2D3-478A-97C7-F1BB11E79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66695" y="1507958"/>
          <a:ext cx="872635" cy="870857"/>
        </a:xfrm>
        <a:prstGeom prst="rect">
          <a:avLst/>
        </a:prstGeom>
      </xdr:spPr>
    </xdr:pic>
    <xdr:clientData/>
  </xdr:twoCellAnchor>
  <xdr:twoCellAnchor editAs="oneCell">
    <xdr:from>
      <xdr:col>19</xdr:col>
      <xdr:colOff>649705</xdr:colOff>
      <xdr:row>6</xdr:row>
      <xdr:rowOff>192504</xdr:rowOff>
    </xdr:from>
    <xdr:to>
      <xdr:col>20</xdr:col>
      <xdr:colOff>190262</xdr:colOff>
      <xdr:row>7</xdr:row>
      <xdr:rowOff>126253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C349792A-80C5-4F39-900C-546A861B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03579" y="1812757"/>
          <a:ext cx="286515" cy="15833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14655</xdr:colOff>
      <xdr:row>21</xdr:row>
      <xdr:rowOff>66514</xdr:rowOff>
    </xdr:from>
    <xdr:to>
      <xdr:col>20</xdr:col>
      <xdr:colOff>293078</xdr:colOff>
      <xdr:row>24</xdr:row>
      <xdr:rowOff>148486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D874D-9769-4680-AA26-7B6C8F39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75578" y="4396726"/>
          <a:ext cx="886558" cy="653472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10</xdr:row>
      <xdr:rowOff>134276</xdr:rowOff>
    </xdr:from>
    <xdr:to>
      <xdr:col>4</xdr:col>
      <xdr:colOff>942197</xdr:colOff>
      <xdr:row>22</xdr:row>
      <xdr:rowOff>132204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7565CA5B-A837-4C37-6F9E-981F1A763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478" y="2300235"/>
          <a:ext cx="2981548" cy="2516181"/>
        </a:xfrm>
        <a:prstGeom prst="rect">
          <a:avLst/>
        </a:prstGeom>
      </xdr:spPr>
    </xdr:pic>
    <xdr:clientData/>
  </xdr:twoCellAnchor>
  <xdr:twoCellAnchor editAs="oneCell">
    <xdr:from>
      <xdr:col>1</xdr:col>
      <xdr:colOff>258350</xdr:colOff>
      <xdr:row>37</xdr:row>
      <xdr:rowOff>94933</xdr:rowOff>
    </xdr:from>
    <xdr:to>
      <xdr:col>6</xdr:col>
      <xdr:colOff>230677</xdr:colOff>
      <xdr:row>51</xdr:row>
      <xdr:rowOff>51484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D697A031-7698-C79D-9713-A19D8529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603" y="7688837"/>
          <a:ext cx="3651848" cy="2696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258308</xdr:colOff>
      <xdr:row>26</xdr:row>
      <xdr:rowOff>47117</xdr:rowOff>
    </xdr:from>
    <xdr:to>
      <xdr:col>4</xdr:col>
      <xdr:colOff>491967</xdr:colOff>
      <xdr:row>32</xdr:row>
      <xdr:rowOff>26097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18F3C6B1-7057-68AB-40E6-9F035EA16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61" y="5553350"/>
          <a:ext cx="2295235" cy="892336"/>
        </a:xfrm>
        <a:prstGeom prst="rect">
          <a:avLst/>
        </a:prstGeom>
      </xdr:spPr>
    </xdr:pic>
    <xdr:clientData/>
  </xdr:twoCellAnchor>
  <xdr:twoCellAnchor editAs="oneCell">
    <xdr:from>
      <xdr:col>6</xdr:col>
      <xdr:colOff>448749</xdr:colOff>
      <xdr:row>37</xdr:row>
      <xdr:rowOff>64689</xdr:rowOff>
    </xdr:from>
    <xdr:to>
      <xdr:col>10</xdr:col>
      <xdr:colOff>441443</xdr:colOff>
      <xdr:row>51</xdr:row>
      <xdr:rowOff>39144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2E5EA870-4506-5E51-DA8E-6CBFA51F5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41523" y="7658593"/>
          <a:ext cx="2380468" cy="2714523"/>
        </a:xfrm>
        <a:prstGeom prst="rect">
          <a:avLst/>
        </a:prstGeom>
      </xdr:spPr>
    </xdr:pic>
    <xdr:clientData/>
  </xdr:twoCellAnchor>
  <xdr:twoCellAnchor editAs="oneCell">
    <xdr:from>
      <xdr:col>16</xdr:col>
      <xdr:colOff>358632</xdr:colOff>
      <xdr:row>4</xdr:row>
      <xdr:rowOff>111405</xdr:rowOff>
    </xdr:from>
    <xdr:to>
      <xdr:col>26</xdr:col>
      <xdr:colOff>427935</xdr:colOff>
      <xdr:row>51</xdr:row>
      <xdr:rowOff>23024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D5B8C34A-79C6-4D6C-AC1A-2E13AEAF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5262" y="1105318"/>
          <a:ext cx="5190716" cy="8939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26094</xdr:colOff>
      <xdr:row>37</xdr:row>
      <xdr:rowOff>55937</xdr:rowOff>
    </xdr:from>
    <xdr:to>
      <xdr:col>15</xdr:col>
      <xdr:colOff>371612</xdr:colOff>
      <xdr:row>51</xdr:row>
      <xdr:rowOff>26094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21511F6B-EB87-C675-B35C-5687D614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9895" y="7649841"/>
          <a:ext cx="2733292" cy="2710225"/>
        </a:xfrm>
        <a:prstGeom prst="rect">
          <a:avLst/>
        </a:prstGeom>
      </xdr:spPr>
    </xdr:pic>
    <xdr:clientData/>
  </xdr:twoCellAnchor>
  <xdr:twoCellAnchor editAs="oneCell">
    <xdr:from>
      <xdr:col>13</xdr:col>
      <xdr:colOff>260377</xdr:colOff>
      <xdr:row>4</xdr:row>
      <xdr:rowOff>108529</xdr:rowOff>
    </xdr:from>
    <xdr:to>
      <xdr:col>15</xdr:col>
      <xdr:colOff>2409</xdr:colOff>
      <xdr:row>9</xdr:row>
      <xdr:rowOff>13804</xdr:rowOff>
    </xdr:to>
    <xdr:pic>
      <xdr:nvPicPr>
        <xdr:cNvPr id="5" name="Resim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F0FFC19-FF15-4BF2-88D6-3E1756C0C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50377" y="1047225"/>
          <a:ext cx="804967" cy="830166"/>
        </a:xfrm>
        <a:prstGeom prst="rect">
          <a:avLst/>
        </a:prstGeom>
      </xdr:spPr>
    </xdr:pic>
    <xdr:clientData/>
  </xdr:twoCellAnchor>
  <xdr:twoCellAnchor editAs="oneCell">
    <xdr:from>
      <xdr:col>14</xdr:col>
      <xdr:colOff>45222</xdr:colOff>
      <xdr:row>8</xdr:row>
      <xdr:rowOff>45224</xdr:rowOff>
    </xdr:from>
    <xdr:to>
      <xdr:col>14</xdr:col>
      <xdr:colOff>426818</xdr:colOff>
      <xdr:row>9</xdr:row>
      <xdr:rowOff>14415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B0917BDE-3086-40EA-B12D-A37DE29C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70222" y="1729354"/>
          <a:ext cx="381596" cy="148648"/>
        </a:xfrm>
        <a:prstGeom prst="rect">
          <a:avLst/>
        </a:prstGeom>
      </xdr:spPr>
    </xdr:pic>
    <xdr:clientData/>
  </xdr:twoCellAnchor>
  <xdr:twoCellAnchor editAs="oneCell">
    <xdr:from>
      <xdr:col>33</xdr:col>
      <xdr:colOff>27608</xdr:colOff>
      <xdr:row>46</xdr:row>
      <xdr:rowOff>189989</xdr:rowOff>
    </xdr:from>
    <xdr:to>
      <xdr:col>34</xdr:col>
      <xdr:colOff>414130</xdr:colOff>
      <xdr:row>50</xdr:row>
      <xdr:rowOff>149547</xdr:rowOff>
    </xdr:to>
    <xdr:pic>
      <xdr:nvPicPr>
        <xdr:cNvPr id="3" name="Resim 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555E431-85DF-4102-AAD0-5F3B176B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57391" y="9245641"/>
          <a:ext cx="993913" cy="732602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29159</xdr:colOff>
      <xdr:row>28</xdr:row>
      <xdr:rowOff>100340</xdr:rowOff>
    </xdr:from>
    <xdr:to>
      <xdr:col>17</xdr:col>
      <xdr:colOff>291582</xdr:colOff>
      <xdr:row>31</xdr:row>
      <xdr:rowOff>152223</xdr:rowOff>
    </xdr:to>
    <xdr:pic>
      <xdr:nvPicPr>
        <xdr:cNvPr id="3" name="Resi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9DFFC-1CBE-473B-BC99-3D0CF19D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7781" y="6680366"/>
          <a:ext cx="874745" cy="644765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45721</xdr:colOff>
      <xdr:row>29</xdr:row>
      <xdr:rowOff>51436</xdr:rowOff>
    </xdr:from>
    <xdr:to>
      <xdr:col>8</xdr:col>
      <xdr:colOff>392934</xdr:colOff>
      <xdr:row>31</xdr:row>
      <xdr:rowOff>161925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9171" y="5814061"/>
          <a:ext cx="623438" cy="491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42920</xdr:colOff>
      <xdr:row>26</xdr:row>
      <xdr:rowOff>35865</xdr:rowOff>
    </xdr:from>
    <xdr:to>
      <xdr:col>23</xdr:col>
      <xdr:colOff>95313</xdr:colOff>
      <xdr:row>28</xdr:row>
      <xdr:rowOff>176389</xdr:rowOff>
    </xdr:to>
    <xdr:pic>
      <xdr:nvPicPr>
        <xdr:cNvPr id="2" name="Resi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71994" y="5209939"/>
          <a:ext cx="663875" cy="51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591464</xdr:colOff>
      <xdr:row>1</xdr:row>
      <xdr:rowOff>0</xdr:rowOff>
    </xdr:from>
    <xdr:to>
      <xdr:col>21</xdr:col>
      <xdr:colOff>484784</xdr:colOff>
      <xdr:row>44</xdr:row>
      <xdr:rowOff>54780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9930" y="0"/>
          <a:ext cx="4279334" cy="8229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76201</xdr:colOff>
      <xdr:row>22</xdr:row>
      <xdr:rowOff>188119</xdr:rowOff>
    </xdr:from>
    <xdr:to>
      <xdr:col>14</xdr:col>
      <xdr:colOff>515779</xdr:colOff>
      <xdr:row>34</xdr:row>
      <xdr:rowOff>154780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0857" y="4450557"/>
          <a:ext cx="2864643" cy="2240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72876</xdr:colOff>
      <xdr:row>6</xdr:row>
      <xdr:rowOff>47285</xdr:rowOff>
    </xdr:from>
    <xdr:to>
      <xdr:col>14</xdr:col>
      <xdr:colOff>521970</xdr:colOff>
      <xdr:row>15</xdr:row>
      <xdr:rowOff>160221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5314" y="1237910"/>
          <a:ext cx="5392092" cy="1849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588116</xdr:colOff>
      <xdr:row>0</xdr:row>
      <xdr:rowOff>187623</xdr:rowOff>
    </xdr:from>
    <xdr:to>
      <xdr:col>29</xdr:col>
      <xdr:colOff>512110</xdr:colOff>
      <xdr:row>14</xdr:row>
      <xdr:rowOff>91866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30C8B396-CB6F-DC62-55C3-1D393254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42179" y="187623"/>
          <a:ext cx="4777934" cy="2769839"/>
        </a:xfrm>
        <a:prstGeom prst="rect">
          <a:avLst/>
        </a:prstGeom>
      </xdr:spPr>
    </xdr:pic>
    <xdr:clientData/>
  </xdr:twoCellAnchor>
  <xdr:twoCellAnchor>
    <xdr:from>
      <xdr:col>4</xdr:col>
      <xdr:colOff>309966</xdr:colOff>
      <xdr:row>2</xdr:row>
      <xdr:rowOff>38746</xdr:rowOff>
    </xdr:from>
    <xdr:to>
      <xdr:col>8</xdr:col>
      <xdr:colOff>183605</xdr:colOff>
      <xdr:row>2</xdr:row>
      <xdr:rowOff>337368</xdr:rowOff>
    </xdr:to>
    <xdr:sp macro="" textlink="">
      <xdr:nvSpPr>
        <xdr:cNvPr id="3" name="Dikdörtgen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40237B3-462A-4B34-A259-7F9BA45C12F1}"/>
            </a:ext>
          </a:extLst>
        </xdr:cNvPr>
        <xdr:cNvSpPr/>
      </xdr:nvSpPr>
      <xdr:spPr>
        <a:xfrm>
          <a:off x="3474203" y="400373"/>
          <a:ext cx="2224216" cy="298622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200" b="0" baseline="0">
              <a:solidFill>
                <a:srgbClr val="FFFFCC"/>
              </a:solidFill>
            </a:rPr>
            <a:t> Drenaj Kanal Hesabı</a:t>
          </a:r>
          <a:endParaRPr lang="tr-TR" sz="1200" b="0">
            <a:solidFill>
              <a:srgbClr val="FFFFCC"/>
            </a:solidFill>
          </a:endParaRPr>
        </a:p>
      </xdr:txBody>
    </xdr:sp>
    <xdr:clientData/>
  </xdr:twoCellAnchor>
  <xdr:twoCellAnchor editAs="oneCell">
    <xdr:from>
      <xdr:col>13</xdr:col>
      <xdr:colOff>23231</xdr:colOff>
      <xdr:row>41</xdr:row>
      <xdr:rowOff>11614</xdr:rowOff>
    </xdr:from>
    <xdr:to>
      <xdr:col>14</xdr:col>
      <xdr:colOff>362546</xdr:colOff>
      <xdr:row>44</xdr:row>
      <xdr:rowOff>149379</xdr:rowOff>
    </xdr:to>
    <xdr:pic>
      <xdr:nvPicPr>
        <xdr:cNvPr id="6" name="Resim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0C05A0-2640-48D1-A82C-A05A5ACF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7347" y="7829084"/>
          <a:ext cx="943339" cy="695325"/>
        </a:xfrm>
        <a:prstGeom prst="rect">
          <a:avLst/>
        </a:prstGeom>
      </xdr:spPr>
    </xdr:pic>
    <xdr:clientData/>
  </xdr:twoCellAnchor>
  <xdr:twoCellAnchor editAs="oneCell">
    <xdr:from>
      <xdr:col>30</xdr:col>
      <xdr:colOff>46463</xdr:colOff>
      <xdr:row>1</xdr:row>
      <xdr:rowOff>23231</xdr:rowOff>
    </xdr:from>
    <xdr:to>
      <xdr:col>31</xdr:col>
      <xdr:colOff>262888</xdr:colOff>
      <xdr:row>4</xdr:row>
      <xdr:rowOff>124993</xdr:rowOff>
    </xdr:to>
    <xdr:pic>
      <xdr:nvPicPr>
        <xdr:cNvPr id="8" name="Resim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73722F-F809-4C2F-B11D-15AC1A7A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98993" y="209085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30</xdr:col>
      <xdr:colOff>302012</xdr:colOff>
      <xdr:row>2</xdr:row>
      <xdr:rowOff>151006</xdr:rowOff>
    </xdr:from>
    <xdr:to>
      <xdr:col>31</xdr:col>
      <xdr:colOff>33374</xdr:colOff>
      <xdr:row>2</xdr:row>
      <xdr:rowOff>288288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DE21BAE5-5B92-479D-B40E-2B5F5D70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54542" y="522713"/>
          <a:ext cx="335387" cy="137282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6</xdr:row>
      <xdr:rowOff>142875</xdr:rowOff>
    </xdr:from>
    <xdr:to>
      <xdr:col>6</xdr:col>
      <xdr:colOff>28575</xdr:colOff>
      <xdr:row>16</xdr:row>
      <xdr:rowOff>119524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5653BC3B-8B97-448C-D4AE-022D90B2A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1285875"/>
          <a:ext cx="267652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230238</xdr:colOff>
      <xdr:row>1</xdr:row>
      <xdr:rowOff>122903</xdr:rowOff>
    </xdr:from>
    <xdr:to>
      <xdr:col>25</xdr:col>
      <xdr:colOff>92178</xdr:colOff>
      <xdr:row>37</xdr:row>
      <xdr:rowOff>94933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5CD1B919-5111-4031-96B0-0DB870F71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044" y="317500"/>
          <a:ext cx="3549037" cy="7336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30725</xdr:colOff>
      <xdr:row>13</xdr:row>
      <xdr:rowOff>61451</xdr:rowOff>
    </xdr:from>
    <xdr:to>
      <xdr:col>13</xdr:col>
      <xdr:colOff>347687</xdr:colOff>
      <xdr:row>16</xdr:row>
      <xdr:rowOff>164243</xdr:rowOff>
    </xdr:to>
    <xdr:pic>
      <xdr:nvPicPr>
        <xdr:cNvPr id="4" name="Resim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EE63679-28EB-4402-9443-16BD587D2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4919" y="2949677"/>
          <a:ext cx="931478" cy="686582"/>
        </a:xfrm>
        <a:prstGeom prst="rect">
          <a:avLst/>
        </a:prstGeom>
      </xdr:spPr>
    </xdr:pic>
    <xdr:clientData/>
  </xdr:twoCellAnchor>
  <xdr:twoCellAnchor editAs="oneCell">
    <xdr:from>
      <xdr:col>17</xdr:col>
      <xdr:colOff>215081</xdr:colOff>
      <xdr:row>1</xdr:row>
      <xdr:rowOff>143387</xdr:rowOff>
    </xdr:from>
    <xdr:to>
      <xdr:col>18</xdr:col>
      <xdr:colOff>421015</xdr:colOff>
      <xdr:row>4</xdr:row>
      <xdr:rowOff>128241</xdr:rowOff>
    </xdr:to>
    <xdr:pic>
      <xdr:nvPicPr>
        <xdr:cNvPr id="5" name="Resim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C62037-08BB-49CA-BCEA-6762D9AB2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1855" y="337984"/>
          <a:ext cx="820450" cy="845176"/>
        </a:xfrm>
        <a:prstGeom prst="rect">
          <a:avLst/>
        </a:prstGeom>
      </xdr:spPr>
    </xdr:pic>
    <xdr:clientData/>
  </xdr:twoCellAnchor>
  <xdr:twoCellAnchor editAs="oneCell">
    <xdr:from>
      <xdr:col>17</xdr:col>
      <xdr:colOff>460887</xdr:colOff>
      <xdr:row>2</xdr:row>
      <xdr:rowOff>10242</xdr:rowOff>
    </xdr:from>
    <xdr:to>
      <xdr:col>18</xdr:col>
      <xdr:colOff>181758</xdr:colOff>
      <xdr:row>2</xdr:row>
      <xdr:rowOff>147524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20610E37-6961-4FD0-BE5A-3CA0C24BA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907661" y="665726"/>
          <a:ext cx="335387" cy="137282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438151</xdr:colOff>
      <xdr:row>17</xdr:row>
      <xdr:rowOff>105987</xdr:rowOff>
    </xdr:from>
    <xdr:to>
      <xdr:col>23</xdr:col>
      <xdr:colOff>342902</xdr:colOff>
      <xdr:row>34</xdr:row>
      <xdr:rowOff>104774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563351" y="3935037"/>
          <a:ext cx="3562350" cy="340873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57151</xdr:colOff>
      <xdr:row>17</xdr:row>
      <xdr:rowOff>114300</xdr:rowOff>
    </xdr:from>
    <xdr:to>
      <xdr:col>16</xdr:col>
      <xdr:colOff>586205</xdr:colOff>
      <xdr:row>34</xdr:row>
      <xdr:rowOff>133350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1" y="3943350"/>
          <a:ext cx="6625052" cy="3429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104777</xdr:colOff>
      <xdr:row>5</xdr:row>
      <xdr:rowOff>162698</xdr:rowOff>
    </xdr:from>
    <xdr:to>
      <xdr:col>14</xdr:col>
      <xdr:colOff>317500</xdr:colOff>
      <xdr:row>17</xdr:row>
      <xdr:rowOff>0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323398" y="1093301"/>
          <a:ext cx="3891343" cy="2848078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40694</xdr:colOff>
      <xdr:row>35</xdr:row>
      <xdr:rowOff>82661</xdr:rowOff>
    </xdr:from>
    <xdr:to>
      <xdr:col>24</xdr:col>
      <xdr:colOff>295603</xdr:colOff>
      <xdr:row>38</xdr:row>
      <xdr:rowOff>164102</xdr:rowOff>
    </xdr:to>
    <xdr:pic>
      <xdr:nvPicPr>
        <xdr:cNvPr id="5" name="Resim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25BFC88-FB3C-43F3-AC1B-26F12C5B4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55866" y="7461799"/>
          <a:ext cx="868013" cy="63980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16</xdr:col>
      <xdr:colOff>147935</xdr:colOff>
      <xdr:row>8</xdr:row>
      <xdr:rowOff>153276</xdr:rowOff>
    </xdr:to>
    <xdr:pic>
      <xdr:nvPicPr>
        <xdr:cNvPr id="6" name="Resim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1C98D0D-277A-49CE-ABC7-D579CEFD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10345" y="1127672"/>
          <a:ext cx="761038" cy="788276"/>
        </a:xfrm>
        <a:prstGeom prst="rect">
          <a:avLst/>
        </a:prstGeom>
      </xdr:spPr>
    </xdr:pic>
    <xdr:clientData/>
  </xdr:twoCellAnchor>
  <xdr:twoCellAnchor editAs="oneCell">
    <xdr:from>
      <xdr:col>15</xdr:col>
      <xdr:colOff>416035</xdr:colOff>
      <xdr:row>8</xdr:row>
      <xdr:rowOff>21896</xdr:rowOff>
    </xdr:from>
    <xdr:to>
      <xdr:col>16</xdr:col>
      <xdr:colOff>120638</xdr:colOff>
      <xdr:row>8</xdr:row>
      <xdr:rowOff>153275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955AE3B9-9654-4489-AC4F-AA2D4051B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6380" y="1784568"/>
          <a:ext cx="317706" cy="13137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74085</xdr:colOff>
      <xdr:row>3</xdr:row>
      <xdr:rowOff>84667</xdr:rowOff>
    </xdr:from>
    <xdr:to>
      <xdr:col>17</xdr:col>
      <xdr:colOff>140760</xdr:colOff>
      <xdr:row>58</xdr:row>
      <xdr:rowOff>268816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168" y="640292"/>
          <a:ext cx="9194800" cy="10714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46089</xdr:colOff>
      <xdr:row>4</xdr:row>
      <xdr:rowOff>130560</xdr:rowOff>
    </xdr:from>
    <xdr:to>
      <xdr:col>25</xdr:col>
      <xdr:colOff>491613</xdr:colOff>
      <xdr:row>8</xdr:row>
      <xdr:rowOff>174484</xdr:rowOff>
    </xdr:to>
    <xdr:pic>
      <xdr:nvPicPr>
        <xdr:cNvPr id="5" name="Resim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60526C-331C-4295-96F8-C95BD48E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94476" y="867979"/>
          <a:ext cx="1060040" cy="781344"/>
        </a:xfrm>
        <a:prstGeom prst="rect">
          <a:avLst/>
        </a:prstGeom>
      </xdr:spPr>
    </xdr:pic>
    <xdr:clientData/>
  </xdr:twoCellAnchor>
  <xdr:twoCellAnchor editAs="oneCell">
    <xdr:from>
      <xdr:col>17</xdr:col>
      <xdr:colOff>368708</xdr:colOff>
      <xdr:row>0</xdr:row>
      <xdr:rowOff>0</xdr:rowOff>
    </xdr:from>
    <xdr:to>
      <xdr:col>19</xdr:col>
      <xdr:colOff>61450</xdr:colOff>
      <xdr:row>5</xdr:row>
      <xdr:rowOff>22653</xdr:rowOff>
    </xdr:to>
    <xdr:pic>
      <xdr:nvPicPr>
        <xdr:cNvPr id="4" name="Resim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0269574-76FE-408D-8587-FFB2CF3A1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4418" y="0"/>
          <a:ext cx="946355" cy="944427"/>
        </a:xfrm>
        <a:prstGeom prst="rect">
          <a:avLst/>
        </a:prstGeom>
      </xdr:spPr>
    </xdr:pic>
    <xdr:clientData/>
  </xdr:twoCellAnchor>
  <xdr:twoCellAnchor editAs="oneCell">
    <xdr:from>
      <xdr:col>18</xdr:col>
      <xdr:colOff>64526</xdr:colOff>
      <xdr:row>1</xdr:row>
      <xdr:rowOff>178211</xdr:rowOff>
    </xdr:from>
    <xdr:to>
      <xdr:col>18</xdr:col>
      <xdr:colOff>413510</xdr:colOff>
      <xdr:row>2</xdr:row>
      <xdr:rowOff>129048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97B80DC9-AD17-432A-82F6-D5E97BF45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25816" y="362566"/>
          <a:ext cx="348984" cy="135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3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4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7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19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20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1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2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2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24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2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2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2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2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2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3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0769A-CEE1-46A5-8BAD-DA1BE2736E2C}">
  <dimension ref="C2:AL11"/>
  <sheetViews>
    <sheetView showRowColHeaders="0" zoomScale="53" zoomScaleNormal="53" workbookViewId="0">
      <selection activeCell="AF7" sqref="AF7:AJ7"/>
    </sheetView>
  </sheetViews>
  <sheetFormatPr defaultColWidth="9.140625" defaultRowHeight="15"/>
  <cols>
    <col min="1" max="1" width="9.140625" style="252"/>
    <col min="2" max="2" width="21.7109375" style="252" customWidth="1"/>
    <col min="3" max="3" width="4.28515625" style="252" customWidth="1"/>
    <col min="4" max="13" width="9.140625" style="252"/>
    <col min="14" max="14" width="5.28515625" style="252" customWidth="1"/>
    <col min="15" max="15" width="12.42578125" style="252" customWidth="1"/>
    <col min="16" max="16384" width="9.140625" style="252"/>
  </cols>
  <sheetData>
    <row r="2" spans="3:38" ht="16.5" customHeight="1"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</row>
    <row r="3" spans="3:38" ht="11.25" customHeight="1"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</row>
    <row r="4" spans="3:38"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</row>
    <row r="5" spans="3:38">
      <c r="C5" s="201"/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</row>
    <row r="6" spans="3:38" ht="62.25">
      <c r="C6" s="201"/>
      <c r="D6" s="201"/>
      <c r="E6" s="201"/>
      <c r="F6" s="201"/>
      <c r="G6" s="2074" t="s">
        <v>2091</v>
      </c>
      <c r="H6" s="2068"/>
      <c r="I6" s="2068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69"/>
      <c r="AG6" s="2070"/>
      <c r="AH6" s="2070"/>
      <c r="AI6" s="2070"/>
      <c r="AJ6" s="201"/>
      <c r="AK6" s="201"/>
      <c r="AL6" s="201"/>
    </row>
    <row r="7" spans="3:38"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533" t="s">
        <v>1919</v>
      </c>
      <c r="AG7" s="2533"/>
      <c r="AH7" s="2533"/>
      <c r="AI7" s="2533"/>
      <c r="AJ7" s="2533"/>
      <c r="AK7" s="201"/>
      <c r="AL7" s="201"/>
    </row>
    <row r="8" spans="3:38"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71"/>
      <c r="AI8" s="2071"/>
      <c r="AJ8" s="2073" t="s">
        <v>17</v>
      </c>
      <c r="AK8" s="201"/>
      <c r="AL8" s="201"/>
    </row>
    <row r="9" spans="3:38"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69"/>
      <c r="Q9" s="2070"/>
      <c r="R9" s="2071"/>
      <c r="S9" s="2072"/>
      <c r="T9" s="2072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71"/>
      <c r="AI9" s="2072"/>
      <c r="AJ9" s="2072"/>
      <c r="AK9" s="201"/>
      <c r="AL9" s="201"/>
    </row>
    <row r="10" spans="3:38"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</row>
    <row r="11" spans="3:38"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</row>
  </sheetData>
  <sheetProtection algorithmName="SHA-512" hashValue="I7vvnbnAc/P00yT2ZUDyEv8Jh53isH9RxP8Rh6lRflUgLhjlCb0OBPYAQL816Bxqb2N5/Rctjjzgq+uJyyN3gQ==" saltValue="K5xXcneInDLs+LZ8b1gu9w==" spinCount="100000" sheet="1" objects="1" selectLockedCells="1"/>
  <mergeCells count="1">
    <mergeCell ref="AF7:AJ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710F9-BB9C-481F-9A16-DA52A7AAC69B}">
  <dimension ref="C2:AL11"/>
  <sheetViews>
    <sheetView showRowColHeaders="0" zoomScale="53" zoomScaleNormal="53" workbookViewId="0">
      <selection activeCell="AF7" sqref="AF7:AJ7"/>
    </sheetView>
  </sheetViews>
  <sheetFormatPr defaultColWidth="9.140625" defaultRowHeight="15"/>
  <cols>
    <col min="1" max="1" width="9.140625" style="252"/>
    <col min="2" max="2" width="21.7109375" style="252" customWidth="1"/>
    <col min="3" max="3" width="4.28515625" style="252" customWidth="1"/>
    <col min="4" max="13" width="9.140625" style="252"/>
    <col min="14" max="14" width="5.28515625" style="252" customWidth="1"/>
    <col min="15" max="15" width="12.42578125" style="252" customWidth="1"/>
    <col min="16" max="16384" width="9.140625" style="252"/>
  </cols>
  <sheetData>
    <row r="2" spans="3:38" ht="16.5" customHeight="1"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</row>
    <row r="3" spans="3:38" ht="11.25" customHeight="1"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</row>
    <row r="4" spans="3:38"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</row>
    <row r="5" spans="3:38">
      <c r="C5" s="201"/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</row>
    <row r="6" spans="3:38" ht="62.25">
      <c r="C6" s="201"/>
      <c r="D6" s="201"/>
      <c r="E6" s="201"/>
      <c r="F6" s="201"/>
      <c r="G6" s="2074" t="s">
        <v>2089</v>
      </c>
      <c r="H6" s="2068"/>
      <c r="I6" s="2068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69"/>
      <c r="AG6" s="2070"/>
      <c r="AH6" s="2070"/>
      <c r="AI6" s="2070"/>
      <c r="AJ6" s="201"/>
      <c r="AK6" s="201"/>
      <c r="AL6" s="201"/>
    </row>
    <row r="7" spans="3:38"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533" t="s">
        <v>1919</v>
      </c>
      <c r="AG7" s="2533"/>
      <c r="AH7" s="2533"/>
      <c r="AI7" s="2533"/>
      <c r="AJ7" s="2533"/>
      <c r="AK7" s="201"/>
      <c r="AL7" s="201"/>
    </row>
    <row r="8" spans="3:38"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71"/>
      <c r="AI8" s="2071"/>
      <c r="AJ8" s="2073" t="s">
        <v>17</v>
      </c>
      <c r="AK8" s="201"/>
      <c r="AL8" s="201"/>
    </row>
    <row r="9" spans="3:38"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69"/>
      <c r="Q9" s="2070"/>
      <c r="R9" s="2071"/>
      <c r="S9" s="2072"/>
      <c r="T9" s="2072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71"/>
      <c r="AI9" s="2072"/>
      <c r="AJ9" s="2072"/>
      <c r="AK9" s="201"/>
      <c r="AL9" s="201"/>
    </row>
    <row r="10" spans="3:38"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</row>
    <row r="11" spans="3:38"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</row>
  </sheetData>
  <sheetProtection algorithmName="SHA-512" hashValue="gyM84n0wDbPLnvS7r9+HrJ20PstzwwFNPq1Tflhlhr3FdcYt4YKlR2tpeLTe9jLX4jvLyOyuUYdEvco4cfBR4Q==" saltValue="dnh4NNFd4MkN+E89fRGlAg==" spinCount="100000" sheet="1" objects="1" selectLockedCells="1"/>
  <mergeCells count="1">
    <mergeCell ref="AF7:AJ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AB85-3550-495A-8B40-1BD3FAF024DA}">
  <dimension ref="C2:AL11"/>
  <sheetViews>
    <sheetView showRowColHeaders="0" zoomScale="53" zoomScaleNormal="53" workbookViewId="0">
      <selection activeCell="AF7" sqref="AF7:AJ7"/>
    </sheetView>
  </sheetViews>
  <sheetFormatPr defaultColWidth="9.140625" defaultRowHeight="15"/>
  <cols>
    <col min="1" max="1" width="9.140625" style="252"/>
    <col min="2" max="2" width="21.7109375" style="252" customWidth="1"/>
    <col min="3" max="3" width="4.28515625" style="252" customWidth="1"/>
    <col min="4" max="13" width="9.140625" style="252"/>
    <col min="14" max="14" width="5.28515625" style="252" customWidth="1"/>
    <col min="15" max="15" width="12.42578125" style="252" customWidth="1"/>
    <col min="16" max="16384" width="9.140625" style="252"/>
  </cols>
  <sheetData>
    <row r="2" spans="3:38" ht="16.5" customHeight="1"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</row>
    <row r="3" spans="3:38" ht="11.25" customHeight="1"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</row>
    <row r="4" spans="3:38"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</row>
    <row r="5" spans="3:38">
      <c r="C5" s="201"/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</row>
    <row r="6" spans="3:38" ht="62.25">
      <c r="C6" s="201"/>
      <c r="D6" s="201"/>
      <c r="E6" s="201"/>
      <c r="F6" s="201"/>
      <c r="G6" s="2074" t="s">
        <v>2090</v>
      </c>
      <c r="H6" s="2068"/>
      <c r="I6" s="2068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69"/>
      <c r="AG6" s="2070"/>
      <c r="AH6" s="2070"/>
      <c r="AI6" s="2070"/>
      <c r="AJ6" s="201"/>
      <c r="AK6" s="201"/>
      <c r="AL6" s="201"/>
    </row>
    <row r="7" spans="3:38"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533" t="s">
        <v>1919</v>
      </c>
      <c r="AG7" s="2533"/>
      <c r="AH7" s="2533"/>
      <c r="AI7" s="2533"/>
      <c r="AJ7" s="2533"/>
      <c r="AK7" s="201"/>
      <c r="AL7" s="201"/>
    </row>
    <row r="8" spans="3:38"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71"/>
      <c r="AI8" s="2071"/>
      <c r="AJ8" s="2073" t="s">
        <v>17</v>
      </c>
      <c r="AK8" s="201"/>
      <c r="AL8" s="201"/>
    </row>
    <row r="9" spans="3:38"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69"/>
      <c r="Q9" s="2070"/>
      <c r="R9" s="2071"/>
      <c r="S9" s="2072"/>
      <c r="T9" s="2072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71"/>
      <c r="AI9" s="2072"/>
      <c r="AJ9" s="2072"/>
      <c r="AK9" s="201"/>
      <c r="AL9" s="201"/>
    </row>
    <row r="10" spans="3:38"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</row>
    <row r="11" spans="3:38"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</row>
  </sheetData>
  <sheetProtection algorithmName="SHA-512" hashValue="K4CoyWzQVkHngWkEnCvbEzDL7SwtWCyskRkXnjOH4eHb7ZH7sWgYfUwRcnen6xcjY1ZMeV6+6sxX2QvDJokLLQ==" saltValue="VFfjv/aNH6MlrMb7/a2/1g==" spinCount="100000" sheet="1" objects="1" selectLockedCells="1"/>
  <mergeCells count="1">
    <mergeCell ref="AF7:AJ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8A0C6-A21D-47D2-865F-0E0C3F447B11}">
  <dimension ref="C2:AL11"/>
  <sheetViews>
    <sheetView showRowColHeaders="0" zoomScale="53" zoomScaleNormal="53" workbookViewId="0">
      <selection activeCell="AF7" sqref="AF7:AJ7"/>
    </sheetView>
  </sheetViews>
  <sheetFormatPr defaultColWidth="9.140625" defaultRowHeight="15"/>
  <cols>
    <col min="1" max="1" width="9.140625" style="252"/>
    <col min="2" max="2" width="21.7109375" style="252" customWidth="1"/>
    <col min="3" max="3" width="4.28515625" style="252" customWidth="1"/>
    <col min="4" max="13" width="9.140625" style="252"/>
    <col min="14" max="14" width="5.28515625" style="252" customWidth="1"/>
    <col min="15" max="15" width="12.42578125" style="252" customWidth="1"/>
    <col min="16" max="16384" width="9.140625" style="252"/>
  </cols>
  <sheetData>
    <row r="2" spans="3:38" ht="16.5" customHeight="1"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</row>
    <row r="3" spans="3:38" ht="11.25" customHeight="1"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69"/>
      <c r="AG3" s="2070"/>
      <c r="AH3" s="201"/>
      <c r="AI3" s="201"/>
      <c r="AJ3" s="2072"/>
      <c r="AK3" s="201"/>
      <c r="AL3" s="201"/>
    </row>
    <row r="4" spans="3:38"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71"/>
      <c r="AI4" s="2071"/>
      <c r="AJ4" s="2073"/>
      <c r="AK4" s="201"/>
      <c r="AL4" s="201"/>
    </row>
    <row r="5" spans="3:38">
      <c r="C5" s="201"/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71"/>
      <c r="AI5" s="2072"/>
      <c r="AJ5" s="2072"/>
      <c r="AK5" s="201"/>
      <c r="AL5" s="201"/>
    </row>
    <row r="6" spans="3:38" ht="62.25">
      <c r="C6" s="201"/>
      <c r="D6" s="201"/>
      <c r="E6" s="2074" t="s">
        <v>2088</v>
      </c>
      <c r="F6" s="2068"/>
      <c r="G6" s="2068"/>
      <c r="H6" s="2068"/>
      <c r="I6" s="2068"/>
      <c r="J6" s="201"/>
      <c r="K6" s="201"/>
      <c r="L6" s="201"/>
      <c r="M6" s="201"/>
      <c r="N6" s="201"/>
      <c r="O6" s="201"/>
      <c r="P6" s="201"/>
      <c r="Q6" s="201"/>
      <c r="R6" s="201"/>
      <c r="S6" s="201"/>
      <c r="T6" s="201"/>
      <c r="U6" s="201"/>
      <c r="V6" s="201"/>
      <c r="W6" s="201"/>
      <c r="X6" s="201"/>
      <c r="Y6" s="201"/>
      <c r="Z6" s="201"/>
      <c r="AA6" s="201"/>
      <c r="AB6" s="201"/>
      <c r="AC6" s="201"/>
      <c r="AD6" s="201"/>
      <c r="AE6" s="201"/>
      <c r="AF6" s="2069"/>
      <c r="AG6" s="2070"/>
      <c r="AH6" s="2070"/>
      <c r="AI6" s="2070"/>
      <c r="AJ6" s="201"/>
      <c r="AK6" s="201"/>
      <c r="AL6" s="201"/>
    </row>
    <row r="7" spans="3:38"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X7" s="201"/>
      <c r="Y7" s="201"/>
      <c r="Z7" s="201"/>
      <c r="AA7" s="201"/>
      <c r="AB7" s="201"/>
      <c r="AC7" s="201"/>
      <c r="AD7" s="201"/>
      <c r="AE7" s="201"/>
      <c r="AF7" s="2533" t="s">
        <v>1919</v>
      </c>
      <c r="AG7" s="2533"/>
      <c r="AH7" s="2533"/>
      <c r="AI7" s="2533"/>
      <c r="AJ7" s="2533"/>
      <c r="AK7" s="201"/>
      <c r="AL7" s="201"/>
    </row>
    <row r="8" spans="3:38"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01"/>
      <c r="AE8" s="201"/>
      <c r="AF8" s="201"/>
      <c r="AG8" s="201"/>
      <c r="AH8" s="2071"/>
      <c r="AI8" s="2071"/>
      <c r="AJ8" s="2073" t="s">
        <v>17</v>
      </c>
      <c r="AK8" s="201"/>
      <c r="AL8" s="201"/>
    </row>
    <row r="9" spans="3:38"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69"/>
      <c r="Q9" s="2070"/>
      <c r="R9" s="2071"/>
      <c r="S9" s="2072"/>
      <c r="T9" s="2072"/>
      <c r="U9" s="201"/>
      <c r="V9" s="201"/>
      <c r="W9" s="201"/>
      <c r="X9" s="201"/>
      <c r="Y9" s="201"/>
      <c r="Z9" s="201"/>
      <c r="AA9" s="201"/>
      <c r="AB9" s="201"/>
      <c r="AC9" s="201"/>
      <c r="AD9" s="201"/>
      <c r="AE9" s="201"/>
      <c r="AF9" s="201"/>
      <c r="AG9" s="201"/>
      <c r="AH9" s="2071"/>
      <c r="AI9" s="2072"/>
      <c r="AJ9" s="2072"/>
      <c r="AK9" s="201"/>
      <c r="AL9" s="201"/>
    </row>
    <row r="10" spans="3:38"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01"/>
      <c r="AE10" s="201"/>
      <c r="AF10" s="201"/>
      <c r="AG10" s="201"/>
      <c r="AH10" s="201"/>
      <c r="AI10" s="201"/>
      <c r="AJ10" s="201"/>
      <c r="AK10" s="201"/>
      <c r="AL10" s="201"/>
    </row>
    <row r="11" spans="3:38"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  <c r="Z11" s="201"/>
      <c r="AA11" s="201"/>
      <c r="AB11" s="201"/>
      <c r="AC11" s="201"/>
      <c r="AD11" s="201"/>
      <c r="AE11" s="201"/>
      <c r="AF11" s="201"/>
      <c r="AG11" s="201"/>
      <c r="AH11" s="201"/>
      <c r="AI11" s="201"/>
      <c r="AJ11" s="201"/>
      <c r="AK11" s="201"/>
      <c r="AL11" s="201"/>
    </row>
  </sheetData>
  <sheetProtection algorithmName="SHA-512" hashValue="/cbYmQK182odwINjqeE3WqE1iyKSgf94DbZ5hgAVxPyTQgT/pQWC4WRkyvfr0GhpK1VQSGWCM6ZMMvjSq2ULgA==" saltValue="x5FeYq/U+LmUy1U9znZaMg==" spinCount="100000" sheet="1" objects="1" selectLockedCells="1"/>
  <mergeCells count="1">
    <mergeCell ref="AF7:AJ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6CD4-E98C-4F8F-9CC3-FAD497FE4E96}">
  <dimension ref="C1:V9"/>
  <sheetViews>
    <sheetView showRowColHeaders="0" zoomScale="66" zoomScaleNormal="66" workbookViewId="0">
      <selection activeCell="R5" sqref="R5:V5"/>
    </sheetView>
  </sheetViews>
  <sheetFormatPr defaultColWidth="9.140625" defaultRowHeight="15"/>
  <cols>
    <col min="1" max="1" width="9.140625" style="252"/>
    <col min="2" max="2" width="21.7109375" style="252" customWidth="1"/>
    <col min="3" max="3" width="4.28515625" style="252" customWidth="1"/>
    <col min="4" max="16384" width="9.140625" style="252"/>
  </cols>
  <sheetData>
    <row r="1" spans="3:22" ht="16.5" customHeight="1"/>
    <row r="2" spans="3:22" ht="11.25" customHeight="1"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</row>
    <row r="3" spans="3:22"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</row>
    <row r="4" spans="3:22"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</row>
    <row r="5" spans="3:22">
      <c r="C5" s="201"/>
      <c r="D5" s="201"/>
      <c r="E5" s="201"/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R5" s="2535" t="s">
        <v>1919</v>
      </c>
      <c r="S5" s="2535"/>
      <c r="T5" s="2535"/>
      <c r="U5" s="2535"/>
      <c r="V5" s="2535"/>
    </row>
    <row r="6" spans="3:22">
      <c r="C6" s="201"/>
      <c r="D6" s="201"/>
      <c r="E6" s="201"/>
      <c r="F6" s="201"/>
      <c r="G6" s="201"/>
      <c r="H6" s="201"/>
      <c r="I6" s="201"/>
      <c r="J6" s="201"/>
      <c r="K6" s="201"/>
      <c r="L6" s="201"/>
      <c r="M6" s="201"/>
      <c r="N6" s="201"/>
      <c r="O6" s="201"/>
      <c r="P6" s="201"/>
      <c r="R6" s="871"/>
      <c r="S6" s="2064"/>
      <c r="T6" s="2066"/>
      <c r="U6" s="2066"/>
      <c r="V6" s="2067" t="s">
        <v>17</v>
      </c>
    </row>
    <row r="7" spans="3:22"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R7" s="871"/>
      <c r="S7" s="2064"/>
      <c r="T7" s="2066"/>
      <c r="U7" s="2534">
        <v>2026</v>
      </c>
      <c r="V7" s="2534"/>
    </row>
    <row r="8" spans="3:22"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R8" s="871"/>
      <c r="S8" s="2064"/>
      <c r="T8" s="2066"/>
      <c r="U8" s="2065"/>
      <c r="V8" s="2065"/>
    </row>
    <row r="9" spans="3:22">
      <c r="C9" s="201"/>
      <c r="D9" s="201"/>
      <c r="E9" s="201"/>
      <c r="F9" s="201"/>
      <c r="G9" s="201"/>
      <c r="H9" s="201"/>
      <c r="I9" s="201"/>
      <c r="J9" s="201"/>
      <c r="K9" s="201"/>
      <c r="L9" s="201"/>
      <c r="M9" s="201"/>
      <c r="N9" s="201"/>
      <c r="O9" s="201"/>
      <c r="P9" s="201"/>
    </row>
  </sheetData>
  <sheetProtection algorithmName="SHA-512" hashValue="U4T4KPUTghITOBbtGHIyA4wkS4kmhD9aeT8LejW5L9W9HGVy/uJZSG9uadiFbg3GTfL3skFprkoNmqf/l2F0VA==" saltValue="aJX+Z6Yk0SIqGWVzeHw4Wg==" spinCount="100000" sheet="1" objects="1" selectLockedCells="1"/>
  <mergeCells count="2">
    <mergeCell ref="U7:V7"/>
    <mergeCell ref="R5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A428-18F5-4A42-9779-86C6C25AFF6E}">
  <dimension ref="B1:AU50"/>
  <sheetViews>
    <sheetView topLeftCell="D3" zoomScale="84" zoomScaleNormal="84" workbookViewId="0">
      <selection activeCell="F43" sqref="F43"/>
    </sheetView>
  </sheetViews>
  <sheetFormatPr defaultColWidth="9.140625" defaultRowHeight="15"/>
  <cols>
    <col min="1" max="3" width="0" style="943" hidden="1" customWidth="1"/>
    <col min="4" max="4" width="25.5703125" style="943" customWidth="1"/>
    <col min="5" max="5" width="6.140625" style="943" customWidth="1"/>
    <col min="6" max="6" width="7.42578125" style="943" customWidth="1"/>
    <col min="7" max="7" width="9.140625" style="943"/>
    <col min="8" max="8" width="5.42578125" style="943" customWidth="1"/>
    <col min="9" max="9" width="12.85546875" style="943" customWidth="1"/>
    <col min="10" max="13" width="9.140625" style="943"/>
    <col min="14" max="14" width="9.140625" style="943" customWidth="1"/>
    <col min="15" max="20" width="9.140625" style="943"/>
    <col min="21" max="21" width="9.140625" style="943" customWidth="1"/>
    <col min="22" max="25" width="9.140625" style="943"/>
    <col min="26" max="26" width="10.140625" style="943" customWidth="1"/>
    <col min="27" max="27" width="9.140625" style="943"/>
    <col min="28" max="28" width="9.140625" style="943" customWidth="1"/>
    <col min="29" max="30" width="9.140625" style="943"/>
    <col min="31" max="31" width="6.5703125" style="943" customWidth="1"/>
    <col min="32" max="33" width="9.140625" style="943"/>
    <col min="34" max="34" width="17" style="943" bestFit="1" customWidth="1"/>
    <col min="35" max="16384" width="9.140625" style="943"/>
  </cols>
  <sheetData>
    <row r="1" spans="2:34" s="252" customFormat="1" ht="15.75" hidden="1" customHeight="1">
      <c r="B1" s="1605"/>
      <c r="Q1" s="2135"/>
      <c r="R1" s="406" t="s">
        <v>2240</v>
      </c>
      <c r="S1" s="406"/>
      <c r="T1" s="406"/>
      <c r="U1" s="2135"/>
      <c r="V1" s="2135"/>
      <c r="W1" s="2135"/>
      <c r="X1" s="2135"/>
    </row>
    <row r="2" spans="2:34" s="252" customFormat="1" ht="13.5" hidden="1" customHeight="1">
      <c r="B2" s="1605"/>
      <c r="Q2" s="2135"/>
      <c r="R2" s="406" t="s">
        <v>2241</v>
      </c>
      <c r="S2" s="406"/>
      <c r="T2" s="406"/>
      <c r="U2" s="2135"/>
      <c r="V2" s="2135"/>
      <c r="W2" s="2135"/>
      <c r="X2" s="2135"/>
    </row>
    <row r="3" spans="2:34" s="252" customFormat="1" ht="15.75" customHeight="1">
      <c r="B3" s="1605"/>
      <c r="Q3" s="2135"/>
      <c r="R3" s="406" t="s">
        <v>2236</v>
      </c>
      <c r="S3" s="406"/>
      <c r="T3" s="406"/>
      <c r="U3" s="2135"/>
      <c r="V3" s="2135"/>
      <c r="W3" s="2135"/>
      <c r="X3" s="2135"/>
      <c r="AD3" s="406"/>
    </row>
    <row r="4" spans="2:34" s="252" customFormat="1" ht="15.75" customHeight="1">
      <c r="B4" s="1605"/>
      <c r="J4" s="2536"/>
      <c r="K4" s="2536"/>
      <c r="L4" s="2536"/>
      <c r="M4" s="2536"/>
      <c r="N4" s="2536"/>
      <c r="Q4" s="2135"/>
      <c r="R4" s="2139" t="s">
        <v>2237</v>
      </c>
      <c r="S4" s="406"/>
      <c r="T4" s="406"/>
      <c r="U4" s="2135"/>
      <c r="V4" s="2136"/>
      <c r="W4" s="2136"/>
      <c r="X4" s="2136"/>
      <c r="AD4" s="406"/>
    </row>
    <row r="5" spans="2:34" s="252" customFormat="1" ht="11.45" customHeight="1">
      <c r="B5" s="1605"/>
      <c r="J5" s="2021"/>
      <c r="Q5" s="2135"/>
      <c r="R5" s="406" t="s">
        <v>2238</v>
      </c>
      <c r="S5" s="406"/>
      <c r="T5" s="406"/>
      <c r="U5" s="2137"/>
      <c r="V5" s="2138"/>
      <c r="W5" s="2138"/>
      <c r="X5" s="2138"/>
      <c r="AA5" s="2537" t="s">
        <v>1930</v>
      </c>
      <c r="AB5" s="2537"/>
      <c r="AC5" s="2537"/>
      <c r="AD5" s="2537"/>
      <c r="AH5"/>
    </row>
    <row r="6" spans="2:34" s="252" customFormat="1" ht="20.45" customHeight="1">
      <c r="B6" s="1605"/>
      <c r="I6" s="2021" t="s">
        <v>2433</v>
      </c>
      <c r="K6" s="2021"/>
      <c r="L6" s="2021"/>
      <c r="M6" s="2021"/>
      <c r="N6" s="2021"/>
      <c r="Q6" s="2135"/>
      <c r="R6" s="406" t="s">
        <v>2239</v>
      </c>
      <c r="S6" s="406"/>
      <c r="T6" s="406"/>
      <c r="U6" s="2135"/>
      <c r="V6" s="2137"/>
      <c r="W6" s="2137"/>
      <c r="X6" s="2137"/>
      <c r="AA6" s="2538" t="s">
        <v>1955</v>
      </c>
      <c r="AB6" s="2538"/>
      <c r="AC6" s="2538"/>
      <c r="AD6" s="2538"/>
      <c r="AH6" s="1838"/>
    </row>
    <row r="7" spans="2:34" s="252" customFormat="1" ht="9" customHeight="1">
      <c r="B7" s="1605"/>
      <c r="J7" s="1606"/>
      <c r="K7" s="1606"/>
      <c r="L7" s="1606"/>
      <c r="M7" s="1606"/>
      <c r="N7" s="1606"/>
      <c r="Q7" s="2135"/>
      <c r="R7" s="2135"/>
      <c r="S7" s="2135"/>
      <c r="T7" s="2135"/>
      <c r="U7" s="2135"/>
      <c r="V7" s="2135"/>
      <c r="W7" s="2135"/>
      <c r="X7" s="2135"/>
      <c r="Y7" s="1606"/>
      <c r="Z7" s="1606"/>
      <c r="AA7" s="1606"/>
      <c r="AB7" s="1606"/>
      <c r="AC7" s="1606"/>
      <c r="AD7" s="406"/>
    </row>
    <row r="8" spans="2:34" s="1819" customFormat="1" ht="9.75" customHeight="1">
      <c r="B8" s="1818"/>
    </row>
    <row r="9" spans="2:34" ht="9.75" customHeight="1">
      <c r="B9" s="1607"/>
    </row>
    <row r="10" spans="2:34" ht="5.25" customHeight="1">
      <c r="B10" s="1607"/>
    </row>
    <row r="11" spans="2:34" ht="17.45" customHeight="1"/>
    <row r="12" spans="2:34" ht="6.6" customHeight="1"/>
    <row r="13" spans="2:34" ht="23.45" customHeight="1"/>
    <row r="18" spans="2:47">
      <c r="AE18" s="2272"/>
      <c r="AF18" s="2272"/>
      <c r="AG18" s="2272"/>
      <c r="AH18" s="2272"/>
      <c r="AI18" s="2272"/>
      <c r="AJ18" s="2272"/>
      <c r="AK18" s="2272"/>
      <c r="AL18" s="2272"/>
      <c r="AM18" s="2272"/>
      <c r="AN18" s="2272"/>
      <c r="AO18" s="2272"/>
      <c r="AP18" s="2272"/>
      <c r="AQ18" s="2272"/>
      <c r="AR18" s="2272"/>
      <c r="AS18" s="2272"/>
      <c r="AT18" s="2272"/>
      <c r="AU18" s="2272"/>
    </row>
    <row r="19" spans="2:47">
      <c r="B19" s="2539"/>
      <c r="C19" s="2539"/>
      <c r="D19" s="2539"/>
      <c r="E19" s="2539"/>
      <c r="F19" s="2539"/>
      <c r="AE19" s="2272"/>
      <c r="AF19" s="2272"/>
      <c r="AG19" s="2272"/>
      <c r="AH19" s="2272"/>
      <c r="AI19" s="2272"/>
      <c r="AJ19" s="2272"/>
      <c r="AK19" s="2272"/>
      <c r="AL19" s="2272"/>
      <c r="AM19" s="2272"/>
      <c r="AN19" s="2272"/>
      <c r="AO19" s="2272"/>
      <c r="AP19" s="2272"/>
      <c r="AQ19" s="2272"/>
      <c r="AR19" s="2272"/>
      <c r="AS19" s="2272"/>
      <c r="AT19" s="2272"/>
      <c r="AU19" s="2272"/>
    </row>
    <row r="20" spans="2:47">
      <c r="C20" s="2540"/>
      <c r="D20" s="2540"/>
      <c r="E20" s="2540"/>
      <c r="F20" s="2540"/>
      <c r="AE20" s="2272"/>
      <c r="AF20" s="2272"/>
      <c r="AG20" s="2272"/>
      <c r="AH20" s="2272"/>
      <c r="AI20" s="2272"/>
      <c r="AJ20" s="2272"/>
      <c r="AK20" s="2272"/>
      <c r="AL20" s="2272"/>
      <c r="AM20" s="2272"/>
      <c r="AN20" s="2272"/>
      <c r="AO20" s="2272"/>
      <c r="AP20" s="2272"/>
      <c r="AQ20" s="2272"/>
      <c r="AR20" s="2272"/>
      <c r="AS20" s="2272"/>
      <c r="AT20" s="2272"/>
      <c r="AU20" s="2272"/>
    </row>
    <row r="21" spans="2:47">
      <c r="AE21" s="2272"/>
      <c r="AF21" s="2272"/>
      <c r="AG21" s="2272"/>
      <c r="AH21" s="2272"/>
      <c r="AI21" s="2272"/>
      <c r="AJ21" s="2272"/>
      <c r="AK21" s="2272"/>
      <c r="AL21" s="2272"/>
      <c r="AM21" s="2272"/>
      <c r="AN21" s="2272"/>
      <c r="AO21" s="2272"/>
      <c r="AP21" s="2272"/>
      <c r="AQ21" s="2272"/>
      <c r="AR21" s="2272"/>
      <c r="AS21" s="2272"/>
      <c r="AT21" s="2272"/>
      <c r="AU21" s="2272"/>
    </row>
    <row r="22" spans="2:47">
      <c r="AE22" s="2272"/>
      <c r="AF22" s="2272"/>
      <c r="AG22" s="2272"/>
      <c r="AH22" s="2272"/>
      <c r="AI22" s="2272"/>
      <c r="AJ22" s="2272"/>
      <c r="AK22" s="2272"/>
      <c r="AL22" s="2272"/>
      <c r="AM22" s="2272"/>
      <c r="AN22" s="2272"/>
      <c r="AO22" s="2272"/>
      <c r="AP22" s="2272"/>
      <c r="AQ22" s="2272"/>
      <c r="AR22" s="2272"/>
      <c r="AS22" s="2272"/>
      <c r="AT22" s="2272"/>
      <c r="AU22" s="2272"/>
    </row>
    <row r="23" spans="2:47">
      <c r="AE23" s="2272"/>
      <c r="AF23" s="2272"/>
      <c r="AG23" s="2272"/>
      <c r="AH23" s="2272"/>
      <c r="AI23" s="2272"/>
      <c r="AJ23" s="2272"/>
      <c r="AK23" s="2272"/>
      <c r="AL23" s="2272"/>
      <c r="AM23" s="2272"/>
      <c r="AN23" s="2272"/>
      <c r="AO23" s="2272"/>
      <c r="AP23" s="2272"/>
      <c r="AQ23" s="2272"/>
      <c r="AR23" s="2272"/>
      <c r="AS23" s="2272"/>
      <c r="AT23" s="2272"/>
      <c r="AU23" s="2272"/>
    </row>
    <row r="24" spans="2:47">
      <c r="AE24" s="2272"/>
      <c r="AF24" s="2272"/>
      <c r="AG24" s="2272"/>
      <c r="AH24" s="2272"/>
      <c r="AI24" s="2272"/>
      <c r="AJ24" s="2272"/>
      <c r="AK24" s="2272"/>
      <c r="AL24" s="2272"/>
      <c r="AM24" s="2272"/>
      <c r="AN24" s="2272"/>
      <c r="AO24" s="2272"/>
      <c r="AP24" s="2272"/>
      <c r="AQ24" s="2272"/>
      <c r="AR24" s="2272"/>
      <c r="AS24" s="2272"/>
      <c r="AT24" s="2272"/>
      <c r="AU24" s="2272"/>
    </row>
    <row r="25" spans="2:47">
      <c r="AE25" s="2272"/>
      <c r="AF25" s="2272"/>
      <c r="AG25" s="2272"/>
      <c r="AH25" s="2272"/>
      <c r="AI25" s="2272"/>
      <c r="AJ25" s="2272"/>
      <c r="AK25" s="2272"/>
      <c r="AL25" s="2272"/>
      <c r="AM25" s="2272"/>
      <c r="AN25" s="2272"/>
      <c r="AO25" s="2272"/>
      <c r="AP25" s="2272"/>
      <c r="AQ25" s="2272"/>
      <c r="AR25" s="2272"/>
      <c r="AS25" s="2272"/>
      <c r="AT25" s="2272"/>
      <c r="AU25" s="2272"/>
    </row>
    <row r="26" spans="2:47">
      <c r="AE26" s="2272"/>
      <c r="AF26" s="2272"/>
      <c r="AG26" s="2272"/>
      <c r="AH26" s="2272"/>
      <c r="AI26" s="2272"/>
      <c r="AJ26" s="2272"/>
      <c r="AK26" s="2272"/>
      <c r="AL26" s="2272"/>
      <c r="AM26" s="2272"/>
      <c r="AN26" s="2272"/>
      <c r="AO26" s="2272"/>
      <c r="AP26" s="2272"/>
      <c r="AQ26" s="2272"/>
      <c r="AR26" s="2272"/>
      <c r="AS26" s="2272"/>
      <c r="AT26" s="2272"/>
      <c r="AU26" s="2272"/>
    </row>
    <row r="27" spans="2:47">
      <c r="AE27" s="2272"/>
      <c r="AF27" s="2272"/>
      <c r="AG27" s="2272"/>
      <c r="AH27" s="2272"/>
      <c r="AI27" s="2272"/>
      <c r="AJ27" s="2272"/>
      <c r="AK27" s="2272"/>
      <c r="AL27" s="2272"/>
      <c r="AM27" s="2272"/>
      <c r="AN27" s="2272"/>
      <c r="AO27" s="2272"/>
      <c r="AP27" s="2272"/>
      <c r="AQ27" s="2272"/>
      <c r="AR27" s="2272"/>
      <c r="AS27" s="2272"/>
      <c r="AT27" s="2272"/>
      <c r="AU27" s="2272"/>
    </row>
    <row r="28" spans="2:47">
      <c r="AE28" s="2272"/>
      <c r="AF28" s="2272"/>
      <c r="AG28" s="2272"/>
      <c r="AH28" s="2272"/>
      <c r="AI28" s="2272"/>
      <c r="AJ28" s="2272"/>
      <c r="AK28" s="2272"/>
      <c r="AL28" s="2272"/>
      <c r="AM28" s="2272"/>
      <c r="AN28" s="2272"/>
      <c r="AO28" s="2272"/>
      <c r="AP28" s="2272"/>
      <c r="AQ28" s="2272"/>
      <c r="AR28" s="2272"/>
      <c r="AS28" s="2272"/>
      <c r="AT28" s="2272"/>
      <c r="AU28" s="2272"/>
    </row>
    <row r="29" spans="2:47">
      <c r="C29" s="2339"/>
      <c r="AE29" s="2272"/>
      <c r="AF29" s="2272"/>
      <c r="AG29" s="2272"/>
      <c r="AH29" s="2272"/>
      <c r="AI29" s="2272"/>
      <c r="AJ29" s="2272"/>
      <c r="AK29" s="2272"/>
      <c r="AL29" s="2272"/>
      <c r="AM29" s="2272"/>
      <c r="AN29" s="2272"/>
      <c r="AO29" s="2272"/>
      <c r="AP29" s="2272"/>
      <c r="AQ29" s="2272"/>
      <c r="AR29" s="2272"/>
      <c r="AS29" s="2272"/>
      <c r="AT29" s="2272"/>
      <c r="AU29" s="2272"/>
    </row>
    <row r="30" spans="2:47">
      <c r="AE30" s="2272"/>
      <c r="AF30" s="2272"/>
      <c r="AG30" s="2272"/>
      <c r="AH30" s="2272"/>
      <c r="AI30" s="2272"/>
      <c r="AJ30" s="2272"/>
      <c r="AK30" s="2272"/>
      <c r="AL30" s="2272"/>
      <c r="AM30" s="2272"/>
      <c r="AN30" s="2272"/>
      <c r="AO30" s="2272"/>
      <c r="AP30" s="2272"/>
      <c r="AQ30" s="2272"/>
      <c r="AR30" s="2272"/>
      <c r="AS30" s="2272"/>
      <c r="AT30" s="2272"/>
      <c r="AU30" s="2272"/>
    </row>
    <row r="31" spans="2:47">
      <c r="AE31" s="965" t="s">
        <v>2242</v>
      </c>
      <c r="AF31" s="965"/>
      <c r="AG31" s="965"/>
      <c r="AH31" s="965"/>
      <c r="AI31" s="965"/>
      <c r="AJ31" s="965"/>
      <c r="AK31" s="965"/>
      <c r="AL31" s="965"/>
      <c r="AM31" s="965"/>
      <c r="AN31" s="965"/>
      <c r="AO31" s="2272"/>
      <c r="AP31" s="2272"/>
      <c r="AQ31" s="2272"/>
      <c r="AR31" s="2272"/>
      <c r="AS31" s="2272"/>
      <c r="AT31" s="2272"/>
      <c r="AU31" s="2272"/>
    </row>
    <row r="32" spans="2:47">
      <c r="AE32" s="965" t="s">
        <v>2240</v>
      </c>
      <c r="AF32" s="965"/>
      <c r="AG32" s="965"/>
      <c r="AH32" s="965"/>
      <c r="AI32" s="965"/>
      <c r="AJ32" s="965"/>
      <c r="AK32" s="965"/>
      <c r="AL32" s="965"/>
      <c r="AM32" s="965"/>
      <c r="AN32" s="965"/>
      <c r="AO32" s="2272"/>
      <c r="AP32" s="2272"/>
      <c r="AQ32" s="2272"/>
      <c r="AR32" s="2272"/>
      <c r="AS32" s="2272"/>
      <c r="AT32" s="2272"/>
      <c r="AU32" s="2272"/>
    </row>
    <row r="33" spans="3:47" ht="16.5">
      <c r="C33" s="1607"/>
      <c r="AE33" s="965" t="s">
        <v>2243</v>
      </c>
      <c r="AF33" s="965"/>
      <c r="AG33" s="965"/>
      <c r="AH33" s="965"/>
      <c r="AI33" s="965"/>
      <c r="AJ33" s="965"/>
      <c r="AK33" s="965"/>
      <c r="AL33" s="965"/>
      <c r="AM33" s="965"/>
      <c r="AN33" s="965"/>
      <c r="AO33" s="2272"/>
      <c r="AP33" s="2272"/>
      <c r="AQ33" s="2272"/>
      <c r="AR33" s="2272"/>
      <c r="AS33" s="2272"/>
      <c r="AT33" s="2272"/>
      <c r="AU33" s="2272"/>
    </row>
    <row r="34" spans="3:47">
      <c r="AE34" s="965" t="s">
        <v>2302</v>
      </c>
      <c r="AF34" s="965"/>
      <c r="AG34" s="965"/>
      <c r="AH34" s="965"/>
      <c r="AI34" s="965"/>
      <c r="AJ34" s="965"/>
      <c r="AK34" s="965"/>
      <c r="AL34" s="965"/>
      <c r="AM34" s="965"/>
      <c r="AN34" s="965"/>
      <c r="AO34" s="2272"/>
      <c r="AP34" s="2272"/>
      <c r="AQ34" s="2272"/>
      <c r="AR34" s="2272"/>
      <c r="AS34" s="2272"/>
      <c r="AT34" s="2272"/>
      <c r="AU34" s="2272"/>
    </row>
    <row r="35" spans="3:47">
      <c r="AE35" s="965" t="s">
        <v>2254</v>
      </c>
      <c r="AF35" s="965"/>
      <c r="AG35" s="965"/>
      <c r="AH35" s="965"/>
      <c r="AI35" s="965"/>
      <c r="AJ35" s="965"/>
      <c r="AK35" s="965"/>
      <c r="AL35" s="965"/>
      <c r="AM35" s="965"/>
      <c r="AN35" s="965"/>
      <c r="AO35" s="2272"/>
      <c r="AP35" s="2272"/>
      <c r="AQ35" s="2272"/>
      <c r="AR35" s="2272"/>
      <c r="AS35" s="2272"/>
      <c r="AT35" s="2272"/>
      <c r="AU35" s="2272"/>
    </row>
    <row r="36" spans="3:47">
      <c r="AE36" s="965" t="s">
        <v>2244</v>
      </c>
      <c r="AF36" s="965"/>
      <c r="AG36" s="965"/>
      <c r="AH36" s="965"/>
      <c r="AI36" s="965"/>
      <c r="AJ36" s="965"/>
      <c r="AK36" s="965"/>
      <c r="AL36" s="965"/>
      <c r="AM36" s="965"/>
      <c r="AN36" s="965"/>
      <c r="AO36" s="2272"/>
      <c r="AP36" s="2272"/>
      <c r="AQ36" s="2272"/>
      <c r="AR36" s="2272"/>
      <c r="AS36" s="2272"/>
      <c r="AT36" s="2272"/>
      <c r="AU36" s="2272"/>
    </row>
    <row r="37" spans="3:47">
      <c r="AE37" s="965" t="s">
        <v>2245</v>
      </c>
      <c r="AF37" s="965"/>
      <c r="AG37" s="965"/>
      <c r="AH37" s="965"/>
      <c r="AI37" s="965"/>
      <c r="AJ37" s="965"/>
      <c r="AK37" s="965"/>
      <c r="AL37" s="965"/>
      <c r="AM37" s="965"/>
      <c r="AN37" s="965"/>
      <c r="AO37" s="2272"/>
      <c r="AP37" s="2272"/>
      <c r="AQ37" s="2272"/>
      <c r="AR37" s="2272"/>
      <c r="AS37" s="2272"/>
      <c r="AT37" s="2272"/>
      <c r="AU37" s="2272"/>
    </row>
    <row r="38" spans="3:47">
      <c r="AE38" s="965" t="s">
        <v>2246</v>
      </c>
      <c r="AF38" s="965"/>
      <c r="AG38" s="965"/>
      <c r="AH38" s="965"/>
      <c r="AI38" s="965"/>
      <c r="AJ38" s="965"/>
      <c r="AK38" s="965"/>
      <c r="AL38" s="965"/>
      <c r="AM38" s="965"/>
      <c r="AN38" s="965"/>
      <c r="AO38" s="2272"/>
      <c r="AP38" s="2272"/>
      <c r="AQ38" s="2272"/>
      <c r="AR38" s="2272"/>
      <c r="AS38" s="2272"/>
      <c r="AT38" s="2272"/>
      <c r="AU38" s="2272"/>
    </row>
    <row r="39" spans="3:47">
      <c r="AE39" s="965" t="s">
        <v>2247</v>
      </c>
      <c r="AF39" s="965"/>
      <c r="AG39" s="965"/>
      <c r="AH39" s="965"/>
      <c r="AI39" s="965"/>
      <c r="AJ39" s="965"/>
      <c r="AK39" s="965"/>
      <c r="AL39" s="965"/>
      <c r="AM39" s="965"/>
      <c r="AN39" s="965"/>
      <c r="AO39" s="2272"/>
      <c r="AP39" s="2272"/>
      <c r="AQ39" s="2272"/>
      <c r="AR39" s="2272"/>
      <c r="AS39" s="2272"/>
      <c r="AT39" s="2272"/>
      <c r="AU39" s="2272"/>
    </row>
    <row r="40" spans="3:47">
      <c r="AE40" s="965" t="s">
        <v>2248</v>
      </c>
      <c r="AF40" s="965"/>
      <c r="AG40" s="965"/>
      <c r="AH40" s="965"/>
      <c r="AI40" s="965"/>
      <c r="AJ40" s="965"/>
      <c r="AK40" s="965"/>
      <c r="AL40" s="965"/>
      <c r="AM40" s="965"/>
      <c r="AN40" s="965"/>
      <c r="AO40" s="2272"/>
      <c r="AP40" s="2272"/>
      <c r="AQ40" s="2272"/>
      <c r="AR40" s="2272"/>
      <c r="AS40" s="2272"/>
      <c r="AT40" s="2272"/>
      <c r="AU40" s="2272"/>
    </row>
    <row r="41" spans="3:47">
      <c r="AE41" s="965" t="s">
        <v>2249</v>
      </c>
      <c r="AF41" s="965"/>
      <c r="AG41" s="2273"/>
      <c r="AH41" s="965"/>
      <c r="AI41" s="965"/>
      <c r="AJ41" s="965"/>
      <c r="AK41" s="965"/>
      <c r="AL41" s="965"/>
      <c r="AM41" s="965"/>
      <c r="AN41" s="965"/>
      <c r="AO41" s="2272"/>
      <c r="AP41" s="2272"/>
      <c r="AQ41" s="2272"/>
      <c r="AR41" s="2272"/>
      <c r="AS41" s="2272"/>
      <c r="AT41" s="2272"/>
      <c r="AU41" s="2272"/>
    </row>
    <row r="42" spans="3:47">
      <c r="AE42" s="965" t="s">
        <v>2251</v>
      </c>
      <c r="AF42" s="965"/>
      <c r="AG42" s="965"/>
      <c r="AH42" s="965"/>
      <c r="AI42" s="965"/>
      <c r="AJ42" s="965"/>
      <c r="AK42" s="965"/>
      <c r="AL42" s="965"/>
      <c r="AM42" s="965"/>
      <c r="AN42" s="965"/>
      <c r="AO42" s="2272"/>
      <c r="AP42" s="2272"/>
      <c r="AQ42" s="2272"/>
      <c r="AR42" s="2272"/>
      <c r="AS42" s="2272"/>
      <c r="AT42" s="2272"/>
      <c r="AU42" s="2272"/>
    </row>
    <row r="43" spans="3:47">
      <c r="AE43" s="965" t="s">
        <v>2250</v>
      </c>
      <c r="AF43" s="965"/>
      <c r="AG43" s="965"/>
      <c r="AH43" s="965"/>
      <c r="AI43" s="965"/>
      <c r="AJ43" s="965"/>
      <c r="AK43" s="965"/>
      <c r="AL43" s="965"/>
      <c r="AM43" s="965"/>
      <c r="AN43" s="965"/>
      <c r="AO43" s="2272"/>
      <c r="AP43" s="2272"/>
      <c r="AQ43" s="2272"/>
      <c r="AR43" s="2272"/>
      <c r="AS43" s="2272"/>
      <c r="AT43" s="2272"/>
      <c r="AU43" s="2272"/>
    </row>
    <row r="44" spans="3:47">
      <c r="AE44" s="965" t="s">
        <v>2252</v>
      </c>
      <c r="AF44" s="965"/>
      <c r="AG44" s="965"/>
      <c r="AH44" s="965"/>
      <c r="AI44" s="965"/>
      <c r="AJ44" s="965"/>
      <c r="AK44" s="965"/>
      <c r="AL44" s="965"/>
      <c r="AM44" s="965"/>
      <c r="AN44" s="965"/>
      <c r="AO44" s="2272"/>
      <c r="AP44" s="2272"/>
      <c r="AQ44" s="2272"/>
      <c r="AR44" s="2272"/>
      <c r="AS44" s="2272"/>
      <c r="AT44" s="2272"/>
      <c r="AU44" s="2272"/>
    </row>
    <row r="45" spans="3:47">
      <c r="AE45" s="965" t="s">
        <v>2253</v>
      </c>
      <c r="AF45" s="965"/>
      <c r="AG45" s="965"/>
      <c r="AH45" s="965"/>
      <c r="AI45" s="965"/>
      <c r="AJ45" s="965"/>
      <c r="AK45" s="965"/>
      <c r="AL45" s="965"/>
      <c r="AM45" s="965"/>
      <c r="AN45" s="965"/>
      <c r="AO45" s="2272"/>
      <c r="AP45" s="2272"/>
      <c r="AQ45" s="2272"/>
      <c r="AR45" s="2272"/>
      <c r="AS45" s="2272"/>
      <c r="AT45" s="2272"/>
      <c r="AU45" s="2272"/>
    </row>
    <row r="46" spans="3:47">
      <c r="AK46" s="2272"/>
      <c r="AL46" s="2272"/>
      <c r="AM46" s="2272"/>
      <c r="AN46" s="2272"/>
      <c r="AO46" s="2272"/>
      <c r="AP46" s="2272"/>
      <c r="AQ46" s="2272"/>
      <c r="AR46" s="2272"/>
      <c r="AS46" s="2272"/>
      <c r="AT46" s="2272"/>
      <c r="AU46" s="2272"/>
    </row>
    <row r="47" spans="3:47">
      <c r="AK47" s="2272"/>
      <c r="AL47" s="2272"/>
      <c r="AM47" s="2272"/>
      <c r="AN47" s="2272"/>
      <c r="AO47" s="2272"/>
      <c r="AP47" s="2272"/>
      <c r="AQ47" s="2272"/>
      <c r="AR47" s="2272"/>
      <c r="AS47" s="2272"/>
      <c r="AT47" s="2272"/>
      <c r="AU47" s="2272"/>
    </row>
    <row r="48" spans="3:47">
      <c r="AK48" s="2272"/>
      <c r="AL48" s="2272"/>
      <c r="AM48" s="2272"/>
      <c r="AN48" s="2272"/>
      <c r="AO48" s="2272"/>
      <c r="AP48" s="2272"/>
      <c r="AQ48" s="2272"/>
      <c r="AR48" s="2272"/>
      <c r="AS48" s="2272"/>
      <c r="AT48" s="2272"/>
      <c r="AU48" s="2272"/>
    </row>
    <row r="49" spans="31:47">
      <c r="AE49" s="2272"/>
      <c r="AF49" s="2272"/>
      <c r="AG49" s="2272"/>
      <c r="AH49" s="2272"/>
      <c r="AI49" s="2272"/>
      <c r="AJ49" s="2272"/>
      <c r="AK49" s="2272"/>
      <c r="AL49" s="2272"/>
      <c r="AM49" s="2272"/>
      <c r="AN49" s="2272"/>
      <c r="AO49" s="2272"/>
      <c r="AP49" s="2272"/>
      <c r="AQ49" s="2272"/>
      <c r="AR49" s="2272"/>
      <c r="AS49" s="2272"/>
      <c r="AT49" s="2272"/>
      <c r="AU49" s="2272"/>
    </row>
    <row r="50" spans="31:47">
      <c r="AE50" s="2272"/>
      <c r="AF50" s="2272"/>
      <c r="AG50" s="2272"/>
      <c r="AH50" s="2272"/>
      <c r="AI50" s="2272"/>
      <c r="AJ50" s="2272"/>
      <c r="AK50" s="2272"/>
      <c r="AL50" s="2272"/>
      <c r="AM50" s="2272"/>
      <c r="AN50" s="2272"/>
      <c r="AO50" s="2272"/>
      <c r="AP50" s="2272"/>
      <c r="AQ50" s="2272"/>
      <c r="AR50" s="2272"/>
      <c r="AS50" s="2272"/>
      <c r="AT50" s="2272"/>
      <c r="AU50" s="2272"/>
    </row>
  </sheetData>
  <sheetProtection selectLockedCells="1"/>
  <mergeCells count="5">
    <mergeCell ref="J4:N4"/>
    <mergeCell ref="AA5:AD5"/>
    <mergeCell ref="AA6:AD6"/>
    <mergeCell ref="B19:F19"/>
    <mergeCell ref="C20:F2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BD9AB-0AFB-48A8-9F1D-B125D69BE322}">
  <dimension ref="S1:Y43"/>
  <sheetViews>
    <sheetView showRowColHeaders="0" zoomScale="95" zoomScaleNormal="95" workbookViewId="0">
      <selection activeCell="S19" sqref="S19:V19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5" s="2525" customFormat="1"/>
    <row r="18" spans="19:25" s="2525" customFormat="1"/>
    <row r="19" spans="19:25" s="2525" customFormat="1">
      <c r="S19" s="2541" t="s">
        <v>1930</v>
      </c>
      <c r="T19" s="2541"/>
      <c r="U19" s="2541"/>
      <c r="V19" s="2541"/>
    </row>
    <row r="20" spans="19:25" s="2525" customFormat="1">
      <c r="S20" s="2542" t="s">
        <v>1955</v>
      </c>
      <c r="T20" s="2542"/>
      <c r="U20" s="2542"/>
      <c r="V20" s="2542"/>
    </row>
    <row r="21" spans="19:25" s="2525" customFormat="1"/>
    <row r="22" spans="19:25" s="2525" customFormat="1"/>
    <row r="23" spans="19:25" s="2525" customFormat="1"/>
    <row r="24" spans="19:25" s="2525" customFormat="1"/>
    <row r="25" spans="19:25" s="2525" customFormat="1">
      <c r="Y25" s="2528"/>
    </row>
    <row r="26" spans="19:25" s="2525" customFormat="1">
      <c r="Y26" s="2528"/>
    </row>
    <row r="27" spans="19:25" s="2525" customFormat="1"/>
    <row r="28" spans="19:25" s="2525" customFormat="1"/>
    <row r="29" spans="19:25" s="2525" customFormat="1"/>
    <row r="30" spans="19:25" s="2525" customFormat="1"/>
    <row r="31" spans="19:25" s="2525" customFormat="1"/>
    <row r="32" spans="19:25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</sheetData>
  <sheetProtection algorithmName="SHA-512" hashValue="12Ka6aqkoFJRqS2gc2cN3gYPwWfHfv8TGIENYb6nyjCcPVocaO5dKQ+JdFZjhPqt9svg17prXX61w/XVG702Jw==" saltValue="8KaPJQUohBhP8PZi2UU88w==" spinCount="100000" sheet="1" objects="1" selectLockedCells="1"/>
  <mergeCells count="2">
    <mergeCell ref="S19:V19"/>
    <mergeCell ref="S20:V2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2D-26FE-45CF-AE8E-9E41E90BA07B}">
  <dimension ref="S1:V43"/>
  <sheetViews>
    <sheetView showRowColHeaders="0" zoomScale="96" zoomScaleNormal="96" workbookViewId="0">
      <selection activeCell="S19" sqref="S19:V19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2" s="2525" customFormat="1"/>
    <row r="18" spans="19:22" s="2525" customFormat="1"/>
    <row r="19" spans="19:22" s="2525" customFormat="1">
      <c r="S19" s="2543" t="s">
        <v>1930</v>
      </c>
      <c r="T19" s="2543"/>
      <c r="U19" s="2543"/>
      <c r="V19" s="2543"/>
    </row>
    <row r="20" spans="19:22" s="2525" customFormat="1">
      <c r="S20" s="2544" t="s">
        <v>1955</v>
      </c>
      <c r="T20" s="2544"/>
      <c r="U20" s="2544"/>
      <c r="V20" s="2544"/>
    </row>
    <row r="21" spans="19:22" s="2525" customFormat="1"/>
    <row r="22" spans="19:22" s="2525" customFormat="1"/>
    <row r="23" spans="19:22" s="2525" customFormat="1"/>
    <row r="24" spans="19:22" s="2525" customFormat="1"/>
    <row r="25" spans="19:22" s="2525" customFormat="1"/>
    <row r="26" spans="19:22" s="2525" customFormat="1"/>
    <row r="27" spans="19:22" s="2525" customFormat="1"/>
    <row r="28" spans="19:22" s="2525" customFormat="1"/>
    <row r="29" spans="19:22" s="2525" customFormat="1"/>
    <row r="30" spans="19:22" s="2525" customFormat="1"/>
    <row r="31" spans="19:22" s="2525" customFormat="1"/>
    <row r="32" spans="19:22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</sheetData>
  <sheetProtection algorithmName="SHA-512" hashValue="hHfpM5x2Hjt6JgmnJcml4Hxx4eGEg88bn5Owh5m+5lTq2Z3kq5uwBQaeGaQp2o1NgH9aVh+2PBcaI9qxnDmBCg==" saltValue="qFqemXRWKC2cclvsgHGqYw==" spinCount="100000" sheet="1" objects="1" selectLockedCells="1"/>
  <mergeCells count="2">
    <mergeCell ref="S19:V19"/>
    <mergeCell ref="S20:V2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95BC-5E59-4A4D-887A-A68A5632FC2C}">
  <dimension ref="S1:V43"/>
  <sheetViews>
    <sheetView showRowColHeaders="0" zoomScale="95" zoomScaleNormal="95" workbookViewId="0">
      <selection activeCell="S19" sqref="S19:V19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2" s="2525" customFormat="1"/>
    <row r="18" spans="19:22" s="2525" customFormat="1"/>
    <row r="19" spans="19:22" s="2525" customFormat="1">
      <c r="S19" s="2541" t="s">
        <v>1930</v>
      </c>
      <c r="T19" s="2541"/>
      <c r="U19" s="2541"/>
      <c r="V19" s="2541"/>
    </row>
    <row r="20" spans="19:22" s="2525" customFormat="1">
      <c r="S20" s="2544" t="s">
        <v>1955</v>
      </c>
      <c r="T20" s="2544"/>
      <c r="U20" s="2544"/>
      <c r="V20" s="2544"/>
    </row>
    <row r="21" spans="19:22" s="2525" customFormat="1"/>
    <row r="22" spans="19:22" s="2525" customFormat="1"/>
    <row r="23" spans="19:22" s="2525" customFormat="1"/>
    <row r="24" spans="19:22" s="2525" customFormat="1"/>
    <row r="25" spans="19:22" s="2525" customFormat="1"/>
    <row r="26" spans="19:22" s="2525" customFormat="1"/>
    <row r="27" spans="19:22" s="2525" customFormat="1"/>
    <row r="28" spans="19:22" s="2525" customFormat="1"/>
    <row r="29" spans="19:22" s="2525" customFormat="1"/>
    <row r="30" spans="19:22" s="2525" customFormat="1"/>
    <row r="31" spans="19:22" s="2525" customFormat="1"/>
    <row r="32" spans="19:22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</sheetData>
  <sheetProtection algorithmName="SHA-512" hashValue="qBdJwniWXwDDqKKM2WOSFyRHMiZUO56eW+edzIgllGZQYGfFZRP9inF26WU98AvbO79kE6If15dNMm6SpaYoUw==" saltValue="sD8FqGBReNHDJxenxjHm2Q==" spinCount="100000" sheet="1" objects="1" selectLockedCells="1"/>
  <mergeCells count="2">
    <mergeCell ref="S19:V19"/>
    <mergeCell ref="S20:V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C1529-0EAF-4E53-B326-EEC366EB2A75}">
  <dimension ref="S1:Z43"/>
  <sheetViews>
    <sheetView showRowColHeaders="0" zoomScale="91" zoomScaleNormal="91" workbookViewId="0">
      <selection activeCell="S23" sqref="S23:V23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5" s="2525" customFormat="1"/>
    <row r="18" spans="19:25" s="2525" customFormat="1"/>
    <row r="19" spans="19:25" s="2525" customFormat="1"/>
    <row r="20" spans="19:25" s="2525" customFormat="1"/>
    <row r="21" spans="19:25" s="2525" customFormat="1"/>
    <row r="22" spans="19:25" s="2525" customFormat="1"/>
    <row r="23" spans="19:25" s="2525" customFormat="1">
      <c r="S23" s="2541" t="s">
        <v>1930</v>
      </c>
      <c r="T23" s="2541"/>
      <c r="U23" s="2541"/>
      <c r="V23" s="2541"/>
    </row>
    <row r="24" spans="19:25" s="2525" customFormat="1">
      <c r="S24" s="2542" t="s">
        <v>1955</v>
      </c>
      <c r="T24" s="2542"/>
      <c r="U24" s="2542"/>
      <c r="V24" s="2542"/>
    </row>
    <row r="25" spans="19:25" s="2525" customFormat="1"/>
    <row r="26" spans="19:25" s="2525" customFormat="1">
      <c r="Y26" s="2528"/>
    </row>
    <row r="27" spans="19:25" s="2525" customFormat="1">
      <c r="Y27" s="2528"/>
    </row>
    <row r="28" spans="19:25" s="2525" customFormat="1"/>
    <row r="29" spans="19:25" s="2525" customFormat="1"/>
    <row r="30" spans="19:25" s="2525" customFormat="1"/>
    <row r="31" spans="19:25" s="2525" customFormat="1"/>
    <row r="32" spans="19:25" s="2525" customFormat="1"/>
    <row r="33" spans="26:26" s="2525" customFormat="1">
      <c r="Z33" s="2528"/>
    </row>
    <row r="34" spans="26:26" s="2525" customFormat="1">
      <c r="Z34" s="2528"/>
    </row>
    <row r="35" spans="26:26" s="2525" customFormat="1"/>
    <row r="36" spans="26:26" s="2525" customFormat="1"/>
    <row r="37" spans="26:26" s="2525" customFormat="1"/>
    <row r="38" spans="26:26" s="2525" customFormat="1"/>
    <row r="39" spans="26:26" s="2525" customFormat="1"/>
    <row r="40" spans="26:26" s="2525" customFormat="1"/>
    <row r="41" spans="26:26" s="2525" customFormat="1"/>
    <row r="42" spans="26:26" s="2525" customFormat="1"/>
    <row r="43" spans="26:26" s="2525" customFormat="1"/>
  </sheetData>
  <sheetProtection algorithmName="SHA-512" hashValue="6EJKGF6k6kkp2L3BYmYuJMgTpaCAoggMSfasiijF+o0hKLEvN3tCox1YxfqHzh6cDMauYK/m3ILGAWNlKzlYeg==" saltValue="hYgHY8+ILplxT+kPOkrOkA==" spinCount="100000" sheet="1" objects="1" selectLockedCells="1"/>
  <mergeCells count="2">
    <mergeCell ref="S23:V23"/>
    <mergeCell ref="S24:V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BE3D-9047-40DB-BD10-138FEA2B8751}">
  <dimension ref="S1:Y43"/>
  <sheetViews>
    <sheetView showRowColHeaders="0" zoomScale="91" zoomScaleNormal="91" workbookViewId="0">
      <selection activeCell="S19" sqref="S19:V19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5" s="2525" customFormat="1"/>
    <row r="18" spans="19:25" s="2525" customFormat="1"/>
    <row r="19" spans="19:25" s="2525" customFormat="1">
      <c r="S19" s="2541" t="s">
        <v>1930</v>
      </c>
      <c r="T19" s="2541"/>
      <c r="U19" s="2541"/>
      <c r="V19" s="2541"/>
    </row>
    <row r="20" spans="19:25" s="2525" customFormat="1">
      <c r="S20" s="2542" t="s">
        <v>1955</v>
      </c>
      <c r="T20" s="2542"/>
      <c r="U20" s="2542"/>
      <c r="V20" s="2542"/>
    </row>
    <row r="21" spans="19:25" s="2525" customFormat="1"/>
    <row r="22" spans="19:25" s="2525" customFormat="1"/>
    <row r="23" spans="19:25" s="2525" customFormat="1"/>
    <row r="24" spans="19:25" s="2525" customFormat="1"/>
    <row r="25" spans="19:25" s="2525" customFormat="1"/>
    <row r="26" spans="19:25" s="2525" customFormat="1">
      <c r="Y26" s="2528"/>
    </row>
    <row r="27" spans="19:25" s="2525" customFormat="1">
      <c r="Y27" s="2528"/>
    </row>
    <row r="28" spans="19:25" s="2525" customFormat="1">
      <c r="Y28" s="2528"/>
    </row>
    <row r="29" spans="19:25" s="2525" customFormat="1">
      <c r="Y29" s="2528"/>
    </row>
    <row r="30" spans="19:25" s="2525" customFormat="1">
      <c r="Y30" s="2528"/>
    </row>
    <row r="31" spans="19:25" s="2525" customFormat="1"/>
    <row r="32" spans="19:25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</sheetData>
  <sheetProtection algorithmName="SHA-512" hashValue="CdKPgcPA86Wttmpajt4Wur7YqTNgnDpG8+/Dv7iZ975JdJxZuGAvCRjskUfImZeVBOoKm9U94LVrGLkvkB4dBQ==" saltValue="ClcuG1GQA2vbGaZDYU0h7Q==" spinCount="100000" sheet="1" objects="1" selectLockedCells="1"/>
  <mergeCells count="2">
    <mergeCell ref="S19:V19"/>
    <mergeCell ref="S20:V2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2AA1A-9843-4472-8668-53883B3BCF3A}">
  <dimension ref="S1:V43"/>
  <sheetViews>
    <sheetView showRowColHeaders="0" zoomScale="91" zoomScaleNormal="91" workbookViewId="0">
      <selection activeCell="S19" sqref="S19:V19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2" s="2525" customFormat="1"/>
    <row r="18" spans="19:22" s="2525" customFormat="1"/>
    <row r="19" spans="19:22" s="2525" customFormat="1">
      <c r="S19" s="2541" t="s">
        <v>1930</v>
      </c>
      <c r="T19" s="2541"/>
      <c r="U19" s="2541"/>
      <c r="V19" s="2541"/>
    </row>
    <row r="20" spans="19:22" s="2525" customFormat="1">
      <c r="S20" s="2544" t="s">
        <v>1955</v>
      </c>
      <c r="T20" s="2544"/>
      <c r="U20" s="2544"/>
      <c r="V20" s="2544"/>
    </row>
    <row r="21" spans="19:22" s="2525" customFormat="1"/>
    <row r="22" spans="19:22" s="2525" customFormat="1"/>
    <row r="23" spans="19:22" s="2525" customFormat="1"/>
    <row r="24" spans="19:22" s="2525" customFormat="1"/>
    <row r="25" spans="19:22" s="2525" customFormat="1"/>
    <row r="26" spans="19:22" s="2525" customFormat="1"/>
    <row r="27" spans="19:22" s="2525" customFormat="1"/>
    <row r="28" spans="19:22" s="2525" customFormat="1"/>
    <row r="29" spans="19:22" s="2525" customFormat="1"/>
    <row r="30" spans="19:22" s="2525" customFormat="1"/>
    <row r="31" spans="19:22" s="2525" customFormat="1"/>
    <row r="32" spans="19:22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</sheetData>
  <sheetProtection algorithmName="SHA-512" hashValue="Ax18bwq4/Biy8xQnyGj2JxDQ4V+8DVPFYua/ebIFmmhh/tKEPA9zTsKT0YxyJt1xEkPHf3zAf7l6e9XvPbiFAg==" saltValue="OSOMJmQfciymrl3YDja0Jw==" spinCount="100000" sheet="1" objects="1" selectLockedCells="1"/>
  <mergeCells count="2">
    <mergeCell ref="S19:V19"/>
    <mergeCell ref="S20:V2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D1A6-8229-4EF8-B164-D22B9366277A}">
  <dimension ref="S1:AL60"/>
  <sheetViews>
    <sheetView showRowColHeaders="0" zoomScale="91" zoomScaleNormal="91" workbookViewId="0">
      <selection activeCell="S31" sqref="S31:V31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2" s="2525" customFormat="1"/>
    <row r="18" spans="19:22" s="2525" customFormat="1"/>
    <row r="19" spans="19:22" s="2525" customFormat="1"/>
    <row r="20" spans="19:22" s="2525" customFormat="1"/>
    <row r="21" spans="19:22" s="2525" customFormat="1"/>
    <row r="22" spans="19:22" s="2525" customFormat="1"/>
    <row r="23" spans="19:22" s="2525" customFormat="1"/>
    <row r="24" spans="19:22" s="2525" customFormat="1"/>
    <row r="25" spans="19:22" s="2525" customFormat="1"/>
    <row r="26" spans="19:22" s="2525" customFormat="1"/>
    <row r="27" spans="19:22" s="2525" customFormat="1"/>
    <row r="28" spans="19:22" s="2525" customFormat="1"/>
    <row r="29" spans="19:22" s="2525" customFormat="1"/>
    <row r="30" spans="19:22" s="2525" customFormat="1"/>
    <row r="31" spans="19:22" s="2525" customFormat="1">
      <c r="S31" s="2545" t="s">
        <v>1930</v>
      </c>
      <c r="T31" s="2545"/>
      <c r="U31" s="2545"/>
      <c r="V31" s="2545"/>
    </row>
    <row r="32" spans="19:22" s="2525" customFormat="1">
      <c r="S32" s="2542" t="s">
        <v>1955</v>
      </c>
      <c r="T32" s="2542"/>
      <c r="U32" s="2542"/>
      <c r="V32" s="2542"/>
    </row>
    <row r="33" spans="19:38" s="2525" customFormat="1"/>
    <row r="34" spans="19:38" s="2525" customFormat="1"/>
    <row r="35" spans="19:38" s="2525" customFormat="1"/>
    <row r="36" spans="19:38" s="2525" customFormat="1"/>
    <row r="37" spans="19:38" s="2525" customFormat="1"/>
    <row r="38" spans="19:38" s="2525" customFormat="1"/>
    <row r="39" spans="19:38" s="2525" customFormat="1"/>
    <row r="40" spans="19:38" s="2525" customFormat="1"/>
    <row r="41" spans="19:38" s="2525" customFormat="1">
      <c r="S41" s="2528"/>
      <c r="T41" s="2528"/>
      <c r="U41" s="2528"/>
      <c r="V41" s="2528"/>
      <c r="W41" s="2528"/>
      <c r="X41" s="2528"/>
      <c r="Y41" s="2528"/>
      <c r="Z41" s="2528"/>
      <c r="AA41" s="2528"/>
      <c r="AB41" s="2528"/>
      <c r="AC41" s="2528"/>
      <c r="AD41" s="2528"/>
      <c r="AE41" s="2528"/>
      <c r="AF41" s="2528"/>
      <c r="AG41" s="2528"/>
      <c r="AH41" s="2528"/>
      <c r="AI41" s="2528"/>
      <c r="AJ41" s="2528"/>
      <c r="AK41" s="2528"/>
      <c r="AL41" s="2528"/>
    </row>
    <row r="42" spans="19:38" s="2525" customFormat="1">
      <c r="S42" s="2528"/>
      <c r="T42" s="2528"/>
      <c r="U42" s="2528"/>
      <c r="V42" s="2528"/>
      <c r="W42" s="2528"/>
      <c r="X42" s="2528"/>
      <c r="Y42" s="2528"/>
      <c r="Z42" s="2528"/>
      <c r="AA42" s="2528"/>
      <c r="AB42" s="2528"/>
      <c r="AC42" s="2528"/>
      <c r="AD42" s="2528"/>
      <c r="AE42" s="2528"/>
      <c r="AF42" s="2528"/>
      <c r="AG42" s="2528"/>
      <c r="AH42" s="2528"/>
      <c r="AI42" s="2528"/>
      <c r="AJ42" s="2528"/>
      <c r="AK42" s="2528"/>
      <c r="AL42" s="2528"/>
    </row>
    <row r="43" spans="19:38" s="2525" customFormat="1">
      <c r="S43" s="2528"/>
      <c r="T43" s="2528"/>
      <c r="U43" s="2528"/>
      <c r="V43" s="2528"/>
      <c r="W43" s="2528"/>
      <c r="X43" s="2528"/>
      <c r="Y43" s="2528"/>
      <c r="Z43" s="2528"/>
      <c r="AA43" s="2528"/>
      <c r="AB43" s="2528"/>
      <c r="AC43" s="2528"/>
      <c r="AD43" s="2528"/>
      <c r="AE43" s="2528"/>
      <c r="AF43" s="2528"/>
      <c r="AG43" s="2528"/>
      <c r="AH43" s="2528"/>
      <c r="AI43" s="2528"/>
      <c r="AJ43" s="2528"/>
      <c r="AK43" s="2528"/>
      <c r="AL43" s="2528"/>
    </row>
    <row r="44" spans="19:38" s="2525" customFormat="1">
      <c r="S44" s="2528"/>
      <c r="T44" s="2528"/>
      <c r="U44" s="2528"/>
      <c r="V44" s="2528"/>
      <c r="W44" s="2528"/>
      <c r="X44" s="2528"/>
      <c r="Y44" s="2528"/>
      <c r="AJ44" s="2528"/>
      <c r="AK44" s="2528"/>
      <c r="AL44" s="2528"/>
    </row>
    <row r="45" spans="19:38" s="2525" customFormat="1">
      <c r="S45" s="2528"/>
      <c r="T45" s="2528"/>
      <c r="U45" s="2528"/>
      <c r="V45" s="2528"/>
      <c r="W45" s="2528"/>
      <c r="X45" s="2528"/>
      <c r="Y45" s="2528"/>
      <c r="AJ45" s="2528"/>
      <c r="AK45" s="2528"/>
      <c r="AL45" s="2528"/>
    </row>
    <row r="46" spans="19:38" s="2525" customFormat="1">
      <c r="S46" s="2528"/>
      <c r="T46" s="2528"/>
      <c r="U46" s="2528"/>
      <c r="V46" s="2528"/>
      <c r="W46" s="2528"/>
      <c r="X46" s="2528"/>
      <c r="Y46" s="2528"/>
      <c r="AJ46" s="2528"/>
      <c r="AK46" s="2528"/>
      <c r="AL46" s="2528"/>
    </row>
    <row r="47" spans="19:38" s="2525" customFormat="1">
      <c r="S47" s="2528"/>
      <c r="T47" s="2528"/>
      <c r="U47" s="2528"/>
      <c r="V47" s="2528"/>
      <c r="W47" s="2528"/>
      <c r="X47" s="2528"/>
      <c r="Y47" s="2528"/>
      <c r="AJ47" s="2528"/>
      <c r="AK47" s="2528"/>
      <c r="AL47" s="2528"/>
    </row>
    <row r="48" spans="19:38" s="2525" customFormat="1">
      <c r="S48" s="2528"/>
      <c r="T48" s="2528"/>
      <c r="U48" s="2528"/>
      <c r="V48" s="2528"/>
      <c r="W48" s="2528"/>
      <c r="X48" s="2528"/>
      <c r="Y48" s="2528"/>
      <c r="AJ48" s="2528"/>
      <c r="AK48" s="2528"/>
      <c r="AL48" s="2528"/>
    </row>
    <row r="49" spans="19:38" s="2525" customFormat="1">
      <c r="S49" s="2528"/>
      <c r="T49" s="2528"/>
      <c r="U49" s="2528"/>
      <c r="V49" s="2528"/>
      <c r="W49" s="2528"/>
      <c r="X49" s="2528"/>
      <c r="Y49" s="2528"/>
      <c r="AJ49" s="2528"/>
      <c r="AK49" s="2528"/>
      <c r="AL49" s="2528"/>
    </row>
    <row r="50" spans="19:38" s="2525" customFormat="1">
      <c r="S50" s="2528"/>
      <c r="T50" s="2528"/>
      <c r="U50" s="2528"/>
      <c r="V50" s="2528"/>
      <c r="W50" s="2528"/>
      <c r="X50" s="2528"/>
      <c r="Y50" s="2528"/>
      <c r="AJ50" s="2528"/>
      <c r="AK50" s="2528"/>
      <c r="AL50" s="2528"/>
    </row>
    <row r="51" spans="19:38" s="2525" customFormat="1">
      <c r="S51" s="2528"/>
      <c r="T51" s="2528"/>
      <c r="U51" s="2528"/>
      <c r="V51" s="2528"/>
      <c r="W51" s="2528"/>
      <c r="X51" s="2528"/>
      <c r="Y51" s="2528"/>
      <c r="AJ51" s="2528"/>
      <c r="AK51" s="2528"/>
      <c r="AL51" s="2528"/>
    </row>
    <row r="52" spans="19:38" s="2525" customFormat="1">
      <c r="S52" s="2528"/>
      <c r="T52" s="2528"/>
      <c r="U52" s="2528"/>
      <c r="V52" s="2528"/>
      <c r="W52" s="2528"/>
      <c r="X52" s="2528"/>
      <c r="Y52" s="2528"/>
      <c r="AJ52" s="2528"/>
      <c r="AK52" s="2528"/>
      <c r="AL52" s="2528"/>
    </row>
    <row r="53" spans="19:38" s="2525" customFormat="1">
      <c r="S53" s="2528"/>
      <c r="T53" s="2528"/>
      <c r="U53" s="2528"/>
      <c r="V53" s="2528"/>
      <c r="W53" s="2528"/>
      <c r="X53" s="2528"/>
      <c r="Y53" s="2528"/>
      <c r="AJ53" s="2528"/>
      <c r="AK53" s="2528"/>
      <c r="AL53" s="2528"/>
    </row>
    <row r="54" spans="19:38" s="2525" customFormat="1">
      <c r="S54" s="2528"/>
      <c r="T54" s="2528"/>
      <c r="U54" s="2528"/>
      <c r="V54" s="2528"/>
      <c r="W54" s="2528"/>
      <c r="X54" s="2528"/>
      <c r="Y54" s="2528"/>
      <c r="AJ54" s="2528"/>
      <c r="AK54" s="2528"/>
      <c r="AL54" s="2528"/>
    </row>
    <row r="55" spans="19:38" s="2525" customFormat="1">
      <c r="S55" s="2528"/>
      <c r="T55" s="2528"/>
      <c r="U55" s="2528"/>
      <c r="V55" s="2528"/>
      <c r="W55" s="2528"/>
      <c r="X55" s="2528"/>
      <c r="Y55" s="2528"/>
      <c r="AJ55" s="2528"/>
      <c r="AK55" s="2528"/>
      <c r="AL55" s="2528"/>
    </row>
    <row r="56" spans="19:38" s="2525" customFormat="1">
      <c r="S56" s="2528"/>
      <c r="T56" s="2528"/>
      <c r="U56" s="2528"/>
      <c r="V56" s="2528"/>
      <c r="W56" s="2528"/>
      <c r="X56" s="2528"/>
      <c r="Y56" s="2528"/>
      <c r="AJ56" s="2528"/>
      <c r="AK56" s="2528"/>
      <c r="AL56" s="2528"/>
    </row>
    <row r="57" spans="19:38" s="2525" customFormat="1">
      <c r="S57" s="2528"/>
      <c r="T57" s="2528"/>
      <c r="U57" s="2528"/>
      <c r="V57" s="2528"/>
      <c r="W57" s="2528"/>
      <c r="X57" s="2528"/>
      <c r="Y57" s="2528"/>
      <c r="AJ57" s="2528"/>
      <c r="AK57" s="2528"/>
      <c r="AL57" s="2528"/>
    </row>
    <row r="58" spans="19:38" s="2525" customFormat="1">
      <c r="S58" s="2528"/>
      <c r="T58" s="2528"/>
      <c r="U58" s="2528"/>
      <c r="V58" s="2528"/>
      <c r="W58" s="2528"/>
      <c r="X58" s="2528"/>
      <c r="Y58" s="2528"/>
      <c r="AJ58" s="2528"/>
      <c r="AK58" s="2528"/>
      <c r="AL58" s="2528"/>
    </row>
    <row r="59" spans="19:38" s="2525" customFormat="1">
      <c r="S59" s="2528"/>
      <c r="T59" s="2528"/>
      <c r="U59" s="2528"/>
      <c r="V59" s="2528"/>
      <c r="W59" s="2528"/>
      <c r="X59" s="2528"/>
      <c r="Y59" s="2528"/>
      <c r="Z59" s="2528"/>
      <c r="AA59" s="2528"/>
      <c r="AB59" s="2528"/>
      <c r="AC59" s="2528"/>
      <c r="AD59" s="2528"/>
      <c r="AE59" s="2528"/>
      <c r="AF59" s="2528"/>
      <c r="AG59" s="2528"/>
      <c r="AH59" s="2528"/>
      <c r="AI59" s="2528"/>
      <c r="AJ59" s="2528"/>
      <c r="AK59" s="2528"/>
      <c r="AL59" s="2528"/>
    </row>
    <row r="60" spans="19:38" s="2525" customFormat="1"/>
  </sheetData>
  <sheetProtection algorithmName="SHA-512" hashValue="PnPQoaagtyxO3jcR+LTb/sImg38mmRx3pYA+X8CU7VvbucjU8DQgkcUSyDMwJFr12NSBFjEvYs4/a0uDaYSV8w==" saltValue="rRF4pMh2rGUu/KnIiQHUmw==" spinCount="100000" sheet="1" objects="1" selectLockedCells="1"/>
  <mergeCells count="2">
    <mergeCell ref="S31:V31"/>
    <mergeCell ref="S32:V3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96703-8549-49ED-8CA2-FB05C703140C}">
  <dimension ref="S1:V57"/>
  <sheetViews>
    <sheetView showRowColHeaders="0" zoomScale="93" zoomScaleNormal="93" workbookViewId="0">
      <selection activeCell="S35" sqref="S35:V35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="2525" customFormat="1"/>
    <row r="18" s="2525" customFormat="1"/>
    <row r="19" s="2525" customFormat="1"/>
    <row r="20" s="2525" customFormat="1"/>
    <row r="21" s="2525" customFormat="1"/>
    <row r="22" s="2525" customFormat="1"/>
    <row r="23" s="2525" customFormat="1"/>
    <row r="24" s="2525" customFormat="1"/>
    <row r="25" s="2525" customFormat="1"/>
    <row r="26" s="2525" customFormat="1"/>
    <row r="27" s="2525" customFormat="1"/>
    <row r="28" s="2525" customFormat="1"/>
    <row r="29" s="2525" customFormat="1"/>
    <row r="30" s="2525" customFormat="1"/>
    <row r="31" s="2525" customFormat="1"/>
    <row r="32" s="2525" customFormat="1"/>
    <row r="33" spans="19:22" s="2525" customFormat="1"/>
    <row r="34" spans="19:22" s="2525" customFormat="1"/>
    <row r="35" spans="19:22" s="2525" customFormat="1">
      <c r="S35" s="2545" t="s">
        <v>1930</v>
      </c>
      <c r="T35" s="2545"/>
      <c r="U35" s="2545"/>
      <c r="V35" s="2545"/>
    </row>
    <row r="36" spans="19:22" s="2525" customFormat="1">
      <c r="S36" s="2542" t="s">
        <v>1955</v>
      </c>
      <c r="T36" s="2542"/>
      <c r="U36" s="2542"/>
      <c r="V36" s="2542"/>
    </row>
    <row r="37" spans="19:22" s="2525" customFormat="1"/>
    <row r="38" spans="19:22" s="2525" customFormat="1"/>
    <row r="39" spans="19:22" s="2525" customFormat="1"/>
    <row r="40" spans="19:22" s="2525" customFormat="1"/>
    <row r="41" spans="19:22" s="2525" customFormat="1"/>
    <row r="42" spans="19:22" s="2525" customFormat="1"/>
    <row r="43" spans="19:22" s="2525" customFormat="1"/>
    <row r="44" spans="19:22" s="2525" customFormat="1"/>
    <row r="45" spans="19:22" s="2525" customFormat="1"/>
    <row r="46" spans="19:22" s="2525" customFormat="1"/>
    <row r="47" spans="19:22" s="2525" customFormat="1"/>
    <row r="48" spans="19:22" s="2525" customFormat="1"/>
    <row r="49" s="2525" customFormat="1"/>
    <row r="50" s="2525" customFormat="1"/>
    <row r="51" s="2525" customFormat="1"/>
    <row r="52" s="2525" customFormat="1"/>
    <row r="53" s="2525" customFormat="1"/>
    <row r="54" s="2525" customFormat="1"/>
    <row r="55" s="2525" customFormat="1"/>
    <row r="56" s="2525" customFormat="1"/>
    <row r="57" s="2525" customFormat="1"/>
  </sheetData>
  <sheetProtection algorithmName="SHA-512" hashValue="FnRsRFiZy3QKnTAQsIREJvqAKG1669cpfGW3O464xLbYpPLAqRCftsvjMshfVFdHmmUU1rcPShPX9FZyMiJWMg==" saltValue="NHoETYV/BizNblXwu+JXCg==" spinCount="100000" sheet="1" objects="1" selectLockedCells="1"/>
  <mergeCells count="2">
    <mergeCell ref="S35:V35"/>
    <mergeCell ref="S36:V3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71BD9-F8D8-433E-BB92-CC7C249BB825}">
  <dimension ref="S1:V57"/>
  <sheetViews>
    <sheetView showRowColHeaders="0" zoomScale="91" zoomScaleNormal="91" workbookViewId="0">
      <selection activeCell="S22" sqref="S22:V22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19:22" s="2525" customFormat="1"/>
    <row r="18" spans="19:22" s="2525" customFormat="1"/>
    <row r="19" spans="19:22" s="2525" customFormat="1"/>
    <row r="20" spans="19:22" s="2525" customFormat="1"/>
    <row r="21" spans="19:22" s="2525" customFormat="1"/>
    <row r="22" spans="19:22" s="2525" customFormat="1">
      <c r="S22" s="2541" t="s">
        <v>1930</v>
      </c>
      <c r="T22" s="2541"/>
      <c r="U22" s="2541"/>
      <c r="V22" s="2541"/>
    </row>
    <row r="23" spans="19:22" s="2525" customFormat="1">
      <c r="S23" s="2544" t="s">
        <v>1955</v>
      </c>
      <c r="T23" s="2544"/>
      <c r="U23" s="2544"/>
      <c r="V23" s="2544"/>
    </row>
    <row r="24" spans="19:22" s="2525" customFormat="1"/>
    <row r="25" spans="19:22" s="2525" customFormat="1"/>
    <row r="26" spans="19:22" s="2525" customFormat="1"/>
    <row r="27" spans="19:22" s="2525" customFormat="1"/>
    <row r="28" spans="19:22" s="2525" customFormat="1"/>
    <row r="29" spans="19:22" s="2525" customFormat="1"/>
    <row r="30" spans="19:22" s="2525" customFormat="1"/>
    <row r="31" spans="19:22" s="2525" customFormat="1"/>
    <row r="32" spans="19:22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  <row r="44" s="2525" customFormat="1"/>
    <row r="45" s="2525" customFormat="1"/>
    <row r="46" s="2525" customFormat="1"/>
    <row r="47" s="2525" customFormat="1"/>
    <row r="48" s="2525" customFormat="1"/>
    <row r="49" s="2525" customFormat="1"/>
    <row r="50" s="2525" customFormat="1"/>
    <row r="51" s="2525" customFormat="1"/>
    <row r="52" s="2525" customFormat="1"/>
    <row r="53" s="2525" customFormat="1"/>
    <row r="54" s="2525" customFormat="1"/>
    <row r="55" s="2525" customFormat="1"/>
    <row r="56" s="2525" customFormat="1"/>
    <row r="57" s="2525" customFormat="1"/>
  </sheetData>
  <sheetProtection algorithmName="SHA-512" hashValue="m+cvopngwrhEEZLrbU22xtHSxLZYSyCUHdpkcYM72qXs3ToohAGlEQl7GIkg0xW3lbRrcofzIlxqJYUVbmcuGA==" saltValue="kcOCWDZHgf3WEByGqu6oFQ==" spinCount="100000" sheet="1" objects="1" selectLockedCells="1"/>
  <mergeCells count="2">
    <mergeCell ref="S22:V22"/>
    <mergeCell ref="S23:V2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9F58-C35F-4F5E-B56F-B0E09E92EAA4}">
  <dimension ref="T1:AF74"/>
  <sheetViews>
    <sheetView showRowColHeaders="0" zoomScale="95" zoomScaleNormal="95" workbookViewId="0">
      <selection activeCell="T34" sqref="T34:W34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23:23" s="2525" customFormat="1"/>
    <row r="18" spans="23:23" s="2525" customFormat="1"/>
    <row r="19" spans="23:23" s="2525" customFormat="1"/>
    <row r="20" spans="23:23" s="2525" customFormat="1"/>
    <row r="21" spans="23:23" s="2525" customFormat="1"/>
    <row r="22" spans="23:23" s="2525" customFormat="1"/>
    <row r="23" spans="23:23" s="2525" customFormat="1"/>
    <row r="24" spans="23:23" s="2525" customFormat="1"/>
    <row r="25" spans="23:23" s="2525" customFormat="1"/>
    <row r="26" spans="23:23" s="2525" customFormat="1"/>
    <row r="27" spans="23:23" s="2525" customFormat="1"/>
    <row r="28" spans="23:23" s="2525" customFormat="1"/>
    <row r="29" spans="23:23" s="2525" customFormat="1">
      <c r="W29" s="2526"/>
    </row>
    <row r="30" spans="23:23" s="2525" customFormat="1">
      <c r="W30" s="2527"/>
    </row>
    <row r="31" spans="23:23" s="2525" customFormat="1"/>
    <row r="32" spans="23:23" s="2525" customFormat="1"/>
    <row r="33" spans="20:32" s="2525" customFormat="1"/>
    <row r="34" spans="20:32" s="2525" customFormat="1">
      <c r="T34" s="2541" t="s">
        <v>1930</v>
      </c>
      <c r="U34" s="2541"/>
      <c r="V34" s="2541"/>
      <c r="W34" s="2541"/>
    </row>
    <row r="35" spans="20:32" s="2525" customFormat="1">
      <c r="T35" s="2544" t="s">
        <v>1955</v>
      </c>
      <c r="U35" s="2544"/>
      <c r="V35" s="2544"/>
      <c r="W35" s="2544"/>
    </row>
    <row r="36" spans="20:32" s="2525" customFormat="1"/>
    <row r="37" spans="20:32" s="2525" customFormat="1"/>
    <row r="38" spans="20:32" s="2525" customFormat="1"/>
    <row r="39" spans="20:32" s="2525" customFormat="1">
      <c r="AF39" s="2528"/>
    </row>
    <row r="40" spans="20:32" s="2525" customFormat="1">
      <c r="AF40" s="2528"/>
    </row>
    <row r="41" spans="20:32" s="2525" customFormat="1">
      <c r="AF41" s="2528"/>
    </row>
    <row r="42" spans="20:32" s="2525" customFormat="1">
      <c r="AF42" s="2528"/>
    </row>
    <row r="43" spans="20:32" s="2525" customFormat="1"/>
    <row r="44" spans="20:32" s="2525" customFormat="1"/>
    <row r="45" spans="20:32" s="2525" customFormat="1"/>
    <row r="46" spans="20:32" s="2525" customFormat="1"/>
    <row r="47" spans="20:32" s="2525" customFormat="1"/>
    <row r="48" spans="20:32" s="2525" customFormat="1"/>
    <row r="49" s="2525" customFormat="1"/>
    <row r="50" s="2525" customFormat="1"/>
    <row r="51" s="2525" customFormat="1"/>
    <row r="52" s="2525" customFormat="1"/>
    <row r="53" s="2525" customFormat="1"/>
    <row r="54" s="2525" customFormat="1"/>
    <row r="55" s="2525" customFormat="1"/>
    <row r="56" s="2525" customFormat="1"/>
    <row r="57" s="2525" customFormat="1"/>
    <row r="58" s="2525" customFormat="1"/>
    <row r="59" s="2525" customFormat="1"/>
    <row r="60" s="2525" customFormat="1"/>
    <row r="61" s="2525" customFormat="1"/>
    <row r="62" s="2525" customFormat="1"/>
    <row r="63" s="2525" customFormat="1"/>
    <row r="64" s="2525" customFormat="1"/>
    <row r="65" s="2525" customFormat="1"/>
    <row r="66" s="2525" customFormat="1"/>
    <row r="67" s="2525" customFormat="1"/>
    <row r="68" s="2525" customFormat="1"/>
    <row r="69" s="2525" customFormat="1"/>
    <row r="70" s="2525" customFormat="1"/>
    <row r="71" s="2525" customFormat="1"/>
    <row r="72" s="2525" customFormat="1"/>
    <row r="73" s="2525" customFormat="1"/>
    <row r="74" s="2525" customFormat="1"/>
  </sheetData>
  <sheetProtection algorithmName="SHA-512" hashValue="3+LpkikRbRaV3NwajHy8NLIby1QqnlZ17krn78z4vUeCN1KVoU2GQ4Ycr/5GZdTa12dF9xkpeMzvqc+ZZQl9bA==" saltValue="/BO7TLrzar8FAdJA9Mil/Q==" spinCount="100000" sheet="1" objects="1" selectLockedCells="1"/>
  <mergeCells count="2">
    <mergeCell ref="T34:W34"/>
    <mergeCell ref="T35:W3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440E-51E9-4605-97DD-40BA63249C5D}">
  <dimension ref="T1:W74"/>
  <sheetViews>
    <sheetView showRowColHeaders="0" zoomScale="95" zoomScaleNormal="95" workbookViewId="0">
      <selection activeCell="Z28" sqref="Z28"/>
    </sheetView>
  </sheetViews>
  <sheetFormatPr defaultRowHeight="15"/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pans="20:23" s="2525" customFormat="1"/>
    <row r="18" spans="20:23" s="2525" customFormat="1"/>
    <row r="19" spans="20:23" s="2525" customFormat="1"/>
    <row r="20" spans="20:23" s="2525" customFormat="1"/>
    <row r="21" spans="20:23" s="2525" customFormat="1"/>
    <row r="22" spans="20:23" s="2525" customFormat="1"/>
    <row r="23" spans="20:23" s="2525" customFormat="1"/>
    <row r="24" spans="20:23" s="2525" customFormat="1"/>
    <row r="25" spans="20:23" s="2525" customFormat="1"/>
    <row r="26" spans="20:23" s="2525" customFormat="1"/>
    <row r="27" spans="20:23" s="2525" customFormat="1">
      <c r="T27" s="2541" t="s">
        <v>1930</v>
      </c>
      <c r="U27" s="2541"/>
      <c r="V27" s="2541"/>
      <c r="W27" s="2541"/>
    </row>
    <row r="28" spans="20:23" s="2525" customFormat="1">
      <c r="T28" s="2542" t="s">
        <v>1955</v>
      </c>
      <c r="U28" s="2542"/>
      <c r="V28" s="2542"/>
      <c r="W28" s="2542"/>
    </row>
    <row r="29" spans="20:23" s="2525" customFormat="1">
      <c r="W29" s="2526"/>
    </row>
    <row r="30" spans="20:23" s="2525" customFormat="1">
      <c r="W30" s="2527"/>
    </row>
    <row r="31" spans="20:23" s="2525" customFormat="1"/>
    <row r="32" spans="20:23" s="2525" customFormat="1"/>
    <row r="33" s="2525" customFormat="1"/>
    <row r="34" s="2525" customFormat="1"/>
    <row r="35" s="2525" customFormat="1"/>
    <row r="36" s="2525" customFormat="1"/>
    <row r="37" s="2525" customFormat="1"/>
    <row r="38" s="2525" customFormat="1"/>
    <row r="39" s="2525" customFormat="1"/>
    <row r="40" s="2525" customFormat="1"/>
    <row r="41" s="2525" customFormat="1"/>
    <row r="42" s="2525" customFormat="1"/>
    <row r="43" s="2525" customFormat="1"/>
    <row r="44" s="2525" customFormat="1"/>
    <row r="45" s="2525" customFormat="1"/>
    <row r="46" s="2525" customFormat="1"/>
    <row r="47" s="2525" customFormat="1"/>
    <row r="48" s="2525" customFormat="1"/>
    <row r="49" s="2525" customFormat="1"/>
    <row r="50" s="2525" customFormat="1"/>
    <row r="51" s="2525" customFormat="1"/>
    <row r="52" s="2525" customFormat="1"/>
    <row r="53" s="2525" customFormat="1"/>
    <row r="54" s="2525" customFormat="1"/>
    <row r="55" s="2525" customFormat="1"/>
    <row r="56" s="2525" customFormat="1"/>
    <row r="57" s="2525" customFormat="1"/>
    <row r="58" s="2525" customFormat="1"/>
    <row r="59" s="2525" customFormat="1"/>
    <row r="60" s="2525" customFormat="1"/>
    <row r="61" s="2525" customFormat="1"/>
    <row r="62" s="2525" customFormat="1"/>
    <row r="63" s="2525" customFormat="1"/>
    <row r="64" s="2525" customFormat="1"/>
    <row r="65" s="2525" customFormat="1"/>
    <row r="66" s="2525" customFormat="1"/>
    <row r="67" s="2525" customFormat="1"/>
    <row r="68" s="2525" customFormat="1"/>
    <row r="69" s="2525" customFormat="1"/>
    <row r="70" s="2525" customFormat="1"/>
    <row r="71" s="2525" customFormat="1"/>
    <row r="72" s="2525" customFormat="1"/>
    <row r="73" s="2525" customFormat="1"/>
    <row r="74" s="2525" customFormat="1"/>
  </sheetData>
  <sheetProtection algorithmName="SHA-512" hashValue="+CDRF+fHnnOn3YtgCUkldyfJdVcAEN6mI0LU13qMl0rKpbQfcRh2gD4od9IbQG8oXqqh11uYzlA9XzLvdUstDg==" saltValue="I+FRv9+/tyc9xS/hlBZwcw==" spinCount="100000" sheet="1" objects="1" selectLockedCells="1"/>
  <mergeCells count="2">
    <mergeCell ref="T27:W27"/>
    <mergeCell ref="T28:W2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220E-7AA8-4A57-B115-3B67BFCD313C}">
  <dimension ref="Z1:AC74"/>
  <sheetViews>
    <sheetView showRowColHeaders="0" zoomScale="87" zoomScaleNormal="87" workbookViewId="0">
      <selection activeCell="Z38" sqref="Z38:AC38"/>
    </sheetView>
  </sheetViews>
  <sheetFormatPr defaultRowHeight="15"/>
  <cols>
    <col min="1" max="1" width="2.5703125" customWidth="1"/>
    <col min="29" max="29" width="9.140625" customWidth="1"/>
  </cols>
  <sheetData>
    <row r="1" s="2525" customFormat="1"/>
    <row r="2" s="2525" customFormat="1"/>
    <row r="3" s="2525" customFormat="1"/>
    <row r="4" s="2525" customFormat="1"/>
    <row r="5" s="2525" customFormat="1"/>
    <row r="6" s="2525" customFormat="1"/>
    <row r="7" s="2525" customFormat="1"/>
    <row r="8" s="2525" customFormat="1"/>
    <row r="9" s="2525" customFormat="1"/>
    <row r="10" s="2525" customFormat="1"/>
    <row r="11" s="2525" customFormat="1"/>
    <row r="12" s="2525" customFormat="1"/>
    <row r="13" s="2525" customFormat="1"/>
    <row r="14" s="2525" customFormat="1"/>
    <row r="15" s="2525" customFormat="1"/>
    <row r="16" s="2525" customFormat="1"/>
    <row r="17" s="2525" customFormat="1"/>
    <row r="18" s="2525" customFormat="1"/>
    <row r="19" s="2525" customFormat="1"/>
    <row r="20" s="2525" customFormat="1"/>
    <row r="21" s="2525" customFormat="1"/>
    <row r="22" s="2525" customFormat="1"/>
    <row r="23" s="2525" customFormat="1"/>
    <row r="24" s="2525" customFormat="1"/>
    <row r="25" s="2525" customFormat="1"/>
    <row r="26" s="2525" customFormat="1"/>
    <row r="27" s="2525" customFormat="1"/>
    <row r="28" s="2525" customFormat="1"/>
    <row r="29" s="2525" customFormat="1"/>
    <row r="30" s="2525" customFormat="1"/>
    <row r="31" s="2525" customFormat="1"/>
    <row r="32" s="2525" customFormat="1"/>
    <row r="33" spans="26:29" s="2525" customFormat="1"/>
    <row r="34" spans="26:29" s="2525" customFormat="1"/>
    <row r="35" spans="26:29" s="2525" customFormat="1"/>
    <row r="36" spans="26:29" s="2525" customFormat="1"/>
    <row r="37" spans="26:29" s="2525" customFormat="1"/>
    <row r="38" spans="26:29" s="2525" customFormat="1">
      <c r="Z38" s="2541" t="s">
        <v>1930</v>
      </c>
      <c r="AA38" s="2541"/>
      <c r="AB38" s="2541"/>
      <c r="AC38" s="2541"/>
    </row>
    <row r="39" spans="26:29" s="2525" customFormat="1">
      <c r="Z39" s="2542" t="s">
        <v>1955</v>
      </c>
      <c r="AA39" s="2542"/>
      <c r="AB39" s="2542"/>
      <c r="AC39" s="2542"/>
    </row>
    <row r="40" spans="26:29" s="2525" customFormat="1">
      <c r="AC40" s="2526"/>
    </row>
    <row r="41" spans="26:29" s="2525" customFormat="1"/>
    <row r="42" spans="26:29" s="2525" customFormat="1"/>
    <row r="43" spans="26:29" s="2525" customFormat="1"/>
    <row r="44" spans="26:29" s="2525" customFormat="1"/>
    <row r="45" spans="26:29" s="2525" customFormat="1"/>
    <row r="46" spans="26:29" s="2525" customFormat="1"/>
    <row r="47" spans="26:29" s="2525" customFormat="1"/>
    <row r="48" spans="26:29" s="2525" customFormat="1"/>
    <row r="49" s="2525" customFormat="1"/>
    <row r="50" s="2525" customFormat="1"/>
    <row r="51" s="2525" customFormat="1"/>
    <row r="52" s="2525" customFormat="1"/>
    <row r="53" s="2525" customFormat="1"/>
    <row r="54" s="2525" customFormat="1"/>
    <row r="55" s="2525" customFormat="1"/>
    <row r="56" s="2525" customFormat="1"/>
    <row r="57" s="2525" customFormat="1"/>
    <row r="58" s="2525" customFormat="1"/>
    <row r="59" s="2525" customFormat="1"/>
    <row r="60" s="2525" customFormat="1"/>
    <row r="61" s="2525" customFormat="1"/>
    <row r="62" s="2525" customFormat="1"/>
    <row r="63" s="2525" customFormat="1"/>
    <row r="64" s="2525" customFormat="1"/>
    <row r="65" s="2525" customFormat="1"/>
    <row r="66" s="2525" customFormat="1"/>
    <row r="67" s="2525" customFormat="1"/>
    <row r="68" s="2525" customFormat="1"/>
    <row r="69" s="2525" customFormat="1"/>
    <row r="70" s="2525" customFormat="1"/>
    <row r="71" s="2525" customFormat="1"/>
    <row r="72" s="2525" customFormat="1"/>
    <row r="73" s="2525" customFormat="1"/>
    <row r="74" s="2525" customFormat="1"/>
  </sheetData>
  <sheetProtection algorithmName="SHA-512" hashValue="30HWsxa21y5VcoeeslUu9qYgjIJ4gERze4wkXZcBJGrEOQgdphs+odMIXpF52sQbkZuCvXcdS9gR9wJZui3zow==" saltValue="kX44HHHa3h+EwgX7auhHAg==" spinCount="100000" sheet="1" objects="1" selectLockedCells="1"/>
  <mergeCells count="2">
    <mergeCell ref="Z38:AC38"/>
    <mergeCell ref="Z39:AC3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D731-74BC-4B49-B383-670AEF1DEC00}">
  <dimension ref="D1:AF73"/>
  <sheetViews>
    <sheetView showRowColHeaders="0" tabSelected="1" topLeftCell="A3" zoomScale="98" zoomScaleNormal="98" workbookViewId="0">
      <selection activeCell="S5" sqref="S5:V5"/>
    </sheetView>
  </sheetViews>
  <sheetFormatPr defaultColWidth="9.140625" defaultRowHeight="15"/>
  <cols>
    <col min="1" max="1" width="38" style="252" customWidth="1"/>
    <col min="2" max="2" width="9.140625" style="252"/>
    <col min="3" max="3" width="5.42578125" style="252" customWidth="1"/>
    <col min="4" max="4" width="12.85546875" style="252" customWidth="1"/>
    <col min="5" max="20" width="9.140625" style="252"/>
    <col min="21" max="21" width="10.140625" style="252" customWidth="1"/>
    <col min="22" max="26" width="9.140625" style="252"/>
    <col min="27" max="27" width="17" style="252" bestFit="1" customWidth="1"/>
    <col min="28" max="16384" width="9.140625" style="252"/>
  </cols>
  <sheetData>
    <row r="1" spans="4:32" ht="15.75" hidden="1" customHeight="1">
      <c r="L1" s="2135"/>
      <c r="M1" s="406" t="s">
        <v>2240</v>
      </c>
      <c r="N1" s="406"/>
      <c r="O1" s="406"/>
      <c r="P1" s="2135"/>
      <c r="Q1" s="2135"/>
      <c r="R1" s="2135"/>
      <c r="S1" s="2135"/>
    </row>
    <row r="2" spans="4:32" ht="13.5" hidden="1" customHeight="1">
      <c r="L2" s="2135"/>
      <c r="M2" s="406" t="s">
        <v>2241</v>
      </c>
      <c r="N2" s="406"/>
      <c r="O2" s="406"/>
      <c r="P2" s="2135"/>
      <c r="Q2" s="2135"/>
      <c r="R2" s="2135"/>
      <c r="S2" s="2135"/>
    </row>
    <row r="3" spans="4:32" s="1736" customFormat="1" ht="15.75" customHeight="1">
      <c r="J3" s="2499" t="s">
        <v>2236</v>
      </c>
      <c r="K3" s="2499"/>
      <c r="L3" s="2499"/>
      <c r="M3" s="2499"/>
      <c r="N3" s="2499"/>
      <c r="O3" s="2499"/>
      <c r="P3" s="2499"/>
      <c r="Q3" s="2530"/>
      <c r="R3" s="2530"/>
    </row>
    <row r="4" spans="4:32" s="1736" customFormat="1" ht="15.75" customHeight="1">
      <c r="E4" s="2546"/>
      <c r="F4" s="2546"/>
      <c r="G4" s="2546"/>
      <c r="H4" s="2546"/>
      <c r="I4" s="2546"/>
      <c r="J4" s="2499" t="s">
        <v>2237</v>
      </c>
      <c r="K4" s="2499"/>
      <c r="L4" s="2499"/>
      <c r="M4" s="2499"/>
      <c r="N4" s="2499"/>
      <c r="O4" s="2499"/>
      <c r="P4" s="2499"/>
      <c r="Q4" s="2531"/>
      <c r="R4" s="2530"/>
    </row>
    <row r="5" spans="4:32" s="1736" customFormat="1" ht="11.45" customHeight="1">
      <c r="E5" s="2496"/>
      <c r="J5" s="2499" t="s">
        <v>2238</v>
      </c>
      <c r="K5" s="2499"/>
      <c r="L5" s="2499"/>
      <c r="M5" s="2499"/>
      <c r="N5" s="2499"/>
      <c r="O5" s="2499"/>
      <c r="P5" s="2500"/>
      <c r="Q5" s="2530"/>
      <c r="R5" s="2530"/>
      <c r="S5" s="2547" t="s">
        <v>1930</v>
      </c>
      <c r="T5" s="2547"/>
      <c r="U5" s="2547"/>
      <c r="V5" s="2547"/>
    </row>
    <row r="6" spans="4:32" s="1736" customFormat="1" ht="20.45" customHeight="1">
      <c r="D6" s="2496" t="s">
        <v>2449</v>
      </c>
      <c r="F6" s="2496"/>
      <c r="G6" s="2496"/>
      <c r="H6" s="2496"/>
      <c r="I6" s="2496"/>
      <c r="J6" s="2499" t="s">
        <v>2239</v>
      </c>
      <c r="K6" s="2499"/>
      <c r="L6" s="2499"/>
      <c r="M6" s="2499"/>
      <c r="N6" s="2499"/>
      <c r="O6" s="2499"/>
      <c r="P6" s="2499"/>
      <c r="Q6" s="2530"/>
      <c r="R6" s="2530"/>
      <c r="S6" s="2548" t="s">
        <v>1955</v>
      </c>
      <c r="T6" s="2548"/>
      <c r="U6" s="2548"/>
      <c r="V6" s="2548"/>
      <c r="AA6" s="2497"/>
    </row>
    <row r="7" spans="4:32" s="1736" customFormat="1" ht="9" customHeight="1">
      <c r="E7" s="2498"/>
      <c r="F7" s="2498"/>
      <c r="G7" s="2498"/>
      <c r="H7" s="2498"/>
      <c r="I7" s="2498"/>
      <c r="J7" s="2499"/>
      <c r="K7" s="2499"/>
      <c r="L7" s="2499"/>
      <c r="M7" s="2499"/>
      <c r="N7" s="2499"/>
      <c r="O7" s="2499"/>
      <c r="P7" s="2499"/>
      <c r="Q7" s="2530"/>
      <c r="R7" s="2530"/>
      <c r="S7" s="2495"/>
      <c r="T7" s="2498"/>
      <c r="U7" s="2498"/>
      <c r="V7" s="2498"/>
      <c r="W7" s="2498"/>
      <c r="X7" s="2498"/>
    </row>
    <row r="8" spans="4:32" s="2524" customFormat="1" ht="9.75" customHeight="1"/>
    <row r="9" spans="4:32" s="2494" customFormat="1" ht="9.75" customHeight="1"/>
    <row r="10" spans="4:32" s="2494" customFormat="1"/>
    <row r="11" spans="4:32" s="2494" customFormat="1"/>
    <row r="12" spans="4:32" s="2494" customFormat="1"/>
    <row r="13" spans="4:32" s="2494" customFormat="1"/>
    <row r="14" spans="4:32" s="2494" customFormat="1">
      <c r="W14" s="2532" t="s">
        <v>2242</v>
      </c>
      <c r="X14" s="2529"/>
      <c r="Y14" s="2529"/>
      <c r="Z14" s="2529"/>
      <c r="AA14" s="2529"/>
      <c r="AB14" s="2529"/>
      <c r="AC14" s="2529"/>
      <c r="AD14" s="2529"/>
      <c r="AE14" s="2529"/>
      <c r="AF14" s="2529"/>
    </row>
    <row r="15" spans="4:32" s="2494" customFormat="1">
      <c r="W15" s="2532" t="s">
        <v>2240</v>
      </c>
      <c r="X15" s="2529"/>
      <c r="Y15" s="2529"/>
      <c r="Z15" s="2529"/>
      <c r="AA15" s="2529"/>
      <c r="AB15" s="2529"/>
      <c r="AC15" s="2529"/>
      <c r="AD15" s="2529"/>
      <c r="AE15" s="2529"/>
      <c r="AF15" s="2529"/>
    </row>
    <row r="16" spans="4:32" s="2494" customFormat="1">
      <c r="W16" s="2532" t="s">
        <v>2243</v>
      </c>
      <c r="X16" s="2529"/>
      <c r="Y16" s="2529"/>
      <c r="Z16" s="2529"/>
      <c r="AA16" s="2529"/>
      <c r="AB16" s="2529"/>
      <c r="AC16" s="2529"/>
      <c r="AD16" s="2529"/>
      <c r="AE16" s="2529"/>
      <c r="AF16" s="2529"/>
    </row>
    <row r="17" spans="23:32" s="2494" customFormat="1">
      <c r="W17" s="2532" t="s">
        <v>2302</v>
      </c>
      <c r="X17" s="2529"/>
      <c r="Y17" s="2529"/>
      <c r="Z17" s="2529"/>
      <c r="AA17" s="2529"/>
      <c r="AB17" s="2529"/>
      <c r="AC17" s="2529"/>
      <c r="AD17" s="2529"/>
      <c r="AE17" s="2529"/>
      <c r="AF17" s="2529"/>
    </row>
    <row r="18" spans="23:32" s="2494" customFormat="1">
      <c r="W18" s="2532" t="s">
        <v>2254</v>
      </c>
      <c r="X18" s="2529"/>
      <c r="Y18" s="2529"/>
      <c r="Z18" s="2529"/>
      <c r="AA18" s="2529"/>
      <c r="AB18" s="2529"/>
      <c r="AC18" s="2529"/>
      <c r="AD18" s="2529"/>
      <c r="AE18" s="2529"/>
      <c r="AF18" s="2529"/>
    </row>
    <row r="19" spans="23:32" s="2494" customFormat="1">
      <c r="W19" s="2532" t="s">
        <v>2244</v>
      </c>
      <c r="X19" s="2529"/>
      <c r="Y19" s="2529"/>
      <c r="Z19" s="2529"/>
      <c r="AA19" s="2529"/>
      <c r="AB19" s="2529"/>
      <c r="AC19" s="2529"/>
      <c r="AD19" s="2529"/>
      <c r="AE19" s="2529"/>
      <c r="AF19" s="2529"/>
    </row>
    <row r="20" spans="23:32" s="2494" customFormat="1">
      <c r="W20" s="2532" t="s">
        <v>2245</v>
      </c>
      <c r="X20" s="2529"/>
      <c r="Y20" s="2529"/>
      <c r="Z20" s="2529"/>
      <c r="AA20" s="2529"/>
      <c r="AB20" s="2529"/>
      <c r="AC20" s="2529"/>
      <c r="AD20" s="2529"/>
      <c r="AE20" s="2529"/>
      <c r="AF20" s="2529"/>
    </row>
    <row r="21" spans="23:32" s="2494" customFormat="1">
      <c r="W21" s="2532" t="s">
        <v>2246</v>
      </c>
      <c r="X21" s="2529"/>
      <c r="Y21" s="2529"/>
      <c r="Z21" s="2529"/>
      <c r="AA21" s="2529"/>
      <c r="AB21" s="2529"/>
      <c r="AC21" s="2529"/>
      <c r="AD21" s="2529"/>
      <c r="AE21" s="2529"/>
      <c r="AF21" s="2529"/>
    </row>
    <row r="22" spans="23:32" s="2494" customFormat="1">
      <c r="W22" s="2532" t="s">
        <v>2247</v>
      </c>
      <c r="X22" s="2529"/>
      <c r="Y22" s="2529"/>
      <c r="Z22" s="2529"/>
      <c r="AA22" s="2529"/>
      <c r="AB22" s="2529"/>
      <c r="AC22" s="2529"/>
      <c r="AD22" s="2529"/>
      <c r="AE22" s="2529"/>
      <c r="AF22" s="2529"/>
    </row>
    <row r="23" spans="23:32" s="2494" customFormat="1">
      <c r="W23" s="2532" t="s">
        <v>2248</v>
      </c>
      <c r="X23" s="2529"/>
      <c r="Y23" s="2529"/>
      <c r="Z23" s="2529"/>
      <c r="AA23" s="2529"/>
      <c r="AB23" s="2529"/>
      <c r="AC23" s="2529"/>
      <c r="AD23" s="2529"/>
      <c r="AE23" s="2529"/>
      <c r="AF23" s="2529"/>
    </row>
    <row r="24" spans="23:32" s="2494" customFormat="1">
      <c r="W24" s="2532" t="s">
        <v>2249</v>
      </c>
      <c r="X24" s="2529"/>
      <c r="Y24" s="2529"/>
      <c r="Z24" s="2529"/>
      <c r="AA24" s="2529"/>
      <c r="AB24" s="2529"/>
      <c r="AC24" s="2529"/>
      <c r="AD24" s="2529"/>
      <c r="AE24" s="2529"/>
      <c r="AF24" s="2529"/>
    </row>
    <row r="25" spans="23:32" s="2494" customFormat="1">
      <c r="W25" s="2532" t="s">
        <v>2251</v>
      </c>
      <c r="X25" s="2529"/>
      <c r="Y25" s="2529"/>
      <c r="Z25" s="2529"/>
      <c r="AA25" s="2529"/>
      <c r="AB25" s="2529"/>
      <c r="AC25" s="2529"/>
      <c r="AD25" s="2529"/>
      <c r="AE25" s="2529"/>
      <c r="AF25" s="2529"/>
    </row>
    <row r="26" spans="23:32" s="2494" customFormat="1">
      <c r="W26" s="2532" t="s">
        <v>2250</v>
      </c>
      <c r="X26" s="2529"/>
      <c r="Y26" s="2529"/>
      <c r="Z26" s="2529"/>
      <c r="AA26" s="2529"/>
      <c r="AB26" s="2529"/>
      <c r="AC26" s="2529"/>
      <c r="AD26" s="2529"/>
      <c r="AE26" s="2529"/>
      <c r="AF26" s="2529"/>
    </row>
    <row r="27" spans="23:32" s="2494" customFormat="1">
      <c r="W27" s="2532" t="s">
        <v>2252</v>
      </c>
      <c r="X27" s="2529"/>
      <c r="Y27" s="2529"/>
      <c r="Z27" s="2529"/>
      <c r="AA27" s="2529"/>
      <c r="AB27" s="2529"/>
      <c r="AC27" s="2529"/>
      <c r="AD27" s="2529"/>
      <c r="AE27" s="2529"/>
      <c r="AF27" s="2529"/>
    </row>
    <row r="28" spans="23:32" s="2494" customFormat="1">
      <c r="W28" s="2532" t="s">
        <v>2253</v>
      </c>
      <c r="X28" s="2529"/>
      <c r="Y28" s="2529"/>
      <c r="Z28" s="2529"/>
      <c r="AA28" s="2529"/>
      <c r="AB28" s="2529"/>
      <c r="AC28" s="2529"/>
      <c r="AD28" s="2529"/>
      <c r="AE28" s="2529"/>
      <c r="AF28" s="2529"/>
    </row>
    <row r="29" spans="23:32" s="2494" customFormat="1"/>
    <row r="30" spans="23:32" s="2494" customFormat="1"/>
    <row r="31" spans="23:32" s="2494" customFormat="1">
      <c r="W31" s="2529"/>
    </row>
    <row r="32" spans="23:32" s="2494" customFormat="1"/>
    <row r="33" s="2494" customFormat="1"/>
    <row r="34" s="2494" customFormat="1"/>
    <row r="35" s="2494" customFormat="1"/>
    <row r="36" s="2494" customFormat="1"/>
    <row r="37" s="2494" customFormat="1"/>
    <row r="38" s="2494" customFormat="1"/>
    <row r="39" s="2494" customFormat="1"/>
    <row r="40" s="2494" customFormat="1"/>
    <row r="41" s="2494" customFormat="1"/>
    <row r="42" s="2494" customFormat="1"/>
    <row r="43" s="2494" customFormat="1"/>
    <row r="44" s="2494" customFormat="1"/>
    <row r="45" s="2494" customFormat="1"/>
    <row r="46" s="2494" customFormat="1"/>
    <row r="47" s="2494" customFormat="1"/>
    <row r="48" s="2494" customFormat="1"/>
    <row r="49" s="2494" customFormat="1"/>
    <row r="50" s="2494" customFormat="1"/>
    <row r="51" s="2494" customFormat="1"/>
    <row r="52" s="2494" customFormat="1"/>
    <row r="53" s="2494" customFormat="1"/>
    <row r="54" s="2494" customFormat="1"/>
    <row r="55" s="2494" customFormat="1"/>
    <row r="56" s="2494" customFormat="1"/>
    <row r="57" s="2494" customFormat="1"/>
    <row r="58" s="2494" customFormat="1"/>
    <row r="59" s="2494" customFormat="1"/>
    <row r="60" s="2494" customFormat="1"/>
    <row r="61" s="2494" customFormat="1"/>
    <row r="62" s="2494" customFormat="1"/>
    <row r="63" s="2494" customFormat="1"/>
    <row r="64" s="1955" customFormat="1"/>
    <row r="65" s="1955" customFormat="1"/>
    <row r="66" s="1955" customFormat="1"/>
    <row r="67" s="1955" customFormat="1"/>
    <row r="68" s="1955" customFormat="1"/>
    <row r="69" s="1955" customFormat="1"/>
    <row r="70" s="1955" customFormat="1"/>
    <row r="71" s="1955" customFormat="1"/>
    <row r="72" s="1955" customFormat="1"/>
    <row r="73" s="1955" customFormat="1"/>
  </sheetData>
  <sheetProtection algorithmName="SHA-512" hashValue="cOwYsWEn0eMNWkIydzoNIxnQFP+ByNQM+9P7tqTkSJJDxggUJEG/JUcxlsuqM8JSVYRtopzWc4Sxfuc+y8cLqA==" saltValue="S3BxZNpyfiS4EGgpY51eFQ==" spinCount="100000" sheet="1" objects="1" selectLockedCells="1"/>
  <mergeCells count="3">
    <mergeCell ref="E4:I4"/>
    <mergeCell ref="S5:V5"/>
    <mergeCell ref="S6:V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1EC33-D2B8-4DD7-962A-0D6D2B46920A}">
  <dimension ref="B2:J21"/>
  <sheetViews>
    <sheetView showRowColHeaders="0" workbookViewId="0">
      <selection activeCell="C6" sqref="C6"/>
    </sheetView>
  </sheetViews>
  <sheetFormatPr defaultColWidth="9.140625" defaultRowHeight="15"/>
  <cols>
    <col min="1" max="1" width="13.85546875" style="2463" customWidth="1"/>
    <col min="2" max="2" width="22.28515625" style="2463" bestFit="1" customWidth="1"/>
    <col min="3" max="3" width="6.5703125" style="2463" customWidth="1"/>
    <col min="4" max="4" width="6.42578125" style="2463" hidden="1" customWidth="1"/>
    <col min="5" max="5" width="8.5703125" style="2463" customWidth="1"/>
    <col min="6" max="16384" width="9.140625" style="2463"/>
  </cols>
  <sheetData>
    <row r="2" spans="2:10" ht="63.75">
      <c r="B2" s="2475" t="s">
        <v>2431</v>
      </c>
      <c r="C2" s="2476"/>
      <c r="D2" s="2476"/>
      <c r="E2" s="2476"/>
      <c r="F2" s="2476"/>
      <c r="G2" s="2476"/>
      <c r="H2" s="2476"/>
      <c r="I2" s="2476"/>
      <c r="J2" s="2477"/>
    </row>
    <row r="5" spans="2:10" ht="15.75">
      <c r="B5" s="2491" t="s">
        <v>2414</v>
      </c>
      <c r="C5" s="2469"/>
      <c r="D5" s="2469" t="s">
        <v>439</v>
      </c>
      <c r="E5" s="2469"/>
    </row>
    <row r="6" spans="2:10">
      <c r="B6" s="2465" t="s">
        <v>1203</v>
      </c>
      <c r="C6" s="2478">
        <v>5</v>
      </c>
      <c r="D6" s="2467" t="s">
        <v>163</v>
      </c>
      <c r="E6" s="2468" t="s">
        <v>156</v>
      </c>
    </row>
    <row r="7" spans="2:10">
      <c r="B7" s="2465" t="s">
        <v>1202</v>
      </c>
      <c r="C7" s="2478">
        <v>3</v>
      </c>
      <c r="D7" s="2466" t="s">
        <v>163</v>
      </c>
      <c r="E7" s="2468" t="s">
        <v>156</v>
      </c>
    </row>
    <row r="8" spans="2:10">
      <c r="B8" s="2465" t="s">
        <v>823</v>
      </c>
      <c r="C8" s="2478">
        <v>3</v>
      </c>
      <c r="D8" s="2466" t="s">
        <v>163</v>
      </c>
      <c r="E8" s="2468" t="s">
        <v>156</v>
      </c>
    </row>
    <row r="9" spans="2:10">
      <c r="B9" s="2465" t="s">
        <v>2415</v>
      </c>
      <c r="C9" s="2478">
        <v>25</v>
      </c>
      <c r="D9" s="2466" t="s">
        <v>19</v>
      </c>
      <c r="E9" s="2470" t="s">
        <v>19</v>
      </c>
    </row>
    <row r="10" spans="2:10">
      <c r="B10" s="2463" t="s">
        <v>2416</v>
      </c>
      <c r="C10" s="2464">
        <f>216.7*(6.112*EXP(17.62*C9/(243.12+C9)))/(C9+273.15)</f>
        <v>22.967779097870931</v>
      </c>
      <c r="D10" s="2463" t="s">
        <v>2417</v>
      </c>
      <c r="E10" s="2463" t="s">
        <v>2417</v>
      </c>
    </row>
    <row r="11" spans="2:10">
      <c r="B11" s="2465" t="s">
        <v>2418</v>
      </c>
      <c r="C11" s="2479">
        <v>50</v>
      </c>
      <c r="D11" s="2466">
        <f>C11/100</f>
        <v>0.5</v>
      </c>
      <c r="E11" s="2468" t="s">
        <v>21</v>
      </c>
    </row>
    <row r="12" spans="2:10">
      <c r="B12" s="2465" t="s">
        <v>2419</v>
      </c>
      <c r="C12" s="2478">
        <v>45</v>
      </c>
      <c r="D12" s="2466">
        <f>C12/100</f>
        <v>0.45</v>
      </c>
      <c r="E12" s="2468" t="s">
        <v>21</v>
      </c>
    </row>
    <row r="13" spans="2:10">
      <c r="B13" s="2465" t="s">
        <v>2420</v>
      </c>
      <c r="C13" s="2478">
        <v>1</v>
      </c>
      <c r="D13" s="2466" t="s">
        <v>2421</v>
      </c>
      <c r="E13" s="2470" t="s">
        <v>2421</v>
      </c>
    </row>
    <row r="14" spans="2:10">
      <c r="B14" s="2463" t="s">
        <v>832</v>
      </c>
      <c r="C14" s="2463">
        <f>C6*C7*C8</f>
        <v>45</v>
      </c>
      <c r="D14" s="2463" t="s">
        <v>2422</v>
      </c>
      <c r="E14" s="2463" t="s">
        <v>2422</v>
      </c>
    </row>
    <row r="15" spans="2:10">
      <c r="B15" s="2463" t="s">
        <v>2423</v>
      </c>
      <c r="C15" s="2463">
        <f>C10*C9</f>
        <v>574.19447744677325</v>
      </c>
      <c r="D15" s="2463" t="s">
        <v>2417</v>
      </c>
      <c r="E15" s="2463" t="s">
        <v>2417</v>
      </c>
    </row>
    <row r="16" spans="2:10">
      <c r="B16" s="2463" t="s">
        <v>2424</v>
      </c>
      <c r="C16" s="2463">
        <f>C14*C15</f>
        <v>25838.751485104796</v>
      </c>
      <c r="D16" s="2463" t="s">
        <v>2425</v>
      </c>
      <c r="E16" s="2463" t="s">
        <v>2425</v>
      </c>
    </row>
    <row r="17" spans="2:10">
      <c r="B17" s="2463" t="s">
        <v>2426</v>
      </c>
      <c r="C17" s="2463">
        <f>D11*C9</f>
        <v>12.5</v>
      </c>
      <c r="D17" s="2463" t="s">
        <v>2417</v>
      </c>
      <c r="E17" s="2463" t="s">
        <v>2417</v>
      </c>
    </row>
    <row r="18" spans="2:10">
      <c r="B18" s="2463" t="s">
        <v>2427</v>
      </c>
      <c r="C18" s="2463">
        <f>C14*C17</f>
        <v>562.5</v>
      </c>
      <c r="D18" s="2463" t="s">
        <v>2425</v>
      </c>
      <c r="E18" s="2463" t="s">
        <v>2425</v>
      </c>
    </row>
    <row r="19" spans="2:10">
      <c r="B19" s="2463" t="s">
        <v>2428</v>
      </c>
      <c r="C19" s="2463">
        <f>C16-C18</f>
        <v>25276.251485104796</v>
      </c>
      <c r="D19" s="2463" t="s">
        <v>2425</v>
      </c>
      <c r="E19" s="2463" t="s">
        <v>2425</v>
      </c>
      <c r="F19" s="2549" t="s">
        <v>2432</v>
      </c>
      <c r="G19" s="2549"/>
      <c r="H19" s="2549"/>
      <c r="I19" s="2549"/>
      <c r="J19" s="2549"/>
    </row>
    <row r="20" spans="2:10" ht="15.75" thickBot="1">
      <c r="B20" s="2463" t="s">
        <v>2429</v>
      </c>
      <c r="C20" s="2463">
        <f>C19/1000</f>
        <v>25.276251485104797</v>
      </c>
      <c r="D20" s="2463" t="s">
        <v>185</v>
      </c>
      <c r="E20" s="2463" t="s">
        <v>185</v>
      </c>
      <c r="F20" s="2550" t="s">
        <v>2410</v>
      </c>
      <c r="G20" s="2550"/>
      <c r="H20" s="2550"/>
      <c r="I20" s="2550"/>
      <c r="J20" s="2550"/>
    </row>
    <row r="21" spans="2:10" ht="15.75" thickBot="1">
      <c r="B21" s="2471" t="s">
        <v>2430</v>
      </c>
      <c r="C21" s="2472">
        <f>C20/D12</f>
        <v>56.169447744677328</v>
      </c>
      <c r="D21" s="2473" t="s">
        <v>109</v>
      </c>
      <c r="E21" s="2474" t="s">
        <v>109</v>
      </c>
      <c r="H21" s="2549">
        <v>2026</v>
      </c>
      <c r="I21" s="2549"/>
      <c r="J21" s="2549"/>
    </row>
  </sheetData>
  <sheetProtection algorithmName="SHA-512" hashValue="vALOa8uV30Ot9p/VmbRR37rvslBMZov7PajndgUFj1QBxGvo7NiHmX5tuWaLJvCxdWgBAA8TyKZfoT0E8plN6g==" saltValue="neiFXXfOMHE+7nf7owIG2Q==" spinCount="100000" sheet="1" objects="1" selectLockedCells="1"/>
  <mergeCells count="3">
    <mergeCell ref="F19:J19"/>
    <mergeCell ref="F20:J20"/>
    <mergeCell ref="H21:J2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3705E-584F-4478-8A8B-AC2664A32BC1}">
  <dimension ref="C5:O24"/>
  <sheetViews>
    <sheetView showRowColHeaders="0" workbookViewId="0">
      <selection activeCell="D14" sqref="D14"/>
    </sheetView>
  </sheetViews>
  <sheetFormatPr defaultColWidth="9.140625" defaultRowHeight="15"/>
  <cols>
    <col min="1" max="2" width="9.140625" style="2480"/>
    <col min="3" max="3" width="24" style="2480" bestFit="1" customWidth="1"/>
    <col min="4" max="4" width="9.140625" style="2480"/>
    <col min="5" max="5" width="10.140625" style="2480" customWidth="1"/>
    <col min="6" max="6" width="3.7109375" style="2480" customWidth="1"/>
    <col min="7" max="16384" width="9.140625" style="2480"/>
  </cols>
  <sheetData>
    <row r="5" spans="3:11" ht="63.75">
      <c r="D5" s="2484" t="s">
        <v>2448</v>
      </c>
      <c r="E5" s="2485"/>
      <c r="F5" s="2485"/>
      <c r="G5" s="2485"/>
      <c r="H5" s="2485"/>
    </row>
    <row r="13" spans="3:11" ht="15.75">
      <c r="C13" s="2490" t="s">
        <v>2414</v>
      </c>
    </row>
    <row r="14" spans="3:11" ht="15.75">
      <c r="C14" s="2465" t="s">
        <v>2434</v>
      </c>
      <c r="D14" s="2478">
        <v>800</v>
      </c>
      <c r="E14" s="2466" t="s">
        <v>3</v>
      </c>
      <c r="F14" s="2470"/>
      <c r="K14" s="2481" t="s">
        <v>2435</v>
      </c>
    </row>
    <row r="15" spans="3:11">
      <c r="C15" s="2465" t="s">
        <v>2436</v>
      </c>
      <c r="D15" s="2478">
        <v>30</v>
      </c>
      <c r="E15" s="2466" t="s">
        <v>5</v>
      </c>
      <c r="F15" s="2470"/>
      <c r="K15" s="2482" t="s">
        <v>2437</v>
      </c>
    </row>
    <row r="16" spans="3:11">
      <c r="C16" s="2465" t="s">
        <v>2438</v>
      </c>
      <c r="D16" s="2478">
        <v>0.9</v>
      </c>
      <c r="E16" s="2466" t="s">
        <v>2439</v>
      </c>
      <c r="F16" s="2470"/>
      <c r="K16" s="2482" t="s">
        <v>2440</v>
      </c>
    </row>
    <row r="17" spans="3:15">
      <c r="C17" s="2465" t="s">
        <v>2441</v>
      </c>
      <c r="D17" s="2478">
        <v>1.2</v>
      </c>
      <c r="E17" s="2466" t="s">
        <v>2442</v>
      </c>
      <c r="F17" s="2470"/>
      <c r="K17" s="2482" t="s">
        <v>2443</v>
      </c>
    </row>
    <row r="18" spans="3:15">
      <c r="C18" s="2480" t="s">
        <v>2444</v>
      </c>
      <c r="D18" s="2480">
        <f>D14*D15*D16</f>
        <v>21600</v>
      </c>
      <c r="E18" s="2480" t="s">
        <v>755</v>
      </c>
    </row>
    <row r="19" spans="3:15">
      <c r="C19" s="2480" t="s">
        <v>2445</v>
      </c>
      <c r="D19" s="2480">
        <f>D18/1000</f>
        <v>21.6</v>
      </c>
      <c r="E19" s="2480" t="s">
        <v>2422</v>
      </c>
      <c r="K19" s="2483" t="s">
        <v>2446</v>
      </c>
    </row>
    <row r="20" spans="3:15" ht="15.75">
      <c r="C20" s="2489" t="s">
        <v>2447</v>
      </c>
      <c r="D20" s="2486">
        <f>D19*D17</f>
        <v>25.92</v>
      </c>
      <c r="E20" s="2487" t="s">
        <v>2422</v>
      </c>
      <c r="F20" s="2488"/>
    </row>
    <row r="22" spans="3:15">
      <c r="K22" s="2551" t="s">
        <v>2432</v>
      </c>
      <c r="L22" s="2551"/>
      <c r="M22" s="2551"/>
      <c r="N22" s="2551"/>
      <c r="O22" s="2551"/>
    </row>
    <row r="23" spans="3:15">
      <c r="K23" s="2552" t="s">
        <v>2410</v>
      </c>
      <c r="L23" s="2552"/>
      <c r="M23" s="2552"/>
      <c r="N23" s="2552"/>
      <c r="O23" s="2552"/>
    </row>
    <row r="24" spans="3:15">
      <c r="K24" s="265"/>
      <c r="L24" s="265"/>
      <c r="M24" s="2551">
        <v>2026</v>
      </c>
      <c r="N24" s="2551"/>
      <c r="O24" s="2551"/>
    </row>
  </sheetData>
  <sheetProtection algorithmName="SHA-512" hashValue="+7RucbnaPJ9bHWQ3D01thhIiNV7vAVavULF3A+/o7kkDqRoFyJGAqiOvUZ/o0KSp7Q+zE86EAe4EOV8j3J2wAA==" saltValue="4S5FqoOn0tTW2NRyDMoK9A==" spinCount="100000" sheet="1" objects="1" selectLockedCells="1"/>
  <mergeCells count="3">
    <mergeCell ref="K22:O22"/>
    <mergeCell ref="K23:O23"/>
    <mergeCell ref="M24:O2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6A783-F58C-4F8D-9B1D-AA85DC2EFC95}">
  <dimension ref="A1:BX198"/>
  <sheetViews>
    <sheetView showRowColHeaders="0" zoomScale="69" zoomScaleNormal="69" workbookViewId="0">
      <pane ySplit="6" topLeftCell="A73" activePane="bottomLeft" state="frozen"/>
      <selection pane="bottomLeft" activeCell="N3" sqref="N3"/>
    </sheetView>
  </sheetViews>
  <sheetFormatPr defaultRowHeight="15"/>
  <cols>
    <col min="1" max="2" width="8.85546875" style="243"/>
    <col min="3" max="3" width="57.5703125" style="243" customWidth="1"/>
    <col min="4" max="4" width="9.28515625" style="2082" customWidth="1"/>
    <col min="5" max="5" width="11.7109375" style="2082" customWidth="1"/>
    <col min="6" max="7" width="13.140625" style="2082" customWidth="1"/>
    <col min="8" max="10" width="12.28515625" style="2082" customWidth="1"/>
    <col min="11" max="11" width="16.28515625" style="2082" customWidth="1"/>
    <col min="12" max="12" width="12.140625" style="2082" customWidth="1"/>
    <col min="13" max="13" width="19.7109375" style="243" customWidth="1"/>
    <col min="14" max="14" width="22.28515625" style="243" bestFit="1" customWidth="1"/>
    <col min="15" max="251" width="9.140625" style="243"/>
    <col min="252" max="252" width="16.28515625" style="243" customWidth="1"/>
    <col min="253" max="253" width="57.5703125" style="243" customWidth="1"/>
    <col min="254" max="254" width="16.5703125" style="243" customWidth="1"/>
    <col min="255" max="255" width="9.28515625" style="243" customWidth="1"/>
    <col min="256" max="256" width="11.7109375" style="243" customWidth="1"/>
    <col min="257" max="258" width="13.140625" style="243" customWidth="1"/>
    <col min="259" max="262" width="12.28515625" style="243" customWidth="1"/>
    <col min="263" max="264" width="13.140625" style="243" customWidth="1"/>
    <col min="265" max="267" width="14.7109375" style="243" customWidth="1"/>
    <col min="268" max="268" width="12.140625" style="243" customWidth="1"/>
    <col min="269" max="269" width="19.7109375" style="243" customWidth="1"/>
    <col min="270" max="507" width="9.140625" style="243"/>
    <col min="508" max="508" width="16.28515625" style="243" customWidth="1"/>
    <col min="509" max="509" width="57.5703125" style="243" customWidth="1"/>
    <col min="510" max="510" width="16.5703125" style="243" customWidth="1"/>
    <col min="511" max="511" width="9.28515625" style="243" customWidth="1"/>
    <col min="512" max="512" width="11.7109375" style="243" customWidth="1"/>
    <col min="513" max="514" width="13.140625" style="243" customWidth="1"/>
    <col min="515" max="518" width="12.28515625" style="243" customWidth="1"/>
    <col min="519" max="520" width="13.140625" style="243" customWidth="1"/>
    <col min="521" max="523" width="14.7109375" style="243" customWidth="1"/>
    <col min="524" max="524" width="12.140625" style="243" customWidth="1"/>
    <col min="525" max="525" width="19.7109375" style="243" customWidth="1"/>
    <col min="526" max="763" width="9.140625" style="243"/>
    <col min="764" max="764" width="16.28515625" style="243" customWidth="1"/>
    <col min="765" max="765" width="57.5703125" style="243" customWidth="1"/>
    <col min="766" max="766" width="16.5703125" style="243" customWidth="1"/>
    <col min="767" max="767" width="9.28515625" style="243" customWidth="1"/>
    <col min="768" max="768" width="11.7109375" style="243" customWidth="1"/>
    <col min="769" max="770" width="13.140625" style="243" customWidth="1"/>
    <col min="771" max="774" width="12.28515625" style="243" customWidth="1"/>
    <col min="775" max="776" width="13.140625" style="243" customWidth="1"/>
    <col min="777" max="779" width="14.7109375" style="243" customWidth="1"/>
    <col min="780" max="780" width="12.140625" style="243" customWidth="1"/>
    <col min="781" max="781" width="19.7109375" style="243" customWidth="1"/>
    <col min="782" max="1019" width="9.140625" style="243"/>
    <col min="1020" max="1020" width="16.28515625" style="243" customWidth="1"/>
    <col min="1021" max="1021" width="57.5703125" style="243" customWidth="1"/>
    <col min="1022" max="1022" width="16.5703125" style="243" customWidth="1"/>
    <col min="1023" max="1023" width="9.28515625" style="243" customWidth="1"/>
    <col min="1024" max="1024" width="11.7109375" style="243" customWidth="1"/>
    <col min="1025" max="1026" width="13.140625" style="243" customWidth="1"/>
    <col min="1027" max="1030" width="12.28515625" style="243" customWidth="1"/>
    <col min="1031" max="1032" width="13.140625" style="243" customWidth="1"/>
    <col min="1033" max="1035" width="14.7109375" style="243" customWidth="1"/>
    <col min="1036" max="1036" width="12.140625" style="243" customWidth="1"/>
    <col min="1037" max="1037" width="19.7109375" style="243" customWidth="1"/>
    <col min="1038" max="1275" width="9.140625" style="243"/>
    <col min="1276" max="1276" width="16.28515625" style="243" customWidth="1"/>
    <col min="1277" max="1277" width="57.5703125" style="243" customWidth="1"/>
    <col min="1278" max="1278" width="16.5703125" style="243" customWidth="1"/>
    <col min="1279" max="1279" width="9.28515625" style="243" customWidth="1"/>
    <col min="1280" max="1280" width="11.7109375" style="243" customWidth="1"/>
    <col min="1281" max="1282" width="13.140625" style="243" customWidth="1"/>
    <col min="1283" max="1286" width="12.28515625" style="243" customWidth="1"/>
    <col min="1287" max="1288" width="13.140625" style="243" customWidth="1"/>
    <col min="1289" max="1291" width="14.7109375" style="243" customWidth="1"/>
    <col min="1292" max="1292" width="12.140625" style="243" customWidth="1"/>
    <col min="1293" max="1293" width="19.7109375" style="243" customWidth="1"/>
    <col min="1294" max="1531" width="9.140625" style="243"/>
    <col min="1532" max="1532" width="16.28515625" style="243" customWidth="1"/>
    <col min="1533" max="1533" width="57.5703125" style="243" customWidth="1"/>
    <col min="1534" max="1534" width="16.5703125" style="243" customWidth="1"/>
    <col min="1535" max="1535" width="9.28515625" style="243" customWidth="1"/>
    <col min="1536" max="1536" width="11.7109375" style="243" customWidth="1"/>
    <col min="1537" max="1538" width="13.140625" style="243" customWidth="1"/>
    <col min="1539" max="1542" width="12.28515625" style="243" customWidth="1"/>
    <col min="1543" max="1544" width="13.140625" style="243" customWidth="1"/>
    <col min="1545" max="1547" width="14.7109375" style="243" customWidth="1"/>
    <col min="1548" max="1548" width="12.140625" style="243" customWidth="1"/>
    <col min="1549" max="1549" width="19.7109375" style="243" customWidth="1"/>
    <col min="1550" max="1787" width="9.140625" style="243"/>
    <col min="1788" max="1788" width="16.28515625" style="243" customWidth="1"/>
    <col min="1789" max="1789" width="57.5703125" style="243" customWidth="1"/>
    <col min="1790" max="1790" width="16.5703125" style="243" customWidth="1"/>
    <col min="1791" max="1791" width="9.28515625" style="243" customWidth="1"/>
    <col min="1792" max="1792" width="11.7109375" style="243" customWidth="1"/>
    <col min="1793" max="1794" width="13.140625" style="243" customWidth="1"/>
    <col min="1795" max="1798" width="12.28515625" style="243" customWidth="1"/>
    <col min="1799" max="1800" width="13.140625" style="243" customWidth="1"/>
    <col min="1801" max="1803" width="14.7109375" style="243" customWidth="1"/>
    <col min="1804" max="1804" width="12.140625" style="243" customWidth="1"/>
    <col min="1805" max="1805" width="19.7109375" style="243" customWidth="1"/>
    <col min="1806" max="2043" width="9.140625" style="243"/>
    <col min="2044" max="2044" width="16.28515625" style="243" customWidth="1"/>
    <col min="2045" max="2045" width="57.5703125" style="243" customWidth="1"/>
    <col min="2046" max="2046" width="16.5703125" style="243" customWidth="1"/>
    <col min="2047" max="2047" width="9.28515625" style="243" customWidth="1"/>
    <col min="2048" max="2048" width="11.7109375" style="243" customWidth="1"/>
    <col min="2049" max="2050" width="13.140625" style="243" customWidth="1"/>
    <col min="2051" max="2054" width="12.28515625" style="243" customWidth="1"/>
    <col min="2055" max="2056" width="13.140625" style="243" customWidth="1"/>
    <col min="2057" max="2059" width="14.7109375" style="243" customWidth="1"/>
    <col min="2060" max="2060" width="12.140625" style="243" customWidth="1"/>
    <col min="2061" max="2061" width="19.7109375" style="243" customWidth="1"/>
    <col min="2062" max="2299" width="9.140625" style="243"/>
    <col min="2300" max="2300" width="16.28515625" style="243" customWidth="1"/>
    <col min="2301" max="2301" width="57.5703125" style="243" customWidth="1"/>
    <col min="2302" max="2302" width="16.5703125" style="243" customWidth="1"/>
    <col min="2303" max="2303" width="9.28515625" style="243" customWidth="1"/>
    <col min="2304" max="2304" width="11.7109375" style="243" customWidth="1"/>
    <col min="2305" max="2306" width="13.140625" style="243" customWidth="1"/>
    <col min="2307" max="2310" width="12.28515625" style="243" customWidth="1"/>
    <col min="2311" max="2312" width="13.140625" style="243" customWidth="1"/>
    <col min="2313" max="2315" width="14.7109375" style="243" customWidth="1"/>
    <col min="2316" max="2316" width="12.140625" style="243" customWidth="1"/>
    <col min="2317" max="2317" width="19.7109375" style="243" customWidth="1"/>
    <col min="2318" max="2555" width="9.140625" style="243"/>
    <col min="2556" max="2556" width="16.28515625" style="243" customWidth="1"/>
    <col min="2557" max="2557" width="57.5703125" style="243" customWidth="1"/>
    <col min="2558" max="2558" width="16.5703125" style="243" customWidth="1"/>
    <col min="2559" max="2559" width="9.28515625" style="243" customWidth="1"/>
    <col min="2560" max="2560" width="11.7109375" style="243" customWidth="1"/>
    <col min="2561" max="2562" width="13.140625" style="243" customWidth="1"/>
    <col min="2563" max="2566" width="12.28515625" style="243" customWidth="1"/>
    <col min="2567" max="2568" width="13.140625" style="243" customWidth="1"/>
    <col min="2569" max="2571" width="14.7109375" style="243" customWidth="1"/>
    <col min="2572" max="2572" width="12.140625" style="243" customWidth="1"/>
    <col min="2573" max="2573" width="19.7109375" style="243" customWidth="1"/>
    <col min="2574" max="2811" width="9.140625" style="243"/>
    <col min="2812" max="2812" width="16.28515625" style="243" customWidth="1"/>
    <col min="2813" max="2813" width="57.5703125" style="243" customWidth="1"/>
    <col min="2814" max="2814" width="16.5703125" style="243" customWidth="1"/>
    <col min="2815" max="2815" width="9.28515625" style="243" customWidth="1"/>
    <col min="2816" max="2816" width="11.7109375" style="243" customWidth="1"/>
    <col min="2817" max="2818" width="13.140625" style="243" customWidth="1"/>
    <col min="2819" max="2822" width="12.28515625" style="243" customWidth="1"/>
    <col min="2823" max="2824" width="13.140625" style="243" customWidth="1"/>
    <col min="2825" max="2827" width="14.7109375" style="243" customWidth="1"/>
    <col min="2828" max="2828" width="12.140625" style="243" customWidth="1"/>
    <col min="2829" max="2829" width="19.7109375" style="243" customWidth="1"/>
    <col min="2830" max="3067" width="9.140625" style="243"/>
    <col min="3068" max="3068" width="16.28515625" style="243" customWidth="1"/>
    <col min="3069" max="3069" width="57.5703125" style="243" customWidth="1"/>
    <col min="3070" max="3070" width="16.5703125" style="243" customWidth="1"/>
    <col min="3071" max="3071" width="9.28515625" style="243" customWidth="1"/>
    <col min="3072" max="3072" width="11.7109375" style="243" customWidth="1"/>
    <col min="3073" max="3074" width="13.140625" style="243" customWidth="1"/>
    <col min="3075" max="3078" width="12.28515625" style="243" customWidth="1"/>
    <col min="3079" max="3080" width="13.140625" style="243" customWidth="1"/>
    <col min="3081" max="3083" width="14.7109375" style="243" customWidth="1"/>
    <col min="3084" max="3084" width="12.140625" style="243" customWidth="1"/>
    <col min="3085" max="3085" width="19.7109375" style="243" customWidth="1"/>
    <col min="3086" max="3323" width="9.140625" style="243"/>
    <col min="3324" max="3324" width="16.28515625" style="243" customWidth="1"/>
    <col min="3325" max="3325" width="57.5703125" style="243" customWidth="1"/>
    <col min="3326" max="3326" width="16.5703125" style="243" customWidth="1"/>
    <col min="3327" max="3327" width="9.28515625" style="243" customWidth="1"/>
    <col min="3328" max="3328" width="11.7109375" style="243" customWidth="1"/>
    <col min="3329" max="3330" width="13.140625" style="243" customWidth="1"/>
    <col min="3331" max="3334" width="12.28515625" style="243" customWidth="1"/>
    <col min="3335" max="3336" width="13.140625" style="243" customWidth="1"/>
    <col min="3337" max="3339" width="14.7109375" style="243" customWidth="1"/>
    <col min="3340" max="3340" width="12.140625" style="243" customWidth="1"/>
    <col min="3341" max="3341" width="19.7109375" style="243" customWidth="1"/>
    <col min="3342" max="3579" width="9.140625" style="243"/>
    <col min="3580" max="3580" width="16.28515625" style="243" customWidth="1"/>
    <col min="3581" max="3581" width="57.5703125" style="243" customWidth="1"/>
    <col min="3582" max="3582" width="16.5703125" style="243" customWidth="1"/>
    <col min="3583" max="3583" width="9.28515625" style="243" customWidth="1"/>
    <col min="3584" max="3584" width="11.7109375" style="243" customWidth="1"/>
    <col min="3585" max="3586" width="13.140625" style="243" customWidth="1"/>
    <col min="3587" max="3590" width="12.28515625" style="243" customWidth="1"/>
    <col min="3591" max="3592" width="13.140625" style="243" customWidth="1"/>
    <col min="3593" max="3595" width="14.7109375" style="243" customWidth="1"/>
    <col min="3596" max="3596" width="12.140625" style="243" customWidth="1"/>
    <col min="3597" max="3597" width="19.7109375" style="243" customWidth="1"/>
    <col min="3598" max="3835" width="9.140625" style="243"/>
    <col min="3836" max="3836" width="16.28515625" style="243" customWidth="1"/>
    <col min="3837" max="3837" width="57.5703125" style="243" customWidth="1"/>
    <col min="3838" max="3838" width="16.5703125" style="243" customWidth="1"/>
    <col min="3839" max="3839" width="9.28515625" style="243" customWidth="1"/>
    <col min="3840" max="3840" width="11.7109375" style="243" customWidth="1"/>
    <col min="3841" max="3842" width="13.140625" style="243" customWidth="1"/>
    <col min="3843" max="3846" width="12.28515625" style="243" customWidth="1"/>
    <col min="3847" max="3848" width="13.140625" style="243" customWidth="1"/>
    <col min="3849" max="3851" width="14.7109375" style="243" customWidth="1"/>
    <col min="3852" max="3852" width="12.140625" style="243" customWidth="1"/>
    <col min="3853" max="3853" width="19.7109375" style="243" customWidth="1"/>
    <col min="3854" max="4091" width="9.140625" style="243"/>
    <col min="4092" max="4092" width="16.28515625" style="243" customWidth="1"/>
    <col min="4093" max="4093" width="57.5703125" style="243" customWidth="1"/>
    <col min="4094" max="4094" width="16.5703125" style="243" customWidth="1"/>
    <col min="4095" max="4095" width="9.28515625" style="243" customWidth="1"/>
    <col min="4096" max="4096" width="11.7109375" style="243" customWidth="1"/>
    <col min="4097" max="4098" width="13.140625" style="243" customWidth="1"/>
    <col min="4099" max="4102" width="12.28515625" style="243" customWidth="1"/>
    <col min="4103" max="4104" width="13.140625" style="243" customWidth="1"/>
    <col min="4105" max="4107" width="14.7109375" style="243" customWidth="1"/>
    <col min="4108" max="4108" width="12.140625" style="243" customWidth="1"/>
    <col min="4109" max="4109" width="19.7109375" style="243" customWidth="1"/>
    <col min="4110" max="4347" width="9.140625" style="243"/>
    <col min="4348" max="4348" width="16.28515625" style="243" customWidth="1"/>
    <col min="4349" max="4349" width="57.5703125" style="243" customWidth="1"/>
    <col min="4350" max="4350" width="16.5703125" style="243" customWidth="1"/>
    <col min="4351" max="4351" width="9.28515625" style="243" customWidth="1"/>
    <col min="4352" max="4352" width="11.7109375" style="243" customWidth="1"/>
    <col min="4353" max="4354" width="13.140625" style="243" customWidth="1"/>
    <col min="4355" max="4358" width="12.28515625" style="243" customWidth="1"/>
    <col min="4359" max="4360" width="13.140625" style="243" customWidth="1"/>
    <col min="4361" max="4363" width="14.7109375" style="243" customWidth="1"/>
    <col min="4364" max="4364" width="12.140625" style="243" customWidth="1"/>
    <col min="4365" max="4365" width="19.7109375" style="243" customWidth="1"/>
    <col min="4366" max="4603" width="9.140625" style="243"/>
    <col min="4604" max="4604" width="16.28515625" style="243" customWidth="1"/>
    <col min="4605" max="4605" width="57.5703125" style="243" customWidth="1"/>
    <col min="4606" max="4606" width="16.5703125" style="243" customWidth="1"/>
    <col min="4607" max="4607" width="9.28515625" style="243" customWidth="1"/>
    <col min="4608" max="4608" width="11.7109375" style="243" customWidth="1"/>
    <col min="4609" max="4610" width="13.140625" style="243" customWidth="1"/>
    <col min="4611" max="4614" width="12.28515625" style="243" customWidth="1"/>
    <col min="4615" max="4616" width="13.140625" style="243" customWidth="1"/>
    <col min="4617" max="4619" width="14.7109375" style="243" customWidth="1"/>
    <col min="4620" max="4620" width="12.140625" style="243" customWidth="1"/>
    <col min="4621" max="4621" width="19.7109375" style="243" customWidth="1"/>
    <col min="4622" max="4859" width="9.140625" style="243"/>
    <col min="4860" max="4860" width="16.28515625" style="243" customWidth="1"/>
    <col min="4861" max="4861" width="57.5703125" style="243" customWidth="1"/>
    <col min="4862" max="4862" width="16.5703125" style="243" customWidth="1"/>
    <col min="4863" max="4863" width="9.28515625" style="243" customWidth="1"/>
    <col min="4864" max="4864" width="11.7109375" style="243" customWidth="1"/>
    <col min="4865" max="4866" width="13.140625" style="243" customWidth="1"/>
    <col min="4867" max="4870" width="12.28515625" style="243" customWidth="1"/>
    <col min="4871" max="4872" width="13.140625" style="243" customWidth="1"/>
    <col min="4873" max="4875" width="14.7109375" style="243" customWidth="1"/>
    <col min="4876" max="4876" width="12.140625" style="243" customWidth="1"/>
    <col min="4877" max="4877" width="19.7109375" style="243" customWidth="1"/>
    <col min="4878" max="5115" width="9.140625" style="243"/>
    <col min="5116" max="5116" width="16.28515625" style="243" customWidth="1"/>
    <col min="5117" max="5117" width="57.5703125" style="243" customWidth="1"/>
    <col min="5118" max="5118" width="16.5703125" style="243" customWidth="1"/>
    <col min="5119" max="5119" width="9.28515625" style="243" customWidth="1"/>
    <col min="5120" max="5120" width="11.7109375" style="243" customWidth="1"/>
    <col min="5121" max="5122" width="13.140625" style="243" customWidth="1"/>
    <col min="5123" max="5126" width="12.28515625" style="243" customWidth="1"/>
    <col min="5127" max="5128" width="13.140625" style="243" customWidth="1"/>
    <col min="5129" max="5131" width="14.7109375" style="243" customWidth="1"/>
    <col min="5132" max="5132" width="12.140625" style="243" customWidth="1"/>
    <col min="5133" max="5133" width="19.7109375" style="243" customWidth="1"/>
    <col min="5134" max="5371" width="9.140625" style="243"/>
    <col min="5372" max="5372" width="16.28515625" style="243" customWidth="1"/>
    <col min="5373" max="5373" width="57.5703125" style="243" customWidth="1"/>
    <col min="5374" max="5374" width="16.5703125" style="243" customWidth="1"/>
    <col min="5375" max="5375" width="9.28515625" style="243" customWidth="1"/>
    <col min="5376" max="5376" width="11.7109375" style="243" customWidth="1"/>
    <col min="5377" max="5378" width="13.140625" style="243" customWidth="1"/>
    <col min="5379" max="5382" width="12.28515625" style="243" customWidth="1"/>
    <col min="5383" max="5384" width="13.140625" style="243" customWidth="1"/>
    <col min="5385" max="5387" width="14.7109375" style="243" customWidth="1"/>
    <col min="5388" max="5388" width="12.140625" style="243" customWidth="1"/>
    <col min="5389" max="5389" width="19.7109375" style="243" customWidth="1"/>
    <col min="5390" max="5627" width="9.140625" style="243"/>
    <col min="5628" max="5628" width="16.28515625" style="243" customWidth="1"/>
    <col min="5629" max="5629" width="57.5703125" style="243" customWidth="1"/>
    <col min="5630" max="5630" width="16.5703125" style="243" customWidth="1"/>
    <col min="5631" max="5631" width="9.28515625" style="243" customWidth="1"/>
    <col min="5632" max="5632" width="11.7109375" style="243" customWidth="1"/>
    <col min="5633" max="5634" width="13.140625" style="243" customWidth="1"/>
    <col min="5635" max="5638" width="12.28515625" style="243" customWidth="1"/>
    <col min="5639" max="5640" width="13.140625" style="243" customWidth="1"/>
    <col min="5641" max="5643" width="14.7109375" style="243" customWidth="1"/>
    <col min="5644" max="5644" width="12.140625" style="243" customWidth="1"/>
    <col min="5645" max="5645" width="19.7109375" style="243" customWidth="1"/>
    <col min="5646" max="5883" width="9.140625" style="243"/>
    <col min="5884" max="5884" width="16.28515625" style="243" customWidth="1"/>
    <col min="5885" max="5885" width="57.5703125" style="243" customWidth="1"/>
    <col min="5886" max="5886" width="16.5703125" style="243" customWidth="1"/>
    <col min="5887" max="5887" width="9.28515625" style="243" customWidth="1"/>
    <col min="5888" max="5888" width="11.7109375" style="243" customWidth="1"/>
    <col min="5889" max="5890" width="13.140625" style="243" customWidth="1"/>
    <col min="5891" max="5894" width="12.28515625" style="243" customWidth="1"/>
    <col min="5895" max="5896" width="13.140625" style="243" customWidth="1"/>
    <col min="5897" max="5899" width="14.7109375" style="243" customWidth="1"/>
    <col min="5900" max="5900" width="12.140625" style="243" customWidth="1"/>
    <col min="5901" max="5901" width="19.7109375" style="243" customWidth="1"/>
    <col min="5902" max="6139" width="9.140625" style="243"/>
    <col min="6140" max="6140" width="16.28515625" style="243" customWidth="1"/>
    <col min="6141" max="6141" width="57.5703125" style="243" customWidth="1"/>
    <col min="6142" max="6142" width="16.5703125" style="243" customWidth="1"/>
    <col min="6143" max="6143" width="9.28515625" style="243" customWidth="1"/>
    <col min="6144" max="6144" width="11.7109375" style="243" customWidth="1"/>
    <col min="6145" max="6146" width="13.140625" style="243" customWidth="1"/>
    <col min="6147" max="6150" width="12.28515625" style="243" customWidth="1"/>
    <col min="6151" max="6152" width="13.140625" style="243" customWidth="1"/>
    <col min="6153" max="6155" width="14.7109375" style="243" customWidth="1"/>
    <col min="6156" max="6156" width="12.140625" style="243" customWidth="1"/>
    <col min="6157" max="6157" width="19.7109375" style="243" customWidth="1"/>
    <col min="6158" max="6395" width="9.140625" style="243"/>
    <col min="6396" max="6396" width="16.28515625" style="243" customWidth="1"/>
    <col min="6397" max="6397" width="57.5703125" style="243" customWidth="1"/>
    <col min="6398" max="6398" width="16.5703125" style="243" customWidth="1"/>
    <col min="6399" max="6399" width="9.28515625" style="243" customWidth="1"/>
    <col min="6400" max="6400" width="11.7109375" style="243" customWidth="1"/>
    <col min="6401" max="6402" width="13.140625" style="243" customWidth="1"/>
    <col min="6403" max="6406" width="12.28515625" style="243" customWidth="1"/>
    <col min="6407" max="6408" width="13.140625" style="243" customWidth="1"/>
    <col min="6409" max="6411" width="14.7109375" style="243" customWidth="1"/>
    <col min="6412" max="6412" width="12.140625" style="243" customWidth="1"/>
    <col min="6413" max="6413" width="19.7109375" style="243" customWidth="1"/>
    <col min="6414" max="6651" width="9.140625" style="243"/>
    <col min="6652" max="6652" width="16.28515625" style="243" customWidth="1"/>
    <col min="6653" max="6653" width="57.5703125" style="243" customWidth="1"/>
    <col min="6654" max="6654" width="16.5703125" style="243" customWidth="1"/>
    <col min="6655" max="6655" width="9.28515625" style="243" customWidth="1"/>
    <col min="6656" max="6656" width="11.7109375" style="243" customWidth="1"/>
    <col min="6657" max="6658" width="13.140625" style="243" customWidth="1"/>
    <col min="6659" max="6662" width="12.28515625" style="243" customWidth="1"/>
    <col min="6663" max="6664" width="13.140625" style="243" customWidth="1"/>
    <col min="6665" max="6667" width="14.7109375" style="243" customWidth="1"/>
    <col min="6668" max="6668" width="12.140625" style="243" customWidth="1"/>
    <col min="6669" max="6669" width="19.7109375" style="243" customWidth="1"/>
    <col min="6670" max="6907" width="9.140625" style="243"/>
    <col min="6908" max="6908" width="16.28515625" style="243" customWidth="1"/>
    <col min="6909" max="6909" width="57.5703125" style="243" customWidth="1"/>
    <col min="6910" max="6910" width="16.5703125" style="243" customWidth="1"/>
    <col min="6911" max="6911" width="9.28515625" style="243" customWidth="1"/>
    <col min="6912" max="6912" width="11.7109375" style="243" customWidth="1"/>
    <col min="6913" max="6914" width="13.140625" style="243" customWidth="1"/>
    <col min="6915" max="6918" width="12.28515625" style="243" customWidth="1"/>
    <col min="6919" max="6920" width="13.140625" style="243" customWidth="1"/>
    <col min="6921" max="6923" width="14.7109375" style="243" customWidth="1"/>
    <col min="6924" max="6924" width="12.140625" style="243" customWidth="1"/>
    <col min="6925" max="6925" width="19.7109375" style="243" customWidth="1"/>
    <col min="6926" max="7163" width="9.140625" style="243"/>
    <col min="7164" max="7164" width="16.28515625" style="243" customWidth="1"/>
    <col min="7165" max="7165" width="57.5703125" style="243" customWidth="1"/>
    <col min="7166" max="7166" width="16.5703125" style="243" customWidth="1"/>
    <col min="7167" max="7167" width="9.28515625" style="243" customWidth="1"/>
    <col min="7168" max="7168" width="11.7109375" style="243" customWidth="1"/>
    <col min="7169" max="7170" width="13.140625" style="243" customWidth="1"/>
    <col min="7171" max="7174" width="12.28515625" style="243" customWidth="1"/>
    <col min="7175" max="7176" width="13.140625" style="243" customWidth="1"/>
    <col min="7177" max="7179" width="14.7109375" style="243" customWidth="1"/>
    <col min="7180" max="7180" width="12.140625" style="243" customWidth="1"/>
    <col min="7181" max="7181" width="19.7109375" style="243" customWidth="1"/>
    <col min="7182" max="7419" width="9.140625" style="243"/>
    <col min="7420" max="7420" width="16.28515625" style="243" customWidth="1"/>
    <col min="7421" max="7421" width="57.5703125" style="243" customWidth="1"/>
    <col min="7422" max="7422" width="16.5703125" style="243" customWidth="1"/>
    <col min="7423" max="7423" width="9.28515625" style="243" customWidth="1"/>
    <col min="7424" max="7424" width="11.7109375" style="243" customWidth="1"/>
    <col min="7425" max="7426" width="13.140625" style="243" customWidth="1"/>
    <col min="7427" max="7430" width="12.28515625" style="243" customWidth="1"/>
    <col min="7431" max="7432" width="13.140625" style="243" customWidth="1"/>
    <col min="7433" max="7435" width="14.7109375" style="243" customWidth="1"/>
    <col min="7436" max="7436" width="12.140625" style="243" customWidth="1"/>
    <col min="7437" max="7437" width="19.7109375" style="243" customWidth="1"/>
    <col min="7438" max="7675" width="9.140625" style="243"/>
    <col min="7676" max="7676" width="16.28515625" style="243" customWidth="1"/>
    <col min="7677" max="7677" width="57.5703125" style="243" customWidth="1"/>
    <col min="7678" max="7678" width="16.5703125" style="243" customWidth="1"/>
    <col min="7679" max="7679" width="9.28515625" style="243" customWidth="1"/>
    <col min="7680" max="7680" width="11.7109375" style="243" customWidth="1"/>
    <col min="7681" max="7682" width="13.140625" style="243" customWidth="1"/>
    <col min="7683" max="7686" width="12.28515625" style="243" customWidth="1"/>
    <col min="7687" max="7688" width="13.140625" style="243" customWidth="1"/>
    <col min="7689" max="7691" width="14.7109375" style="243" customWidth="1"/>
    <col min="7692" max="7692" width="12.140625" style="243" customWidth="1"/>
    <col min="7693" max="7693" width="19.7109375" style="243" customWidth="1"/>
    <col min="7694" max="7931" width="9.140625" style="243"/>
    <col min="7932" max="7932" width="16.28515625" style="243" customWidth="1"/>
    <col min="7933" max="7933" width="57.5703125" style="243" customWidth="1"/>
    <col min="7934" max="7934" width="16.5703125" style="243" customWidth="1"/>
    <col min="7935" max="7935" width="9.28515625" style="243" customWidth="1"/>
    <col min="7936" max="7936" width="11.7109375" style="243" customWidth="1"/>
    <col min="7937" max="7938" width="13.140625" style="243" customWidth="1"/>
    <col min="7939" max="7942" width="12.28515625" style="243" customWidth="1"/>
    <col min="7943" max="7944" width="13.140625" style="243" customWidth="1"/>
    <col min="7945" max="7947" width="14.7109375" style="243" customWidth="1"/>
    <col min="7948" max="7948" width="12.140625" style="243" customWidth="1"/>
    <col min="7949" max="7949" width="19.7109375" style="243" customWidth="1"/>
    <col min="7950" max="8187" width="9.140625" style="243"/>
    <col min="8188" max="8188" width="16.28515625" style="243" customWidth="1"/>
    <col min="8189" max="8189" width="57.5703125" style="243" customWidth="1"/>
    <col min="8190" max="8190" width="16.5703125" style="243" customWidth="1"/>
    <col min="8191" max="8191" width="9.28515625" style="243" customWidth="1"/>
    <col min="8192" max="8192" width="11.7109375" style="243" customWidth="1"/>
    <col min="8193" max="8194" width="13.140625" style="243" customWidth="1"/>
    <col min="8195" max="8198" width="12.28515625" style="243" customWidth="1"/>
    <col min="8199" max="8200" width="13.140625" style="243" customWidth="1"/>
    <col min="8201" max="8203" width="14.7109375" style="243" customWidth="1"/>
    <col min="8204" max="8204" width="12.140625" style="243" customWidth="1"/>
    <col min="8205" max="8205" width="19.7109375" style="243" customWidth="1"/>
    <col min="8206" max="8443" width="9.140625" style="243"/>
    <col min="8444" max="8444" width="16.28515625" style="243" customWidth="1"/>
    <col min="8445" max="8445" width="57.5703125" style="243" customWidth="1"/>
    <col min="8446" max="8446" width="16.5703125" style="243" customWidth="1"/>
    <col min="8447" max="8447" width="9.28515625" style="243" customWidth="1"/>
    <col min="8448" max="8448" width="11.7109375" style="243" customWidth="1"/>
    <col min="8449" max="8450" width="13.140625" style="243" customWidth="1"/>
    <col min="8451" max="8454" width="12.28515625" style="243" customWidth="1"/>
    <col min="8455" max="8456" width="13.140625" style="243" customWidth="1"/>
    <col min="8457" max="8459" width="14.7109375" style="243" customWidth="1"/>
    <col min="8460" max="8460" width="12.140625" style="243" customWidth="1"/>
    <col min="8461" max="8461" width="19.7109375" style="243" customWidth="1"/>
    <col min="8462" max="8699" width="9.140625" style="243"/>
    <col min="8700" max="8700" width="16.28515625" style="243" customWidth="1"/>
    <col min="8701" max="8701" width="57.5703125" style="243" customWidth="1"/>
    <col min="8702" max="8702" width="16.5703125" style="243" customWidth="1"/>
    <col min="8703" max="8703" width="9.28515625" style="243" customWidth="1"/>
    <col min="8704" max="8704" width="11.7109375" style="243" customWidth="1"/>
    <col min="8705" max="8706" width="13.140625" style="243" customWidth="1"/>
    <col min="8707" max="8710" width="12.28515625" style="243" customWidth="1"/>
    <col min="8711" max="8712" width="13.140625" style="243" customWidth="1"/>
    <col min="8713" max="8715" width="14.7109375" style="243" customWidth="1"/>
    <col min="8716" max="8716" width="12.140625" style="243" customWidth="1"/>
    <col min="8717" max="8717" width="19.7109375" style="243" customWidth="1"/>
    <col min="8718" max="8955" width="9.140625" style="243"/>
    <col min="8956" max="8956" width="16.28515625" style="243" customWidth="1"/>
    <col min="8957" max="8957" width="57.5703125" style="243" customWidth="1"/>
    <col min="8958" max="8958" width="16.5703125" style="243" customWidth="1"/>
    <col min="8959" max="8959" width="9.28515625" style="243" customWidth="1"/>
    <col min="8960" max="8960" width="11.7109375" style="243" customWidth="1"/>
    <col min="8961" max="8962" width="13.140625" style="243" customWidth="1"/>
    <col min="8963" max="8966" width="12.28515625" style="243" customWidth="1"/>
    <col min="8967" max="8968" width="13.140625" style="243" customWidth="1"/>
    <col min="8969" max="8971" width="14.7109375" style="243" customWidth="1"/>
    <col min="8972" max="8972" width="12.140625" style="243" customWidth="1"/>
    <col min="8973" max="8973" width="19.7109375" style="243" customWidth="1"/>
    <col min="8974" max="9211" width="9.140625" style="243"/>
    <col min="9212" max="9212" width="16.28515625" style="243" customWidth="1"/>
    <col min="9213" max="9213" width="57.5703125" style="243" customWidth="1"/>
    <col min="9214" max="9214" width="16.5703125" style="243" customWidth="1"/>
    <col min="9215" max="9215" width="9.28515625" style="243" customWidth="1"/>
    <col min="9216" max="9216" width="11.7109375" style="243" customWidth="1"/>
    <col min="9217" max="9218" width="13.140625" style="243" customWidth="1"/>
    <col min="9219" max="9222" width="12.28515625" style="243" customWidth="1"/>
    <col min="9223" max="9224" width="13.140625" style="243" customWidth="1"/>
    <col min="9225" max="9227" width="14.7109375" style="243" customWidth="1"/>
    <col min="9228" max="9228" width="12.140625" style="243" customWidth="1"/>
    <col min="9229" max="9229" width="19.7109375" style="243" customWidth="1"/>
    <col min="9230" max="9467" width="9.140625" style="243"/>
    <col min="9468" max="9468" width="16.28515625" style="243" customWidth="1"/>
    <col min="9469" max="9469" width="57.5703125" style="243" customWidth="1"/>
    <col min="9470" max="9470" width="16.5703125" style="243" customWidth="1"/>
    <col min="9471" max="9471" width="9.28515625" style="243" customWidth="1"/>
    <col min="9472" max="9472" width="11.7109375" style="243" customWidth="1"/>
    <col min="9473" max="9474" width="13.140625" style="243" customWidth="1"/>
    <col min="9475" max="9478" width="12.28515625" style="243" customWidth="1"/>
    <col min="9479" max="9480" width="13.140625" style="243" customWidth="1"/>
    <col min="9481" max="9483" width="14.7109375" style="243" customWidth="1"/>
    <col min="9484" max="9484" width="12.140625" style="243" customWidth="1"/>
    <col min="9485" max="9485" width="19.7109375" style="243" customWidth="1"/>
    <col min="9486" max="9723" width="9.140625" style="243"/>
    <col min="9724" max="9724" width="16.28515625" style="243" customWidth="1"/>
    <col min="9725" max="9725" width="57.5703125" style="243" customWidth="1"/>
    <col min="9726" max="9726" width="16.5703125" style="243" customWidth="1"/>
    <col min="9727" max="9727" width="9.28515625" style="243" customWidth="1"/>
    <col min="9728" max="9728" width="11.7109375" style="243" customWidth="1"/>
    <col min="9729" max="9730" width="13.140625" style="243" customWidth="1"/>
    <col min="9731" max="9734" width="12.28515625" style="243" customWidth="1"/>
    <col min="9735" max="9736" width="13.140625" style="243" customWidth="1"/>
    <col min="9737" max="9739" width="14.7109375" style="243" customWidth="1"/>
    <col min="9740" max="9740" width="12.140625" style="243" customWidth="1"/>
    <col min="9741" max="9741" width="19.7109375" style="243" customWidth="1"/>
    <col min="9742" max="9979" width="9.140625" style="243"/>
    <col min="9980" max="9980" width="16.28515625" style="243" customWidth="1"/>
    <col min="9981" max="9981" width="57.5703125" style="243" customWidth="1"/>
    <col min="9982" max="9982" width="16.5703125" style="243" customWidth="1"/>
    <col min="9983" max="9983" width="9.28515625" style="243" customWidth="1"/>
    <col min="9984" max="9984" width="11.7109375" style="243" customWidth="1"/>
    <col min="9985" max="9986" width="13.140625" style="243" customWidth="1"/>
    <col min="9987" max="9990" width="12.28515625" style="243" customWidth="1"/>
    <col min="9991" max="9992" width="13.140625" style="243" customWidth="1"/>
    <col min="9993" max="9995" width="14.7109375" style="243" customWidth="1"/>
    <col min="9996" max="9996" width="12.140625" style="243" customWidth="1"/>
    <col min="9997" max="9997" width="19.7109375" style="243" customWidth="1"/>
    <col min="9998" max="10235" width="9.140625" style="243"/>
    <col min="10236" max="10236" width="16.28515625" style="243" customWidth="1"/>
    <col min="10237" max="10237" width="57.5703125" style="243" customWidth="1"/>
    <col min="10238" max="10238" width="16.5703125" style="243" customWidth="1"/>
    <col min="10239" max="10239" width="9.28515625" style="243" customWidth="1"/>
    <col min="10240" max="10240" width="11.7109375" style="243" customWidth="1"/>
    <col min="10241" max="10242" width="13.140625" style="243" customWidth="1"/>
    <col min="10243" max="10246" width="12.28515625" style="243" customWidth="1"/>
    <col min="10247" max="10248" width="13.140625" style="243" customWidth="1"/>
    <col min="10249" max="10251" width="14.7109375" style="243" customWidth="1"/>
    <col min="10252" max="10252" width="12.140625" style="243" customWidth="1"/>
    <col min="10253" max="10253" width="19.7109375" style="243" customWidth="1"/>
    <col min="10254" max="10491" width="9.140625" style="243"/>
    <col min="10492" max="10492" width="16.28515625" style="243" customWidth="1"/>
    <col min="10493" max="10493" width="57.5703125" style="243" customWidth="1"/>
    <col min="10494" max="10494" width="16.5703125" style="243" customWidth="1"/>
    <col min="10495" max="10495" width="9.28515625" style="243" customWidth="1"/>
    <col min="10496" max="10496" width="11.7109375" style="243" customWidth="1"/>
    <col min="10497" max="10498" width="13.140625" style="243" customWidth="1"/>
    <col min="10499" max="10502" width="12.28515625" style="243" customWidth="1"/>
    <col min="10503" max="10504" width="13.140625" style="243" customWidth="1"/>
    <col min="10505" max="10507" width="14.7109375" style="243" customWidth="1"/>
    <col min="10508" max="10508" width="12.140625" style="243" customWidth="1"/>
    <col min="10509" max="10509" width="19.7109375" style="243" customWidth="1"/>
    <col min="10510" max="10747" width="9.140625" style="243"/>
    <col min="10748" max="10748" width="16.28515625" style="243" customWidth="1"/>
    <col min="10749" max="10749" width="57.5703125" style="243" customWidth="1"/>
    <col min="10750" max="10750" width="16.5703125" style="243" customWidth="1"/>
    <col min="10751" max="10751" width="9.28515625" style="243" customWidth="1"/>
    <col min="10752" max="10752" width="11.7109375" style="243" customWidth="1"/>
    <col min="10753" max="10754" width="13.140625" style="243" customWidth="1"/>
    <col min="10755" max="10758" width="12.28515625" style="243" customWidth="1"/>
    <col min="10759" max="10760" width="13.140625" style="243" customWidth="1"/>
    <col min="10761" max="10763" width="14.7109375" style="243" customWidth="1"/>
    <col min="10764" max="10764" width="12.140625" style="243" customWidth="1"/>
    <col min="10765" max="10765" width="19.7109375" style="243" customWidth="1"/>
    <col min="10766" max="11003" width="9.140625" style="243"/>
    <col min="11004" max="11004" width="16.28515625" style="243" customWidth="1"/>
    <col min="11005" max="11005" width="57.5703125" style="243" customWidth="1"/>
    <col min="11006" max="11006" width="16.5703125" style="243" customWidth="1"/>
    <col min="11007" max="11007" width="9.28515625" style="243" customWidth="1"/>
    <col min="11008" max="11008" width="11.7109375" style="243" customWidth="1"/>
    <col min="11009" max="11010" width="13.140625" style="243" customWidth="1"/>
    <col min="11011" max="11014" width="12.28515625" style="243" customWidth="1"/>
    <col min="11015" max="11016" width="13.140625" style="243" customWidth="1"/>
    <col min="11017" max="11019" width="14.7109375" style="243" customWidth="1"/>
    <col min="11020" max="11020" width="12.140625" style="243" customWidth="1"/>
    <col min="11021" max="11021" width="19.7109375" style="243" customWidth="1"/>
    <col min="11022" max="11259" width="9.140625" style="243"/>
    <col min="11260" max="11260" width="16.28515625" style="243" customWidth="1"/>
    <col min="11261" max="11261" width="57.5703125" style="243" customWidth="1"/>
    <col min="11262" max="11262" width="16.5703125" style="243" customWidth="1"/>
    <col min="11263" max="11263" width="9.28515625" style="243" customWidth="1"/>
    <col min="11264" max="11264" width="11.7109375" style="243" customWidth="1"/>
    <col min="11265" max="11266" width="13.140625" style="243" customWidth="1"/>
    <col min="11267" max="11270" width="12.28515625" style="243" customWidth="1"/>
    <col min="11271" max="11272" width="13.140625" style="243" customWidth="1"/>
    <col min="11273" max="11275" width="14.7109375" style="243" customWidth="1"/>
    <col min="11276" max="11276" width="12.140625" style="243" customWidth="1"/>
    <col min="11277" max="11277" width="19.7109375" style="243" customWidth="1"/>
    <col min="11278" max="11515" width="9.140625" style="243"/>
    <col min="11516" max="11516" width="16.28515625" style="243" customWidth="1"/>
    <col min="11517" max="11517" width="57.5703125" style="243" customWidth="1"/>
    <col min="11518" max="11518" width="16.5703125" style="243" customWidth="1"/>
    <col min="11519" max="11519" width="9.28515625" style="243" customWidth="1"/>
    <col min="11520" max="11520" width="11.7109375" style="243" customWidth="1"/>
    <col min="11521" max="11522" width="13.140625" style="243" customWidth="1"/>
    <col min="11523" max="11526" width="12.28515625" style="243" customWidth="1"/>
    <col min="11527" max="11528" width="13.140625" style="243" customWidth="1"/>
    <col min="11529" max="11531" width="14.7109375" style="243" customWidth="1"/>
    <col min="11532" max="11532" width="12.140625" style="243" customWidth="1"/>
    <col min="11533" max="11533" width="19.7109375" style="243" customWidth="1"/>
    <col min="11534" max="11771" width="9.140625" style="243"/>
    <col min="11772" max="11772" width="16.28515625" style="243" customWidth="1"/>
    <col min="11773" max="11773" width="57.5703125" style="243" customWidth="1"/>
    <col min="11774" max="11774" width="16.5703125" style="243" customWidth="1"/>
    <col min="11775" max="11775" width="9.28515625" style="243" customWidth="1"/>
    <col min="11776" max="11776" width="11.7109375" style="243" customWidth="1"/>
    <col min="11777" max="11778" width="13.140625" style="243" customWidth="1"/>
    <col min="11779" max="11782" width="12.28515625" style="243" customWidth="1"/>
    <col min="11783" max="11784" width="13.140625" style="243" customWidth="1"/>
    <col min="11785" max="11787" width="14.7109375" style="243" customWidth="1"/>
    <col min="11788" max="11788" width="12.140625" style="243" customWidth="1"/>
    <col min="11789" max="11789" width="19.7109375" style="243" customWidth="1"/>
    <col min="11790" max="12027" width="9.140625" style="243"/>
    <col min="12028" max="12028" width="16.28515625" style="243" customWidth="1"/>
    <col min="12029" max="12029" width="57.5703125" style="243" customWidth="1"/>
    <col min="12030" max="12030" width="16.5703125" style="243" customWidth="1"/>
    <col min="12031" max="12031" width="9.28515625" style="243" customWidth="1"/>
    <col min="12032" max="12032" width="11.7109375" style="243" customWidth="1"/>
    <col min="12033" max="12034" width="13.140625" style="243" customWidth="1"/>
    <col min="12035" max="12038" width="12.28515625" style="243" customWidth="1"/>
    <col min="12039" max="12040" width="13.140625" style="243" customWidth="1"/>
    <col min="12041" max="12043" width="14.7109375" style="243" customWidth="1"/>
    <col min="12044" max="12044" width="12.140625" style="243" customWidth="1"/>
    <col min="12045" max="12045" width="19.7109375" style="243" customWidth="1"/>
    <col min="12046" max="12283" width="9.140625" style="243"/>
    <col min="12284" max="12284" width="16.28515625" style="243" customWidth="1"/>
    <col min="12285" max="12285" width="57.5703125" style="243" customWidth="1"/>
    <col min="12286" max="12286" width="16.5703125" style="243" customWidth="1"/>
    <col min="12287" max="12287" width="9.28515625" style="243" customWidth="1"/>
    <col min="12288" max="12288" width="11.7109375" style="243" customWidth="1"/>
    <col min="12289" max="12290" width="13.140625" style="243" customWidth="1"/>
    <col min="12291" max="12294" width="12.28515625" style="243" customWidth="1"/>
    <col min="12295" max="12296" width="13.140625" style="243" customWidth="1"/>
    <col min="12297" max="12299" width="14.7109375" style="243" customWidth="1"/>
    <col min="12300" max="12300" width="12.140625" style="243" customWidth="1"/>
    <col min="12301" max="12301" width="19.7109375" style="243" customWidth="1"/>
    <col min="12302" max="12539" width="9.140625" style="243"/>
    <col min="12540" max="12540" width="16.28515625" style="243" customWidth="1"/>
    <col min="12541" max="12541" width="57.5703125" style="243" customWidth="1"/>
    <col min="12542" max="12542" width="16.5703125" style="243" customWidth="1"/>
    <col min="12543" max="12543" width="9.28515625" style="243" customWidth="1"/>
    <col min="12544" max="12544" width="11.7109375" style="243" customWidth="1"/>
    <col min="12545" max="12546" width="13.140625" style="243" customWidth="1"/>
    <col min="12547" max="12550" width="12.28515625" style="243" customWidth="1"/>
    <col min="12551" max="12552" width="13.140625" style="243" customWidth="1"/>
    <col min="12553" max="12555" width="14.7109375" style="243" customWidth="1"/>
    <col min="12556" max="12556" width="12.140625" style="243" customWidth="1"/>
    <col min="12557" max="12557" width="19.7109375" style="243" customWidth="1"/>
    <col min="12558" max="12795" width="9.140625" style="243"/>
    <col min="12796" max="12796" width="16.28515625" style="243" customWidth="1"/>
    <col min="12797" max="12797" width="57.5703125" style="243" customWidth="1"/>
    <col min="12798" max="12798" width="16.5703125" style="243" customWidth="1"/>
    <col min="12799" max="12799" width="9.28515625" style="243" customWidth="1"/>
    <col min="12800" max="12800" width="11.7109375" style="243" customWidth="1"/>
    <col min="12801" max="12802" width="13.140625" style="243" customWidth="1"/>
    <col min="12803" max="12806" width="12.28515625" style="243" customWidth="1"/>
    <col min="12807" max="12808" width="13.140625" style="243" customWidth="1"/>
    <col min="12809" max="12811" width="14.7109375" style="243" customWidth="1"/>
    <col min="12812" max="12812" width="12.140625" style="243" customWidth="1"/>
    <col min="12813" max="12813" width="19.7109375" style="243" customWidth="1"/>
    <col min="12814" max="13051" width="9.140625" style="243"/>
    <col min="13052" max="13052" width="16.28515625" style="243" customWidth="1"/>
    <col min="13053" max="13053" width="57.5703125" style="243" customWidth="1"/>
    <col min="13054" max="13054" width="16.5703125" style="243" customWidth="1"/>
    <col min="13055" max="13055" width="9.28515625" style="243" customWidth="1"/>
    <col min="13056" max="13056" width="11.7109375" style="243" customWidth="1"/>
    <col min="13057" max="13058" width="13.140625" style="243" customWidth="1"/>
    <col min="13059" max="13062" width="12.28515625" style="243" customWidth="1"/>
    <col min="13063" max="13064" width="13.140625" style="243" customWidth="1"/>
    <col min="13065" max="13067" width="14.7109375" style="243" customWidth="1"/>
    <col min="13068" max="13068" width="12.140625" style="243" customWidth="1"/>
    <col min="13069" max="13069" width="19.7109375" style="243" customWidth="1"/>
    <col min="13070" max="13307" width="9.140625" style="243"/>
    <col min="13308" max="13308" width="16.28515625" style="243" customWidth="1"/>
    <col min="13309" max="13309" width="57.5703125" style="243" customWidth="1"/>
    <col min="13310" max="13310" width="16.5703125" style="243" customWidth="1"/>
    <col min="13311" max="13311" width="9.28515625" style="243" customWidth="1"/>
    <col min="13312" max="13312" width="11.7109375" style="243" customWidth="1"/>
    <col min="13313" max="13314" width="13.140625" style="243" customWidth="1"/>
    <col min="13315" max="13318" width="12.28515625" style="243" customWidth="1"/>
    <col min="13319" max="13320" width="13.140625" style="243" customWidth="1"/>
    <col min="13321" max="13323" width="14.7109375" style="243" customWidth="1"/>
    <col min="13324" max="13324" width="12.140625" style="243" customWidth="1"/>
    <col min="13325" max="13325" width="19.7109375" style="243" customWidth="1"/>
    <col min="13326" max="13563" width="9.140625" style="243"/>
    <col min="13564" max="13564" width="16.28515625" style="243" customWidth="1"/>
    <col min="13565" max="13565" width="57.5703125" style="243" customWidth="1"/>
    <col min="13566" max="13566" width="16.5703125" style="243" customWidth="1"/>
    <col min="13567" max="13567" width="9.28515625" style="243" customWidth="1"/>
    <col min="13568" max="13568" width="11.7109375" style="243" customWidth="1"/>
    <col min="13569" max="13570" width="13.140625" style="243" customWidth="1"/>
    <col min="13571" max="13574" width="12.28515625" style="243" customWidth="1"/>
    <col min="13575" max="13576" width="13.140625" style="243" customWidth="1"/>
    <col min="13577" max="13579" width="14.7109375" style="243" customWidth="1"/>
    <col min="13580" max="13580" width="12.140625" style="243" customWidth="1"/>
    <col min="13581" max="13581" width="19.7109375" style="243" customWidth="1"/>
    <col min="13582" max="13819" width="9.140625" style="243"/>
    <col min="13820" max="13820" width="16.28515625" style="243" customWidth="1"/>
    <col min="13821" max="13821" width="57.5703125" style="243" customWidth="1"/>
    <col min="13822" max="13822" width="16.5703125" style="243" customWidth="1"/>
    <col min="13823" max="13823" width="9.28515625" style="243" customWidth="1"/>
    <col min="13824" max="13824" width="11.7109375" style="243" customWidth="1"/>
    <col min="13825" max="13826" width="13.140625" style="243" customWidth="1"/>
    <col min="13827" max="13830" width="12.28515625" style="243" customWidth="1"/>
    <col min="13831" max="13832" width="13.140625" style="243" customWidth="1"/>
    <col min="13833" max="13835" width="14.7109375" style="243" customWidth="1"/>
    <col min="13836" max="13836" width="12.140625" style="243" customWidth="1"/>
    <col min="13837" max="13837" width="19.7109375" style="243" customWidth="1"/>
    <col min="13838" max="14075" width="9.140625" style="243"/>
    <col min="14076" max="14076" width="16.28515625" style="243" customWidth="1"/>
    <col min="14077" max="14077" width="57.5703125" style="243" customWidth="1"/>
    <col min="14078" max="14078" width="16.5703125" style="243" customWidth="1"/>
    <col min="14079" max="14079" width="9.28515625" style="243" customWidth="1"/>
    <col min="14080" max="14080" width="11.7109375" style="243" customWidth="1"/>
    <col min="14081" max="14082" width="13.140625" style="243" customWidth="1"/>
    <col min="14083" max="14086" width="12.28515625" style="243" customWidth="1"/>
    <col min="14087" max="14088" width="13.140625" style="243" customWidth="1"/>
    <col min="14089" max="14091" width="14.7109375" style="243" customWidth="1"/>
    <col min="14092" max="14092" width="12.140625" style="243" customWidth="1"/>
    <col min="14093" max="14093" width="19.7109375" style="243" customWidth="1"/>
    <col min="14094" max="14331" width="9.140625" style="243"/>
    <col min="14332" max="14332" width="16.28515625" style="243" customWidth="1"/>
    <col min="14333" max="14333" width="57.5703125" style="243" customWidth="1"/>
    <col min="14334" max="14334" width="16.5703125" style="243" customWidth="1"/>
    <col min="14335" max="14335" width="9.28515625" style="243" customWidth="1"/>
    <col min="14336" max="14336" width="11.7109375" style="243" customWidth="1"/>
    <col min="14337" max="14338" width="13.140625" style="243" customWidth="1"/>
    <col min="14339" max="14342" width="12.28515625" style="243" customWidth="1"/>
    <col min="14343" max="14344" width="13.140625" style="243" customWidth="1"/>
    <col min="14345" max="14347" width="14.7109375" style="243" customWidth="1"/>
    <col min="14348" max="14348" width="12.140625" style="243" customWidth="1"/>
    <col min="14349" max="14349" width="19.7109375" style="243" customWidth="1"/>
    <col min="14350" max="14587" width="9.140625" style="243"/>
    <col min="14588" max="14588" width="16.28515625" style="243" customWidth="1"/>
    <col min="14589" max="14589" width="57.5703125" style="243" customWidth="1"/>
    <col min="14590" max="14590" width="16.5703125" style="243" customWidth="1"/>
    <col min="14591" max="14591" width="9.28515625" style="243" customWidth="1"/>
    <col min="14592" max="14592" width="11.7109375" style="243" customWidth="1"/>
    <col min="14593" max="14594" width="13.140625" style="243" customWidth="1"/>
    <col min="14595" max="14598" width="12.28515625" style="243" customWidth="1"/>
    <col min="14599" max="14600" width="13.140625" style="243" customWidth="1"/>
    <col min="14601" max="14603" width="14.7109375" style="243" customWidth="1"/>
    <col min="14604" max="14604" width="12.140625" style="243" customWidth="1"/>
    <col min="14605" max="14605" width="19.7109375" style="243" customWidth="1"/>
    <col min="14606" max="14843" width="9.140625" style="243"/>
    <col min="14844" max="14844" width="16.28515625" style="243" customWidth="1"/>
    <col min="14845" max="14845" width="57.5703125" style="243" customWidth="1"/>
    <col min="14846" max="14846" width="16.5703125" style="243" customWidth="1"/>
    <col min="14847" max="14847" width="9.28515625" style="243" customWidth="1"/>
    <col min="14848" max="14848" width="11.7109375" style="243" customWidth="1"/>
    <col min="14849" max="14850" width="13.140625" style="243" customWidth="1"/>
    <col min="14851" max="14854" width="12.28515625" style="243" customWidth="1"/>
    <col min="14855" max="14856" width="13.140625" style="243" customWidth="1"/>
    <col min="14857" max="14859" width="14.7109375" style="243" customWidth="1"/>
    <col min="14860" max="14860" width="12.140625" style="243" customWidth="1"/>
    <col min="14861" max="14861" width="19.7109375" style="243" customWidth="1"/>
    <col min="14862" max="15099" width="9.140625" style="243"/>
    <col min="15100" max="15100" width="16.28515625" style="243" customWidth="1"/>
    <col min="15101" max="15101" width="57.5703125" style="243" customWidth="1"/>
    <col min="15102" max="15102" width="16.5703125" style="243" customWidth="1"/>
    <col min="15103" max="15103" width="9.28515625" style="243" customWidth="1"/>
    <col min="15104" max="15104" width="11.7109375" style="243" customWidth="1"/>
    <col min="15105" max="15106" width="13.140625" style="243" customWidth="1"/>
    <col min="15107" max="15110" width="12.28515625" style="243" customWidth="1"/>
    <col min="15111" max="15112" width="13.140625" style="243" customWidth="1"/>
    <col min="15113" max="15115" width="14.7109375" style="243" customWidth="1"/>
    <col min="15116" max="15116" width="12.140625" style="243" customWidth="1"/>
    <col min="15117" max="15117" width="19.7109375" style="243" customWidth="1"/>
    <col min="15118" max="15355" width="9.140625" style="243"/>
    <col min="15356" max="15356" width="16.28515625" style="243" customWidth="1"/>
    <col min="15357" max="15357" width="57.5703125" style="243" customWidth="1"/>
    <col min="15358" max="15358" width="16.5703125" style="243" customWidth="1"/>
    <col min="15359" max="15359" width="9.28515625" style="243" customWidth="1"/>
    <col min="15360" max="15360" width="11.7109375" style="243" customWidth="1"/>
    <col min="15361" max="15362" width="13.140625" style="243" customWidth="1"/>
    <col min="15363" max="15366" width="12.28515625" style="243" customWidth="1"/>
    <col min="15367" max="15368" width="13.140625" style="243" customWidth="1"/>
    <col min="15369" max="15371" width="14.7109375" style="243" customWidth="1"/>
    <col min="15372" max="15372" width="12.140625" style="243" customWidth="1"/>
    <col min="15373" max="15373" width="19.7109375" style="243" customWidth="1"/>
    <col min="15374" max="15611" width="9.140625" style="243"/>
    <col min="15612" max="15612" width="16.28515625" style="243" customWidth="1"/>
    <col min="15613" max="15613" width="57.5703125" style="243" customWidth="1"/>
    <col min="15614" max="15614" width="16.5703125" style="243" customWidth="1"/>
    <col min="15615" max="15615" width="9.28515625" style="243" customWidth="1"/>
    <col min="15616" max="15616" width="11.7109375" style="243" customWidth="1"/>
    <col min="15617" max="15618" width="13.140625" style="243" customWidth="1"/>
    <col min="15619" max="15622" width="12.28515625" style="243" customWidth="1"/>
    <col min="15623" max="15624" width="13.140625" style="243" customWidth="1"/>
    <col min="15625" max="15627" width="14.7109375" style="243" customWidth="1"/>
    <col min="15628" max="15628" width="12.140625" style="243" customWidth="1"/>
    <col min="15629" max="15629" width="19.7109375" style="243" customWidth="1"/>
    <col min="15630" max="15867" width="9.140625" style="243"/>
    <col min="15868" max="15868" width="16.28515625" style="243" customWidth="1"/>
    <col min="15869" max="15869" width="57.5703125" style="243" customWidth="1"/>
    <col min="15870" max="15870" width="16.5703125" style="243" customWidth="1"/>
    <col min="15871" max="15871" width="9.28515625" style="243" customWidth="1"/>
    <col min="15872" max="15872" width="11.7109375" style="243" customWidth="1"/>
    <col min="15873" max="15874" width="13.140625" style="243" customWidth="1"/>
    <col min="15875" max="15878" width="12.28515625" style="243" customWidth="1"/>
    <col min="15879" max="15880" width="13.140625" style="243" customWidth="1"/>
    <col min="15881" max="15883" width="14.7109375" style="243" customWidth="1"/>
    <col min="15884" max="15884" width="12.140625" style="243" customWidth="1"/>
    <col min="15885" max="15885" width="19.7109375" style="243" customWidth="1"/>
    <col min="15886" max="16123" width="9.140625" style="243"/>
    <col min="16124" max="16124" width="16.28515625" style="243" customWidth="1"/>
    <col min="16125" max="16125" width="57.5703125" style="243" customWidth="1"/>
    <col min="16126" max="16126" width="16.5703125" style="243" customWidth="1"/>
    <col min="16127" max="16127" width="9.28515625" style="243" customWidth="1"/>
    <col min="16128" max="16128" width="11.7109375" style="243" customWidth="1"/>
    <col min="16129" max="16130" width="13.140625" style="243" customWidth="1"/>
    <col min="16131" max="16134" width="12.28515625" style="243" customWidth="1"/>
    <col min="16135" max="16136" width="13.140625" style="243" customWidth="1"/>
    <col min="16137" max="16139" width="14.7109375" style="243" customWidth="1"/>
    <col min="16140" max="16140" width="12.140625" style="243" customWidth="1"/>
    <col min="16141" max="16141" width="19.7109375" style="243" customWidth="1"/>
    <col min="16142" max="16381" width="9.140625" style="243"/>
    <col min="16382" max="16383" width="9.140625" style="243" customWidth="1"/>
    <col min="16384" max="16384" width="9.140625" style="243"/>
  </cols>
  <sheetData>
    <row r="1" spans="1:74" s="2388" customFormat="1">
      <c r="D1" s="2389"/>
      <c r="E1" s="2389"/>
      <c r="F1" s="2389"/>
      <c r="G1" s="2389"/>
      <c r="H1" s="2389"/>
      <c r="I1" s="2389"/>
      <c r="J1" s="2389"/>
      <c r="K1" s="2389"/>
      <c r="L1" s="2389"/>
      <c r="M1" s="2390"/>
      <c r="N1" s="2390"/>
    </row>
    <row r="2" spans="1:74" s="2388" customFormat="1">
      <c r="D2" s="2389"/>
      <c r="E2" s="2389"/>
      <c r="F2" s="2389"/>
      <c r="G2" s="2389"/>
      <c r="H2" s="2389"/>
      <c r="I2" s="2389"/>
      <c r="J2" s="2389"/>
      <c r="K2" s="2389"/>
      <c r="L2" s="2391"/>
      <c r="M2" s="2389"/>
      <c r="N2" s="2389"/>
    </row>
    <row r="3" spans="1:74" s="2388" customFormat="1" ht="63.75">
      <c r="C3" s="2392" t="s">
        <v>2407</v>
      </c>
      <c r="D3" s="2393"/>
      <c r="E3" s="2389"/>
      <c r="F3" s="2394"/>
      <c r="G3" s="2394"/>
      <c r="H3" s="2395"/>
      <c r="I3" s="2395"/>
      <c r="J3" s="2395"/>
      <c r="K3" s="2395"/>
      <c r="L3" s="2396"/>
      <c r="M3" s="2448" t="s">
        <v>2339</v>
      </c>
      <c r="N3" s="2456">
        <v>500</v>
      </c>
    </row>
    <row r="4" spans="1:74" s="2388" customFormat="1" ht="45" customHeight="1">
      <c r="C4" s="2447" t="s">
        <v>2346</v>
      </c>
      <c r="D4" s="2397"/>
      <c r="E4" s="2397"/>
      <c r="F4" s="2398"/>
      <c r="G4" s="2398"/>
      <c r="H4" s="2399"/>
      <c r="I4" s="2399"/>
      <c r="J4" s="2399"/>
      <c r="K4" s="2399"/>
      <c r="L4" s="2396"/>
      <c r="M4" s="2449" t="s">
        <v>2409</v>
      </c>
      <c r="N4" s="2456">
        <v>50.12</v>
      </c>
    </row>
    <row r="5" spans="1:74" s="2388" customFormat="1" ht="37.15" customHeight="1">
      <c r="D5" s="2389"/>
      <c r="E5" s="2389"/>
      <c r="F5" s="2389"/>
      <c r="G5" s="2389"/>
      <c r="H5" s="2389"/>
      <c r="I5" s="2389"/>
      <c r="J5" s="2389"/>
      <c r="K5" s="2389"/>
      <c r="L5" s="2396"/>
      <c r="M5" s="2452" t="s">
        <v>2339</v>
      </c>
      <c r="N5" s="2453">
        <f>N3</f>
        <v>500</v>
      </c>
      <c r="O5" s="2446" t="s">
        <v>2408</v>
      </c>
    </row>
    <row r="6" spans="1:74" ht="36.75" customHeight="1">
      <c r="A6" s="2388"/>
      <c r="B6" s="2388"/>
      <c r="C6" s="2380" t="s">
        <v>2347</v>
      </c>
      <c r="D6" s="2377" t="s">
        <v>439</v>
      </c>
      <c r="E6" s="2461" t="s">
        <v>2318</v>
      </c>
      <c r="F6" s="2373" t="s">
        <v>2342</v>
      </c>
      <c r="G6" s="2374" t="s">
        <v>2341</v>
      </c>
      <c r="H6" s="2375" t="s">
        <v>2343</v>
      </c>
      <c r="I6" s="2375" t="s">
        <v>2344</v>
      </c>
      <c r="J6" s="2376" t="s">
        <v>2345</v>
      </c>
      <c r="K6" s="2376" t="s">
        <v>2412</v>
      </c>
      <c r="L6" s="2396"/>
      <c r="M6" s="2452" t="s">
        <v>2338</v>
      </c>
      <c r="N6" s="2453">
        <f>N4</f>
        <v>50.12</v>
      </c>
      <c r="O6" s="2446"/>
      <c r="P6" s="2388"/>
      <c r="Q6" s="2388"/>
      <c r="R6" s="2388"/>
      <c r="S6" s="2388"/>
      <c r="T6" s="2388"/>
      <c r="U6" s="2388"/>
      <c r="V6" s="2388"/>
      <c r="W6" s="2388"/>
      <c r="X6" s="2388"/>
      <c r="Y6" s="2388"/>
      <c r="Z6" s="2388"/>
      <c r="AA6" s="2388"/>
      <c r="AB6" s="2388"/>
      <c r="AC6" s="2388"/>
      <c r="AD6" s="2388"/>
      <c r="AE6" s="2388"/>
      <c r="AF6" s="2388"/>
      <c r="AG6" s="2388"/>
      <c r="AH6" s="2388"/>
      <c r="AI6" s="2388"/>
      <c r="AJ6" s="2388"/>
      <c r="AK6" s="2388"/>
      <c r="AL6" s="2388"/>
      <c r="AM6" s="2388"/>
      <c r="AN6" s="2388"/>
      <c r="AO6" s="2388"/>
      <c r="AP6" s="2388"/>
      <c r="AQ6" s="2388"/>
      <c r="AR6" s="2388"/>
      <c r="AS6" s="2388"/>
      <c r="AT6" s="2388"/>
      <c r="AU6" s="2388"/>
      <c r="AV6" s="2388"/>
      <c r="AW6" s="2388"/>
      <c r="AX6" s="2388"/>
      <c r="AY6" s="2388"/>
      <c r="AZ6" s="2388"/>
      <c r="BA6" s="2388"/>
      <c r="BB6" s="2388"/>
      <c r="BC6" s="2388"/>
      <c r="BD6" s="2388"/>
      <c r="BE6" s="2388"/>
      <c r="BF6" s="2388"/>
      <c r="BG6" s="2388"/>
      <c r="BH6" s="2388"/>
      <c r="BI6" s="2388"/>
      <c r="BJ6" s="2388"/>
      <c r="BK6" s="2388"/>
      <c r="BL6" s="2388"/>
      <c r="BM6" s="2388"/>
      <c r="BN6" s="2388"/>
      <c r="BO6" s="2388"/>
      <c r="BP6" s="2388"/>
      <c r="BQ6" s="2388"/>
      <c r="BR6" s="2388"/>
      <c r="BS6" s="2388"/>
      <c r="BT6" s="2388"/>
      <c r="BU6" s="2388"/>
      <c r="BV6" s="2388"/>
    </row>
    <row r="7" spans="1:74" ht="15.75" customHeight="1">
      <c r="A7" s="2388"/>
      <c r="B7" s="2388"/>
      <c r="C7" s="2383" t="s">
        <v>2388</v>
      </c>
      <c r="D7" s="2379" t="s">
        <v>852</v>
      </c>
      <c r="E7" s="2454">
        <v>1</v>
      </c>
      <c r="F7" s="2368">
        <v>0.1</v>
      </c>
      <c r="G7" s="2369">
        <f>E7*F7</f>
        <v>0.1</v>
      </c>
      <c r="H7" s="2371">
        <f t="shared" ref="H7:H12" si="0">(F7*N$5)/N$6</f>
        <v>0.99760574620909825</v>
      </c>
      <c r="I7" s="2371">
        <f t="shared" ref="I7:I12" si="1">H7*N$6</f>
        <v>50</v>
      </c>
      <c r="J7" s="2372">
        <f>E7*H7</f>
        <v>0.99760574620909825</v>
      </c>
      <c r="K7" s="2372">
        <f t="shared" ref="K7:K12" si="2">J7*N$6</f>
        <v>50</v>
      </c>
      <c r="L7" s="2396"/>
      <c r="M7" s="2577" t="s">
        <v>2413</v>
      </c>
      <c r="N7" s="2577"/>
      <c r="O7" s="2577"/>
      <c r="P7" s="2388"/>
      <c r="Q7" s="2388"/>
      <c r="R7" s="2278"/>
      <c r="S7" s="2388"/>
      <c r="T7" s="2388"/>
      <c r="U7" s="2388"/>
      <c r="V7" s="2388"/>
      <c r="W7" s="2388"/>
      <c r="X7" s="2388"/>
      <c r="Y7" s="2388"/>
      <c r="Z7" s="2388"/>
      <c r="AA7" s="2388"/>
      <c r="AB7" s="2388"/>
      <c r="AC7" s="2388"/>
      <c r="AD7" s="2388"/>
      <c r="AE7" s="2388"/>
      <c r="AF7" s="2388"/>
      <c r="AG7" s="2388"/>
      <c r="AH7" s="2388"/>
      <c r="AI7" s="2388"/>
      <c r="AJ7" s="2388"/>
      <c r="AK7" s="2388"/>
      <c r="AL7" s="2388"/>
      <c r="AM7" s="2388"/>
      <c r="AN7" s="2388"/>
      <c r="AO7" s="2388"/>
      <c r="AP7" s="2388"/>
      <c r="AQ7" s="2388"/>
      <c r="AR7" s="2388"/>
      <c r="AS7" s="2388"/>
      <c r="AT7" s="2388"/>
      <c r="AU7" s="2388"/>
      <c r="AV7" s="2388"/>
      <c r="AW7" s="2388"/>
      <c r="AX7" s="2388"/>
      <c r="AY7" s="2388"/>
      <c r="AZ7" s="2388"/>
      <c r="BA7" s="2388"/>
      <c r="BB7" s="2388"/>
      <c r="BC7" s="2388"/>
      <c r="BD7" s="2388"/>
      <c r="BE7" s="2388"/>
      <c r="BF7" s="2388"/>
      <c r="BG7" s="2388"/>
      <c r="BH7" s="2388"/>
      <c r="BI7" s="2388"/>
      <c r="BJ7" s="2388"/>
      <c r="BK7" s="2388"/>
      <c r="BL7" s="2388"/>
      <c r="BM7" s="2388"/>
      <c r="BN7" s="2388"/>
      <c r="BO7" s="2388"/>
      <c r="BP7" s="2388"/>
      <c r="BQ7" s="2388"/>
      <c r="BR7" s="2388"/>
      <c r="BS7" s="2388"/>
      <c r="BT7" s="2388"/>
      <c r="BU7" s="2388"/>
      <c r="BV7" s="2388"/>
    </row>
    <row r="8" spans="1:74" ht="15.75" customHeight="1">
      <c r="A8" s="2388"/>
      <c r="B8" s="2388"/>
      <c r="C8" s="2383" t="s">
        <v>2389</v>
      </c>
      <c r="D8" s="1300" t="s">
        <v>852</v>
      </c>
      <c r="E8" s="2455">
        <v>1</v>
      </c>
      <c r="F8" s="2366">
        <v>0.11</v>
      </c>
      <c r="G8" s="2361">
        <f t="shared" ref="G8:G12" si="3">E8*F8</f>
        <v>0.11</v>
      </c>
      <c r="H8" s="2364">
        <f t="shared" si="0"/>
        <v>1.097366320830008</v>
      </c>
      <c r="I8" s="2364">
        <f t="shared" si="1"/>
        <v>54.999999999999993</v>
      </c>
      <c r="J8" s="2360">
        <f t="shared" ref="J8:J12" si="4">E8*H8</f>
        <v>1.097366320830008</v>
      </c>
      <c r="K8" s="2360">
        <f t="shared" si="2"/>
        <v>54.999999999999993</v>
      </c>
      <c r="L8" s="2396"/>
      <c r="M8" s="2578" t="s">
        <v>2410</v>
      </c>
      <c r="N8" s="2578"/>
      <c r="O8" s="2578"/>
      <c r="P8" s="2388"/>
      <c r="Q8" s="2388"/>
      <c r="R8" s="2278"/>
      <c r="S8" s="2388"/>
      <c r="T8" s="2388"/>
      <c r="U8" s="2388"/>
      <c r="V8" s="2388"/>
      <c r="W8" s="2388"/>
      <c r="X8" s="2388"/>
      <c r="Y8" s="2388"/>
      <c r="Z8" s="2388"/>
      <c r="AA8" s="2388"/>
      <c r="AB8" s="2388"/>
      <c r="AC8" s="2388"/>
      <c r="AD8" s="2388"/>
      <c r="AE8" s="2388"/>
      <c r="AF8" s="2388"/>
      <c r="AG8" s="2388"/>
      <c r="AH8" s="2388"/>
      <c r="AI8" s="2388"/>
      <c r="AJ8" s="2388"/>
      <c r="AK8" s="2388"/>
      <c r="AL8" s="2388"/>
      <c r="AM8" s="2388"/>
      <c r="AN8" s="2388"/>
      <c r="AO8" s="2388"/>
      <c r="AP8" s="2388"/>
      <c r="AQ8" s="2388"/>
      <c r="AR8" s="2388"/>
      <c r="AS8" s="2388"/>
      <c r="AT8" s="2388"/>
      <c r="AU8" s="2388"/>
      <c r="AV8" s="2388"/>
      <c r="AW8" s="2388"/>
      <c r="AX8" s="2388"/>
      <c r="AY8" s="2388"/>
      <c r="AZ8" s="2388"/>
      <c r="BA8" s="2388"/>
      <c r="BB8" s="2388"/>
      <c r="BC8" s="2388"/>
      <c r="BD8" s="2388"/>
      <c r="BE8" s="2388"/>
      <c r="BF8" s="2388"/>
      <c r="BG8" s="2388"/>
      <c r="BH8" s="2388"/>
      <c r="BI8" s="2388"/>
      <c r="BJ8" s="2388"/>
      <c r="BK8" s="2388"/>
      <c r="BL8" s="2388"/>
      <c r="BM8" s="2388"/>
      <c r="BN8" s="2388"/>
      <c r="BO8" s="2388"/>
      <c r="BP8" s="2388"/>
      <c r="BQ8" s="2388"/>
      <c r="BR8" s="2388"/>
      <c r="BS8" s="2388"/>
      <c r="BT8" s="2388"/>
      <c r="BU8" s="2388"/>
      <c r="BV8" s="2388"/>
    </row>
    <row r="9" spans="1:74" ht="15.75" customHeight="1">
      <c r="A9" s="2388"/>
      <c r="B9" s="2388"/>
      <c r="C9" s="2383" t="s">
        <v>2390</v>
      </c>
      <c r="D9" s="1300" t="s">
        <v>852</v>
      </c>
      <c r="E9" s="2455">
        <v>1</v>
      </c>
      <c r="F9" s="2365">
        <v>0.16</v>
      </c>
      <c r="G9" s="2361">
        <f t="shared" si="3"/>
        <v>0.16</v>
      </c>
      <c r="H9" s="2364">
        <f t="shared" si="0"/>
        <v>1.5961691939345573</v>
      </c>
      <c r="I9" s="2364">
        <f t="shared" si="1"/>
        <v>80</v>
      </c>
      <c r="J9" s="2360">
        <f t="shared" si="4"/>
        <v>1.5961691939345573</v>
      </c>
      <c r="K9" s="2360">
        <f t="shared" si="2"/>
        <v>80</v>
      </c>
      <c r="L9" s="2396"/>
      <c r="M9" s="2388"/>
      <c r="N9" s="2579">
        <v>2025</v>
      </c>
      <c r="O9" s="2579"/>
      <c r="P9" s="2388"/>
      <c r="Q9" s="2388"/>
      <c r="R9" s="2278"/>
      <c r="S9" s="2388"/>
      <c r="T9" s="2388"/>
      <c r="U9" s="2388"/>
      <c r="V9" s="2388"/>
      <c r="W9" s="2388"/>
      <c r="X9" s="2388"/>
      <c r="Y9" s="2388"/>
      <c r="Z9" s="2388"/>
      <c r="AA9" s="2388"/>
      <c r="AB9" s="2388"/>
      <c r="AC9" s="2388"/>
      <c r="AD9" s="2388"/>
      <c r="AE9" s="2388"/>
      <c r="AF9" s="2388"/>
      <c r="AG9" s="2388"/>
      <c r="AH9" s="2388"/>
      <c r="AI9" s="2388"/>
      <c r="AJ9" s="2388"/>
      <c r="AK9" s="2388"/>
      <c r="AL9" s="2388"/>
      <c r="AM9" s="2388"/>
      <c r="AN9" s="2388"/>
      <c r="AO9" s="2388"/>
      <c r="AP9" s="2388"/>
      <c r="AQ9" s="2388"/>
      <c r="AR9" s="2388"/>
      <c r="AS9" s="2388"/>
      <c r="AT9" s="2388"/>
      <c r="AU9" s="2388"/>
      <c r="AV9" s="2388"/>
      <c r="AW9" s="2388"/>
      <c r="AX9" s="2388"/>
      <c r="AY9" s="2388"/>
      <c r="AZ9" s="2388"/>
      <c r="BA9" s="2388"/>
      <c r="BB9" s="2388"/>
      <c r="BC9" s="2388"/>
      <c r="BD9" s="2388"/>
      <c r="BE9" s="2388"/>
      <c r="BF9" s="2388"/>
      <c r="BG9" s="2388"/>
      <c r="BH9" s="2388"/>
      <c r="BI9" s="2388"/>
      <c r="BJ9" s="2388"/>
      <c r="BK9" s="2388"/>
      <c r="BL9" s="2388"/>
      <c r="BM9" s="2388"/>
      <c r="BN9" s="2388"/>
      <c r="BO9" s="2388"/>
      <c r="BP9" s="2388"/>
      <c r="BQ9" s="2388"/>
      <c r="BR9" s="2388"/>
      <c r="BS9" s="2388"/>
      <c r="BT9" s="2388"/>
      <c r="BU9" s="2388"/>
      <c r="BV9" s="2388"/>
    </row>
    <row r="10" spans="1:74" ht="15.75" customHeight="1">
      <c r="A10" s="2388"/>
      <c r="B10" s="2388"/>
      <c r="C10" s="2383" t="s">
        <v>2391</v>
      </c>
      <c r="D10" s="1300" t="s">
        <v>852</v>
      </c>
      <c r="E10" s="2455">
        <v>1</v>
      </c>
      <c r="F10" s="2365">
        <v>0.19</v>
      </c>
      <c r="G10" s="2361">
        <f t="shared" si="3"/>
        <v>0.19</v>
      </c>
      <c r="H10" s="2364">
        <f t="shared" si="0"/>
        <v>1.8954509177972867</v>
      </c>
      <c r="I10" s="2364">
        <f t="shared" si="1"/>
        <v>95</v>
      </c>
      <c r="J10" s="2360">
        <f t="shared" si="4"/>
        <v>1.8954509177972867</v>
      </c>
      <c r="K10" s="2360">
        <f t="shared" si="2"/>
        <v>95</v>
      </c>
      <c r="L10" s="2396"/>
      <c r="M10" s="2388"/>
      <c r="N10" s="2388"/>
      <c r="O10" s="2388"/>
      <c r="P10" s="2388"/>
      <c r="Q10" s="2388"/>
      <c r="R10" s="2388"/>
      <c r="S10" s="2388"/>
      <c r="T10" s="2388"/>
      <c r="U10" s="2388"/>
      <c r="V10" s="2388"/>
      <c r="W10" s="2388"/>
      <c r="X10" s="2388"/>
      <c r="Y10" s="2388"/>
      <c r="Z10" s="2388"/>
      <c r="AA10" s="2388"/>
      <c r="AB10" s="2388"/>
      <c r="AC10" s="2388"/>
      <c r="AD10" s="2388"/>
      <c r="AE10" s="2388"/>
      <c r="AF10" s="2388"/>
      <c r="AG10" s="2388"/>
      <c r="AH10" s="2388"/>
      <c r="AI10" s="2388"/>
      <c r="AJ10" s="2388"/>
      <c r="AK10" s="2388"/>
      <c r="AL10" s="2388"/>
      <c r="AM10" s="2388"/>
      <c r="AN10" s="2388"/>
      <c r="AO10" s="2388"/>
      <c r="AP10" s="2388"/>
      <c r="AQ10" s="2388"/>
      <c r="AR10" s="2388"/>
      <c r="AS10" s="2388"/>
      <c r="AT10" s="2388"/>
      <c r="AU10" s="2388"/>
      <c r="AV10" s="2388"/>
      <c r="AW10" s="2388"/>
      <c r="AX10" s="2388"/>
      <c r="AY10" s="2388"/>
      <c r="AZ10" s="2388"/>
      <c r="BA10" s="2388"/>
      <c r="BB10" s="2388"/>
      <c r="BC10" s="2388"/>
      <c r="BD10" s="2388"/>
      <c r="BE10" s="2388"/>
      <c r="BF10" s="2388"/>
      <c r="BG10" s="2388"/>
      <c r="BH10" s="2388"/>
      <c r="BI10" s="2388"/>
      <c r="BJ10" s="2388"/>
      <c r="BK10" s="2388"/>
      <c r="BL10" s="2388"/>
      <c r="BM10" s="2388"/>
      <c r="BN10" s="2388"/>
      <c r="BO10" s="2388"/>
      <c r="BP10" s="2388"/>
      <c r="BQ10" s="2388"/>
      <c r="BR10" s="2388"/>
      <c r="BS10" s="2388"/>
      <c r="BT10" s="2388"/>
      <c r="BU10" s="2388"/>
      <c r="BV10" s="2388"/>
    </row>
    <row r="11" spans="1:74" ht="15.75" customHeight="1">
      <c r="A11" s="2388"/>
      <c r="B11" s="2388"/>
      <c r="C11" s="2383" t="s">
        <v>2392</v>
      </c>
      <c r="D11" s="1300" t="s">
        <v>852</v>
      </c>
      <c r="E11" s="2455">
        <v>1</v>
      </c>
      <c r="F11" s="2365">
        <v>0.21</v>
      </c>
      <c r="G11" s="2361">
        <f t="shared" si="3"/>
        <v>0.21</v>
      </c>
      <c r="H11" s="2364">
        <f t="shared" si="0"/>
        <v>2.0949720670391061</v>
      </c>
      <c r="I11" s="2364">
        <f t="shared" si="1"/>
        <v>104.99999999999999</v>
      </c>
      <c r="J11" s="2360">
        <f t="shared" si="4"/>
        <v>2.0949720670391061</v>
      </c>
      <c r="K11" s="2360">
        <f t="shared" si="2"/>
        <v>104.99999999999999</v>
      </c>
      <c r="L11" s="2396"/>
      <c r="M11" s="2577"/>
      <c r="N11" s="2577"/>
      <c r="O11" s="2577"/>
      <c r="P11" s="2388"/>
      <c r="Q11" s="2388"/>
      <c r="R11" s="2388"/>
      <c r="S11" s="2388"/>
      <c r="T11" s="2388"/>
      <c r="U11" s="2388"/>
      <c r="V11" s="2388"/>
      <c r="W11" s="2388"/>
      <c r="X11" s="2388"/>
      <c r="Y11" s="2388"/>
      <c r="Z11" s="2388"/>
      <c r="AA11" s="2388"/>
      <c r="AB11" s="2388"/>
      <c r="AC11" s="2388"/>
      <c r="AD11" s="2388"/>
      <c r="AE11" s="2388"/>
      <c r="AF11" s="2388"/>
      <c r="AG11" s="2388"/>
      <c r="AH11" s="2388"/>
      <c r="AI11" s="2388"/>
      <c r="AJ11" s="2388"/>
      <c r="AK11" s="2388"/>
      <c r="AL11" s="2388"/>
      <c r="AM11" s="2388"/>
      <c r="AN11" s="2388"/>
      <c r="AO11" s="2388"/>
      <c r="AP11" s="2388"/>
      <c r="AQ11" s="2388"/>
      <c r="AR11" s="2388"/>
      <c r="AS11" s="2388"/>
      <c r="AT11" s="2388"/>
      <c r="AU11" s="2388"/>
      <c r="AV11" s="2388"/>
      <c r="AW11" s="2388"/>
      <c r="AX11" s="2388"/>
      <c r="AY11" s="2388"/>
      <c r="AZ11" s="2388"/>
      <c r="BA11" s="2388"/>
      <c r="BB11" s="2388"/>
      <c r="BC11" s="2388"/>
      <c r="BD11" s="2388"/>
      <c r="BE11" s="2388"/>
      <c r="BF11" s="2388"/>
      <c r="BG11" s="2388"/>
      <c r="BH11" s="2388"/>
      <c r="BI11" s="2388"/>
      <c r="BJ11" s="2388"/>
      <c r="BK11" s="2388"/>
      <c r="BL11" s="2388"/>
      <c r="BM11" s="2388"/>
      <c r="BN11" s="2388"/>
      <c r="BO11" s="2388"/>
      <c r="BP11" s="2388"/>
      <c r="BQ11" s="2388"/>
      <c r="BR11" s="2388"/>
      <c r="BS11" s="2388"/>
      <c r="BT11" s="2388"/>
      <c r="BU11" s="2388"/>
      <c r="BV11" s="2388"/>
    </row>
    <row r="12" spans="1:74" ht="15.75" customHeight="1">
      <c r="A12" s="2388"/>
      <c r="B12" s="2388"/>
      <c r="C12" s="2383" t="s">
        <v>2393</v>
      </c>
      <c r="D12" s="1300" t="s">
        <v>852</v>
      </c>
      <c r="E12" s="2455">
        <v>1</v>
      </c>
      <c r="F12" s="2365">
        <v>0.25</v>
      </c>
      <c r="G12" s="2361">
        <f t="shared" si="3"/>
        <v>0.25</v>
      </c>
      <c r="H12" s="2364">
        <f t="shared" si="0"/>
        <v>2.4940143655227454</v>
      </c>
      <c r="I12" s="2364">
        <f t="shared" si="1"/>
        <v>124.99999999999999</v>
      </c>
      <c r="J12" s="2360">
        <f t="shared" si="4"/>
        <v>2.4940143655227454</v>
      </c>
      <c r="K12" s="2360">
        <f t="shared" si="2"/>
        <v>124.99999999999999</v>
      </c>
      <c r="L12" s="2396"/>
      <c r="M12" s="2388"/>
      <c r="N12" s="2388"/>
      <c r="O12" s="2388"/>
      <c r="P12" s="2388"/>
      <c r="Q12" s="2388"/>
      <c r="R12" s="2388"/>
      <c r="S12" s="2388"/>
      <c r="T12" s="2388"/>
      <c r="U12" s="2388"/>
      <c r="V12" s="2388"/>
      <c r="W12" s="2388"/>
      <c r="X12" s="2388"/>
      <c r="Y12" s="2388"/>
      <c r="Z12" s="2388"/>
      <c r="AA12" s="2388"/>
      <c r="AB12" s="2388"/>
      <c r="AC12" s="2388"/>
      <c r="AD12" s="2388"/>
      <c r="AE12" s="2388"/>
      <c r="AF12" s="2388"/>
      <c r="AG12" s="2388"/>
      <c r="AH12" s="2388"/>
      <c r="AI12" s="2388"/>
      <c r="AJ12" s="2388"/>
      <c r="AK12" s="2388"/>
      <c r="AL12" s="2388"/>
      <c r="AM12" s="2388"/>
      <c r="AN12" s="2388"/>
      <c r="AO12" s="2388"/>
      <c r="AP12" s="2388"/>
      <c r="AQ12" s="2388"/>
      <c r="AR12" s="2388"/>
      <c r="AS12" s="2388"/>
      <c r="AT12" s="2388"/>
      <c r="AU12" s="2388"/>
      <c r="AV12" s="2388"/>
      <c r="AW12" s="2388"/>
      <c r="AX12" s="2388"/>
      <c r="AY12" s="2388"/>
      <c r="AZ12" s="2388"/>
      <c r="BA12" s="2388"/>
      <c r="BB12" s="2388"/>
      <c r="BC12" s="2388"/>
      <c r="BD12" s="2388"/>
      <c r="BE12" s="2388"/>
      <c r="BF12" s="2388"/>
      <c r="BG12" s="2388"/>
      <c r="BH12" s="2388"/>
      <c r="BI12" s="2388"/>
      <c r="BJ12" s="2388"/>
      <c r="BK12" s="2388"/>
      <c r="BL12" s="2388"/>
      <c r="BM12" s="2388"/>
      <c r="BN12" s="2388"/>
      <c r="BO12" s="2388"/>
      <c r="BP12" s="2388"/>
      <c r="BQ12" s="2388"/>
      <c r="BR12" s="2388"/>
      <c r="BS12" s="2388"/>
      <c r="BT12" s="2388"/>
      <c r="BU12" s="2388"/>
      <c r="BV12" s="2388"/>
    </row>
    <row r="13" spans="1:74" ht="15.75" customHeight="1">
      <c r="A13" s="2388"/>
      <c r="B13" s="2388"/>
      <c r="C13" s="2383" t="s">
        <v>2340</v>
      </c>
      <c r="D13" s="2406">
        <v>0.65</v>
      </c>
      <c r="E13" s="2462"/>
      <c r="F13" s="2367"/>
      <c r="G13" s="2370"/>
      <c r="H13" s="2363"/>
      <c r="I13" s="2363"/>
      <c r="J13" s="2360">
        <f>SUM(J7:J12)*D13</f>
        <v>6.614126097366321</v>
      </c>
      <c r="K13" s="2360">
        <f>SUM(K7:K12)*D13</f>
        <v>331.5</v>
      </c>
      <c r="L13" s="2396"/>
      <c r="M13" s="2388"/>
      <c r="N13" s="2388"/>
      <c r="O13" s="2404"/>
      <c r="P13" s="2388"/>
      <c r="Q13" s="2388"/>
      <c r="R13" s="2388"/>
      <c r="S13" s="2388"/>
      <c r="T13" s="2388"/>
      <c r="U13" s="2388"/>
      <c r="V13" s="2388"/>
      <c r="W13" s="2388"/>
      <c r="X13" s="2388"/>
      <c r="Y13" s="2388"/>
      <c r="Z13" s="2388"/>
      <c r="AA13" s="2388"/>
      <c r="AB13" s="2388"/>
      <c r="AC13" s="2388"/>
      <c r="AD13" s="2388"/>
      <c r="AE13" s="2388"/>
      <c r="AF13" s="2388"/>
      <c r="AG13" s="2388"/>
      <c r="AH13" s="2388"/>
      <c r="AI13" s="2388"/>
      <c r="AJ13" s="2388"/>
      <c r="AK13" s="2388"/>
      <c r="AL13" s="2388"/>
      <c r="AM13" s="2388"/>
      <c r="AN13" s="2388"/>
      <c r="AO13" s="2388"/>
      <c r="AP13" s="2388"/>
      <c r="AQ13" s="2388"/>
      <c r="AR13" s="2388"/>
      <c r="AS13" s="2388"/>
      <c r="AT13" s="2388"/>
      <c r="AU13" s="2388"/>
      <c r="AV13" s="2388"/>
      <c r="AW13" s="2388"/>
      <c r="AX13" s="2388"/>
      <c r="AY13" s="2388"/>
      <c r="AZ13" s="2388"/>
      <c r="BA13" s="2388"/>
      <c r="BB13" s="2388"/>
      <c r="BC13" s="2388"/>
      <c r="BD13" s="2388"/>
      <c r="BE13" s="2388"/>
      <c r="BF13" s="2388"/>
      <c r="BG13" s="2388"/>
      <c r="BH13" s="2388"/>
      <c r="BI13" s="2388"/>
      <c r="BJ13" s="2388"/>
      <c r="BK13" s="2388"/>
      <c r="BL13" s="2388"/>
      <c r="BM13" s="2388"/>
      <c r="BN13" s="2388"/>
      <c r="BO13" s="2388"/>
      <c r="BP13" s="2388"/>
      <c r="BQ13" s="2388"/>
      <c r="BR13" s="2388"/>
      <c r="BS13" s="2388"/>
      <c r="BT13" s="2388"/>
      <c r="BU13" s="2388"/>
      <c r="BV13" s="2388"/>
    </row>
    <row r="14" spans="1:74" ht="16.5" customHeight="1">
      <c r="A14" s="2388"/>
      <c r="B14" s="2388"/>
      <c r="C14" s="2407" t="s">
        <v>2400</v>
      </c>
      <c r="D14" s="2408"/>
      <c r="E14" s="2409"/>
      <c r="F14" s="2410"/>
      <c r="G14" s="2411">
        <f>SUM(G7:G12)</f>
        <v>1.02</v>
      </c>
      <c r="H14" s="2410"/>
      <c r="I14" s="2410"/>
      <c r="J14" s="2412">
        <f>SUM(J7:J13)</f>
        <v>16.789704708699123</v>
      </c>
      <c r="K14" s="2413">
        <f>SUM(K7:K13)</f>
        <v>841.5</v>
      </c>
      <c r="L14" s="2396"/>
      <c r="M14" s="2580"/>
      <c r="N14" s="2580"/>
      <c r="O14" s="2580"/>
      <c r="P14" s="2580"/>
      <c r="Q14" s="2580"/>
      <c r="R14" s="2278"/>
      <c r="S14" s="2388"/>
      <c r="T14" s="2388"/>
      <c r="U14" s="2388"/>
      <c r="V14" s="2388"/>
      <c r="W14" s="2388"/>
      <c r="X14" s="2388"/>
      <c r="Y14" s="2388"/>
      <c r="Z14" s="2388"/>
      <c r="AA14" s="2388"/>
      <c r="AB14" s="2388"/>
      <c r="AC14" s="2388"/>
      <c r="AD14" s="2388"/>
      <c r="AE14" s="2388"/>
      <c r="AF14" s="2388"/>
      <c r="AG14" s="2388"/>
      <c r="AH14" s="2388"/>
      <c r="AI14" s="2388"/>
      <c r="AJ14" s="2388"/>
      <c r="AK14" s="2388"/>
      <c r="AL14" s="2388"/>
      <c r="AM14" s="2388"/>
      <c r="AN14" s="2388"/>
      <c r="AO14" s="2388"/>
      <c r="AP14" s="2388"/>
      <c r="AQ14" s="2388"/>
      <c r="AR14" s="2388"/>
      <c r="AS14" s="2388"/>
      <c r="AT14" s="2388"/>
      <c r="AU14" s="2388"/>
      <c r="AV14" s="2388"/>
      <c r="AW14" s="2388"/>
      <c r="AX14" s="2388"/>
      <c r="AY14" s="2388"/>
      <c r="AZ14" s="2388"/>
      <c r="BA14" s="2388"/>
      <c r="BB14" s="2388"/>
      <c r="BC14" s="2388"/>
      <c r="BD14" s="2388"/>
      <c r="BE14" s="2388"/>
      <c r="BF14" s="2388"/>
      <c r="BG14" s="2388"/>
      <c r="BH14" s="2388"/>
      <c r="BI14" s="2388"/>
      <c r="BJ14" s="2388"/>
      <c r="BK14" s="2388"/>
      <c r="BL14" s="2388"/>
      <c r="BM14" s="2388"/>
      <c r="BN14" s="2388"/>
      <c r="BO14" s="2388"/>
      <c r="BP14" s="2388"/>
      <c r="BQ14" s="2388"/>
      <c r="BR14" s="2388"/>
      <c r="BS14" s="2388"/>
      <c r="BT14" s="2388"/>
      <c r="BU14" s="2388"/>
      <c r="BV14" s="2388"/>
    </row>
    <row r="15" spans="1:74" ht="15.75" customHeight="1">
      <c r="A15" s="2388"/>
      <c r="B15" s="2388"/>
      <c r="C15" s="2384" t="s">
        <v>2348</v>
      </c>
      <c r="D15" s="2378" t="s">
        <v>443</v>
      </c>
      <c r="E15" s="2455">
        <v>1</v>
      </c>
      <c r="F15" s="2365">
        <v>0.16</v>
      </c>
      <c r="G15" s="2361">
        <f>E15*F15</f>
        <v>0.16</v>
      </c>
      <c r="H15" s="2364">
        <f t="shared" ref="H15:H32" si="5">(F15*N$5)/N$6</f>
        <v>1.5961691939345573</v>
      </c>
      <c r="I15" s="2364">
        <f t="shared" ref="I15:I32" si="6">H15*N$6</f>
        <v>80</v>
      </c>
      <c r="J15" s="2360">
        <f>E15*H15</f>
        <v>1.5961691939345573</v>
      </c>
      <c r="K15" s="2360">
        <f t="shared" ref="K15:K32" si="7">J15*N$6</f>
        <v>80</v>
      </c>
      <c r="L15" s="2396"/>
      <c r="M15" s="2278"/>
      <c r="N15" s="2278"/>
      <c r="O15" s="2278"/>
      <c r="P15" s="2450"/>
      <c r="Q15" s="2451"/>
      <c r="R15" s="2278"/>
      <c r="S15" s="2388"/>
      <c r="T15" s="2388"/>
      <c r="U15" s="2388"/>
      <c r="V15" s="2388"/>
      <c r="W15" s="2388"/>
      <c r="X15" s="2388"/>
      <c r="Y15" s="2388"/>
      <c r="Z15" s="2388"/>
      <c r="AA15" s="2388"/>
      <c r="AB15" s="2388"/>
      <c r="AC15" s="2388"/>
      <c r="AD15" s="2388"/>
      <c r="AE15" s="2388"/>
      <c r="AF15" s="2388"/>
      <c r="AG15" s="2388"/>
      <c r="AH15" s="2388"/>
      <c r="AI15" s="2388"/>
      <c r="AJ15" s="2388"/>
      <c r="AK15" s="2388"/>
      <c r="AL15" s="2388"/>
      <c r="AM15" s="2388"/>
      <c r="AN15" s="2388"/>
      <c r="AO15" s="2388"/>
      <c r="AP15" s="2388"/>
      <c r="AQ15" s="2388"/>
      <c r="AR15" s="2388"/>
      <c r="AS15" s="2388"/>
      <c r="AT15" s="2388"/>
      <c r="AU15" s="2388"/>
      <c r="AV15" s="2388"/>
      <c r="AW15" s="2388"/>
      <c r="AX15" s="2388"/>
      <c r="AY15" s="2388"/>
      <c r="AZ15" s="2388"/>
      <c r="BA15" s="2388"/>
      <c r="BB15" s="2388"/>
      <c r="BC15" s="2388"/>
      <c r="BD15" s="2388"/>
      <c r="BE15" s="2388"/>
      <c r="BF15" s="2388"/>
      <c r="BG15" s="2388"/>
      <c r="BH15" s="2388"/>
      <c r="BI15" s="2388"/>
      <c r="BJ15" s="2388"/>
      <c r="BK15" s="2388"/>
      <c r="BL15" s="2388"/>
      <c r="BM15" s="2388"/>
      <c r="BN15" s="2388"/>
      <c r="BO15" s="2388"/>
      <c r="BP15" s="2388"/>
      <c r="BQ15" s="2388"/>
      <c r="BR15" s="2388"/>
      <c r="BS15" s="2388"/>
      <c r="BT15" s="2388"/>
      <c r="BU15" s="2388"/>
      <c r="BV15" s="2388"/>
    </row>
    <row r="16" spans="1:74" ht="15.75" customHeight="1">
      <c r="A16" s="2388"/>
      <c r="B16" s="2388"/>
      <c r="C16" s="2384" t="s">
        <v>2349</v>
      </c>
      <c r="D16" s="2378" t="s">
        <v>443</v>
      </c>
      <c r="E16" s="2455">
        <v>1</v>
      </c>
      <c r="F16" s="2365">
        <v>0.16</v>
      </c>
      <c r="G16" s="2361">
        <f t="shared" ref="G16:G26" si="8">E16*F16</f>
        <v>0.16</v>
      </c>
      <c r="H16" s="2364">
        <f t="shared" si="5"/>
        <v>1.5961691939345573</v>
      </c>
      <c r="I16" s="2364">
        <f t="shared" si="6"/>
        <v>80</v>
      </c>
      <c r="J16" s="2360">
        <f t="shared" ref="J16:J26" si="9">E16*H16</f>
        <v>1.5961691939345573</v>
      </c>
      <c r="K16" s="2360">
        <f t="shared" si="7"/>
        <v>80</v>
      </c>
      <c r="L16" s="2396"/>
      <c r="M16" s="2278"/>
      <c r="N16" s="2580"/>
      <c r="O16" s="2580"/>
      <c r="P16" s="2580"/>
      <c r="Q16" s="2580"/>
      <c r="R16" s="2278"/>
      <c r="S16" s="2388"/>
      <c r="T16" s="2388"/>
      <c r="U16" s="2388"/>
      <c r="V16" s="2388"/>
      <c r="W16" s="2388"/>
      <c r="X16" s="2388"/>
      <c r="Y16" s="2388"/>
      <c r="Z16" s="2388"/>
      <c r="AA16" s="2388"/>
      <c r="AB16" s="2388"/>
      <c r="AC16" s="2388"/>
      <c r="AD16" s="2388"/>
      <c r="AE16" s="2388"/>
      <c r="AF16" s="2388"/>
      <c r="AG16" s="2388"/>
      <c r="AH16" s="2388"/>
      <c r="AI16" s="2388"/>
      <c r="AJ16" s="2388"/>
      <c r="AK16" s="2388"/>
      <c r="AL16" s="2388"/>
      <c r="AM16" s="2388"/>
      <c r="AN16" s="2388"/>
      <c r="AO16" s="2388"/>
      <c r="AP16" s="2388"/>
      <c r="AQ16" s="2388"/>
      <c r="AR16" s="2388"/>
      <c r="AS16" s="2388"/>
      <c r="AT16" s="2388"/>
      <c r="AU16" s="2388"/>
      <c r="AV16" s="2388"/>
      <c r="AW16" s="2388"/>
      <c r="AX16" s="2388"/>
      <c r="AY16" s="2388"/>
      <c r="AZ16" s="2388"/>
      <c r="BA16" s="2388"/>
      <c r="BB16" s="2388"/>
      <c r="BC16" s="2388"/>
      <c r="BD16" s="2388"/>
      <c r="BE16" s="2388"/>
      <c r="BF16" s="2388"/>
      <c r="BG16" s="2388"/>
      <c r="BH16" s="2388"/>
      <c r="BI16" s="2388"/>
      <c r="BJ16" s="2388"/>
      <c r="BK16" s="2388"/>
      <c r="BL16" s="2388"/>
      <c r="BM16" s="2388"/>
      <c r="BN16" s="2388"/>
      <c r="BO16" s="2388"/>
      <c r="BP16" s="2388"/>
      <c r="BQ16" s="2388"/>
      <c r="BR16" s="2388"/>
      <c r="BS16" s="2388"/>
      <c r="BT16" s="2388"/>
      <c r="BU16" s="2388"/>
      <c r="BV16" s="2388"/>
    </row>
    <row r="17" spans="1:74" ht="15.75" customHeight="1">
      <c r="A17" s="2388"/>
      <c r="B17" s="2388"/>
      <c r="C17" s="2384" t="s">
        <v>2350</v>
      </c>
      <c r="D17" s="2378" t="s">
        <v>443</v>
      </c>
      <c r="E17" s="2455">
        <v>1</v>
      </c>
      <c r="F17" s="2365">
        <v>0.21</v>
      </c>
      <c r="G17" s="2361">
        <f t="shared" si="8"/>
        <v>0.21</v>
      </c>
      <c r="H17" s="2364">
        <f t="shared" si="5"/>
        <v>2.0949720670391061</v>
      </c>
      <c r="I17" s="2364">
        <f t="shared" si="6"/>
        <v>104.99999999999999</v>
      </c>
      <c r="J17" s="2360">
        <f t="shared" si="9"/>
        <v>2.0949720670391061</v>
      </c>
      <c r="K17" s="2360">
        <f t="shared" si="7"/>
        <v>104.99999999999999</v>
      </c>
      <c r="L17" s="2396"/>
      <c r="M17" s="2388"/>
      <c r="N17" s="2388"/>
      <c r="O17" s="2388"/>
      <c r="P17" s="2388"/>
      <c r="Q17" s="2388"/>
      <c r="R17" s="2388"/>
      <c r="S17" s="2388"/>
      <c r="T17" s="2388"/>
      <c r="U17" s="2388"/>
      <c r="V17" s="2388"/>
      <c r="W17" s="2388"/>
      <c r="X17" s="2388"/>
      <c r="Y17" s="2388"/>
      <c r="Z17" s="2388"/>
      <c r="AA17" s="2388"/>
      <c r="AB17" s="2388"/>
      <c r="AC17" s="2388"/>
      <c r="AD17" s="2388"/>
      <c r="AE17" s="2388"/>
      <c r="AF17" s="2388"/>
      <c r="AG17" s="2388"/>
      <c r="AH17" s="2388"/>
      <c r="AI17" s="2388"/>
      <c r="AJ17" s="2388"/>
      <c r="AK17" s="2388"/>
      <c r="AL17" s="2388"/>
      <c r="AM17" s="2388"/>
      <c r="AN17" s="2388"/>
      <c r="AO17" s="2388"/>
      <c r="AP17" s="2388"/>
      <c r="AQ17" s="2388"/>
      <c r="AR17" s="2388"/>
      <c r="AS17" s="2388"/>
      <c r="AT17" s="2388"/>
      <c r="AU17" s="2388"/>
      <c r="AV17" s="2388"/>
      <c r="AW17" s="2388"/>
      <c r="AX17" s="2388"/>
      <c r="AY17" s="2388"/>
      <c r="AZ17" s="2388"/>
      <c r="BA17" s="2388"/>
      <c r="BB17" s="2388"/>
      <c r="BC17" s="2388"/>
      <c r="BD17" s="2388"/>
      <c r="BE17" s="2388"/>
      <c r="BF17" s="2388"/>
      <c r="BG17" s="2388"/>
      <c r="BH17" s="2388"/>
      <c r="BI17" s="2388"/>
      <c r="BJ17" s="2388"/>
      <c r="BK17" s="2388"/>
      <c r="BL17" s="2388"/>
      <c r="BM17" s="2388"/>
      <c r="BN17" s="2388"/>
      <c r="BO17" s="2388"/>
      <c r="BP17" s="2388"/>
      <c r="BQ17" s="2388"/>
      <c r="BR17" s="2388"/>
      <c r="BS17" s="2388"/>
      <c r="BT17" s="2388"/>
      <c r="BU17" s="2388"/>
      <c r="BV17" s="2388"/>
    </row>
    <row r="18" spans="1:74" ht="15.75" customHeight="1">
      <c r="A18" s="2388"/>
      <c r="B18" s="2388"/>
      <c r="C18" s="2384" t="s">
        <v>2351</v>
      </c>
      <c r="D18" s="2378" t="s">
        <v>443</v>
      </c>
      <c r="E18" s="2455">
        <v>1</v>
      </c>
      <c r="F18" s="2365">
        <v>0.25</v>
      </c>
      <c r="G18" s="2361">
        <f t="shared" si="8"/>
        <v>0.25</v>
      </c>
      <c r="H18" s="2364">
        <f t="shared" si="5"/>
        <v>2.4940143655227454</v>
      </c>
      <c r="I18" s="2364">
        <f t="shared" si="6"/>
        <v>124.99999999999999</v>
      </c>
      <c r="J18" s="2360">
        <f t="shared" si="9"/>
        <v>2.4940143655227454</v>
      </c>
      <c r="K18" s="2360">
        <f t="shared" si="7"/>
        <v>124.99999999999999</v>
      </c>
      <c r="L18" s="2396"/>
      <c r="M18" s="2388"/>
      <c r="N18" s="2388"/>
      <c r="O18" s="2388"/>
      <c r="P18" s="2388"/>
      <c r="Q18" s="2388"/>
      <c r="R18" s="2388"/>
      <c r="S18" s="2388"/>
      <c r="T18" s="2388"/>
      <c r="U18" s="2388"/>
      <c r="V18" s="2388"/>
      <c r="W18" s="2388"/>
      <c r="X18" s="2388"/>
      <c r="Y18" s="2388"/>
      <c r="Z18" s="2388"/>
      <c r="AA18" s="2388"/>
      <c r="AB18" s="2388"/>
      <c r="AC18" s="2388"/>
      <c r="AD18" s="2388"/>
      <c r="AE18" s="2388"/>
      <c r="AF18" s="2388"/>
      <c r="AG18" s="2388"/>
      <c r="AH18" s="2388"/>
      <c r="AI18" s="2388"/>
      <c r="AJ18" s="2388"/>
      <c r="AK18" s="2388"/>
      <c r="AL18" s="2388"/>
      <c r="AM18" s="2388"/>
      <c r="AN18" s="2388"/>
      <c r="AO18" s="2388"/>
      <c r="AP18" s="2388"/>
      <c r="AQ18" s="2388"/>
      <c r="AR18" s="2388"/>
      <c r="AS18" s="2388"/>
      <c r="AT18" s="2388"/>
      <c r="AU18" s="2388"/>
      <c r="AV18" s="2388"/>
      <c r="AW18" s="2388"/>
      <c r="AX18" s="2388"/>
      <c r="AY18" s="2388"/>
      <c r="AZ18" s="2388"/>
      <c r="BA18" s="2388"/>
      <c r="BB18" s="2388"/>
      <c r="BC18" s="2388"/>
      <c r="BD18" s="2388"/>
      <c r="BE18" s="2388"/>
      <c r="BF18" s="2388"/>
      <c r="BG18" s="2388"/>
      <c r="BH18" s="2388"/>
      <c r="BI18" s="2388"/>
      <c r="BJ18" s="2388"/>
      <c r="BK18" s="2388"/>
      <c r="BL18" s="2388"/>
      <c r="BM18" s="2388"/>
      <c r="BN18" s="2388"/>
      <c r="BO18" s="2388"/>
      <c r="BP18" s="2388"/>
      <c r="BQ18" s="2388"/>
      <c r="BR18" s="2388"/>
      <c r="BS18" s="2388"/>
      <c r="BT18" s="2388"/>
      <c r="BU18" s="2388"/>
      <c r="BV18" s="2388"/>
    </row>
    <row r="19" spans="1:74" ht="15.75" customHeight="1">
      <c r="A19" s="2388"/>
      <c r="B19" s="2388"/>
      <c r="C19" s="2384" t="s">
        <v>2352</v>
      </c>
      <c r="D19" s="2378" t="s">
        <v>443</v>
      </c>
      <c r="E19" s="2455">
        <v>1</v>
      </c>
      <c r="F19" s="2365">
        <v>0.32</v>
      </c>
      <c r="G19" s="2361">
        <f t="shared" si="8"/>
        <v>0.32</v>
      </c>
      <c r="H19" s="2364">
        <f t="shared" si="5"/>
        <v>3.1923383878691145</v>
      </c>
      <c r="I19" s="2364">
        <f t="shared" si="6"/>
        <v>160</v>
      </c>
      <c r="J19" s="2360">
        <f t="shared" si="9"/>
        <v>3.1923383878691145</v>
      </c>
      <c r="K19" s="2360">
        <f t="shared" si="7"/>
        <v>160</v>
      </c>
      <c r="L19" s="2396"/>
      <c r="M19" s="2388"/>
      <c r="N19" s="2388"/>
      <c r="O19" s="2388"/>
      <c r="P19" s="2388"/>
      <c r="Q19" s="2388"/>
      <c r="R19" s="2388"/>
      <c r="S19" s="2388"/>
      <c r="T19" s="2388"/>
      <c r="U19" s="2388"/>
      <c r="V19" s="2388"/>
      <c r="W19" s="2388"/>
      <c r="X19" s="2388"/>
      <c r="Y19" s="2388"/>
      <c r="Z19" s="2388"/>
      <c r="AA19" s="2388"/>
      <c r="AB19" s="2388"/>
      <c r="AC19" s="2388"/>
      <c r="AD19" s="2388"/>
      <c r="AE19" s="2388"/>
      <c r="AF19" s="2388"/>
      <c r="AG19" s="2388"/>
      <c r="AH19" s="2388"/>
      <c r="AI19" s="2388"/>
      <c r="AJ19" s="2388"/>
      <c r="AK19" s="2388"/>
      <c r="AL19" s="2388"/>
      <c r="AM19" s="2388"/>
      <c r="AN19" s="2388"/>
      <c r="AO19" s="2388"/>
      <c r="AP19" s="2388"/>
      <c r="AQ19" s="2388"/>
      <c r="AR19" s="2388"/>
      <c r="AS19" s="2388"/>
      <c r="AT19" s="2388"/>
      <c r="AU19" s="2388"/>
      <c r="AV19" s="2388"/>
      <c r="AW19" s="2388"/>
      <c r="AX19" s="2388"/>
      <c r="AY19" s="2388"/>
      <c r="AZ19" s="2388"/>
      <c r="BA19" s="2388"/>
      <c r="BB19" s="2388"/>
      <c r="BC19" s="2388"/>
      <c r="BD19" s="2388"/>
      <c r="BE19" s="2388"/>
      <c r="BF19" s="2388"/>
      <c r="BG19" s="2388"/>
      <c r="BH19" s="2388"/>
      <c r="BI19" s="2388"/>
      <c r="BJ19" s="2388"/>
      <c r="BK19" s="2388"/>
      <c r="BL19" s="2388"/>
      <c r="BM19" s="2388"/>
      <c r="BN19" s="2388"/>
      <c r="BO19" s="2388"/>
      <c r="BP19" s="2388"/>
      <c r="BQ19" s="2388"/>
      <c r="BR19" s="2388"/>
      <c r="BS19" s="2388"/>
      <c r="BT19" s="2388"/>
      <c r="BU19" s="2388"/>
      <c r="BV19" s="2388"/>
    </row>
    <row r="20" spans="1:74" ht="15.75" customHeight="1">
      <c r="A20" s="2388"/>
      <c r="B20" s="2388"/>
      <c r="C20" s="2384" t="s">
        <v>2353</v>
      </c>
      <c r="D20" s="2378" t="s">
        <v>443</v>
      </c>
      <c r="E20" s="2455">
        <v>1</v>
      </c>
      <c r="F20" s="2365">
        <v>0.32</v>
      </c>
      <c r="G20" s="2361">
        <f t="shared" si="8"/>
        <v>0.32</v>
      </c>
      <c r="H20" s="2364">
        <f t="shared" si="5"/>
        <v>3.1923383878691145</v>
      </c>
      <c r="I20" s="2364">
        <f t="shared" si="6"/>
        <v>160</v>
      </c>
      <c r="J20" s="2360">
        <f t="shared" si="9"/>
        <v>3.1923383878691145</v>
      </c>
      <c r="K20" s="2360">
        <f t="shared" si="7"/>
        <v>160</v>
      </c>
      <c r="L20" s="2396"/>
      <c r="M20" s="2388"/>
      <c r="N20" s="2388"/>
      <c r="O20" s="2388"/>
      <c r="P20" s="2388"/>
      <c r="Q20" s="2388"/>
      <c r="R20" s="2388"/>
      <c r="S20" s="2388"/>
      <c r="T20" s="2388"/>
      <c r="U20" s="2388"/>
      <c r="V20" s="2388"/>
      <c r="W20" s="2388"/>
      <c r="X20" s="2388"/>
      <c r="Y20" s="2388"/>
      <c r="Z20" s="2388"/>
      <c r="AA20" s="2388"/>
      <c r="AB20" s="2388"/>
      <c r="AC20" s="2388"/>
      <c r="AD20" s="2388"/>
      <c r="AE20" s="2388"/>
      <c r="AF20" s="2388"/>
      <c r="AG20" s="2388"/>
      <c r="AH20" s="2388"/>
      <c r="AI20" s="2388"/>
      <c r="AJ20" s="2388"/>
      <c r="AK20" s="2388"/>
      <c r="AL20" s="2388"/>
      <c r="AM20" s="2388"/>
      <c r="AN20" s="2388"/>
      <c r="AO20" s="2388"/>
      <c r="AP20" s="2388"/>
      <c r="AQ20" s="2388"/>
      <c r="AR20" s="2388"/>
      <c r="AS20" s="2388"/>
      <c r="AT20" s="2388"/>
      <c r="AU20" s="2388"/>
      <c r="AV20" s="2388"/>
      <c r="AW20" s="2388"/>
      <c r="AX20" s="2388"/>
      <c r="AY20" s="2388"/>
      <c r="AZ20" s="2388"/>
      <c r="BA20" s="2388"/>
      <c r="BB20" s="2388"/>
      <c r="BC20" s="2388"/>
      <c r="BD20" s="2388"/>
      <c r="BE20" s="2388"/>
      <c r="BF20" s="2388"/>
      <c r="BG20" s="2388"/>
      <c r="BH20" s="2388"/>
      <c r="BI20" s="2388"/>
      <c r="BJ20" s="2388"/>
      <c r="BK20" s="2388"/>
      <c r="BL20" s="2388"/>
      <c r="BM20" s="2388"/>
      <c r="BN20" s="2388"/>
      <c r="BO20" s="2388"/>
      <c r="BP20" s="2388"/>
      <c r="BQ20" s="2388"/>
      <c r="BR20" s="2388"/>
      <c r="BS20" s="2388"/>
      <c r="BT20" s="2388"/>
      <c r="BU20" s="2388"/>
      <c r="BV20" s="2388"/>
    </row>
    <row r="21" spans="1:74" ht="15.75" customHeight="1">
      <c r="A21" s="2388"/>
      <c r="B21" s="2388"/>
      <c r="C21" s="2384" t="s">
        <v>2354</v>
      </c>
      <c r="D21" s="2378" t="s">
        <v>443</v>
      </c>
      <c r="E21" s="2455">
        <v>1</v>
      </c>
      <c r="F21" s="2365">
        <v>0.25</v>
      </c>
      <c r="G21" s="2361">
        <f t="shared" si="8"/>
        <v>0.25</v>
      </c>
      <c r="H21" s="2364">
        <f t="shared" si="5"/>
        <v>2.4940143655227454</v>
      </c>
      <c r="I21" s="2364">
        <f t="shared" si="6"/>
        <v>124.99999999999999</v>
      </c>
      <c r="J21" s="2360">
        <f t="shared" si="9"/>
        <v>2.4940143655227454</v>
      </c>
      <c r="K21" s="2360">
        <f t="shared" si="7"/>
        <v>124.99999999999999</v>
      </c>
      <c r="L21" s="2396"/>
      <c r="M21" s="2388"/>
      <c r="N21" s="2388"/>
      <c r="O21" s="2388"/>
      <c r="P21" s="2388"/>
      <c r="Q21" s="2388"/>
      <c r="R21" s="2388"/>
      <c r="S21" s="2388"/>
      <c r="T21" s="2388"/>
      <c r="U21" s="2388"/>
      <c r="V21" s="2388"/>
      <c r="W21" s="2388"/>
      <c r="X21" s="2388"/>
      <c r="Y21" s="2388"/>
      <c r="Z21" s="2388"/>
      <c r="AA21" s="2388"/>
      <c r="AB21" s="2388"/>
      <c r="AC21" s="2388"/>
      <c r="AD21" s="2388"/>
      <c r="AE21" s="2388"/>
      <c r="AF21" s="2388"/>
      <c r="AG21" s="2388"/>
      <c r="AH21" s="2388"/>
      <c r="AI21" s="2388"/>
      <c r="AJ21" s="2388"/>
      <c r="AK21" s="2388"/>
      <c r="AL21" s="2388"/>
      <c r="AM21" s="2388"/>
      <c r="AN21" s="2388"/>
      <c r="AO21" s="2388"/>
      <c r="AP21" s="2388"/>
      <c r="AQ21" s="2388"/>
      <c r="AR21" s="2388"/>
      <c r="AS21" s="2388"/>
      <c r="AT21" s="2388"/>
      <c r="AU21" s="2388"/>
      <c r="AV21" s="2388"/>
      <c r="AW21" s="2388"/>
      <c r="AX21" s="2388"/>
      <c r="AY21" s="2388"/>
      <c r="AZ21" s="2388"/>
      <c r="BA21" s="2388"/>
      <c r="BB21" s="2388"/>
      <c r="BC21" s="2388"/>
      <c r="BD21" s="2388"/>
      <c r="BE21" s="2388"/>
      <c r="BF21" s="2388"/>
      <c r="BG21" s="2388"/>
      <c r="BH21" s="2388"/>
      <c r="BI21" s="2388"/>
      <c r="BJ21" s="2388"/>
      <c r="BK21" s="2388"/>
      <c r="BL21" s="2388"/>
      <c r="BM21" s="2388"/>
      <c r="BN21" s="2388"/>
      <c r="BO21" s="2388"/>
      <c r="BP21" s="2388"/>
      <c r="BQ21" s="2388"/>
      <c r="BR21" s="2388"/>
      <c r="BS21" s="2388"/>
      <c r="BT21" s="2388"/>
      <c r="BU21" s="2388"/>
      <c r="BV21" s="2388"/>
    </row>
    <row r="22" spans="1:74" ht="15.75" customHeight="1">
      <c r="A22" s="2388"/>
      <c r="B22" s="2388"/>
      <c r="C22" s="2384" t="s">
        <v>2355</v>
      </c>
      <c r="D22" s="2378" t="s">
        <v>443</v>
      </c>
      <c r="E22" s="2455">
        <v>1</v>
      </c>
      <c r="F22" s="2365">
        <v>0.25</v>
      </c>
      <c r="G22" s="2361">
        <f t="shared" si="8"/>
        <v>0.25</v>
      </c>
      <c r="H22" s="2364">
        <f t="shared" si="5"/>
        <v>2.4940143655227454</v>
      </c>
      <c r="I22" s="2364">
        <f t="shared" si="6"/>
        <v>124.99999999999999</v>
      </c>
      <c r="J22" s="2360">
        <f t="shared" si="9"/>
        <v>2.4940143655227454</v>
      </c>
      <c r="K22" s="2360">
        <f t="shared" si="7"/>
        <v>124.99999999999999</v>
      </c>
      <c r="L22" s="2396"/>
      <c r="M22" s="2388"/>
      <c r="N22" s="2388"/>
      <c r="O22" s="2388"/>
      <c r="P22" s="2388"/>
      <c r="Q22" s="2388"/>
      <c r="R22" s="2388"/>
      <c r="S22" s="2388"/>
      <c r="T22" s="2388"/>
      <c r="U22" s="2388"/>
      <c r="V22" s="2388"/>
      <c r="W22" s="2388"/>
      <c r="X22" s="2388"/>
      <c r="Y22" s="2388"/>
      <c r="Z22" s="2388"/>
      <c r="AA22" s="2388"/>
      <c r="AB22" s="2388"/>
      <c r="AC22" s="2388"/>
      <c r="AD22" s="2388"/>
      <c r="AE22" s="2388"/>
      <c r="AF22" s="2388"/>
      <c r="AG22" s="2388"/>
      <c r="AH22" s="2388"/>
      <c r="AI22" s="2388"/>
      <c r="AJ22" s="2388"/>
      <c r="AK22" s="2388"/>
      <c r="AL22" s="2388"/>
      <c r="AM22" s="2388"/>
      <c r="AN22" s="2388"/>
      <c r="AO22" s="2388"/>
      <c r="AP22" s="2388"/>
      <c r="AQ22" s="2388"/>
      <c r="AR22" s="2388"/>
      <c r="AS22" s="2388"/>
      <c r="AT22" s="2388"/>
      <c r="AU22" s="2388"/>
      <c r="AV22" s="2388"/>
      <c r="AW22" s="2388"/>
      <c r="AX22" s="2388"/>
      <c r="AY22" s="2388"/>
      <c r="AZ22" s="2388"/>
      <c r="BA22" s="2388"/>
      <c r="BB22" s="2388"/>
      <c r="BC22" s="2388"/>
      <c r="BD22" s="2388"/>
      <c r="BE22" s="2388"/>
      <c r="BF22" s="2388"/>
      <c r="BG22" s="2388"/>
      <c r="BH22" s="2388"/>
      <c r="BI22" s="2388"/>
      <c r="BJ22" s="2388"/>
      <c r="BK22" s="2388"/>
      <c r="BL22" s="2388"/>
      <c r="BM22" s="2388"/>
      <c r="BN22" s="2388"/>
      <c r="BO22" s="2388"/>
      <c r="BP22" s="2388"/>
      <c r="BQ22" s="2388"/>
      <c r="BR22" s="2388"/>
      <c r="BS22" s="2388"/>
      <c r="BT22" s="2388"/>
      <c r="BU22" s="2388"/>
      <c r="BV22" s="2388"/>
    </row>
    <row r="23" spans="1:74" ht="15.75" customHeight="1">
      <c r="A23" s="2388"/>
      <c r="B23" s="2388"/>
      <c r="C23" s="2384" t="s">
        <v>2356</v>
      </c>
      <c r="D23" s="2378" t="s">
        <v>443</v>
      </c>
      <c r="E23" s="2455">
        <v>1</v>
      </c>
      <c r="F23" s="2365">
        <v>0.32</v>
      </c>
      <c r="G23" s="2361">
        <f t="shared" si="8"/>
        <v>0.32</v>
      </c>
      <c r="H23" s="2364">
        <f t="shared" si="5"/>
        <v>3.1923383878691145</v>
      </c>
      <c r="I23" s="2364">
        <f t="shared" si="6"/>
        <v>160</v>
      </c>
      <c r="J23" s="2360">
        <f t="shared" si="9"/>
        <v>3.1923383878691145</v>
      </c>
      <c r="K23" s="2360">
        <f t="shared" si="7"/>
        <v>160</v>
      </c>
      <c r="L23" s="2396"/>
      <c r="M23" s="2388"/>
      <c r="N23" s="2388"/>
      <c r="O23" s="2388"/>
      <c r="P23" s="2388"/>
      <c r="Q23" s="2388"/>
      <c r="R23" s="2388"/>
      <c r="S23" s="2388"/>
      <c r="T23" s="2388"/>
      <c r="U23" s="2388"/>
      <c r="V23" s="2388"/>
      <c r="W23" s="2388"/>
      <c r="X23" s="2388"/>
      <c r="Y23" s="2388"/>
      <c r="Z23" s="2388"/>
      <c r="AA23" s="2388"/>
      <c r="AB23" s="2388"/>
      <c r="AC23" s="2388"/>
      <c r="AD23" s="2388"/>
      <c r="AE23" s="2388"/>
      <c r="AF23" s="2388"/>
      <c r="AG23" s="2388"/>
      <c r="AH23" s="2388"/>
      <c r="AI23" s="2388"/>
      <c r="AJ23" s="2388"/>
      <c r="AK23" s="2388"/>
      <c r="AL23" s="2388"/>
      <c r="AM23" s="2388"/>
      <c r="AN23" s="2388"/>
      <c r="AO23" s="2388"/>
      <c r="AP23" s="2388"/>
      <c r="AQ23" s="2388"/>
      <c r="AR23" s="2388"/>
      <c r="AS23" s="2388"/>
      <c r="AT23" s="2388"/>
      <c r="AU23" s="2388"/>
      <c r="AV23" s="2388"/>
      <c r="AW23" s="2388"/>
      <c r="AX23" s="2388"/>
      <c r="AY23" s="2388"/>
      <c r="AZ23" s="2388"/>
      <c r="BA23" s="2388"/>
      <c r="BB23" s="2388"/>
      <c r="BC23" s="2388"/>
      <c r="BD23" s="2388"/>
      <c r="BE23" s="2388"/>
      <c r="BF23" s="2388"/>
      <c r="BG23" s="2388"/>
      <c r="BH23" s="2388"/>
      <c r="BI23" s="2388"/>
      <c r="BJ23" s="2388"/>
      <c r="BK23" s="2388"/>
      <c r="BL23" s="2388"/>
      <c r="BM23" s="2388"/>
      <c r="BN23" s="2388"/>
      <c r="BO23" s="2388"/>
      <c r="BP23" s="2388"/>
      <c r="BQ23" s="2388"/>
      <c r="BR23" s="2388"/>
      <c r="BS23" s="2388"/>
      <c r="BT23" s="2388"/>
      <c r="BU23" s="2388"/>
      <c r="BV23" s="2388"/>
    </row>
    <row r="24" spans="1:74" ht="15.75" customHeight="1">
      <c r="A24" s="2388"/>
      <c r="B24" s="2388"/>
      <c r="C24" s="2384" t="s">
        <v>2357</v>
      </c>
      <c r="D24" s="2378" t="s">
        <v>443</v>
      </c>
      <c r="E24" s="2455">
        <v>1</v>
      </c>
      <c r="F24" s="2365">
        <v>0.41</v>
      </c>
      <c r="G24" s="2361">
        <f t="shared" si="8"/>
        <v>0.41</v>
      </c>
      <c r="H24" s="2364">
        <f t="shared" si="5"/>
        <v>4.0901835594573024</v>
      </c>
      <c r="I24" s="2364">
        <f t="shared" si="6"/>
        <v>204.99999999999997</v>
      </c>
      <c r="J24" s="2360">
        <f t="shared" si="9"/>
        <v>4.0901835594573024</v>
      </c>
      <c r="K24" s="2360">
        <f t="shared" si="7"/>
        <v>204.99999999999997</v>
      </c>
      <c r="L24" s="2396"/>
      <c r="M24" s="2388"/>
      <c r="N24" s="2388"/>
      <c r="O24" s="2388"/>
      <c r="P24" s="2388"/>
      <c r="Q24" s="2388"/>
      <c r="R24" s="2388"/>
      <c r="S24" s="2388"/>
      <c r="T24" s="2388"/>
      <c r="U24" s="2388"/>
      <c r="V24" s="2388"/>
      <c r="W24" s="2388"/>
      <c r="X24" s="2388"/>
      <c r="Y24" s="2388"/>
      <c r="Z24" s="2388"/>
      <c r="AA24" s="2388"/>
      <c r="AB24" s="2388"/>
      <c r="AC24" s="2388"/>
      <c r="AD24" s="2388"/>
      <c r="AE24" s="2388"/>
      <c r="AF24" s="2388"/>
      <c r="AG24" s="2388"/>
      <c r="AH24" s="2388"/>
      <c r="AI24" s="2388"/>
      <c r="AJ24" s="2388"/>
      <c r="AK24" s="2388"/>
      <c r="AL24" s="2388"/>
      <c r="AM24" s="2388"/>
      <c r="AN24" s="2388"/>
      <c r="AO24" s="2388"/>
      <c r="AP24" s="2388"/>
      <c r="AQ24" s="2388"/>
      <c r="AR24" s="2388"/>
      <c r="AS24" s="2388"/>
      <c r="AT24" s="2388"/>
      <c r="AU24" s="2388"/>
      <c r="AV24" s="2388"/>
      <c r="AW24" s="2388"/>
      <c r="AX24" s="2388"/>
      <c r="AY24" s="2388"/>
      <c r="AZ24" s="2388"/>
      <c r="BA24" s="2388"/>
      <c r="BB24" s="2388"/>
      <c r="BC24" s="2388"/>
      <c r="BD24" s="2388"/>
      <c r="BE24" s="2388"/>
      <c r="BF24" s="2388"/>
      <c r="BG24" s="2388"/>
      <c r="BH24" s="2388"/>
      <c r="BI24" s="2388"/>
      <c r="BJ24" s="2388"/>
      <c r="BK24" s="2388"/>
      <c r="BL24" s="2388"/>
      <c r="BM24" s="2388"/>
      <c r="BN24" s="2388"/>
      <c r="BO24" s="2388"/>
      <c r="BP24" s="2388"/>
      <c r="BQ24" s="2388"/>
      <c r="BR24" s="2388"/>
      <c r="BS24" s="2388"/>
      <c r="BT24" s="2388"/>
      <c r="BU24" s="2388"/>
      <c r="BV24" s="2388"/>
    </row>
    <row r="25" spans="1:74" ht="15.75" customHeight="1">
      <c r="A25" s="2388"/>
      <c r="B25" s="2388"/>
      <c r="C25" s="2384" t="s">
        <v>2358</v>
      </c>
      <c r="D25" s="2378" t="s">
        <v>443</v>
      </c>
      <c r="E25" s="2455">
        <v>1</v>
      </c>
      <c r="F25" s="2365">
        <v>0.56999999999999995</v>
      </c>
      <c r="G25" s="2361">
        <f t="shared" si="8"/>
        <v>0.56999999999999995</v>
      </c>
      <c r="H25" s="2364">
        <f t="shared" si="5"/>
        <v>5.6863527533918594</v>
      </c>
      <c r="I25" s="2364">
        <f t="shared" si="6"/>
        <v>285</v>
      </c>
      <c r="J25" s="2360">
        <f t="shared" si="9"/>
        <v>5.6863527533918594</v>
      </c>
      <c r="K25" s="2360">
        <f t="shared" si="7"/>
        <v>285</v>
      </c>
      <c r="L25" s="2396"/>
      <c r="M25" s="2388"/>
      <c r="N25" s="2388"/>
      <c r="O25" s="2388"/>
      <c r="P25" s="2388"/>
      <c r="Q25" s="2388"/>
      <c r="R25" s="2388"/>
      <c r="S25" s="2388"/>
      <c r="T25" s="2388"/>
      <c r="U25" s="2388"/>
      <c r="V25" s="2388"/>
      <c r="W25" s="2388"/>
      <c r="X25" s="2388"/>
      <c r="Y25" s="2388"/>
      <c r="Z25" s="2388"/>
      <c r="AA25" s="2388"/>
      <c r="AB25" s="2388"/>
      <c r="AC25" s="2388"/>
      <c r="AD25" s="2388"/>
      <c r="AE25" s="2388"/>
      <c r="AF25" s="2388"/>
      <c r="AG25" s="2388"/>
      <c r="AH25" s="2388"/>
      <c r="AI25" s="2388"/>
      <c r="AJ25" s="2388"/>
      <c r="AK25" s="2388"/>
      <c r="AL25" s="2388"/>
      <c r="AM25" s="2388"/>
      <c r="AN25" s="2388"/>
      <c r="AO25" s="2388"/>
      <c r="AP25" s="2388"/>
      <c r="AQ25" s="2388"/>
      <c r="AR25" s="2388"/>
      <c r="AS25" s="2388"/>
      <c r="AT25" s="2388"/>
      <c r="AU25" s="2388"/>
      <c r="AV25" s="2388"/>
      <c r="AW25" s="2388"/>
      <c r="AX25" s="2388"/>
      <c r="AY25" s="2388"/>
      <c r="AZ25" s="2388"/>
      <c r="BA25" s="2388"/>
      <c r="BB25" s="2388"/>
      <c r="BC25" s="2388"/>
      <c r="BD25" s="2388"/>
      <c r="BE25" s="2388"/>
      <c r="BF25" s="2388"/>
      <c r="BG25" s="2388"/>
      <c r="BH25" s="2388"/>
      <c r="BI25" s="2388"/>
      <c r="BJ25" s="2388"/>
      <c r="BK25" s="2388"/>
      <c r="BL25" s="2388"/>
      <c r="BM25" s="2388"/>
      <c r="BN25" s="2388"/>
      <c r="BO25" s="2388"/>
      <c r="BP25" s="2388"/>
      <c r="BQ25" s="2388"/>
      <c r="BR25" s="2388"/>
      <c r="BS25" s="2388"/>
      <c r="BT25" s="2388"/>
      <c r="BU25" s="2388"/>
      <c r="BV25" s="2388"/>
    </row>
    <row r="26" spans="1:74" ht="15.75" customHeight="1">
      <c r="A26" s="2388"/>
      <c r="B26" s="2388"/>
      <c r="C26" s="2384" t="s">
        <v>2359</v>
      </c>
      <c r="D26" s="2378" t="s">
        <v>443</v>
      </c>
      <c r="E26" s="2455">
        <v>1</v>
      </c>
      <c r="F26" s="2365">
        <v>0.56999999999999995</v>
      </c>
      <c r="G26" s="2361">
        <f t="shared" si="8"/>
        <v>0.56999999999999995</v>
      </c>
      <c r="H26" s="2364">
        <f t="shared" si="5"/>
        <v>5.6863527533918594</v>
      </c>
      <c r="I26" s="2364">
        <f t="shared" si="6"/>
        <v>285</v>
      </c>
      <c r="J26" s="2360">
        <f t="shared" si="9"/>
        <v>5.6863527533918594</v>
      </c>
      <c r="K26" s="2360">
        <f t="shared" si="7"/>
        <v>285</v>
      </c>
      <c r="L26" s="2396"/>
      <c r="M26" s="2388"/>
      <c r="N26" s="2388"/>
      <c r="O26" s="2388"/>
      <c r="P26" s="2388"/>
      <c r="Q26" s="2388"/>
      <c r="R26" s="2388"/>
      <c r="S26" s="2388"/>
      <c r="T26" s="2388"/>
      <c r="U26" s="2388"/>
      <c r="V26" s="2388"/>
      <c r="W26" s="2388"/>
      <c r="X26" s="2388"/>
      <c r="Y26" s="2388"/>
      <c r="Z26" s="2388"/>
      <c r="AA26" s="2388"/>
      <c r="AB26" s="2388"/>
      <c r="AC26" s="2388"/>
      <c r="AD26" s="2388"/>
      <c r="AE26" s="2388"/>
      <c r="AF26" s="2388"/>
      <c r="AG26" s="2388"/>
      <c r="AH26" s="2388"/>
      <c r="AI26" s="2388"/>
      <c r="AJ26" s="2388"/>
      <c r="AK26" s="2388"/>
      <c r="AL26" s="2388"/>
      <c r="AM26" s="2388"/>
      <c r="AN26" s="2388"/>
      <c r="AO26" s="2388"/>
      <c r="AP26" s="2388"/>
      <c r="AQ26" s="2388"/>
      <c r="AR26" s="2388"/>
      <c r="AS26" s="2388"/>
      <c r="AT26" s="2388"/>
      <c r="AU26" s="2388"/>
      <c r="AV26" s="2388"/>
      <c r="AW26" s="2388"/>
      <c r="AX26" s="2388"/>
      <c r="AY26" s="2388"/>
      <c r="AZ26" s="2388"/>
      <c r="BA26" s="2388"/>
      <c r="BB26" s="2388"/>
      <c r="BC26" s="2388"/>
      <c r="BD26" s="2388"/>
      <c r="BE26" s="2388"/>
      <c r="BF26" s="2388"/>
      <c r="BG26" s="2388"/>
      <c r="BH26" s="2388"/>
      <c r="BI26" s="2388"/>
      <c r="BJ26" s="2388"/>
      <c r="BK26" s="2388"/>
      <c r="BL26" s="2388"/>
      <c r="BM26" s="2388"/>
      <c r="BN26" s="2388"/>
      <c r="BO26" s="2388"/>
      <c r="BP26" s="2388"/>
      <c r="BQ26" s="2388"/>
      <c r="BR26" s="2388"/>
      <c r="BS26" s="2388"/>
      <c r="BT26" s="2388"/>
      <c r="BU26" s="2388"/>
      <c r="BV26" s="2388"/>
    </row>
    <row r="27" spans="1:74" ht="15.75" customHeight="1">
      <c r="A27" s="2388"/>
      <c r="B27" s="2388"/>
      <c r="C27" s="2384" t="s">
        <v>2360</v>
      </c>
      <c r="D27" s="2378" t="s">
        <v>443</v>
      </c>
      <c r="E27" s="2455">
        <v>1</v>
      </c>
      <c r="F27" s="2365">
        <v>0.49</v>
      </c>
      <c r="G27" s="2361">
        <f t="shared" ref="G27:G32" si="10">E27*F27</f>
        <v>0.49</v>
      </c>
      <c r="H27" s="2364">
        <f t="shared" si="5"/>
        <v>4.8882681564245809</v>
      </c>
      <c r="I27" s="2364">
        <f t="shared" si="6"/>
        <v>244.99999999999997</v>
      </c>
      <c r="J27" s="2360">
        <f t="shared" ref="J27:J32" si="11">E27*H27</f>
        <v>4.8882681564245809</v>
      </c>
      <c r="K27" s="2360">
        <f t="shared" si="7"/>
        <v>244.99999999999997</v>
      </c>
      <c r="L27" s="2396"/>
      <c r="M27" s="2388"/>
      <c r="N27" s="2388"/>
      <c r="O27" s="2388"/>
      <c r="P27" s="2388"/>
      <c r="Q27" s="2388"/>
      <c r="R27" s="2388"/>
      <c r="S27" s="2388"/>
      <c r="T27" s="2388"/>
      <c r="U27" s="2388"/>
      <c r="V27" s="2388"/>
      <c r="W27" s="2388"/>
      <c r="X27" s="2388"/>
      <c r="Y27" s="2388"/>
      <c r="Z27" s="2388"/>
      <c r="AA27" s="2388"/>
      <c r="AB27" s="2388"/>
      <c r="AC27" s="2388"/>
      <c r="AD27" s="2388"/>
      <c r="AE27" s="2388"/>
      <c r="AF27" s="2388"/>
      <c r="AG27" s="2388"/>
      <c r="AH27" s="2388"/>
      <c r="AI27" s="2388"/>
      <c r="AJ27" s="2388"/>
      <c r="AK27" s="2388"/>
      <c r="AL27" s="2388"/>
      <c r="AM27" s="2388"/>
      <c r="AN27" s="2388"/>
      <c r="AO27" s="2388"/>
      <c r="AP27" s="2388"/>
      <c r="AQ27" s="2388"/>
      <c r="AR27" s="2388"/>
      <c r="AS27" s="2388"/>
      <c r="AT27" s="2388"/>
      <c r="AU27" s="2388"/>
      <c r="AV27" s="2388"/>
      <c r="AW27" s="2388"/>
      <c r="AX27" s="2388"/>
      <c r="AY27" s="2388"/>
      <c r="AZ27" s="2388"/>
      <c r="BA27" s="2388"/>
      <c r="BB27" s="2388"/>
      <c r="BC27" s="2388"/>
      <c r="BD27" s="2388"/>
      <c r="BE27" s="2388"/>
      <c r="BF27" s="2388"/>
      <c r="BG27" s="2388"/>
      <c r="BH27" s="2388"/>
      <c r="BI27" s="2388"/>
      <c r="BJ27" s="2388"/>
      <c r="BK27" s="2388"/>
      <c r="BL27" s="2388"/>
      <c r="BM27" s="2388"/>
      <c r="BN27" s="2388"/>
      <c r="BO27" s="2388"/>
      <c r="BP27" s="2388"/>
      <c r="BQ27" s="2388"/>
      <c r="BR27" s="2388"/>
      <c r="BS27" s="2388"/>
      <c r="BT27" s="2388"/>
      <c r="BU27" s="2388"/>
      <c r="BV27" s="2388"/>
    </row>
    <row r="28" spans="1:74" ht="15.75" customHeight="1">
      <c r="A28" s="2388"/>
      <c r="B28" s="2388"/>
      <c r="C28" s="2384" t="s">
        <v>2361</v>
      </c>
      <c r="D28" s="2378" t="s">
        <v>443</v>
      </c>
      <c r="E28" s="2455">
        <v>1</v>
      </c>
      <c r="F28" s="2365">
        <v>0.59</v>
      </c>
      <c r="G28" s="2361">
        <f t="shared" si="10"/>
        <v>0.59</v>
      </c>
      <c r="H28" s="2364">
        <f t="shared" si="5"/>
        <v>5.885873902633679</v>
      </c>
      <c r="I28" s="2364">
        <f t="shared" si="6"/>
        <v>295</v>
      </c>
      <c r="J28" s="2360">
        <f t="shared" si="11"/>
        <v>5.885873902633679</v>
      </c>
      <c r="K28" s="2360">
        <f t="shared" si="7"/>
        <v>295</v>
      </c>
      <c r="L28" s="2396"/>
      <c r="M28" s="2388"/>
      <c r="N28" s="2388"/>
      <c r="O28" s="2388"/>
      <c r="P28" s="2388"/>
      <c r="Q28" s="2388"/>
      <c r="R28" s="2388"/>
      <c r="S28" s="2388"/>
      <c r="T28" s="2388"/>
      <c r="U28" s="2388"/>
      <c r="V28" s="2388"/>
      <c r="W28" s="2388"/>
      <c r="X28" s="2388"/>
      <c r="Y28" s="2388"/>
      <c r="Z28" s="2388"/>
      <c r="AA28" s="2388"/>
      <c r="AB28" s="2388"/>
      <c r="AC28" s="2388"/>
      <c r="AD28" s="2388"/>
      <c r="AE28" s="2388"/>
      <c r="AF28" s="2388"/>
      <c r="AG28" s="2388"/>
      <c r="AH28" s="2388"/>
      <c r="AI28" s="2388"/>
      <c r="AJ28" s="2388"/>
      <c r="AK28" s="2388"/>
      <c r="AL28" s="2388"/>
      <c r="AM28" s="2388"/>
      <c r="AN28" s="2388"/>
      <c r="AO28" s="2388"/>
      <c r="AP28" s="2388"/>
      <c r="AQ28" s="2388"/>
      <c r="AR28" s="2388"/>
      <c r="AS28" s="2388"/>
      <c r="AT28" s="2388"/>
      <c r="AU28" s="2388"/>
      <c r="AV28" s="2388"/>
      <c r="AW28" s="2388"/>
      <c r="AX28" s="2388"/>
      <c r="AY28" s="2388"/>
      <c r="AZ28" s="2388"/>
      <c r="BA28" s="2388"/>
      <c r="BB28" s="2388"/>
      <c r="BC28" s="2388"/>
      <c r="BD28" s="2388"/>
      <c r="BE28" s="2388"/>
      <c r="BF28" s="2388"/>
      <c r="BG28" s="2388"/>
      <c r="BH28" s="2388"/>
      <c r="BI28" s="2388"/>
      <c r="BJ28" s="2388"/>
      <c r="BK28" s="2388"/>
      <c r="BL28" s="2388"/>
      <c r="BM28" s="2388"/>
      <c r="BN28" s="2388"/>
      <c r="BO28" s="2388"/>
      <c r="BP28" s="2388"/>
      <c r="BQ28" s="2388"/>
      <c r="BR28" s="2388"/>
      <c r="BS28" s="2388"/>
      <c r="BT28" s="2388"/>
      <c r="BU28" s="2388"/>
      <c r="BV28" s="2388"/>
    </row>
    <row r="29" spans="1:74" ht="15.75" customHeight="1">
      <c r="A29" s="2388"/>
      <c r="B29" s="2388"/>
      <c r="C29" s="2384" t="s">
        <v>2362</v>
      </c>
      <c r="D29" s="2378" t="s">
        <v>443</v>
      </c>
      <c r="E29" s="2455">
        <v>1</v>
      </c>
      <c r="F29" s="2365">
        <v>0.7</v>
      </c>
      <c r="G29" s="2361">
        <f t="shared" si="10"/>
        <v>0.7</v>
      </c>
      <c r="H29" s="2364">
        <f t="shared" si="5"/>
        <v>6.9832402234636879</v>
      </c>
      <c r="I29" s="2364">
        <f t="shared" si="6"/>
        <v>350</v>
      </c>
      <c r="J29" s="2360">
        <f t="shared" si="11"/>
        <v>6.9832402234636879</v>
      </c>
      <c r="K29" s="2360">
        <f t="shared" si="7"/>
        <v>350</v>
      </c>
      <c r="L29" s="2396"/>
      <c r="M29" s="2388"/>
      <c r="N29" s="2388"/>
      <c r="O29" s="2388"/>
      <c r="P29" s="2388"/>
      <c r="Q29" s="2388"/>
      <c r="R29" s="2388"/>
      <c r="S29" s="2388"/>
      <c r="T29" s="2388"/>
      <c r="U29" s="2388"/>
      <c r="V29" s="2388"/>
      <c r="W29" s="2388"/>
      <c r="X29" s="2388"/>
      <c r="Y29" s="2388"/>
      <c r="Z29" s="2388"/>
      <c r="AA29" s="2388"/>
      <c r="AB29" s="2388"/>
      <c r="AC29" s="2388"/>
      <c r="AD29" s="2388"/>
      <c r="AE29" s="2388"/>
      <c r="AF29" s="2388"/>
      <c r="AG29" s="2388"/>
      <c r="AH29" s="2388"/>
      <c r="AI29" s="2388"/>
      <c r="AJ29" s="2388"/>
      <c r="AK29" s="2388"/>
      <c r="AL29" s="2388"/>
      <c r="AM29" s="2388"/>
      <c r="AN29" s="2388"/>
      <c r="AO29" s="2388"/>
      <c r="AP29" s="2388"/>
      <c r="AQ29" s="2388"/>
      <c r="AR29" s="2388"/>
      <c r="AS29" s="2388"/>
      <c r="AT29" s="2388"/>
      <c r="AU29" s="2388"/>
      <c r="AV29" s="2388"/>
      <c r="AW29" s="2388"/>
      <c r="AX29" s="2388"/>
      <c r="AY29" s="2388"/>
      <c r="AZ29" s="2388"/>
      <c r="BA29" s="2388"/>
      <c r="BB29" s="2388"/>
      <c r="BC29" s="2388"/>
      <c r="BD29" s="2388"/>
      <c r="BE29" s="2388"/>
      <c r="BF29" s="2388"/>
      <c r="BG29" s="2388"/>
      <c r="BH29" s="2388"/>
      <c r="BI29" s="2388"/>
      <c r="BJ29" s="2388"/>
      <c r="BK29" s="2388"/>
      <c r="BL29" s="2388"/>
      <c r="BM29" s="2388"/>
      <c r="BN29" s="2388"/>
      <c r="BO29" s="2388"/>
      <c r="BP29" s="2388"/>
      <c r="BQ29" s="2388"/>
      <c r="BR29" s="2388"/>
      <c r="BS29" s="2388"/>
      <c r="BT29" s="2388"/>
      <c r="BU29" s="2388"/>
      <c r="BV29" s="2388"/>
    </row>
    <row r="30" spans="1:74" ht="15.75" customHeight="1">
      <c r="A30" s="2388"/>
      <c r="B30" s="2388"/>
      <c r="C30" s="2384" t="s">
        <v>2363</v>
      </c>
      <c r="D30" s="2378" t="s">
        <v>443</v>
      </c>
      <c r="E30" s="2455">
        <v>1</v>
      </c>
      <c r="F30" s="2365">
        <v>0.8</v>
      </c>
      <c r="G30" s="2361">
        <f t="shared" si="10"/>
        <v>0.8</v>
      </c>
      <c r="H30" s="2364">
        <f t="shared" si="5"/>
        <v>7.980845969672786</v>
      </c>
      <c r="I30" s="2364">
        <f t="shared" si="6"/>
        <v>400</v>
      </c>
      <c r="J30" s="2360">
        <f t="shared" si="11"/>
        <v>7.980845969672786</v>
      </c>
      <c r="K30" s="2360">
        <f t="shared" si="7"/>
        <v>400</v>
      </c>
      <c r="L30" s="2396"/>
      <c r="M30" s="2388"/>
      <c r="N30" s="2388"/>
      <c r="O30" s="2388"/>
      <c r="P30" s="2388"/>
      <c r="Q30" s="2388"/>
      <c r="R30" s="2388"/>
      <c r="S30" s="2388"/>
      <c r="T30" s="2388"/>
      <c r="U30" s="2388"/>
      <c r="V30" s="2388"/>
      <c r="W30" s="2388"/>
      <c r="X30" s="2388"/>
      <c r="Y30" s="2388"/>
      <c r="Z30" s="2388"/>
      <c r="AA30" s="2388"/>
      <c r="AB30" s="2388"/>
      <c r="AC30" s="2388"/>
      <c r="AD30" s="2388"/>
      <c r="AE30" s="2388"/>
      <c r="AF30" s="2388"/>
      <c r="AG30" s="2388"/>
      <c r="AH30" s="2388"/>
      <c r="AI30" s="2388"/>
      <c r="AJ30" s="2388"/>
      <c r="AK30" s="2388"/>
      <c r="AL30" s="2388"/>
      <c r="AM30" s="2388"/>
      <c r="AN30" s="2388"/>
      <c r="AO30" s="2388"/>
      <c r="AP30" s="2388"/>
      <c r="AQ30" s="2388"/>
      <c r="AR30" s="2388"/>
      <c r="AS30" s="2388"/>
      <c r="AT30" s="2388"/>
      <c r="AU30" s="2388"/>
      <c r="AV30" s="2388"/>
      <c r="AW30" s="2388"/>
      <c r="AX30" s="2388"/>
      <c r="AY30" s="2388"/>
      <c r="AZ30" s="2388"/>
      <c r="BA30" s="2388"/>
      <c r="BB30" s="2388"/>
      <c r="BC30" s="2388"/>
      <c r="BD30" s="2388"/>
      <c r="BE30" s="2388"/>
      <c r="BF30" s="2388"/>
      <c r="BG30" s="2388"/>
      <c r="BH30" s="2388"/>
      <c r="BI30" s="2388"/>
      <c r="BJ30" s="2388"/>
      <c r="BK30" s="2388"/>
      <c r="BL30" s="2388"/>
      <c r="BM30" s="2388"/>
      <c r="BN30" s="2388"/>
      <c r="BO30" s="2388"/>
      <c r="BP30" s="2388"/>
      <c r="BQ30" s="2388"/>
      <c r="BR30" s="2388"/>
      <c r="BS30" s="2388"/>
      <c r="BT30" s="2388"/>
      <c r="BU30" s="2388"/>
      <c r="BV30" s="2388"/>
    </row>
    <row r="31" spans="1:74" ht="15.75" customHeight="1">
      <c r="A31" s="2388"/>
      <c r="B31" s="2388"/>
      <c r="C31" s="2384" t="s">
        <v>2364</v>
      </c>
      <c r="D31" s="2378" t="s">
        <v>443</v>
      </c>
      <c r="E31" s="2455">
        <v>1</v>
      </c>
      <c r="F31" s="2365">
        <v>0.92</v>
      </c>
      <c r="G31" s="2361">
        <f t="shared" si="10"/>
        <v>0.92</v>
      </c>
      <c r="H31" s="2364">
        <f t="shared" si="5"/>
        <v>9.1779728651237029</v>
      </c>
      <c r="I31" s="2364">
        <f t="shared" si="6"/>
        <v>459.99999999999994</v>
      </c>
      <c r="J31" s="2360">
        <f t="shared" si="11"/>
        <v>9.1779728651237029</v>
      </c>
      <c r="K31" s="2360">
        <f t="shared" si="7"/>
        <v>459.99999999999994</v>
      </c>
      <c r="L31" s="2396"/>
      <c r="M31" s="2388"/>
      <c r="N31" s="2388"/>
      <c r="O31" s="2388"/>
      <c r="P31" s="2388"/>
      <c r="Q31" s="2388"/>
      <c r="R31" s="2388"/>
      <c r="S31" s="2388"/>
      <c r="T31" s="2388"/>
      <c r="U31" s="2388"/>
      <c r="V31" s="2388"/>
      <c r="W31" s="2388"/>
      <c r="X31" s="2388"/>
      <c r="Y31" s="2388"/>
      <c r="Z31" s="2388"/>
      <c r="AA31" s="2388"/>
      <c r="AB31" s="2388"/>
      <c r="AC31" s="2388"/>
      <c r="AD31" s="2388"/>
      <c r="AE31" s="2388"/>
      <c r="AF31" s="2388"/>
      <c r="AG31" s="2388"/>
      <c r="AH31" s="2388"/>
      <c r="AI31" s="2388"/>
      <c r="AJ31" s="2388"/>
      <c r="AK31" s="2388"/>
      <c r="AL31" s="2388"/>
      <c r="AM31" s="2388"/>
      <c r="AN31" s="2388"/>
      <c r="AO31" s="2388"/>
      <c r="AP31" s="2388"/>
      <c r="AQ31" s="2388"/>
      <c r="AR31" s="2388"/>
      <c r="AS31" s="2388"/>
      <c r="AT31" s="2388"/>
      <c r="AU31" s="2388"/>
      <c r="AV31" s="2388"/>
      <c r="AW31" s="2388"/>
      <c r="AX31" s="2388"/>
      <c r="AY31" s="2388"/>
      <c r="AZ31" s="2388"/>
      <c r="BA31" s="2388"/>
      <c r="BB31" s="2388"/>
      <c r="BC31" s="2388"/>
      <c r="BD31" s="2388"/>
      <c r="BE31" s="2388"/>
      <c r="BF31" s="2388"/>
      <c r="BG31" s="2388"/>
      <c r="BH31" s="2388"/>
      <c r="BI31" s="2388"/>
      <c r="BJ31" s="2388"/>
      <c r="BK31" s="2388"/>
      <c r="BL31" s="2388"/>
      <c r="BM31" s="2388"/>
      <c r="BN31" s="2388"/>
      <c r="BO31" s="2388"/>
      <c r="BP31" s="2388"/>
      <c r="BQ31" s="2388"/>
      <c r="BR31" s="2388"/>
      <c r="BS31" s="2388"/>
      <c r="BT31" s="2388"/>
      <c r="BU31" s="2388"/>
      <c r="BV31" s="2388"/>
    </row>
    <row r="32" spans="1:74" ht="15.75" customHeight="1">
      <c r="A32" s="2388"/>
      <c r="B32" s="2388"/>
      <c r="C32" s="2384" t="s">
        <v>2365</v>
      </c>
      <c r="D32" s="2378" t="s">
        <v>443</v>
      </c>
      <c r="E32" s="2455">
        <v>1</v>
      </c>
      <c r="F32" s="2365">
        <v>1.05</v>
      </c>
      <c r="G32" s="2361">
        <f t="shared" si="10"/>
        <v>1.05</v>
      </c>
      <c r="H32" s="2364">
        <f t="shared" si="5"/>
        <v>10.474860335195531</v>
      </c>
      <c r="I32" s="2364">
        <f t="shared" si="6"/>
        <v>525</v>
      </c>
      <c r="J32" s="2360">
        <f t="shared" si="11"/>
        <v>10.474860335195531</v>
      </c>
      <c r="K32" s="2360">
        <f t="shared" si="7"/>
        <v>525</v>
      </c>
      <c r="L32" s="2396"/>
      <c r="M32" s="2388"/>
      <c r="N32" s="2388"/>
      <c r="O32" s="2388"/>
      <c r="P32" s="2388"/>
      <c r="Q32" s="2388"/>
      <c r="R32" s="2388"/>
      <c r="S32" s="2388"/>
      <c r="T32" s="2388"/>
      <c r="U32" s="2388"/>
      <c r="V32" s="2388"/>
      <c r="W32" s="2388"/>
      <c r="X32" s="2388"/>
      <c r="Y32" s="2388"/>
      <c r="Z32" s="2388"/>
      <c r="AA32" s="2388"/>
      <c r="AB32" s="2388"/>
      <c r="AC32" s="2388"/>
      <c r="AD32" s="2388"/>
      <c r="AE32" s="2388"/>
      <c r="AF32" s="2388"/>
      <c r="AG32" s="2388"/>
      <c r="AH32" s="2388"/>
      <c r="AI32" s="2388"/>
      <c r="AJ32" s="2388"/>
      <c r="AK32" s="2388"/>
      <c r="AL32" s="2388"/>
      <c r="AM32" s="2388"/>
      <c r="AN32" s="2388"/>
      <c r="AO32" s="2388"/>
      <c r="AP32" s="2388"/>
      <c r="AQ32" s="2388"/>
      <c r="AR32" s="2388"/>
      <c r="AS32" s="2388"/>
      <c r="AT32" s="2388"/>
      <c r="AU32" s="2388"/>
      <c r="AV32" s="2388"/>
      <c r="AW32" s="2388"/>
      <c r="AX32" s="2388"/>
      <c r="AY32" s="2388"/>
      <c r="AZ32" s="2388"/>
      <c r="BA32" s="2388"/>
      <c r="BB32" s="2388"/>
      <c r="BC32" s="2388"/>
      <c r="BD32" s="2388"/>
      <c r="BE32" s="2388"/>
      <c r="BF32" s="2388"/>
      <c r="BG32" s="2388"/>
      <c r="BH32" s="2388"/>
      <c r="BI32" s="2388"/>
      <c r="BJ32" s="2388"/>
      <c r="BK32" s="2388"/>
      <c r="BL32" s="2388"/>
      <c r="BM32" s="2388"/>
      <c r="BN32" s="2388"/>
      <c r="BO32" s="2388"/>
      <c r="BP32" s="2388"/>
      <c r="BQ32" s="2388"/>
      <c r="BR32" s="2388"/>
      <c r="BS32" s="2388"/>
      <c r="BT32" s="2388"/>
      <c r="BU32" s="2388"/>
      <c r="BV32" s="2388"/>
    </row>
    <row r="33" spans="1:74" ht="15.75" customHeight="1">
      <c r="A33" s="2388"/>
      <c r="B33" s="2388"/>
      <c r="C33" s="2385" t="s">
        <v>2340</v>
      </c>
      <c r="D33" s="2359">
        <v>0.65</v>
      </c>
      <c r="E33" s="2462"/>
      <c r="F33" s="2367"/>
      <c r="G33" s="2370"/>
      <c r="H33" s="2363"/>
      <c r="I33" s="2363"/>
      <c r="J33" s="2360">
        <f>SUM(J15:J32)*D33</f>
        <v>54.080207501995211</v>
      </c>
      <c r="K33" s="2360">
        <f>SUM(K15:K32)*D33</f>
        <v>2710.5</v>
      </c>
      <c r="L33" s="2396"/>
      <c r="M33" s="2388"/>
      <c r="N33" s="2388"/>
      <c r="O33" s="2388"/>
      <c r="P33" s="2388"/>
      <c r="Q33" s="2388"/>
      <c r="R33" s="2388"/>
      <c r="S33" s="2388"/>
      <c r="T33" s="2388"/>
      <c r="U33" s="2388"/>
      <c r="V33" s="2388"/>
      <c r="W33" s="2388"/>
      <c r="X33" s="2388"/>
      <c r="Y33" s="2388"/>
      <c r="Z33" s="2388"/>
      <c r="AA33" s="2388"/>
      <c r="AB33" s="2388"/>
      <c r="AC33" s="2388"/>
      <c r="AD33" s="2388"/>
      <c r="AE33" s="2388"/>
      <c r="AF33" s="2388"/>
      <c r="AG33" s="2388"/>
      <c r="AH33" s="2388"/>
      <c r="AI33" s="2388"/>
      <c r="AJ33" s="2388"/>
      <c r="AK33" s="2388"/>
      <c r="AL33" s="2388"/>
      <c r="AM33" s="2388"/>
      <c r="AN33" s="2388"/>
      <c r="AO33" s="2388"/>
      <c r="AP33" s="2388"/>
      <c r="AQ33" s="2388"/>
      <c r="AR33" s="2388"/>
      <c r="AS33" s="2388"/>
      <c r="AT33" s="2388"/>
      <c r="AU33" s="2388"/>
      <c r="AV33" s="2388"/>
      <c r="AW33" s="2388"/>
      <c r="AX33" s="2388"/>
      <c r="AY33" s="2388"/>
      <c r="AZ33" s="2388"/>
      <c r="BA33" s="2388"/>
      <c r="BB33" s="2388"/>
      <c r="BC33" s="2388"/>
      <c r="BD33" s="2388"/>
      <c r="BE33" s="2388"/>
      <c r="BF33" s="2388"/>
      <c r="BG33" s="2388"/>
      <c r="BH33" s="2388"/>
      <c r="BI33" s="2388"/>
      <c r="BJ33" s="2388"/>
      <c r="BK33" s="2388"/>
      <c r="BL33" s="2388"/>
      <c r="BM33" s="2388"/>
      <c r="BN33" s="2388"/>
      <c r="BO33" s="2388"/>
      <c r="BP33" s="2388"/>
      <c r="BQ33" s="2388"/>
      <c r="BR33" s="2388"/>
      <c r="BS33" s="2388"/>
      <c r="BT33" s="2388"/>
      <c r="BU33" s="2388"/>
      <c r="BV33" s="2388"/>
    </row>
    <row r="34" spans="1:74" ht="16.5" customHeight="1">
      <c r="A34" s="2388"/>
      <c r="B34" s="2388"/>
      <c r="C34" s="2414" t="s">
        <v>2401</v>
      </c>
      <c r="D34" s="2415"/>
      <c r="E34" s="2416"/>
      <c r="F34" s="2417"/>
      <c r="G34" s="2418">
        <f>SUM(G15:G32)</f>
        <v>8.34</v>
      </c>
      <c r="H34" s="2417"/>
      <c r="I34" s="2417"/>
      <c r="J34" s="2419">
        <f>SUM(J15:J33)</f>
        <v>137.280526735834</v>
      </c>
      <c r="K34" s="2420">
        <f>SUM(K15:K33)</f>
        <v>6880.5</v>
      </c>
      <c r="L34" s="2396"/>
      <c r="M34" s="2388"/>
      <c r="N34" s="2388"/>
      <c r="O34" s="2388"/>
      <c r="P34" s="2388"/>
      <c r="Q34" s="2388"/>
      <c r="R34" s="2388"/>
      <c r="S34" s="2388"/>
      <c r="T34" s="2388"/>
      <c r="U34" s="2388"/>
      <c r="V34" s="2388"/>
      <c r="W34" s="2388"/>
      <c r="X34" s="2388"/>
      <c r="Y34" s="2388"/>
      <c r="Z34" s="2388"/>
      <c r="AA34" s="2388"/>
      <c r="AB34" s="2388"/>
      <c r="AC34" s="2388"/>
      <c r="AD34" s="2388"/>
      <c r="AE34" s="2388"/>
      <c r="AF34" s="2388"/>
      <c r="AG34" s="2388"/>
      <c r="AH34" s="2388"/>
      <c r="AI34" s="2388"/>
      <c r="AJ34" s="2388"/>
      <c r="AK34" s="2388"/>
      <c r="AL34" s="2388"/>
      <c r="AM34" s="2388"/>
      <c r="AN34" s="2388"/>
      <c r="AO34" s="2388"/>
      <c r="AP34" s="2388"/>
      <c r="AQ34" s="2388"/>
      <c r="AR34" s="2388"/>
      <c r="AS34" s="2388"/>
      <c r="AT34" s="2388"/>
      <c r="AU34" s="2388"/>
      <c r="AV34" s="2388"/>
      <c r="AW34" s="2388"/>
      <c r="AX34" s="2388"/>
      <c r="AY34" s="2388"/>
      <c r="AZ34" s="2388"/>
      <c r="BA34" s="2388"/>
      <c r="BB34" s="2388"/>
      <c r="BC34" s="2388"/>
      <c r="BD34" s="2388"/>
      <c r="BE34" s="2388"/>
      <c r="BF34" s="2388"/>
      <c r="BG34" s="2388"/>
      <c r="BH34" s="2388"/>
      <c r="BI34" s="2388"/>
      <c r="BJ34" s="2388"/>
      <c r="BK34" s="2388"/>
      <c r="BL34" s="2388"/>
      <c r="BM34" s="2388"/>
      <c r="BN34" s="2388"/>
      <c r="BO34" s="2388"/>
      <c r="BP34" s="2388"/>
      <c r="BQ34" s="2388"/>
      <c r="BR34" s="2388"/>
      <c r="BS34" s="2388"/>
      <c r="BT34" s="2388"/>
      <c r="BU34" s="2388"/>
      <c r="BV34" s="2388"/>
    </row>
    <row r="35" spans="1:74" ht="15.75" customHeight="1">
      <c r="A35" s="2388"/>
      <c r="B35" s="2388"/>
      <c r="C35" s="2382" t="s">
        <v>2366</v>
      </c>
      <c r="D35" s="2358" t="s">
        <v>443</v>
      </c>
      <c r="E35" s="2457">
        <v>1</v>
      </c>
      <c r="F35" s="2365">
        <v>0.04</v>
      </c>
      <c r="G35" s="2361">
        <f>E35*F35</f>
        <v>0.04</v>
      </c>
      <c r="H35" s="2364">
        <f t="shared" ref="H35:H43" si="12">(F35*N$5)/N$6</f>
        <v>0.39904229848363931</v>
      </c>
      <c r="I35" s="2364">
        <f t="shared" ref="I35:I43" si="13">H35*N$6</f>
        <v>20</v>
      </c>
      <c r="J35" s="2360">
        <f>E35*H35</f>
        <v>0.39904229848363931</v>
      </c>
      <c r="K35" s="2360">
        <f t="shared" ref="K35:K43" si="14">J35*N$6</f>
        <v>20</v>
      </c>
      <c r="L35" s="2396"/>
      <c r="M35" s="2388"/>
      <c r="N35" s="2401"/>
      <c r="O35" s="2402"/>
      <c r="P35" s="2388"/>
      <c r="Q35" s="2388"/>
      <c r="R35" s="2388"/>
      <c r="S35" s="2388"/>
      <c r="T35" s="2388"/>
      <c r="U35" s="2388"/>
      <c r="V35" s="2388"/>
      <c r="W35" s="2388"/>
      <c r="X35" s="2388"/>
      <c r="Y35" s="2388"/>
      <c r="Z35" s="2388"/>
      <c r="AA35" s="2388"/>
      <c r="AB35" s="2388"/>
      <c r="AC35" s="2388"/>
      <c r="AD35" s="2388"/>
      <c r="AE35" s="2388"/>
      <c r="AF35" s="2388"/>
      <c r="AG35" s="2388"/>
      <c r="AH35" s="2388"/>
      <c r="AI35" s="2388"/>
      <c r="AJ35" s="2388"/>
      <c r="AK35" s="2388"/>
      <c r="AL35" s="2388"/>
      <c r="AM35" s="2388"/>
      <c r="AN35" s="2388"/>
      <c r="AO35" s="2388"/>
      <c r="AP35" s="2388"/>
      <c r="AQ35" s="2388"/>
      <c r="AR35" s="2388"/>
      <c r="AS35" s="2388"/>
      <c r="AT35" s="2388"/>
      <c r="AU35" s="2388"/>
      <c r="AV35" s="2388"/>
      <c r="AW35" s="2388"/>
      <c r="AX35" s="2388"/>
      <c r="AY35" s="2388"/>
      <c r="AZ35" s="2388"/>
      <c r="BA35" s="2388"/>
      <c r="BB35" s="2388"/>
      <c r="BC35" s="2388"/>
      <c r="BD35" s="2388"/>
      <c r="BE35" s="2388"/>
      <c r="BF35" s="2388"/>
      <c r="BG35" s="2388"/>
      <c r="BH35" s="2388"/>
      <c r="BI35" s="2388"/>
      <c r="BJ35" s="2388"/>
      <c r="BK35" s="2388"/>
      <c r="BL35" s="2388"/>
      <c r="BM35" s="2388"/>
      <c r="BN35" s="2388"/>
      <c r="BO35" s="2388"/>
      <c r="BP35" s="2388"/>
      <c r="BQ35" s="2388"/>
      <c r="BR35" s="2388"/>
      <c r="BS35" s="2388"/>
      <c r="BT35" s="2388"/>
      <c r="BU35" s="2388"/>
      <c r="BV35" s="2388"/>
    </row>
    <row r="36" spans="1:74" ht="15.75" customHeight="1">
      <c r="A36" s="2388"/>
      <c r="B36" s="2388"/>
      <c r="C36" s="2382" t="s">
        <v>2367</v>
      </c>
      <c r="D36" s="2358" t="s">
        <v>443</v>
      </c>
      <c r="E36" s="2457">
        <v>1</v>
      </c>
      <c r="F36" s="2365">
        <v>0.04</v>
      </c>
      <c r="G36" s="2361">
        <f t="shared" ref="G36:G43" si="15">E36*F36</f>
        <v>0.04</v>
      </c>
      <c r="H36" s="2364">
        <f t="shared" si="12"/>
        <v>0.39904229848363931</v>
      </c>
      <c r="I36" s="2364">
        <f t="shared" si="13"/>
        <v>20</v>
      </c>
      <c r="J36" s="2360">
        <f t="shared" ref="J36:J43" si="16">E36*H36</f>
        <v>0.39904229848363931</v>
      </c>
      <c r="K36" s="2360">
        <f t="shared" si="14"/>
        <v>20</v>
      </c>
      <c r="L36" s="2396"/>
      <c r="M36" s="2388"/>
      <c r="N36" s="2401"/>
      <c r="O36" s="2402"/>
      <c r="P36" s="2388"/>
      <c r="Q36" s="2388"/>
      <c r="R36" s="2388"/>
      <c r="S36" s="2388"/>
      <c r="T36" s="2388"/>
      <c r="U36" s="2388"/>
      <c r="V36" s="2388"/>
      <c r="W36" s="2388"/>
      <c r="X36" s="2388"/>
      <c r="Y36" s="2388"/>
      <c r="Z36" s="2388"/>
      <c r="AA36" s="2388"/>
      <c r="AB36" s="2388"/>
      <c r="AC36" s="2388"/>
      <c r="AD36" s="2388"/>
      <c r="AE36" s="2388"/>
      <c r="AF36" s="2388"/>
      <c r="AG36" s="2388"/>
      <c r="AH36" s="2388"/>
      <c r="AI36" s="2388"/>
      <c r="AJ36" s="2388"/>
      <c r="AK36" s="2388"/>
      <c r="AL36" s="2388"/>
      <c r="AM36" s="2388"/>
      <c r="AN36" s="2388"/>
      <c r="AO36" s="2388"/>
      <c r="AP36" s="2388"/>
      <c r="AQ36" s="2388"/>
      <c r="AR36" s="2388"/>
      <c r="AS36" s="2388"/>
      <c r="AT36" s="2388"/>
      <c r="AU36" s="2388"/>
      <c r="AV36" s="2388"/>
      <c r="AW36" s="2388"/>
      <c r="AX36" s="2388"/>
      <c r="AY36" s="2388"/>
      <c r="AZ36" s="2388"/>
      <c r="BA36" s="2388"/>
      <c r="BB36" s="2388"/>
      <c r="BC36" s="2388"/>
      <c r="BD36" s="2388"/>
      <c r="BE36" s="2388"/>
      <c r="BF36" s="2388"/>
      <c r="BG36" s="2388"/>
      <c r="BH36" s="2388"/>
      <c r="BI36" s="2388"/>
      <c r="BJ36" s="2388"/>
      <c r="BK36" s="2388"/>
      <c r="BL36" s="2388"/>
      <c r="BM36" s="2388"/>
      <c r="BN36" s="2388"/>
      <c r="BO36" s="2388"/>
      <c r="BP36" s="2388"/>
      <c r="BQ36" s="2388"/>
      <c r="BR36" s="2388"/>
      <c r="BS36" s="2388"/>
      <c r="BT36" s="2388"/>
      <c r="BU36" s="2388"/>
      <c r="BV36" s="2388"/>
    </row>
    <row r="37" spans="1:74" ht="15.75" customHeight="1">
      <c r="A37" s="2388"/>
      <c r="B37" s="2388"/>
      <c r="C37" s="2382" t="s">
        <v>2368</v>
      </c>
      <c r="D37" s="2358" t="s">
        <v>443</v>
      </c>
      <c r="E37" s="2457">
        <v>1</v>
      </c>
      <c r="F37" s="2365">
        <v>0.04</v>
      </c>
      <c r="G37" s="2361">
        <f t="shared" si="15"/>
        <v>0.04</v>
      </c>
      <c r="H37" s="2364">
        <f t="shared" si="12"/>
        <v>0.39904229848363931</v>
      </c>
      <c r="I37" s="2364">
        <f t="shared" si="13"/>
        <v>20</v>
      </c>
      <c r="J37" s="2360">
        <f t="shared" si="16"/>
        <v>0.39904229848363931</v>
      </c>
      <c r="K37" s="2360">
        <f t="shared" si="14"/>
        <v>20</v>
      </c>
      <c r="L37" s="2396"/>
      <c r="M37" s="2388"/>
      <c r="N37" s="2401"/>
      <c r="O37" s="2402"/>
      <c r="P37" s="2388"/>
      <c r="Q37" s="2388"/>
      <c r="R37" s="2388"/>
      <c r="S37" s="2388"/>
      <c r="T37" s="2388"/>
      <c r="U37" s="2388"/>
      <c r="V37" s="2388"/>
      <c r="W37" s="2388"/>
      <c r="X37" s="2388"/>
      <c r="Y37" s="2388"/>
      <c r="Z37" s="2388"/>
      <c r="AA37" s="2388"/>
      <c r="AB37" s="2388"/>
      <c r="AC37" s="2388"/>
      <c r="AD37" s="2388"/>
      <c r="AE37" s="2388"/>
      <c r="AF37" s="2388"/>
      <c r="AG37" s="2388"/>
      <c r="AH37" s="2388"/>
      <c r="AI37" s="2388"/>
      <c r="AJ37" s="2388"/>
      <c r="AK37" s="2388"/>
      <c r="AL37" s="2388"/>
      <c r="AM37" s="2388"/>
      <c r="AN37" s="2388"/>
      <c r="AO37" s="2388"/>
      <c r="AP37" s="2388"/>
      <c r="AQ37" s="2388"/>
      <c r="AR37" s="2388"/>
      <c r="AS37" s="2388"/>
      <c r="AT37" s="2388"/>
      <c r="AU37" s="2388"/>
      <c r="AV37" s="2388"/>
      <c r="AW37" s="2388"/>
      <c r="AX37" s="2388"/>
      <c r="AY37" s="2388"/>
      <c r="AZ37" s="2388"/>
      <c r="BA37" s="2388"/>
      <c r="BB37" s="2388"/>
      <c r="BC37" s="2388"/>
      <c r="BD37" s="2388"/>
      <c r="BE37" s="2388"/>
      <c r="BF37" s="2388"/>
      <c r="BG37" s="2388"/>
      <c r="BH37" s="2388"/>
      <c r="BI37" s="2388"/>
      <c r="BJ37" s="2388"/>
      <c r="BK37" s="2388"/>
      <c r="BL37" s="2388"/>
      <c r="BM37" s="2388"/>
      <c r="BN37" s="2388"/>
      <c r="BO37" s="2388"/>
      <c r="BP37" s="2388"/>
      <c r="BQ37" s="2388"/>
      <c r="BR37" s="2388"/>
      <c r="BS37" s="2388"/>
      <c r="BT37" s="2388"/>
      <c r="BU37" s="2388"/>
      <c r="BV37" s="2388"/>
    </row>
    <row r="38" spans="1:74" ht="15.75" customHeight="1">
      <c r="A38" s="2388"/>
      <c r="B38" s="2388"/>
      <c r="C38" s="2382" t="s">
        <v>2369</v>
      </c>
      <c r="D38" s="2358" t="s">
        <v>443</v>
      </c>
      <c r="E38" s="2457">
        <v>1</v>
      </c>
      <c r="F38" s="2365">
        <v>0.06</v>
      </c>
      <c r="G38" s="2362">
        <f t="shared" si="15"/>
        <v>0.06</v>
      </c>
      <c r="H38" s="2364">
        <f t="shared" si="12"/>
        <v>0.59856344772545889</v>
      </c>
      <c r="I38" s="2364">
        <f t="shared" si="13"/>
        <v>29.999999999999996</v>
      </c>
      <c r="J38" s="2360">
        <f t="shared" si="16"/>
        <v>0.59856344772545889</v>
      </c>
      <c r="K38" s="2360">
        <f t="shared" si="14"/>
        <v>29.999999999999996</v>
      </c>
      <c r="L38" s="2396"/>
      <c r="M38" s="2388"/>
      <c r="N38" s="2401"/>
      <c r="O38" s="2402"/>
      <c r="P38" s="2388"/>
      <c r="Q38" s="2388"/>
      <c r="R38" s="2388"/>
      <c r="S38" s="2388"/>
      <c r="T38" s="2388"/>
      <c r="U38" s="2388"/>
      <c r="V38" s="2388"/>
      <c r="W38" s="2388"/>
      <c r="X38" s="2388"/>
      <c r="Y38" s="2388"/>
      <c r="Z38" s="2388"/>
      <c r="AA38" s="2388"/>
      <c r="AB38" s="2388"/>
      <c r="AC38" s="2388"/>
      <c r="AD38" s="2388"/>
      <c r="AE38" s="2388"/>
      <c r="AF38" s="2388"/>
      <c r="AG38" s="2388"/>
      <c r="AH38" s="2388"/>
      <c r="AI38" s="2388"/>
      <c r="AJ38" s="2388"/>
      <c r="AK38" s="2388"/>
      <c r="AL38" s="2388"/>
      <c r="AM38" s="2388"/>
      <c r="AN38" s="2388"/>
      <c r="AO38" s="2388"/>
      <c r="AP38" s="2388"/>
      <c r="AQ38" s="2388"/>
      <c r="AR38" s="2388"/>
      <c r="AS38" s="2388"/>
      <c r="AT38" s="2388"/>
      <c r="AU38" s="2388"/>
      <c r="AV38" s="2388"/>
      <c r="AW38" s="2388"/>
      <c r="AX38" s="2388"/>
      <c r="AY38" s="2388"/>
      <c r="AZ38" s="2388"/>
      <c r="BA38" s="2388"/>
      <c r="BB38" s="2388"/>
      <c r="BC38" s="2388"/>
      <c r="BD38" s="2388"/>
      <c r="BE38" s="2388"/>
      <c r="BF38" s="2388"/>
      <c r="BG38" s="2388"/>
      <c r="BH38" s="2388"/>
      <c r="BI38" s="2388"/>
      <c r="BJ38" s="2388"/>
      <c r="BK38" s="2388"/>
      <c r="BL38" s="2388"/>
      <c r="BM38" s="2388"/>
      <c r="BN38" s="2388"/>
      <c r="BO38" s="2388"/>
      <c r="BP38" s="2388"/>
      <c r="BQ38" s="2388"/>
      <c r="BR38" s="2388"/>
      <c r="BS38" s="2388"/>
      <c r="BT38" s="2388"/>
      <c r="BU38" s="2388"/>
      <c r="BV38" s="2388"/>
    </row>
    <row r="39" spans="1:74" ht="15.75" customHeight="1">
      <c r="A39" s="2388"/>
      <c r="B39" s="2388"/>
      <c r="C39" s="2382" t="s">
        <v>2383</v>
      </c>
      <c r="D39" s="2358" t="s">
        <v>443</v>
      </c>
      <c r="E39" s="2457">
        <v>1</v>
      </c>
      <c r="F39" s="2365">
        <v>0.06</v>
      </c>
      <c r="G39" s="2362">
        <f t="shared" si="15"/>
        <v>0.06</v>
      </c>
      <c r="H39" s="2364">
        <f t="shared" si="12"/>
        <v>0.59856344772545889</v>
      </c>
      <c r="I39" s="2364">
        <f t="shared" si="13"/>
        <v>29.999999999999996</v>
      </c>
      <c r="J39" s="2360">
        <f t="shared" si="16"/>
        <v>0.59856344772545889</v>
      </c>
      <c r="K39" s="2360">
        <f t="shared" si="14"/>
        <v>29.999999999999996</v>
      </c>
      <c r="L39" s="2396"/>
      <c r="M39" s="2388"/>
      <c r="N39" s="2401"/>
      <c r="O39" s="2402"/>
      <c r="P39" s="2388"/>
      <c r="Q39" s="2388"/>
      <c r="R39" s="2388"/>
      <c r="S39" s="2388"/>
      <c r="T39" s="2388"/>
      <c r="U39" s="2388"/>
      <c r="V39" s="2388"/>
      <c r="W39" s="2388"/>
      <c r="X39" s="2388"/>
      <c r="Y39" s="2388"/>
      <c r="Z39" s="2388"/>
      <c r="AA39" s="2388"/>
      <c r="AB39" s="2388"/>
      <c r="AC39" s="2388"/>
      <c r="AD39" s="2388"/>
      <c r="AE39" s="2388"/>
      <c r="AF39" s="2388"/>
      <c r="AG39" s="2388"/>
      <c r="AH39" s="2388"/>
      <c r="AI39" s="2388"/>
      <c r="AJ39" s="2388"/>
      <c r="AK39" s="2388"/>
      <c r="AL39" s="2388"/>
      <c r="AM39" s="2388"/>
      <c r="AN39" s="2388"/>
      <c r="AO39" s="2388"/>
      <c r="AP39" s="2388"/>
      <c r="AQ39" s="2388"/>
      <c r="AR39" s="2388"/>
      <c r="AS39" s="2388"/>
      <c r="AT39" s="2388"/>
      <c r="AU39" s="2388"/>
      <c r="AV39" s="2388"/>
      <c r="AW39" s="2388"/>
      <c r="AX39" s="2388"/>
      <c r="AY39" s="2388"/>
      <c r="AZ39" s="2388"/>
      <c r="BA39" s="2388"/>
      <c r="BB39" s="2388"/>
      <c r="BC39" s="2388"/>
      <c r="BD39" s="2388"/>
      <c r="BE39" s="2388"/>
      <c r="BF39" s="2388"/>
      <c r="BG39" s="2388"/>
      <c r="BH39" s="2388"/>
      <c r="BI39" s="2388"/>
      <c r="BJ39" s="2388"/>
      <c r="BK39" s="2388"/>
      <c r="BL39" s="2388"/>
      <c r="BM39" s="2388"/>
      <c r="BN39" s="2388"/>
      <c r="BO39" s="2388"/>
      <c r="BP39" s="2388"/>
      <c r="BQ39" s="2388"/>
      <c r="BR39" s="2388"/>
      <c r="BS39" s="2388"/>
      <c r="BT39" s="2388"/>
      <c r="BU39" s="2388"/>
      <c r="BV39" s="2388"/>
    </row>
    <row r="40" spans="1:74" ht="15.75" customHeight="1">
      <c r="A40" s="2388"/>
      <c r="B40" s="2388"/>
      <c r="C40" s="2382" t="s">
        <v>2384</v>
      </c>
      <c r="D40" s="2358" t="s">
        <v>443</v>
      </c>
      <c r="E40" s="2457">
        <v>1</v>
      </c>
      <c r="F40" s="2365">
        <v>0.06</v>
      </c>
      <c r="G40" s="2362">
        <f t="shared" si="15"/>
        <v>0.06</v>
      </c>
      <c r="H40" s="2364">
        <f t="shared" si="12"/>
        <v>0.59856344772545889</v>
      </c>
      <c r="I40" s="2364">
        <f t="shared" si="13"/>
        <v>29.999999999999996</v>
      </c>
      <c r="J40" s="2360">
        <f t="shared" si="16"/>
        <v>0.59856344772545889</v>
      </c>
      <c r="K40" s="2360">
        <f t="shared" si="14"/>
        <v>29.999999999999996</v>
      </c>
      <c r="L40" s="2396"/>
      <c r="M40" s="2388"/>
      <c r="N40" s="2401"/>
      <c r="O40" s="2402"/>
      <c r="P40" s="2388"/>
      <c r="Q40" s="2388"/>
      <c r="R40" s="2388"/>
      <c r="S40" s="2388"/>
      <c r="T40" s="2388"/>
      <c r="U40" s="2388"/>
      <c r="V40" s="2388"/>
      <c r="W40" s="2388"/>
      <c r="X40" s="2388"/>
      <c r="Y40" s="2388"/>
      <c r="Z40" s="2388"/>
      <c r="AA40" s="2388"/>
      <c r="AB40" s="2388"/>
      <c r="AC40" s="2388"/>
      <c r="AD40" s="2388"/>
      <c r="AE40" s="2388"/>
      <c r="AF40" s="2388"/>
      <c r="AG40" s="2388"/>
      <c r="AH40" s="2388"/>
      <c r="AI40" s="2388"/>
      <c r="AJ40" s="2388"/>
      <c r="AK40" s="2388"/>
      <c r="AL40" s="2388"/>
      <c r="AM40" s="2388"/>
      <c r="AN40" s="2388"/>
      <c r="AO40" s="2388"/>
      <c r="AP40" s="2388"/>
      <c r="AQ40" s="2388"/>
      <c r="AR40" s="2388"/>
      <c r="AS40" s="2388"/>
      <c r="AT40" s="2388"/>
      <c r="AU40" s="2388"/>
      <c r="AV40" s="2388"/>
      <c r="AW40" s="2388"/>
      <c r="AX40" s="2388"/>
      <c r="AY40" s="2388"/>
      <c r="AZ40" s="2388"/>
      <c r="BA40" s="2388"/>
      <c r="BB40" s="2388"/>
      <c r="BC40" s="2388"/>
      <c r="BD40" s="2388"/>
      <c r="BE40" s="2388"/>
      <c r="BF40" s="2388"/>
      <c r="BG40" s="2388"/>
      <c r="BH40" s="2388"/>
      <c r="BI40" s="2388"/>
      <c r="BJ40" s="2388"/>
      <c r="BK40" s="2388"/>
      <c r="BL40" s="2388"/>
      <c r="BM40" s="2388"/>
      <c r="BN40" s="2388"/>
      <c r="BO40" s="2388"/>
      <c r="BP40" s="2388"/>
      <c r="BQ40" s="2388"/>
      <c r="BR40" s="2388"/>
      <c r="BS40" s="2388"/>
      <c r="BT40" s="2388"/>
      <c r="BU40" s="2388"/>
      <c r="BV40" s="2388"/>
    </row>
    <row r="41" spans="1:74" ht="15.75" customHeight="1">
      <c r="A41" s="2388"/>
      <c r="B41" s="2388"/>
      <c r="C41" s="2382" t="s">
        <v>2385</v>
      </c>
      <c r="D41" s="2358" t="s">
        <v>443</v>
      </c>
      <c r="E41" s="2457">
        <v>1</v>
      </c>
      <c r="F41" s="2365">
        <v>0.06</v>
      </c>
      <c r="G41" s="2362">
        <f t="shared" si="15"/>
        <v>0.06</v>
      </c>
      <c r="H41" s="2364">
        <f t="shared" si="12"/>
        <v>0.59856344772545889</v>
      </c>
      <c r="I41" s="2364">
        <f t="shared" si="13"/>
        <v>29.999999999999996</v>
      </c>
      <c r="J41" s="2360">
        <f t="shared" si="16"/>
        <v>0.59856344772545889</v>
      </c>
      <c r="K41" s="2360">
        <f t="shared" si="14"/>
        <v>29.999999999999996</v>
      </c>
      <c r="L41" s="2396"/>
      <c r="M41" s="2388"/>
      <c r="N41" s="2401"/>
      <c r="O41" s="2402"/>
      <c r="P41" s="2388"/>
      <c r="Q41" s="2388"/>
      <c r="R41" s="2388"/>
      <c r="S41" s="2388"/>
      <c r="T41" s="2388"/>
      <c r="U41" s="2388"/>
      <c r="V41" s="2388"/>
      <c r="W41" s="2388"/>
      <c r="X41" s="2388"/>
      <c r="Y41" s="2388"/>
      <c r="Z41" s="2388"/>
      <c r="AA41" s="2388"/>
      <c r="AB41" s="2388"/>
      <c r="AC41" s="2388"/>
      <c r="AD41" s="2388"/>
      <c r="AE41" s="2388"/>
      <c r="AF41" s="2388"/>
      <c r="AG41" s="2388"/>
      <c r="AH41" s="2388"/>
      <c r="AI41" s="2388"/>
      <c r="AJ41" s="2388"/>
      <c r="AK41" s="2388"/>
      <c r="AL41" s="2388"/>
      <c r="AM41" s="2388"/>
      <c r="AN41" s="2388"/>
      <c r="AO41" s="2388"/>
      <c r="AP41" s="2388"/>
      <c r="AQ41" s="2388"/>
      <c r="AR41" s="2388"/>
      <c r="AS41" s="2388"/>
      <c r="AT41" s="2388"/>
      <c r="AU41" s="2388"/>
      <c r="AV41" s="2388"/>
      <c r="AW41" s="2388"/>
      <c r="AX41" s="2388"/>
      <c r="AY41" s="2388"/>
      <c r="AZ41" s="2388"/>
      <c r="BA41" s="2388"/>
      <c r="BB41" s="2388"/>
      <c r="BC41" s="2388"/>
      <c r="BD41" s="2388"/>
      <c r="BE41" s="2388"/>
      <c r="BF41" s="2388"/>
      <c r="BG41" s="2388"/>
      <c r="BH41" s="2388"/>
      <c r="BI41" s="2388"/>
      <c r="BJ41" s="2388"/>
      <c r="BK41" s="2388"/>
      <c r="BL41" s="2388"/>
      <c r="BM41" s="2388"/>
      <c r="BN41" s="2388"/>
      <c r="BO41" s="2388"/>
      <c r="BP41" s="2388"/>
      <c r="BQ41" s="2388"/>
      <c r="BR41" s="2388"/>
      <c r="BS41" s="2388"/>
      <c r="BT41" s="2388"/>
      <c r="BU41" s="2388"/>
      <c r="BV41" s="2388"/>
    </row>
    <row r="42" spans="1:74" ht="15.75" customHeight="1">
      <c r="A42" s="2388"/>
      <c r="B42" s="2388"/>
      <c r="C42" s="2382" t="s">
        <v>2386</v>
      </c>
      <c r="D42" s="2358" t="s">
        <v>443</v>
      </c>
      <c r="E42" s="2457">
        <v>1</v>
      </c>
      <c r="F42" s="2365">
        <v>7.0000000000000007E-2</v>
      </c>
      <c r="G42" s="2362">
        <f t="shared" si="15"/>
        <v>7.0000000000000007E-2</v>
      </c>
      <c r="H42" s="2364">
        <f t="shared" si="12"/>
        <v>0.6983240223463687</v>
      </c>
      <c r="I42" s="2364">
        <f t="shared" si="13"/>
        <v>35</v>
      </c>
      <c r="J42" s="2360">
        <f t="shared" si="16"/>
        <v>0.6983240223463687</v>
      </c>
      <c r="K42" s="2360">
        <f t="shared" si="14"/>
        <v>35</v>
      </c>
      <c r="L42" s="2396"/>
      <c r="M42" s="2388"/>
      <c r="N42" s="2401"/>
      <c r="O42" s="2402"/>
      <c r="P42" s="2388"/>
      <c r="Q42" s="2388"/>
      <c r="R42" s="2388"/>
      <c r="S42" s="2388"/>
      <c r="T42" s="2388"/>
      <c r="U42" s="2388"/>
      <c r="V42" s="2388"/>
      <c r="W42" s="2388"/>
      <c r="X42" s="2388"/>
      <c r="Y42" s="2388"/>
      <c r="Z42" s="2388"/>
      <c r="AA42" s="2388"/>
      <c r="AB42" s="2388"/>
      <c r="AC42" s="2388"/>
      <c r="AD42" s="2388"/>
      <c r="AE42" s="2388"/>
      <c r="AF42" s="2388"/>
      <c r="AG42" s="2388"/>
      <c r="AH42" s="2388"/>
      <c r="AI42" s="2388"/>
      <c r="AJ42" s="2388"/>
      <c r="AK42" s="2388"/>
      <c r="AL42" s="2388"/>
      <c r="AM42" s="2388"/>
      <c r="AN42" s="2388"/>
      <c r="AO42" s="2388"/>
      <c r="AP42" s="2388"/>
      <c r="AQ42" s="2388"/>
      <c r="AR42" s="2388"/>
      <c r="AS42" s="2388"/>
      <c r="AT42" s="2388"/>
      <c r="AU42" s="2388"/>
      <c r="AV42" s="2388"/>
      <c r="AW42" s="2388"/>
      <c r="AX42" s="2388"/>
      <c r="AY42" s="2388"/>
      <c r="AZ42" s="2388"/>
      <c r="BA42" s="2388"/>
      <c r="BB42" s="2388"/>
      <c r="BC42" s="2388"/>
      <c r="BD42" s="2388"/>
      <c r="BE42" s="2388"/>
      <c r="BF42" s="2388"/>
      <c r="BG42" s="2388"/>
      <c r="BH42" s="2388"/>
      <c r="BI42" s="2388"/>
      <c r="BJ42" s="2388"/>
      <c r="BK42" s="2388"/>
      <c r="BL42" s="2388"/>
      <c r="BM42" s="2388"/>
      <c r="BN42" s="2388"/>
      <c r="BO42" s="2388"/>
      <c r="BP42" s="2388"/>
      <c r="BQ42" s="2388"/>
      <c r="BR42" s="2388"/>
      <c r="BS42" s="2388"/>
      <c r="BT42" s="2388"/>
      <c r="BU42" s="2388"/>
      <c r="BV42" s="2388"/>
    </row>
    <row r="43" spans="1:74" ht="15.75" customHeight="1">
      <c r="A43" s="2388"/>
      <c r="B43" s="2388"/>
      <c r="C43" s="2382" t="s">
        <v>2387</v>
      </c>
      <c r="D43" s="2358" t="s">
        <v>443</v>
      </c>
      <c r="E43" s="2457">
        <v>1</v>
      </c>
      <c r="F43" s="2365">
        <v>0.24</v>
      </c>
      <c r="G43" s="2362">
        <f t="shared" si="15"/>
        <v>0.24</v>
      </c>
      <c r="H43" s="2364">
        <f t="shared" si="12"/>
        <v>2.3942537909018355</v>
      </c>
      <c r="I43" s="2364">
        <f t="shared" si="13"/>
        <v>119.99999999999999</v>
      </c>
      <c r="J43" s="2360">
        <f t="shared" si="16"/>
        <v>2.3942537909018355</v>
      </c>
      <c r="K43" s="2360">
        <f t="shared" si="14"/>
        <v>119.99999999999999</v>
      </c>
      <c r="L43" s="2396"/>
      <c r="M43" s="2388"/>
      <c r="N43" s="2401"/>
      <c r="O43" s="2402"/>
      <c r="P43" s="2388"/>
      <c r="Q43" s="2388"/>
      <c r="R43" s="2388"/>
      <c r="S43" s="2388"/>
      <c r="T43" s="2388"/>
      <c r="U43" s="2388"/>
      <c r="V43" s="2388"/>
      <c r="W43" s="2388"/>
      <c r="X43" s="2388"/>
      <c r="Y43" s="2388"/>
      <c r="Z43" s="2388"/>
      <c r="AA43" s="2388"/>
      <c r="AB43" s="2388"/>
      <c r="AC43" s="2388"/>
      <c r="AD43" s="2388"/>
      <c r="AE43" s="2388"/>
      <c r="AF43" s="2388"/>
      <c r="AG43" s="2388"/>
      <c r="AH43" s="2388"/>
      <c r="AI43" s="2388"/>
      <c r="AJ43" s="2388"/>
      <c r="AK43" s="2388"/>
      <c r="AL43" s="2388"/>
      <c r="AM43" s="2388"/>
      <c r="AN43" s="2388"/>
      <c r="AO43" s="2388"/>
      <c r="AP43" s="2388"/>
      <c r="AQ43" s="2388"/>
      <c r="AR43" s="2388"/>
      <c r="AS43" s="2388"/>
      <c r="AT43" s="2388"/>
      <c r="AU43" s="2388"/>
      <c r="AV43" s="2388"/>
      <c r="AW43" s="2388"/>
      <c r="AX43" s="2388"/>
      <c r="AY43" s="2388"/>
      <c r="AZ43" s="2388"/>
      <c r="BA43" s="2388"/>
      <c r="BB43" s="2388"/>
      <c r="BC43" s="2388"/>
      <c r="BD43" s="2388"/>
      <c r="BE43" s="2388"/>
      <c r="BF43" s="2388"/>
      <c r="BG43" s="2388"/>
      <c r="BH43" s="2388"/>
      <c r="BI43" s="2388"/>
      <c r="BJ43" s="2388"/>
      <c r="BK43" s="2388"/>
      <c r="BL43" s="2388"/>
      <c r="BM43" s="2388"/>
      <c r="BN43" s="2388"/>
      <c r="BO43" s="2388"/>
      <c r="BP43" s="2388"/>
      <c r="BQ43" s="2388"/>
      <c r="BR43" s="2388"/>
      <c r="BS43" s="2388"/>
      <c r="BT43" s="2388"/>
      <c r="BU43" s="2388"/>
      <c r="BV43" s="2388"/>
    </row>
    <row r="44" spans="1:74" ht="16.899999999999999" customHeight="1">
      <c r="A44" s="2388"/>
      <c r="B44" s="2388"/>
      <c r="C44" s="2421" t="s">
        <v>2402</v>
      </c>
      <c r="D44" s="2422"/>
      <c r="E44" s="2423"/>
      <c r="F44" s="2424"/>
      <c r="G44" s="2425">
        <f>SUM(G35:G43)</f>
        <v>0.66999999999999993</v>
      </c>
      <c r="H44" s="2424"/>
      <c r="I44" s="2424"/>
      <c r="J44" s="2426">
        <f>SUM(J35:J43)</f>
        <v>6.6839584996009576</v>
      </c>
      <c r="K44" s="2427">
        <f>SUM(K35:K43)</f>
        <v>335</v>
      </c>
      <c r="L44" s="2400"/>
      <c r="M44" s="2388"/>
      <c r="N44" s="2388"/>
      <c r="O44" s="2388"/>
      <c r="P44" s="2388"/>
      <c r="Q44" s="2388"/>
      <c r="R44" s="2388"/>
      <c r="S44" s="2388"/>
      <c r="T44" s="2388"/>
      <c r="U44" s="2388"/>
      <c r="V44" s="2388"/>
      <c r="W44" s="2388"/>
      <c r="X44" s="2388"/>
      <c r="Y44" s="2388"/>
      <c r="Z44" s="2388"/>
      <c r="AA44" s="2388"/>
      <c r="AB44" s="2388"/>
      <c r="AC44" s="2388"/>
      <c r="AD44" s="2388"/>
      <c r="AE44" s="2388"/>
      <c r="AF44" s="2388"/>
      <c r="AG44" s="2388"/>
      <c r="AH44" s="2388"/>
      <c r="AI44" s="2388"/>
      <c r="AJ44" s="2388"/>
      <c r="AK44" s="2388"/>
      <c r="AL44" s="2388"/>
      <c r="AM44" s="2388"/>
      <c r="AN44" s="2388"/>
      <c r="AO44" s="2388"/>
      <c r="AP44" s="2388"/>
      <c r="AQ44" s="2388"/>
      <c r="AR44" s="2388"/>
      <c r="AS44" s="2388"/>
      <c r="AT44" s="2388"/>
      <c r="AU44" s="2388"/>
      <c r="AV44" s="2388"/>
      <c r="AW44" s="2388"/>
      <c r="AX44" s="2388"/>
      <c r="AY44" s="2388"/>
      <c r="AZ44" s="2388"/>
      <c r="BA44" s="2388"/>
      <c r="BB44" s="2388"/>
      <c r="BC44" s="2388"/>
      <c r="BD44" s="2388"/>
      <c r="BE44" s="2388"/>
      <c r="BF44" s="2388"/>
      <c r="BG44" s="2388"/>
      <c r="BH44" s="2388"/>
      <c r="BI44" s="2388"/>
      <c r="BJ44" s="2388"/>
      <c r="BK44" s="2388"/>
      <c r="BL44" s="2388"/>
      <c r="BM44" s="2388"/>
      <c r="BN44" s="2388"/>
      <c r="BO44" s="2388"/>
      <c r="BP44" s="2388"/>
      <c r="BQ44" s="2388"/>
      <c r="BR44" s="2388"/>
      <c r="BS44" s="2388"/>
      <c r="BT44" s="2388"/>
      <c r="BU44" s="2388"/>
      <c r="BV44" s="2388"/>
    </row>
    <row r="45" spans="1:74" ht="15.75">
      <c r="A45" s="2388"/>
      <c r="B45" s="2388"/>
      <c r="C45" s="2386" t="s">
        <v>2370</v>
      </c>
      <c r="D45" s="2358" t="s">
        <v>852</v>
      </c>
      <c r="E45" s="2458">
        <v>1</v>
      </c>
      <c r="F45" s="2365">
        <v>0.2</v>
      </c>
      <c r="G45" s="2361">
        <f>E45*F45</f>
        <v>0.2</v>
      </c>
      <c r="H45" s="2364">
        <f t="shared" ref="H45:H57" si="17">(F45*N$5)/N$6</f>
        <v>1.9952114924181965</v>
      </c>
      <c r="I45" s="2364">
        <f t="shared" ref="I45:I57" si="18">H45*N$6</f>
        <v>100</v>
      </c>
      <c r="J45" s="2360">
        <f>E45*H45</f>
        <v>1.9952114924181965</v>
      </c>
      <c r="K45" s="2360">
        <f t="shared" ref="K45:K57" si="19">J45*N$6</f>
        <v>100</v>
      </c>
      <c r="L45" s="2396"/>
      <c r="M45" s="2388"/>
      <c r="N45" s="2388"/>
      <c r="O45" s="2388"/>
      <c r="P45" s="2388"/>
      <c r="Q45" s="2405"/>
      <c r="R45" s="2405"/>
      <c r="S45" s="2405"/>
      <c r="T45" s="2405"/>
      <c r="U45" s="2405"/>
      <c r="V45" s="2405"/>
      <c r="W45" s="2405"/>
      <c r="X45" s="2405"/>
      <c r="Y45" s="2388"/>
      <c r="Z45" s="2388"/>
      <c r="AA45" s="2388"/>
      <c r="AB45" s="2388"/>
      <c r="AC45" s="2388"/>
      <c r="AD45" s="2388"/>
      <c r="AE45" s="2388"/>
      <c r="AF45" s="2388"/>
      <c r="AG45" s="2388"/>
      <c r="AH45" s="2388"/>
      <c r="AI45" s="2388"/>
      <c r="AJ45" s="2388"/>
      <c r="AK45" s="2388"/>
      <c r="AL45" s="2388"/>
      <c r="AM45" s="2388"/>
      <c r="AN45" s="2388"/>
      <c r="AO45" s="2388"/>
      <c r="AP45" s="2388"/>
      <c r="AQ45" s="2388"/>
      <c r="AR45" s="2388"/>
      <c r="AS45" s="2388"/>
      <c r="AT45" s="2388"/>
      <c r="AU45" s="2388"/>
      <c r="AV45" s="2388"/>
      <c r="AW45" s="2388"/>
      <c r="AX45" s="2388"/>
      <c r="AY45" s="2388"/>
      <c r="AZ45" s="2388"/>
      <c r="BA45" s="2388"/>
      <c r="BB45" s="2388"/>
      <c r="BC45" s="2388"/>
      <c r="BD45" s="2388"/>
      <c r="BE45" s="2388"/>
      <c r="BF45" s="2388"/>
      <c r="BG45" s="2388"/>
      <c r="BH45" s="2388"/>
      <c r="BI45" s="2388"/>
      <c r="BJ45" s="2388"/>
      <c r="BK45" s="2388"/>
      <c r="BL45" s="2388"/>
      <c r="BM45" s="2388"/>
      <c r="BN45" s="2388"/>
      <c r="BO45" s="2388"/>
      <c r="BP45" s="2388"/>
      <c r="BQ45" s="2388"/>
      <c r="BR45" s="2388"/>
      <c r="BS45" s="2388"/>
      <c r="BT45" s="2388"/>
      <c r="BU45" s="2388"/>
      <c r="BV45" s="2388"/>
    </row>
    <row r="46" spans="1:74" ht="15.75">
      <c r="A46" s="2388"/>
      <c r="B46" s="2388"/>
      <c r="C46" s="2386" t="s">
        <v>2371</v>
      </c>
      <c r="D46" s="2358" t="s">
        <v>852</v>
      </c>
      <c r="E46" s="2458">
        <v>1</v>
      </c>
      <c r="F46" s="2365">
        <v>0.22</v>
      </c>
      <c r="G46" s="2361">
        <f t="shared" ref="G46:G57" si="20">E46*F46</f>
        <v>0.22</v>
      </c>
      <c r="H46" s="2364">
        <f t="shared" si="17"/>
        <v>2.1947326416600159</v>
      </c>
      <c r="I46" s="2364">
        <f t="shared" si="18"/>
        <v>109.99999999999999</v>
      </c>
      <c r="J46" s="2360">
        <f t="shared" ref="J46:J57" si="21">E46*H46</f>
        <v>2.1947326416600159</v>
      </c>
      <c r="K46" s="2360">
        <f t="shared" si="19"/>
        <v>109.99999999999999</v>
      </c>
      <c r="L46" s="2396"/>
      <c r="M46" s="2388"/>
      <c r="N46" s="2388"/>
      <c r="O46" s="2388"/>
      <c r="P46" s="2388"/>
      <c r="Q46" s="2405"/>
      <c r="R46" s="2405"/>
      <c r="S46" s="2405"/>
      <c r="T46" s="2405"/>
      <c r="U46" s="2405"/>
      <c r="V46" s="2405"/>
      <c r="W46" s="2405"/>
      <c r="X46" s="2405"/>
      <c r="Y46" s="2388"/>
      <c r="Z46" s="2388"/>
      <c r="AA46" s="2388"/>
      <c r="AB46" s="2388"/>
      <c r="AC46" s="2388"/>
      <c r="AD46" s="2388"/>
      <c r="AE46" s="2388"/>
      <c r="AF46" s="2388"/>
      <c r="AG46" s="2388"/>
      <c r="AH46" s="2388"/>
      <c r="AI46" s="2388"/>
      <c r="AJ46" s="2388"/>
      <c r="AK46" s="2388"/>
      <c r="AL46" s="2388"/>
      <c r="AM46" s="2388"/>
      <c r="AN46" s="2388"/>
      <c r="AO46" s="2388"/>
      <c r="AP46" s="2388"/>
      <c r="AQ46" s="2388"/>
      <c r="AR46" s="2388"/>
      <c r="AS46" s="2388"/>
      <c r="AT46" s="2388"/>
      <c r="AU46" s="2388"/>
      <c r="AV46" s="2388"/>
      <c r="AW46" s="2388"/>
      <c r="AX46" s="2388"/>
      <c r="AY46" s="2388"/>
      <c r="AZ46" s="2388"/>
      <c r="BA46" s="2388"/>
      <c r="BB46" s="2388"/>
      <c r="BC46" s="2388"/>
      <c r="BD46" s="2388"/>
      <c r="BE46" s="2388"/>
      <c r="BF46" s="2388"/>
      <c r="BG46" s="2388"/>
      <c r="BH46" s="2388"/>
      <c r="BI46" s="2388"/>
      <c r="BJ46" s="2388"/>
      <c r="BK46" s="2388"/>
      <c r="BL46" s="2388"/>
      <c r="BM46" s="2388"/>
      <c r="BN46" s="2388"/>
      <c r="BO46" s="2388"/>
      <c r="BP46" s="2388"/>
      <c r="BQ46" s="2388"/>
      <c r="BR46" s="2388"/>
      <c r="BS46" s="2388"/>
      <c r="BT46" s="2388"/>
      <c r="BU46" s="2388"/>
      <c r="BV46" s="2388"/>
    </row>
    <row r="47" spans="1:74" ht="15.75">
      <c r="A47" s="2388"/>
      <c r="B47" s="2388"/>
      <c r="C47" s="2386" t="s">
        <v>2372</v>
      </c>
      <c r="D47" s="2358" t="s">
        <v>852</v>
      </c>
      <c r="E47" s="2458">
        <v>1</v>
      </c>
      <c r="F47" s="2365">
        <v>0.22</v>
      </c>
      <c r="G47" s="2361">
        <f t="shared" si="20"/>
        <v>0.22</v>
      </c>
      <c r="H47" s="2364">
        <f t="shared" si="17"/>
        <v>2.1947326416600159</v>
      </c>
      <c r="I47" s="2364">
        <f t="shared" si="18"/>
        <v>109.99999999999999</v>
      </c>
      <c r="J47" s="2360">
        <f t="shared" si="21"/>
        <v>2.1947326416600159</v>
      </c>
      <c r="K47" s="2360">
        <f t="shared" si="19"/>
        <v>109.99999999999999</v>
      </c>
      <c r="L47" s="2396"/>
      <c r="M47" s="2388"/>
      <c r="N47" s="2388"/>
      <c r="O47" s="2388"/>
      <c r="P47" s="2388"/>
      <c r="Q47" s="2405"/>
      <c r="R47" s="2405"/>
      <c r="S47" s="2405"/>
      <c r="T47" s="2405"/>
      <c r="U47" s="2405"/>
      <c r="V47" s="2405"/>
      <c r="W47" s="2405"/>
      <c r="X47" s="2405"/>
      <c r="Y47" s="2388"/>
      <c r="Z47" s="2388"/>
      <c r="AA47" s="2388"/>
      <c r="AB47" s="2388"/>
      <c r="AC47" s="2388"/>
      <c r="AD47" s="2388"/>
      <c r="AE47" s="2388"/>
      <c r="AF47" s="2388"/>
      <c r="AG47" s="2388"/>
      <c r="AH47" s="2388"/>
      <c r="AI47" s="2388"/>
      <c r="AJ47" s="2388"/>
      <c r="AK47" s="2388"/>
      <c r="AL47" s="2388"/>
      <c r="AM47" s="2388"/>
      <c r="AN47" s="2388"/>
      <c r="AO47" s="2388"/>
      <c r="AP47" s="2388"/>
      <c r="AQ47" s="2388"/>
      <c r="AR47" s="2388"/>
      <c r="AS47" s="2388"/>
      <c r="AT47" s="2388"/>
      <c r="AU47" s="2388"/>
      <c r="AV47" s="2388"/>
      <c r="AW47" s="2388"/>
      <c r="AX47" s="2388"/>
      <c r="AY47" s="2388"/>
      <c r="AZ47" s="2388"/>
      <c r="BA47" s="2388"/>
      <c r="BB47" s="2388"/>
      <c r="BC47" s="2388"/>
      <c r="BD47" s="2388"/>
      <c r="BE47" s="2388"/>
      <c r="BF47" s="2388"/>
      <c r="BG47" s="2388"/>
      <c r="BH47" s="2388"/>
      <c r="BI47" s="2388"/>
      <c r="BJ47" s="2388"/>
      <c r="BK47" s="2388"/>
      <c r="BL47" s="2388"/>
      <c r="BM47" s="2388"/>
      <c r="BN47" s="2388"/>
      <c r="BO47" s="2388"/>
      <c r="BP47" s="2388"/>
      <c r="BQ47" s="2388"/>
      <c r="BR47" s="2388"/>
      <c r="BS47" s="2388"/>
      <c r="BT47" s="2388"/>
      <c r="BU47" s="2388"/>
      <c r="BV47" s="2388"/>
    </row>
    <row r="48" spans="1:74" ht="15.75">
      <c r="A48" s="2388"/>
      <c r="B48" s="2388"/>
      <c r="C48" s="2386" t="s">
        <v>2373</v>
      </c>
      <c r="D48" s="2358" t="s">
        <v>852</v>
      </c>
      <c r="E48" s="2458">
        <v>1</v>
      </c>
      <c r="F48" s="2365">
        <v>0.22</v>
      </c>
      <c r="G48" s="2361">
        <f t="shared" si="20"/>
        <v>0.22</v>
      </c>
      <c r="H48" s="2364">
        <f t="shared" si="17"/>
        <v>2.1947326416600159</v>
      </c>
      <c r="I48" s="2364">
        <f t="shared" si="18"/>
        <v>109.99999999999999</v>
      </c>
      <c r="J48" s="2360">
        <f t="shared" si="21"/>
        <v>2.1947326416600159</v>
      </c>
      <c r="K48" s="2360">
        <f t="shared" si="19"/>
        <v>109.99999999999999</v>
      </c>
      <c r="L48" s="2396"/>
      <c r="M48" s="2388"/>
      <c r="N48" s="2388"/>
      <c r="O48" s="2388"/>
      <c r="P48" s="2388"/>
      <c r="Q48" s="2405"/>
      <c r="R48" s="2405"/>
      <c r="S48" s="2405"/>
      <c r="T48" s="2405"/>
      <c r="U48" s="2405"/>
      <c r="V48" s="2405"/>
      <c r="W48" s="2405"/>
      <c r="X48" s="2405"/>
      <c r="Y48" s="2388"/>
      <c r="Z48" s="2388"/>
      <c r="AA48" s="2388"/>
      <c r="AB48" s="2388"/>
      <c r="AC48" s="2388"/>
      <c r="AD48" s="2388"/>
      <c r="AE48" s="2388"/>
      <c r="AF48" s="2388"/>
      <c r="AG48" s="2388"/>
      <c r="AH48" s="2388"/>
      <c r="AI48" s="2388"/>
      <c r="AJ48" s="2388"/>
      <c r="AK48" s="2388"/>
      <c r="AL48" s="2388"/>
      <c r="AM48" s="2388"/>
      <c r="AN48" s="2388"/>
      <c r="AO48" s="2388"/>
      <c r="AP48" s="2388"/>
      <c r="AQ48" s="2388"/>
      <c r="AR48" s="2388"/>
      <c r="AS48" s="2388"/>
      <c r="AT48" s="2388"/>
      <c r="AU48" s="2388"/>
      <c r="AV48" s="2388"/>
      <c r="AW48" s="2388"/>
      <c r="AX48" s="2388"/>
      <c r="AY48" s="2388"/>
      <c r="AZ48" s="2388"/>
      <c r="BA48" s="2388"/>
      <c r="BB48" s="2388"/>
      <c r="BC48" s="2388"/>
      <c r="BD48" s="2388"/>
      <c r="BE48" s="2388"/>
      <c r="BF48" s="2388"/>
      <c r="BG48" s="2388"/>
      <c r="BH48" s="2388"/>
      <c r="BI48" s="2388"/>
      <c r="BJ48" s="2388"/>
      <c r="BK48" s="2388"/>
      <c r="BL48" s="2388"/>
      <c r="BM48" s="2388"/>
      <c r="BN48" s="2388"/>
      <c r="BO48" s="2388"/>
      <c r="BP48" s="2388"/>
      <c r="BQ48" s="2388"/>
      <c r="BR48" s="2388"/>
      <c r="BS48" s="2388"/>
      <c r="BT48" s="2388"/>
      <c r="BU48" s="2388"/>
      <c r="BV48" s="2388"/>
    </row>
    <row r="49" spans="1:74" ht="15.75">
      <c r="A49" s="2388"/>
      <c r="B49" s="2388"/>
      <c r="C49" s="2386" t="s">
        <v>2374</v>
      </c>
      <c r="D49" s="2358" t="s">
        <v>852</v>
      </c>
      <c r="E49" s="2458">
        <v>1</v>
      </c>
      <c r="F49" s="2365">
        <v>0.25</v>
      </c>
      <c r="G49" s="2361">
        <f t="shared" si="20"/>
        <v>0.25</v>
      </c>
      <c r="H49" s="2364">
        <f t="shared" si="17"/>
        <v>2.4940143655227454</v>
      </c>
      <c r="I49" s="2364">
        <f t="shared" si="18"/>
        <v>124.99999999999999</v>
      </c>
      <c r="J49" s="2360">
        <f t="shared" si="21"/>
        <v>2.4940143655227454</v>
      </c>
      <c r="K49" s="2360">
        <f t="shared" si="19"/>
        <v>124.99999999999999</v>
      </c>
      <c r="L49" s="2396"/>
      <c r="M49" s="2388"/>
      <c r="N49" s="2388"/>
      <c r="O49" s="2388"/>
      <c r="P49" s="2388"/>
      <c r="Q49" s="2405"/>
      <c r="R49" s="2405"/>
      <c r="S49" s="2405"/>
      <c r="T49" s="2405"/>
      <c r="U49" s="2405"/>
      <c r="V49" s="2405"/>
      <c r="W49" s="2405"/>
      <c r="X49" s="2405"/>
      <c r="Y49" s="2388"/>
      <c r="Z49" s="2388"/>
      <c r="AA49" s="2388"/>
      <c r="AB49" s="2388"/>
      <c r="AC49" s="2388"/>
      <c r="AD49" s="2388"/>
      <c r="AE49" s="2388"/>
      <c r="AF49" s="2388"/>
      <c r="AG49" s="2388"/>
      <c r="AH49" s="2388"/>
      <c r="AI49" s="2388"/>
      <c r="AJ49" s="2388"/>
      <c r="AK49" s="2388"/>
      <c r="AL49" s="2388"/>
      <c r="AM49" s="2388"/>
      <c r="AN49" s="2388"/>
      <c r="AO49" s="2388"/>
      <c r="AP49" s="2388"/>
      <c r="AQ49" s="2388"/>
      <c r="AR49" s="2388"/>
      <c r="AS49" s="2388"/>
      <c r="AT49" s="2388"/>
      <c r="AU49" s="2388"/>
      <c r="AV49" s="2388"/>
      <c r="AW49" s="2388"/>
      <c r="AX49" s="2388"/>
      <c r="AY49" s="2388"/>
      <c r="AZ49" s="2388"/>
      <c r="BA49" s="2388"/>
      <c r="BB49" s="2388"/>
      <c r="BC49" s="2388"/>
      <c r="BD49" s="2388"/>
      <c r="BE49" s="2388"/>
      <c r="BF49" s="2388"/>
      <c r="BG49" s="2388"/>
      <c r="BH49" s="2388"/>
      <c r="BI49" s="2388"/>
      <c r="BJ49" s="2388"/>
      <c r="BK49" s="2388"/>
      <c r="BL49" s="2388"/>
      <c r="BM49" s="2388"/>
      <c r="BN49" s="2388"/>
      <c r="BO49" s="2388"/>
      <c r="BP49" s="2388"/>
      <c r="BQ49" s="2388"/>
      <c r="BR49" s="2388"/>
      <c r="BS49" s="2388"/>
      <c r="BT49" s="2388"/>
      <c r="BU49" s="2388"/>
      <c r="BV49" s="2388"/>
    </row>
    <row r="50" spans="1:74" ht="15.75">
      <c r="A50" s="2388"/>
      <c r="B50" s="2388"/>
      <c r="C50" s="2386" t="s">
        <v>2375</v>
      </c>
      <c r="D50" s="2358" t="s">
        <v>852</v>
      </c>
      <c r="E50" s="2458">
        <v>1</v>
      </c>
      <c r="F50" s="2365">
        <v>0.25</v>
      </c>
      <c r="G50" s="2361">
        <f t="shared" si="20"/>
        <v>0.25</v>
      </c>
      <c r="H50" s="2364">
        <f t="shared" si="17"/>
        <v>2.4940143655227454</v>
      </c>
      <c r="I50" s="2364">
        <f t="shared" si="18"/>
        <v>124.99999999999999</v>
      </c>
      <c r="J50" s="2360">
        <f t="shared" si="21"/>
        <v>2.4940143655227454</v>
      </c>
      <c r="K50" s="2360">
        <f t="shared" si="19"/>
        <v>124.99999999999999</v>
      </c>
      <c r="L50" s="2396"/>
      <c r="M50" s="2388"/>
      <c r="N50" s="2388"/>
      <c r="O50" s="2388"/>
      <c r="P50" s="2388"/>
      <c r="Q50" s="2405"/>
      <c r="R50" s="2405"/>
      <c r="S50" s="2405"/>
      <c r="T50" s="2405"/>
      <c r="U50" s="2405"/>
      <c r="V50" s="2405"/>
      <c r="W50" s="2405"/>
      <c r="X50" s="2405"/>
      <c r="Y50" s="2388"/>
      <c r="Z50" s="2388"/>
      <c r="AA50" s="2388"/>
      <c r="AB50" s="2388"/>
      <c r="AC50" s="2388"/>
      <c r="AD50" s="2388"/>
      <c r="AE50" s="2388"/>
      <c r="AF50" s="2388"/>
      <c r="AG50" s="2388"/>
      <c r="AH50" s="2388"/>
      <c r="AI50" s="2388"/>
      <c r="AJ50" s="2388"/>
      <c r="AK50" s="2388"/>
      <c r="AL50" s="2388"/>
      <c r="AM50" s="2388"/>
      <c r="AN50" s="2388"/>
      <c r="AO50" s="2388"/>
      <c r="AP50" s="2388"/>
      <c r="AQ50" s="2388"/>
      <c r="AR50" s="2388"/>
      <c r="AS50" s="2388"/>
      <c r="AT50" s="2388"/>
      <c r="AU50" s="2388"/>
      <c r="AV50" s="2388"/>
      <c r="AW50" s="2388"/>
      <c r="AX50" s="2388"/>
      <c r="AY50" s="2388"/>
      <c r="AZ50" s="2388"/>
      <c r="BA50" s="2388"/>
      <c r="BB50" s="2388"/>
      <c r="BC50" s="2388"/>
      <c r="BD50" s="2388"/>
      <c r="BE50" s="2388"/>
      <c r="BF50" s="2388"/>
      <c r="BG50" s="2388"/>
      <c r="BH50" s="2388"/>
      <c r="BI50" s="2388"/>
      <c r="BJ50" s="2388"/>
      <c r="BK50" s="2388"/>
      <c r="BL50" s="2388"/>
      <c r="BM50" s="2388"/>
      <c r="BN50" s="2388"/>
      <c r="BO50" s="2388"/>
      <c r="BP50" s="2388"/>
      <c r="BQ50" s="2388"/>
      <c r="BR50" s="2388"/>
      <c r="BS50" s="2388"/>
      <c r="BT50" s="2388"/>
      <c r="BU50" s="2388"/>
      <c r="BV50" s="2388"/>
    </row>
    <row r="51" spans="1:74" ht="15.75">
      <c r="A51" s="2388"/>
      <c r="B51" s="2388"/>
      <c r="C51" s="2386" t="s">
        <v>2376</v>
      </c>
      <c r="D51" s="2358" t="s">
        <v>852</v>
      </c>
      <c r="E51" s="2458">
        <v>1</v>
      </c>
      <c r="F51" s="2365">
        <v>0.25</v>
      </c>
      <c r="G51" s="2361">
        <f t="shared" si="20"/>
        <v>0.25</v>
      </c>
      <c r="H51" s="2364">
        <f t="shared" si="17"/>
        <v>2.4940143655227454</v>
      </c>
      <c r="I51" s="2364">
        <f t="shared" si="18"/>
        <v>124.99999999999999</v>
      </c>
      <c r="J51" s="2360">
        <f t="shared" si="21"/>
        <v>2.4940143655227454</v>
      </c>
      <c r="K51" s="2360">
        <f t="shared" si="19"/>
        <v>124.99999999999999</v>
      </c>
      <c r="L51" s="2396"/>
      <c r="M51" s="2388"/>
      <c r="N51" s="2388"/>
      <c r="O51" s="2388"/>
      <c r="P51" s="2388"/>
      <c r="Q51" s="2405"/>
      <c r="R51" s="2405"/>
      <c r="S51" s="2405"/>
      <c r="T51" s="2405"/>
      <c r="U51" s="2405"/>
      <c r="V51" s="2405"/>
      <c r="W51" s="2405"/>
      <c r="X51" s="2405"/>
      <c r="Y51" s="2388"/>
      <c r="Z51" s="2388"/>
      <c r="AA51" s="2388"/>
      <c r="AB51" s="2388"/>
      <c r="AC51" s="2388"/>
      <c r="AD51" s="2388"/>
      <c r="AE51" s="2388"/>
      <c r="AF51" s="2388"/>
      <c r="AG51" s="2388"/>
      <c r="AH51" s="2388"/>
      <c r="AI51" s="2388"/>
      <c r="AJ51" s="2388"/>
      <c r="AK51" s="2388"/>
      <c r="AL51" s="2388"/>
      <c r="AM51" s="2388"/>
      <c r="AN51" s="2388"/>
      <c r="AO51" s="2388"/>
      <c r="AP51" s="2388"/>
      <c r="AQ51" s="2388"/>
      <c r="AR51" s="2388"/>
      <c r="AS51" s="2388"/>
      <c r="AT51" s="2388"/>
      <c r="AU51" s="2388"/>
      <c r="AV51" s="2388"/>
      <c r="AW51" s="2388"/>
      <c r="AX51" s="2388"/>
      <c r="AY51" s="2388"/>
      <c r="AZ51" s="2388"/>
      <c r="BA51" s="2388"/>
      <c r="BB51" s="2388"/>
      <c r="BC51" s="2388"/>
      <c r="BD51" s="2388"/>
      <c r="BE51" s="2388"/>
      <c r="BF51" s="2388"/>
      <c r="BG51" s="2388"/>
      <c r="BH51" s="2388"/>
      <c r="BI51" s="2388"/>
      <c r="BJ51" s="2388"/>
      <c r="BK51" s="2388"/>
      <c r="BL51" s="2388"/>
      <c r="BM51" s="2388"/>
      <c r="BN51" s="2388"/>
      <c r="BO51" s="2388"/>
      <c r="BP51" s="2388"/>
      <c r="BQ51" s="2388"/>
      <c r="BR51" s="2388"/>
      <c r="BS51" s="2388"/>
      <c r="BT51" s="2388"/>
      <c r="BU51" s="2388"/>
      <c r="BV51" s="2388"/>
    </row>
    <row r="52" spans="1:74" ht="15.75">
      <c r="A52" s="2388"/>
      <c r="B52" s="2388"/>
      <c r="C52" s="2386" t="s">
        <v>2380</v>
      </c>
      <c r="D52" s="2358" t="s">
        <v>852</v>
      </c>
      <c r="E52" s="2458">
        <v>1</v>
      </c>
      <c r="F52" s="2365">
        <v>0.25</v>
      </c>
      <c r="G52" s="2361">
        <f t="shared" si="20"/>
        <v>0.25</v>
      </c>
      <c r="H52" s="2364">
        <f t="shared" si="17"/>
        <v>2.4940143655227454</v>
      </c>
      <c r="I52" s="2364">
        <f t="shared" si="18"/>
        <v>124.99999999999999</v>
      </c>
      <c r="J52" s="2360">
        <f t="shared" si="21"/>
        <v>2.4940143655227454</v>
      </c>
      <c r="K52" s="2360">
        <f t="shared" si="19"/>
        <v>124.99999999999999</v>
      </c>
      <c r="L52" s="2396"/>
      <c r="M52" s="2388"/>
      <c r="N52" s="2388"/>
      <c r="O52" s="2388"/>
      <c r="P52" s="2388"/>
      <c r="Q52" s="2405"/>
      <c r="R52" s="2405"/>
      <c r="S52" s="2405"/>
      <c r="T52" s="2405"/>
      <c r="U52" s="2405"/>
      <c r="V52" s="2405"/>
      <c r="W52" s="2405"/>
      <c r="X52" s="2405"/>
      <c r="Y52" s="2388"/>
      <c r="Z52" s="2388"/>
      <c r="AA52" s="2388"/>
      <c r="AB52" s="2388"/>
      <c r="AC52" s="2388"/>
      <c r="AD52" s="2388"/>
      <c r="AE52" s="2388"/>
      <c r="AF52" s="2388"/>
      <c r="AG52" s="2388"/>
      <c r="AH52" s="2388"/>
      <c r="AI52" s="2388"/>
      <c r="AJ52" s="2388"/>
      <c r="AK52" s="2388"/>
      <c r="AL52" s="2388"/>
      <c r="AM52" s="2388"/>
      <c r="AN52" s="2388"/>
      <c r="AO52" s="2388"/>
      <c r="AP52" s="2388"/>
      <c r="AQ52" s="2388"/>
      <c r="AR52" s="2388"/>
      <c r="AS52" s="2388"/>
      <c r="AT52" s="2388"/>
      <c r="AU52" s="2388"/>
      <c r="AV52" s="2388"/>
      <c r="AW52" s="2388"/>
      <c r="AX52" s="2388"/>
      <c r="AY52" s="2388"/>
      <c r="AZ52" s="2388"/>
      <c r="BA52" s="2388"/>
      <c r="BB52" s="2388"/>
      <c r="BC52" s="2388"/>
      <c r="BD52" s="2388"/>
      <c r="BE52" s="2388"/>
      <c r="BF52" s="2388"/>
      <c r="BG52" s="2388"/>
      <c r="BH52" s="2388"/>
      <c r="BI52" s="2388"/>
      <c r="BJ52" s="2388"/>
      <c r="BK52" s="2388"/>
      <c r="BL52" s="2388"/>
      <c r="BM52" s="2388"/>
      <c r="BN52" s="2388"/>
      <c r="BO52" s="2388"/>
      <c r="BP52" s="2388"/>
      <c r="BQ52" s="2388"/>
      <c r="BR52" s="2388"/>
      <c r="BS52" s="2388"/>
      <c r="BT52" s="2388"/>
      <c r="BU52" s="2388"/>
      <c r="BV52" s="2388"/>
    </row>
    <row r="53" spans="1:74" ht="15.75">
      <c r="A53" s="2388"/>
      <c r="B53" s="2388"/>
      <c r="C53" s="2386" t="s">
        <v>2381</v>
      </c>
      <c r="D53" s="2358" t="s">
        <v>852</v>
      </c>
      <c r="E53" s="2458">
        <v>1</v>
      </c>
      <c r="F53" s="2366">
        <v>0.28000000000000003</v>
      </c>
      <c r="G53" s="2361">
        <f t="shared" si="20"/>
        <v>0.28000000000000003</v>
      </c>
      <c r="H53" s="2364">
        <f t="shared" si="17"/>
        <v>2.7932960893854748</v>
      </c>
      <c r="I53" s="2364">
        <f t="shared" si="18"/>
        <v>140</v>
      </c>
      <c r="J53" s="2360">
        <f t="shared" si="21"/>
        <v>2.7932960893854748</v>
      </c>
      <c r="K53" s="2360">
        <f t="shared" si="19"/>
        <v>140</v>
      </c>
      <c r="L53" s="2396"/>
      <c r="M53" s="2388"/>
      <c r="N53" s="2388"/>
      <c r="O53" s="2388"/>
      <c r="P53" s="2388"/>
      <c r="Q53" s="2405"/>
      <c r="R53" s="2405"/>
      <c r="S53" s="2405"/>
      <c r="T53" s="2405"/>
      <c r="U53" s="2405"/>
      <c r="V53" s="2405"/>
      <c r="W53" s="2405"/>
      <c r="X53" s="2405"/>
      <c r="Y53" s="2388"/>
      <c r="Z53" s="2388"/>
      <c r="AA53" s="2388"/>
      <c r="AB53" s="2388"/>
      <c r="AC53" s="2388"/>
      <c r="AD53" s="2388"/>
      <c r="AE53" s="2388"/>
      <c r="AF53" s="2388"/>
      <c r="AG53" s="2388"/>
      <c r="AH53" s="2388"/>
      <c r="AI53" s="2388"/>
      <c r="AJ53" s="2388"/>
      <c r="AK53" s="2388"/>
      <c r="AL53" s="2388"/>
      <c r="AM53" s="2388"/>
      <c r="AN53" s="2388"/>
      <c r="AO53" s="2388"/>
      <c r="AP53" s="2388"/>
      <c r="AQ53" s="2388"/>
      <c r="AR53" s="2388"/>
      <c r="AS53" s="2388"/>
      <c r="AT53" s="2388"/>
      <c r="AU53" s="2388"/>
      <c r="AV53" s="2388"/>
      <c r="AW53" s="2388"/>
      <c r="AX53" s="2388"/>
      <c r="AY53" s="2388"/>
      <c r="AZ53" s="2388"/>
      <c r="BA53" s="2388"/>
      <c r="BB53" s="2388"/>
      <c r="BC53" s="2388"/>
      <c r="BD53" s="2388"/>
      <c r="BE53" s="2388"/>
      <c r="BF53" s="2388"/>
      <c r="BG53" s="2388"/>
      <c r="BH53" s="2388"/>
      <c r="BI53" s="2388"/>
      <c r="BJ53" s="2388"/>
      <c r="BK53" s="2388"/>
      <c r="BL53" s="2388"/>
      <c r="BM53" s="2388"/>
      <c r="BN53" s="2388"/>
      <c r="BO53" s="2388"/>
      <c r="BP53" s="2388"/>
      <c r="BQ53" s="2388"/>
      <c r="BR53" s="2388"/>
      <c r="BS53" s="2388"/>
      <c r="BT53" s="2388"/>
      <c r="BU53" s="2388"/>
      <c r="BV53" s="2388"/>
    </row>
    <row r="54" spans="1:74" ht="15.75">
      <c r="A54" s="2388"/>
      <c r="B54" s="2388"/>
      <c r="C54" s="2386" t="s">
        <v>2377</v>
      </c>
      <c r="D54" s="2358" t="s">
        <v>852</v>
      </c>
      <c r="E54" s="2458">
        <v>1</v>
      </c>
      <c r="F54" s="2366">
        <v>0.28000000000000003</v>
      </c>
      <c r="G54" s="2361">
        <f t="shared" si="20"/>
        <v>0.28000000000000003</v>
      </c>
      <c r="H54" s="2364">
        <f t="shared" si="17"/>
        <v>2.7932960893854748</v>
      </c>
      <c r="I54" s="2364">
        <f t="shared" si="18"/>
        <v>140</v>
      </c>
      <c r="J54" s="2360">
        <f t="shared" si="21"/>
        <v>2.7932960893854748</v>
      </c>
      <c r="K54" s="2360">
        <f t="shared" si="19"/>
        <v>140</v>
      </c>
      <c r="L54" s="2396"/>
      <c r="M54" s="2388"/>
      <c r="N54" s="2388"/>
      <c r="O54" s="2388"/>
      <c r="P54" s="2388"/>
      <c r="Q54" s="2405"/>
      <c r="R54" s="2405"/>
      <c r="S54" s="2405"/>
      <c r="T54" s="2405"/>
      <c r="U54" s="2405"/>
      <c r="V54" s="2405"/>
      <c r="W54" s="2405"/>
      <c r="X54" s="2405"/>
      <c r="Y54" s="2388"/>
      <c r="Z54" s="2388"/>
      <c r="AA54" s="2388"/>
      <c r="AB54" s="2388"/>
      <c r="AC54" s="2388"/>
      <c r="AD54" s="2388"/>
      <c r="AE54" s="2388"/>
      <c r="AF54" s="2388"/>
      <c r="AG54" s="2388"/>
      <c r="AH54" s="2388"/>
      <c r="AI54" s="2388"/>
      <c r="AJ54" s="2388"/>
      <c r="AK54" s="2388"/>
      <c r="AL54" s="2388"/>
      <c r="AM54" s="2388"/>
      <c r="AN54" s="2388"/>
      <c r="AO54" s="2388"/>
      <c r="AP54" s="2388"/>
      <c r="AQ54" s="2388"/>
      <c r="AR54" s="2388"/>
      <c r="AS54" s="2388"/>
      <c r="AT54" s="2388"/>
      <c r="AU54" s="2388"/>
      <c r="AV54" s="2388"/>
      <c r="AW54" s="2388"/>
      <c r="AX54" s="2388"/>
      <c r="AY54" s="2388"/>
      <c r="AZ54" s="2388"/>
      <c r="BA54" s="2388"/>
      <c r="BB54" s="2388"/>
      <c r="BC54" s="2388"/>
      <c r="BD54" s="2388"/>
      <c r="BE54" s="2388"/>
      <c r="BF54" s="2388"/>
      <c r="BG54" s="2388"/>
      <c r="BH54" s="2388"/>
      <c r="BI54" s="2388"/>
      <c r="BJ54" s="2388"/>
      <c r="BK54" s="2388"/>
      <c r="BL54" s="2388"/>
      <c r="BM54" s="2388"/>
      <c r="BN54" s="2388"/>
      <c r="BO54" s="2388"/>
      <c r="BP54" s="2388"/>
      <c r="BQ54" s="2388"/>
      <c r="BR54" s="2388"/>
      <c r="BS54" s="2388"/>
      <c r="BT54" s="2388"/>
      <c r="BU54" s="2388"/>
      <c r="BV54" s="2388"/>
    </row>
    <row r="55" spans="1:74" ht="15.75">
      <c r="A55" s="2388"/>
      <c r="B55" s="2388"/>
      <c r="C55" s="2386" t="s">
        <v>2378</v>
      </c>
      <c r="D55" s="2358" t="s">
        <v>852</v>
      </c>
      <c r="E55" s="2458">
        <v>1</v>
      </c>
      <c r="F55" s="2366">
        <v>0.28999999999999998</v>
      </c>
      <c r="G55" s="2361">
        <f t="shared" si="20"/>
        <v>0.28999999999999998</v>
      </c>
      <c r="H55" s="2364">
        <f t="shared" si="17"/>
        <v>2.8930566640063846</v>
      </c>
      <c r="I55" s="2364">
        <f t="shared" si="18"/>
        <v>145</v>
      </c>
      <c r="J55" s="2360">
        <f t="shared" si="21"/>
        <v>2.8930566640063846</v>
      </c>
      <c r="K55" s="2360">
        <f t="shared" si="19"/>
        <v>145</v>
      </c>
      <c r="L55" s="2396"/>
      <c r="M55" s="2388"/>
      <c r="N55" s="2388"/>
      <c r="O55" s="2388"/>
      <c r="P55" s="2388"/>
      <c r="Q55" s="2405"/>
      <c r="R55" s="2405"/>
      <c r="S55" s="2405"/>
      <c r="T55" s="2405"/>
      <c r="U55" s="2405"/>
      <c r="V55" s="2405"/>
      <c r="W55" s="2405"/>
      <c r="X55" s="2405"/>
      <c r="Y55" s="2388"/>
      <c r="Z55" s="2388"/>
      <c r="AA55" s="2388"/>
      <c r="AB55" s="2388"/>
      <c r="AC55" s="2388"/>
      <c r="AD55" s="2388"/>
      <c r="AE55" s="2388"/>
      <c r="AF55" s="2388"/>
      <c r="AG55" s="2388"/>
      <c r="AH55" s="2388"/>
      <c r="AI55" s="2388"/>
      <c r="AJ55" s="2388"/>
      <c r="AK55" s="2388"/>
      <c r="AL55" s="2388"/>
      <c r="AM55" s="2388"/>
      <c r="AN55" s="2388"/>
      <c r="AO55" s="2388"/>
      <c r="AP55" s="2388"/>
      <c r="AQ55" s="2388"/>
      <c r="AR55" s="2388"/>
      <c r="AS55" s="2388"/>
      <c r="AT55" s="2388"/>
      <c r="AU55" s="2388"/>
      <c r="AV55" s="2388"/>
      <c r="AW55" s="2388"/>
      <c r="AX55" s="2388"/>
      <c r="AY55" s="2388"/>
      <c r="AZ55" s="2388"/>
      <c r="BA55" s="2388"/>
      <c r="BB55" s="2388"/>
      <c r="BC55" s="2388"/>
      <c r="BD55" s="2388"/>
      <c r="BE55" s="2388"/>
      <c r="BF55" s="2388"/>
      <c r="BG55" s="2388"/>
      <c r="BH55" s="2388"/>
      <c r="BI55" s="2388"/>
      <c r="BJ55" s="2388"/>
      <c r="BK55" s="2388"/>
      <c r="BL55" s="2388"/>
      <c r="BM55" s="2388"/>
      <c r="BN55" s="2388"/>
      <c r="BO55" s="2388"/>
      <c r="BP55" s="2388"/>
      <c r="BQ55" s="2388"/>
      <c r="BR55" s="2388"/>
      <c r="BS55" s="2388"/>
      <c r="BT55" s="2388"/>
      <c r="BU55" s="2388"/>
      <c r="BV55" s="2388"/>
    </row>
    <row r="56" spans="1:74" ht="15.75">
      <c r="A56" s="2388"/>
      <c r="B56" s="2388"/>
      <c r="C56" s="2386" t="s">
        <v>2379</v>
      </c>
      <c r="D56" s="2358" t="s">
        <v>852</v>
      </c>
      <c r="E56" s="2459">
        <v>1</v>
      </c>
      <c r="F56" s="2366">
        <v>0.34</v>
      </c>
      <c r="G56" s="2361">
        <f t="shared" si="20"/>
        <v>0.34</v>
      </c>
      <c r="H56" s="2364">
        <f t="shared" si="17"/>
        <v>3.3918595371109341</v>
      </c>
      <c r="I56" s="2364">
        <f t="shared" si="18"/>
        <v>170</v>
      </c>
      <c r="J56" s="2360">
        <f t="shared" si="21"/>
        <v>3.3918595371109341</v>
      </c>
      <c r="K56" s="2360">
        <f t="shared" si="19"/>
        <v>170</v>
      </c>
      <c r="L56" s="2396"/>
      <c r="M56" s="2388"/>
      <c r="N56" s="2388"/>
      <c r="O56" s="2388"/>
      <c r="P56" s="2388"/>
      <c r="Q56" s="2405"/>
      <c r="R56" s="2405"/>
      <c r="S56" s="2405"/>
      <c r="T56" s="2405"/>
      <c r="U56" s="2405"/>
      <c r="V56" s="2405"/>
      <c r="W56" s="2405"/>
      <c r="X56" s="2405"/>
      <c r="Y56" s="2388"/>
      <c r="Z56" s="2388"/>
      <c r="AA56" s="2388"/>
      <c r="AB56" s="2388"/>
      <c r="AC56" s="2388"/>
      <c r="AD56" s="2388"/>
      <c r="AE56" s="2388"/>
      <c r="AF56" s="2388"/>
      <c r="AG56" s="2388"/>
      <c r="AH56" s="2388"/>
      <c r="AI56" s="2388"/>
      <c r="AJ56" s="2388"/>
      <c r="AK56" s="2388"/>
      <c r="AL56" s="2388"/>
      <c r="AM56" s="2388"/>
      <c r="AN56" s="2388"/>
      <c r="AO56" s="2388"/>
      <c r="AP56" s="2388"/>
      <c r="AQ56" s="2388"/>
      <c r="AR56" s="2388"/>
      <c r="AS56" s="2388"/>
      <c r="AT56" s="2388"/>
      <c r="AU56" s="2388"/>
      <c r="AV56" s="2388"/>
      <c r="AW56" s="2388"/>
      <c r="AX56" s="2388"/>
      <c r="AY56" s="2388"/>
      <c r="AZ56" s="2388"/>
      <c r="BA56" s="2388"/>
      <c r="BB56" s="2388"/>
      <c r="BC56" s="2388"/>
      <c r="BD56" s="2388"/>
      <c r="BE56" s="2388"/>
      <c r="BF56" s="2388"/>
      <c r="BG56" s="2388"/>
      <c r="BH56" s="2388"/>
      <c r="BI56" s="2388"/>
      <c r="BJ56" s="2388"/>
      <c r="BK56" s="2388"/>
      <c r="BL56" s="2388"/>
      <c r="BM56" s="2388"/>
      <c r="BN56" s="2388"/>
      <c r="BO56" s="2388"/>
      <c r="BP56" s="2388"/>
      <c r="BQ56" s="2388"/>
      <c r="BR56" s="2388"/>
      <c r="BS56" s="2388"/>
      <c r="BT56" s="2388"/>
      <c r="BU56" s="2388"/>
      <c r="BV56" s="2388"/>
    </row>
    <row r="57" spans="1:74" ht="15.75">
      <c r="A57" s="2388"/>
      <c r="B57" s="2388"/>
      <c r="C57" s="2386" t="s">
        <v>2382</v>
      </c>
      <c r="D57" s="2358" t="s">
        <v>852</v>
      </c>
      <c r="E57" s="2459">
        <v>1</v>
      </c>
      <c r="F57" s="2366">
        <v>0.42</v>
      </c>
      <c r="G57" s="2361">
        <f t="shared" si="20"/>
        <v>0.42</v>
      </c>
      <c r="H57" s="2364">
        <f t="shared" si="17"/>
        <v>4.1899441340782122</v>
      </c>
      <c r="I57" s="2364">
        <f t="shared" si="18"/>
        <v>209.99999999999997</v>
      </c>
      <c r="J57" s="2360">
        <f t="shared" si="21"/>
        <v>4.1899441340782122</v>
      </c>
      <c r="K57" s="2360">
        <f t="shared" si="19"/>
        <v>209.99999999999997</v>
      </c>
      <c r="L57" s="2396"/>
      <c r="M57" s="2388"/>
      <c r="N57" s="2388"/>
      <c r="O57" s="2388"/>
      <c r="P57" s="2388"/>
      <c r="Q57" s="2405"/>
      <c r="R57" s="2405"/>
      <c r="S57" s="2405"/>
      <c r="T57" s="2405"/>
      <c r="U57" s="2405"/>
      <c r="V57" s="2405"/>
      <c r="W57" s="2405"/>
      <c r="X57" s="2405"/>
      <c r="Y57" s="2388"/>
      <c r="Z57" s="2388"/>
      <c r="AA57" s="2388"/>
      <c r="AB57" s="2388"/>
      <c r="AC57" s="2388"/>
      <c r="AD57" s="2388"/>
      <c r="AE57" s="2388"/>
      <c r="AF57" s="2388"/>
      <c r="AG57" s="2388"/>
      <c r="AH57" s="2388"/>
      <c r="AI57" s="2388"/>
      <c r="AJ57" s="2388"/>
      <c r="AK57" s="2388"/>
      <c r="AL57" s="2388"/>
      <c r="AM57" s="2388"/>
      <c r="AN57" s="2388"/>
      <c r="AO57" s="2388"/>
      <c r="AP57" s="2388"/>
      <c r="AQ57" s="2388"/>
      <c r="AR57" s="2388"/>
      <c r="AS57" s="2388"/>
      <c r="AT57" s="2388"/>
      <c r="AU57" s="2388"/>
      <c r="AV57" s="2388"/>
      <c r="AW57" s="2388"/>
      <c r="AX57" s="2388"/>
      <c r="AY57" s="2388"/>
      <c r="AZ57" s="2388"/>
      <c r="BA57" s="2388"/>
      <c r="BB57" s="2388"/>
      <c r="BC57" s="2388"/>
      <c r="BD57" s="2388"/>
      <c r="BE57" s="2388"/>
      <c r="BF57" s="2388"/>
      <c r="BG57" s="2388"/>
      <c r="BH57" s="2388"/>
      <c r="BI57" s="2388"/>
      <c r="BJ57" s="2388"/>
      <c r="BK57" s="2388"/>
      <c r="BL57" s="2388"/>
      <c r="BM57" s="2388"/>
      <c r="BN57" s="2388"/>
      <c r="BO57" s="2388"/>
      <c r="BP57" s="2388"/>
      <c r="BQ57" s="2388"/>
      <c r="BR57" s="2388"/>
      <c r="BS57" s="2388"/>
      <c r="BT57" s="2388"/>
      <c r="BU57" s="2388"/>
      <c r="BV57" s="2388"/>
    </row>
    <row r="58" spans="1:74" ht="16.5" customHeight="1">
      <c r="A58" s="2388"/>
      <c r="B58" s="2388"/>
      <c r="C58" s="2428" t="s">
        <v>2403</v>
      </c>
      <c r="D58" s="2429"/>
      <c r="E58" s="2430"/>
      <c r="F58" s="2431"/>
      <c r="G58" s="2432">
        <f>SUM(G45:G57)</f>
        <v>3.4699999999999998</v>
      </c>
      <c r="H58" s="2431"/>
      <c r="I58" s="2431"/>
      <c r="J58" s="2433">
        <f>SUM(J45:J57)</f>
        <v>34.616919393455703</v>
      </c>
      <c r="K58" s="2434">
        <f>SUM(K45:K57)</f>
        <v>1735</v>
      </c>
      <c r="L58" s="2396"/>
      <c r="M58" s="2403"/>
      <c r="N58" s="2388"/>
      <c r="O58" s="2388"/>
      <c r="P58" s="2388"/>
      <c r="Q58" s="2388"/>
      <c r="R58" s="2388"/>
      <c r="S58" s="2388"/>
      <c r="T58" s="2388"/>
      <c r="U58" s="2388"/>
      <c r="V58" s="2388"/>
      <c r="W58" s="2388"/>
      <c r="X58" s="2388"/>
      <c r="Y58" s="2388"/>
      <c r="Z58" s="2388"/>
      <c r="AA58" s="2388"/>
      <c r="AB58" s="2388"/>
      <c r="AC58" s="2388"/>
      <c r="AD58" s="2388"/>
      <c r="AE58" s="2388"/>
      <c r="AF58" s="2388"/>
      <c r="AG58" s="2388"/>
      <c r="AH58" s="2388"/>
      <c r="AI58" s="2388"/>
      <c r="AJ58" s="2388"/>
      <c r="AK58" s="2388"/>
      <c r="AL58" s="2388"/>
      <c r="AM58" s="2388"/>
      <c r="AN58" s="2388"/>
      <c r="AO58" s="2388"/>
      <c r="AP58" s="2388"/>
      <c r="AQ58" s="2388"/>
      <c r="AR58" s="2388"/>
      <c r="AS58" s="2388"/>
      <c r="AT58" s="2388"/>
      <c r="AU58" s="2388"/>
      <c r="AV58" s="2388"/>
      <c r="AW58" s="2388"/>
      <c r="AX58" s="2388"/>
      <c r="AY58" s="2388"/>
      <c r="AZ58" s="2388"/>
      <c r="BA58" s="2388"/>
      <c r="BB58" s="2388"/>
      <c r="BC58" s="2388"/>
      <c r="BD58" s="2388"/>
      <c r="BE58" s="2388"/>
      <c r="BF58" s="2388"/>
      <c r="BG58" s="2388"/>
      <c r="BH58" s="2388"/>
      <c r="BI58" s="2388"/>
      <c r="BJ58" s="2388"/>
      <c r="BK58" s="2388"/>
      <c r="BL58" s="2388"/>
      <c r="BM58" s="2388"/>
      <c r="BN58" s="2388"/>
      <c r="BO58" s="2388"/>
      <c r="BP58" s="2388"/>
      <c r="BQ58" s="2388"/>
      <c r="BR58" s="2388"/>
      <c r="BS58" s="2388"/>
      <c r="BT58" s="2388"/>
      <c r="BU58" s="2388"/>
      <c r="BV58" s="2388"/>
    </row>
    <row r="59" spans="1:74" ht="15.75" customHeight="1">
      <c r="A59" s="2388"/>
      <c r="B59" s="2388"/>
      <c r="C59" s="2381" t="s">
        <v>2319</v>
      </c>
      <c r="D59" s="2358" t="s">
        <v>443</v>
      </c>
      <c r="E59" s="2460">
        <v>1</v>
      </c>
      <c r="F59" s="2365">
        <v>5.8</v>
      </c>
      <c r="G59" s="2361">
        <f>E59*F59</f>
        <v>5.8</v>
      </c>
      <c r="H59" s="2364">
        <f t="shared" ref="H59:H68" si="22">(F59*N$5)/N$6</f>
        <v>57.861133280127696</v>
      </c>
      <c r="I59" s="2364">
        <f t="shared" ref="I59:I68" si="23">H59*N$6</f>
        <v>2900</v>
      </c>
      <c r="J59" s="2360">
        <f>E59*H59</f>
        <v>57.861133280127696</v>
      </c>
      <c r="K59" s="2360">
        <f t="shared" ref="K59:K68" si="24">J59*N$6</f>
        <v>2900</v>
      </c>
      <c r="L59" s="2396"/>
      <c r="M59" s="2388"/>
      <c r="N59" s="2388"/>
      <c r="O59" s="2388"/>
      <c r="P59" s="2388"/>
      <c r="Q59" s="2388"/>
      <c r="R59" s="2388"/>
      <c r="S59" s="2388"/>
      <c r="T59" s="2388"/>
      <c r="U59" s="2388"/>
      <c r="V59" s="2388"/>
      <c r="W59" s="2388"/>
      <c r="X59" s="2388"/>
      <c r="Y59" s="2388"/>
      <c r="Z59" s="2388"/>
      <c r="AA59" s="2388"/>
      <c r="AB59" s="2388"/>
      <c r="AC59" s="2388"/>
      <c r="AD59" s="2388"/>
      <c r="AE59" s="2388"/>
      <c r="AF59" s="2388"/>
      <c r="AG59" s="2388"/>
      <c r="AH59" s="2388"/>
      <c r="AI59" s="2388"/>
      <c r="AJ59" s="2388"/>
      <c r="AK59" s="2388"/>
      <c r="AL59" s="2388"/>
      <c r="AM59" s="2388"/>
      <c r="AN59" s="2388"/>
      <c r="AO59" s="2388"/>
      <c r="AP59" s="2388"/>
      <c r="AQ59" s="2388"/>
      <c r="AR59" s="2388"/>
      <c r="AS59" s="2388"/>
      <c r="AT59" s="2388"/>
      <c r="AU59" s="2388"/>
      <c r="AV59" s="2388"/>
      <c r="AW59" s="2388"/>
      <c r="AX59" s="2388"/>
      <c r="AY59" s="2388"/>
      <c r="AZ59" s="2388"/>
      <c r="BA59" s="2388"/>
      <c r="BB59" s="2388"/>
      <c r="BC59" s="2388"/>
      <c r="BD59" s="2388"/>
      <c r="BE59" s="2388"/>
      <c r="BF59" s="2388"/>
      <c r="BG59" s="2388"/>
      <c r="BH59" s="2388"/>
      <c r="BI59" s="2388"/>
      <c r="BJ59" s="2388"/>
      <c r="BK59" s="2388"/>
      <c r="BL59" s="2388"/>
      <c r="BM59" s="2388"/>
      <c r="BN59" s="2388"/>
      <c r="BO59" s="2388"/>
      <c r="BP59" s="2388"/>
      <c r="BQ59" s="2388"/>
      <c r="BR59" s="2388"/>
      <c r="BS59" s="2388"/>
      <c r="BT59" s="2388"/>
      <c r="BU59" s="2388"/>
      <c r="BV59" s="2388"/>
    </row>
    <row r="60" spans="1:74" ht="15.75" customHeight="1">
      <c r="A60" s="2388"/>
      <c r="B60" s="2388"/>
      <c r="C60" s="2381" t="s">
        <v>2320</v>
      </c>
      <c r="D60" s="2358" t="s">
        <v>443</v>
      </c>
      <c r="E60" s="2460">
        <v>1</v>
      </c>
      <c r="F60" s="2365">
        <v>2.2000000000000002</v>
      </c>
      <c r="G60" s="2361">
        <f t="shared" ref="G60:G68" si="25">E60*F60</f>
        <v>2.2000000000000002</v>
      </c>
      <c r="H60" s="2364">
        <f t="shared" si="22"/>
        <v>21.947326416600159</v>
      </c>
      <c r="I60" s="2364">
        <f t="shared" si="23"/>
        <v>1100</v>
      </c>
      <c r="J60" s="2360">
        <f t="shared" ref="J60:J68" si="26">E60*H60</f>
        <v>21.947326416600159</v>
      </c>
      <c r="K60" s="2360">
        <f t="shared" si="24"/>
        <v>1100</v>
      </c>
      <c r="L60" s="2396"/>
      <c r="M60" s="2388"/>
      <c r="N60" s="2388"/>
      <c r="O60" s="2388"/>
      <c r="P60" s="2388"/>
      <c r="Q60" s="2388"/>
      <c r="R60" s="2388"/>
      <c r="S60" s="2388"/>
      <c r="T60" s="2388"/>
      <c r="U60" s="2388"/>
      <c r="V60" s="2388"/>
      <c r="W60" s="2388"/>
      <c r="X60" s="2388"/>
      <c r="Y60" s="2388"/>
      <c r="Z60" s="2388"/>
      <c r="AA60" s="2388"/>
      <c r="AB60" s="2388"/>
      <c r="AC60" s="2388"/>
      <c r="AD60" s="2388"/>
      <c r="AE60" s="2388"/>
      <c r="AF60" s="2388"/>
      <c r="AG60" s="2388"/>
      <c r="AH60" s="2388"/>
      <c r="AI60" s="2388"/>
      <c r="AJ60" s="2388"/>
      <c r="AK60" s="2388"/>
      <c r="AL60" s="2388"/>
      <c r="AM60" s="2388"/>
      <c r="AN60" s="2388"/>
      <c r="AO60" s="2388"/>
      <c r="AP60" s="2388"/>
      <c r="AQ60" s="2388"/>
      <c r="AR60" s="2388"/>
      <c r="AS60" s="2388"/>
      <c r="AT60" s="2388"/>
      <c r="AU60" s="2388"/>
      <c r="AV60" s="2388"/>
      <c r="AW60" s="2388"/>
      <c r="AX60" s="2388"/>
      <c r="AY60" s="2388"/>
      <c r="AZ60" s="2388"/>
      <c r="BA60" s="2388"/>
      <c r="BB60" s="2388"/>
      <c r="BC60" s="2388"/>
      <c r="BD60" s="2388"/>
      <c r="BE60" s="2388"/>
      <c r="BF60" s="2388"/>
      <c r="BG60" s="2388"/>
      <c r="BH60" s="2388"/>
      <c r="BI60" s="2388"/>
      <c r="BJ60" s="2388"/>
      <c r="BK60" s="2388"/>
      <c r="BL60" s="2388"/>
      <c r="BM60" s="2388"/>
      <c r="BN60" s="2388"/>
      <c r="BO60" s="2388"/>
      <c r="BP60" s="2388"/>
      <c r="BQ60" s="2388"/>
      <c r="BR60" s="2388"/>
      <c r="BS60" s="2388"/>
      <c r="BT60" s="2388"/>
      <c r="BU60" s="2388"/>
      <c r="BV60" s="2388"/>
    </row>
    <row r="61" spans="1:74" ht="15.75" customHeight="1">
      <c r="A61" s="2388"/>
      <c r="B61" s="2388"/>
      <c r="C61" s="2381" t="s">
        <v>2321</v>
      </c>
      <c r="D61" s="2358" t="s">
        <v>443</v>
      </c>
      <c r="E61" s="2460">
        <v>1</v>
      </c>
      <c r="F61" s="2365">
        <v>4</v>
      </c>
      <c r="G61" s="2361">
        <f t="shared" si="25"/>
        <v>4</v>
      </c>
      <c r="H61" s="2364">
        <f t="shared" si="22"/>
        <v>39.904229848363926</v>
      </c>
      <c r="I61" s="2364">
        <f t="shared" si="23"/>
        <v>1999.9999999999998</v>
      </c>
      <c r="J61" s="2360">
        <f t="shared" si="26"/>
        <v>39.904229848363926</v>
      </c>
      <c r="K61" s="2360">
        <f t="shared" si="24"/>
        <v>1999.9999999999998</v>
      </c>
      <c r="L61" s="2396"/>
      <c r="M61" s="2388"/>
      <c r="N61" s="2388"/>
      <c r="O61" s="2388"/>
      <c r="P61" s="2388"/>
      <c r="Q61" s="2388"/>
      <c r="R61" s="2388"/>
      <c r="S61" s="2388"/>
      <c r="T61" s="2388"/>
      <c r="U61" s="2388"/>
      <c r="V61" s="2388"/>
      <c r="W61" s="2388"/>
      <c r="X61" s="2388"/>
      <c r="Y61" s="2388"/>
      <c r="Z61" s="2388"/>
      <c r="AA61" s="2388"/>
      <c r="AB61" s="2388"/>
      <c r="AC61" s="2388"/>
      <c r="AD61" s="2388"/>
      <c r="AE61" s="2388"/>
      <c r="AF61" s="2388"/>
      <c r="AG61" s="2388"/>
      <c r="AH61" s="2388"/>
      <c r="AI61" s="2388"/>
      <c r="AJ61" s="2388"/>
      <c r="AK61" s="2388"/>
      <c r="AL61" s="2388"/>
      <c r="AM61" s="2388"/>
      <c r="AN61" s="2388"/>
      <c r="AO61" s="2388"/>
      <c r="AP61" s="2388"/>
      <c r="AQ61" s="2388"/>
      <c r="AR61" s="2388"/>
      <c r="AS61" s="2388"/>
      <c r="AT61" s="2388"/>
      <c r="AU61" s="2388"/>
      <c r="AV61" s="2388"/>
      <c r="AW61" s="2388"/>
      <c r="AX61" s="2388"/>
      <c r="AY61" s="2388"/>
      <c r="AZ61" s="2388"/>
      <c r="BA61" s="2388"/>
      <c r="BB61" s="2388"/>
      <c r="BC61" s="2388"/>
      <c r="BD61" s="2388"/>
      <c r="BE61" s="2388"/>
      <c r="BF61" s="2388"/>
      <c r="BG61" s="2388"/>
      <c r="BH61" s="2388"/>
      <c r="BI61" s="2388"/>
      <c r="BJ61" s="2388"/>
      <c r="BK61" s="2388"/>
      <c r="BL61" s="2388"/>
      <c r="BM61" s="2388"/>
      <c r="BN61" s="2388"/>
      <c r="BO61" s="2388"/>
      <c r="BP61" s="2388"/>
      <c r="BQ61" s="2388"/>
      <c r="BR61" s="2388"/>
      <c r="BS61" s="2388"/>
      <c r="BT61" s="2388"/>
      <c r="BU61" s="2388"/>
      <c r="BV61" s="2388"/>
    </row>
    <row r="62" spans="1:74" ht="15.75" customHeight="1">
      <c r="A62" s="2388"/>
      <c r="B62" s="2388"/>
      <c r="C62" s="2381" t="s">
        <v>2322</v>
      </c>
      <c r="D62" s="2358" t="s">
        <v>443</v>
      </c>
      <c r="E62" s="2460">
        <v>1</v>
      </c>
      <c r="F62" s="2365">
        <v>9</v>
      </c>
      <c r="G62" s="2361">
        <f t="shared" si="25"/>
        <v>9</v>
      </c>
      <c r="H62" s="2364">
        <f t="shared" si="22"/>
        <v>89.784517158818844</v>
      </c>
      <c r="I62" s="2364">
        <f t="shared" si="23"/>
        <v>4500</v>
      </c>
      <c r="J62" s="2360">
        <f t="shared" si="26"/>
        <v>89.784517158818844</v>
      </c>
      <c r="K62" s="2360">
        <f t="shared" si="24"/>
        <v>4500</v>
      </c>
      <c r="L62" s="2396"/>
      <c r="M62" s="2388"/>
      <c r="N62" s="2388"/>
      <c r="O62" s="2388"/>
      <c r="P62" s="2388"/>
      <c r="Q62" s="2388"/>
      <c r="R62" s="2388"/>
      <c r="S62" s="2388"/>
      <c r="T62" s="2388"/>
      <c r="U62" s="2388"/>
      <c r="V62" s="2388"/>
      <c r="W62" s="2388"/>
      <c r="X62" s="2388"/>
      <c r="Y62" s="2388"/>
      <c r="Z62" s="2388"/>
      <c r="AA62" s="2388"/>
      <c r="AB62" s="2388"/>
      <c r="AC62" s="2388"/>
      <c r="AD62" s="2388"/>
      <c r="AE62" s="2388"/>
      <c r="AF62" s="2388"/>
      <c r="AG62" s="2388"/>
      <c r="AH62" s="2388"/>
      <c r="AI62" s="2388"/>
      <c r="AJ62" s="2388"/>
      <c r="AK62" s="2388"/>
      <c r="AL62" s="2388"/>
      <c r="AM62" s="2388"/>
      <c r="AN62" s="2388"/>
      <c r="AO62" s="2388"/>
      <c r="AP62" s="2388"/>
      <c r="AQ62" s="2388"/>
      <c r="AR62" s="2388"/>
      <c r="AS62" s="2388"/>
      <c r="AT62" s="2388"/>
      <c r="AU62" s="2388"/>
      <c r="AV62" s="2388"/>
      <c r="AW62" s="2388"/>
      <c r="AX62" s="2388"/>
      <c r="AY62" s="2388"/>
      <c r="AZ62" s="2388"/>
      <c r="BA62" s="2388"/>
      <c r="BB62" s="2388"/>
      <c r="BC62" s="2388"/>
      <c r="BD62" s="2388"/>
      <c r="BE62" s="2388"/>
      <c r="BF62" s="2388"/>
      <c r="BG62" s="2388"/>
      <c r="BH62" s="2388"/>
      <c r="BI62" s="2388"/>
      <c r="BJ62" s="2388"/>
      <c r="BK62" s="2388"/>
      <c r="BL62" s="2388"/>
      <c r="BM62" s="2388"/>
      <c r="BN62" s="2388"/>
      <c r="BO62" s="2388"/>
      <c r="BP62" s="2388"/>
      <c r="BQ62" s="2388"/>
      <c r="BR62" s="2388"/>
      <c r="BS62" s="2388"/>
      <c r="BT62" s="2388"/>
      <c r="BU62" s="2388"/>
      <c r="BV62" s="2388"/>
    </row>
    <row r="63" spans="1:74" ht="15.75" customHeight="1">
      <c r="A63" s="2388"/>
      <c r="B63" s="2388"/>
      <c r="C63" s="2381" t="s">
        <v>2323</v>
      </c>
      <c r="D63" s="2358" t="s">
        <v>443</v>
      </c>
      <c r="E63" s="2460">
        <v>1</v>
      </c>
      <c r="F63" s="2365">
        <v>5</v>
      </c>
      <c r="G63" s="2361">
        <f t="shared" si="25"/>
        <v>5</v>
      </c>
      <c r="H63" s="2364">
        <f t="shared" si="22"/>
        <v>49.880287310454911</v>
      </c>
      <c r="I63" s="2364">
        <f t="shared" si="23"/>
        <v>2500</v>
      </c>
      <c r="J63" s="2360">
        <f t="shared" si="26"/>
        <v>49.880287310454911</v>
      </c>
      <c r="K63" s="2360">
        <f t="shared" si="24"/>
        <v>2500</v>
      </c>
      <c r="L63" s="2396"/>
      <c r="M63" s="2388"/>
      <c r="N63" s="2388"/>
      <c r="O63" s="2388"/>
      <c r="P63" s="2388"/>
      <c r="Q63" s="2388"/>
      <c r="R63" s="2388"/>
      <c r="S63" s="2388"/>
      <c r="T63" s="2388"/>
      <c r="U63" s="2388"/>
      <c r="V63" s="2388"/>
      <c r="W63" s="2388"/>
      <c r="X63" s="2388"/>
      <c r="Y63" s="2388"/>
      <c r="Z63" s="2388"/>
      <c r="AA63" s="2388"/>
      <c r="AB63" s="2388"/>
      <c r="AC63" s="2388"/>
      <c r="AD63" s="2388"/>
      <c r="AE63" s="2388"/>
      <c r="AF63" s="2388"/>
      <c r="AG63" s="2388"/>
      <c r="AH63" s="2388"/>
      <c r="AI63" s="2388"/>
      <c r="AJ63" s="2388"/>
      <c r="AK63" s="2388"/>
      <c r="AL63" s="2388"/>
      <c r="AM63" s="2388"/>
      <c r="AN63" s="2388"/>
      <c r="AO63" s="2388"/>
      <c r="AP63" s="2388"/>
      <c r="AQ63" s="2388"/>
      <c r="AR63" s="2388"/>
      <c r="AS63" s="2388"/>
      <c r="AT63" s="2388"/>
      <c r="AU63" s="2388"/>
      <c r="AV63" s="2388"/>
      <c r="AW63" s="2388"/>
      <c r="AX63" s="2388"/>
      <c r="AY63" s="2388"/>
      <c r="AZ63" s="2388"/>
      <c r="BA63" s="2388"/>
      <c r="BB63" s="2388"/>
      <c r="BC63" s="2388"/>
      <c r="BD63" s="2388"/>
      <c r="BE63" s="2388"/>
      <c r="BF63" s="2388"/>
      <c r="BG63" s="2388"/>
      <c r="BH63" s="2388"/>
      <c r="BI63" s="2388"/>
      <c r="BJ63" s="2388"/>
      <c r="BK63" s="2388"/>
      <c r="BL63" s="2388"/>
      <c r="BM63" s="2388"/>
      <c r="BN63" s="2388"/>
      <c r="BO63" s="2388"/>
      <c r="BP63" s="2388"/>
      <c r="BQ63" s="2388"/>
      <c r="BR63" s="2388"/>
      <c r="BS63" s="2388"/>
      <c r="BT63" s="2388"/>
      <c r="BU63" s="2388"/>
      <c r="BV63" s="2388"/>
    </row>
    <row r="64" spans="1:74" ht="15.75" customHeight="1">
      <c r="A64" s="2388"/>
      <c r="B64" s="2388"/>
      <c r="C64" s="2381" t="s">
        <v>2324</v>
      </c>
      <c r="D64" s="2358" t="s">
        <v>443</v>
      </c>
      <c r="E64" s="2460">
        <v>1</v>
      </c>
      <c r="F64" s="2365">
        <v>20</v>
      </c>
      <c r="G64" s="2361">
        <f t="shared" si="25"/>
        <v>20</v>
      </c>
      <c r="H64" s="2364">
        <f t="shared" si="22"/>
        <v>199.52114924181964</v>
      </c>
      <c r="I64" s="2364">
        <f t="shared" si="23"/>
        <v>10000</v>
      </c>
      <c r="J64" s="2360">
        <f t="shared" si="26"/>
        <v>199.52114924181964</v>
      </c>
      <c r="K64" s="2360">
        <f t="shared" si="24"/>
        <v>10000</v>
      </c>
      <c r="L64" s="2396"/>
      <c r="M64" s="2388"/>
      <c r="N64" s="2388"/>
      <c r="O64" s="2388"/>
      <c r="P64" s="2388"/>
      <c r="Q64" s="2388"/>
      <c r="R64" s="2388"/>
      <c r="S64" s="2388"/>
      <c r="T64" s="2388"/>
      <c r="U64" s="2388"/>
      <c r="V64" s="2388"/>
      <c r="W64" s="2388"/>
      <c r="X64" s="2388"/>
      <c r="Y64" s="2388"/>
      <c r="Z64" s="2388"/>
      <c r="AA64" s="2388"/>
      <c r="AB64" s="2388"/>
      <c r="AC64" s="2388"/>
      <c r="AD64" s="2388"/>
      <c r="AE64" s="2388"/>
      <c r="AF64" s="2388"/>
      <c r="AG64" s="2388"/>
      <c r="AH64" s="2388"/>
      <c r="AI64" s="2388"/>
      <c r="AJ64" s="2388"/>
      <c r="AK64" s="2388"/>
      <c r="AL64" s="2388"/>
      <c r="AM64" s="2388"/>
      <c r="AN64" s="2388"/>
      <c r="AO64" s="2388"/>
      <c r="AP64" s="2388"/>
      <c r="AQ64" s="2388"/>
      <c r="AR64" s="2388"/>
      <c r="AS64" s="2388"/>
      <c r="AT64" s="2388"/>
      <c r="AU64" s="2388"/>
      <c r="AV64" s="2388"/>
      <c r="AW64" s="2388"/>
      <c r="AX64" s="2388"/>
      <c r="AY64" s="2388"/>
      <c r="AZ64" s="2388"/>
      <c r="BA64" s="2388"/>
      <c r="BB64" s="2388"/>
      <c r="BC64" s="2388"/>
      <c r="BD64" s="2388"/>
      <c r="BE64" s="2388"/>
      <c r="BF64" s="2388"/>
      <c r="BG64" s="2388"/>
      <c r="BH64" s="2388"/>
      <c r="BI64" s="2388"/>
      <c r="BJ64" s="2388"/>
      <c r="BK64" s="2388"/>
      <c r="BL64" s="2388"/>
      <c r="BM64" s="2388"/>
      <c r="BN64" s="2388"/>
      <c r="BO64" s="2388"/>
      <c r="BP64" s="2388"/>
      <c r="BQ64" s="2388"/>
      <c r="BR64" s="2388"/>
      <c r="BS64" s="2388"/>
      <c r="BT64" s="2388"/>
      <c r="BU64" s="2388"/>
      <c r="BV64" s="2388"/>
    </row>
    <row r="65" spans="1:74" ht="15.75" customHeight="1">
      <c r="A65" s="2388"/>
      <c r="B65" s="2388"/>
      <c r="C65" s="2381" t="s">
        <v>2325</v>
      </c>
      <c r="D65" s="2358" t="s">
        <v>443</v>
      </c>
      <c r="E65" s="2460">
        <v>1</v>
      </c>
      <c r="F65" s="2365">
        <v>4</v>
      </c>
      <c r="G65" s="2361">
        <f t="shared" si="25"/>
        <v>4</v>
      </c>
      <c r="H65" s="2364">
        <f t="shared" si="22"/>
        <v>39.904229848363926</v>
      </c>
      <c r="I65" s="2364">
        <f t="shared" si="23"/>
        <v>1999.9999999999998</v>
      </c>
      <c r="J65" s="2360">
        <f t="shared" si="26"/>
        <v>39.904229848363926</v>
      </c>
      <c r="K65" s="2360">
        <f t="shared" si="24"/>
        <v>1999.9999999999998</v>
      </c>
      <c r="L65" s="2396"/>
      <c r="M65" s="2388"/>
      <c r="N65" s="2388"/>
      <c r="O65" s="2388"/>
      <c r="P65" s="2388"/>
      <c r="Q65" s="2388"/>
      <c r="R65" s="2388"/>
      <c r="S65" s="2388"/>
      <c r="T65" s="2388"/>
      <c r="U65" s="2388"/>
      <c r="V65" s="2388"/>
      <c r="W65" s="2388"/>
      <c r="X65" s="2388"/>
      <c r="Y65" s="2388"/>
      <c r="Z65" s="2388"/>
      <c r="AA65" s="2388"/>
      <c r="AB65" s="2388"/>
      <c r="AC65" s="2388"/>
      <c r="AD65" s="2388"/>
      <c r="AE65" s="2388"/>
      <c r="AF65" s="2388"/>
      <c r="AG65" s="2388"/>
      <c r="AH65" s="2388"/>
      <c r="AI65" s="2388"/>
      <c r="AJ65" s="2388"/>
      <c r="AK65" s="2388"/>
      <c r="AL65" s="2388"/>
      <c r="AM65" s="2388"/>
      <c r="AN65" s="2388"/>
      <c r="AO65" s="2388"/>
      <c r="AP65" s="2388"/>
      <c r="AQ65" s="2388"/>
      <c r="AR65" s="2388"/>
      <c r="AS65" s="2388"/>
      <c r="AT65" s="2388"/>
      <c r="AU65" s="2388"/>
      <c r="AV65" s="2388"/>
      <c r="AW65" s="2388"/>
      <c r="AX65" s="2388"/>
      <c r="AY65" s="2388"/>
      <c r="AZ65" s="2388"/>
      <c r="BA65" s="2388"/>
      <c r="BB65" s="2388"/>
      <c r="BC65" s="2388"/>
      <c r="BD65" s="2388"/>
      <c r="BE65" s="2388"/>
      <c r="BF65" s="2388"/>
      <c r="BG65" s="2388"/>
      <c r="BH65" s="2388"/>
      <c r="BI65" s="2388"/>
      <c r="BJ65" s="2388"/>
      <c r="BK65" s="2388"/>
      <c r="BL65" s="2388"/>
      <c r="BM65" s="2388"/>
      <c r="BN65" s="2388"/>
      <c r="BO65" s="2388"/>
      <c r="BP65" s="2388"/>
      <c r="BQ65" s="2388"/>
      <c r="BR65" s="2388"/>
      <c r="BS65" s="2388"/>
      <c r="BT65" s="2388"/>
      <c r="BU65" s="2388"/>
      <c r="BV65" s="2388"/>
    </row>
    <row r="66" spans="1:74" ht="15.75" customHeight="1">
      <c r="A66" s="2388"/>
      <c r="B66" s="2388"/>
      <c r="C66" s="2381" t="s">
        <v>2326</v>
      </c>
      <c r="D66" s="2358" t="s">
        <v>443</v>
      </c>
      <c r="E66" s="2460">
        <v>1</v>
      </c>
      <c r="F66" s="2365">
        <v>4</v>
      </c>
      <c r="G66" s="2361">
        <f t="shared" si="25"/>
        <v>4</v>
      </c>
      <c r="H66" s="2364">
        <f t="shared" si="22"/>
        <v>39.904229848363926</v>
      </c>
      <c r="I66" s="2364">
        <f t="shared" si="23"/>
        <v>1999.9999999999998</v>
      </c>
      <c r="J66" s="2360">
        <f t="shared" si="26"/>
        <v>39.904229848363926</v>
      </c>
      <c r="K66" s="2360">
        <f t="shared" si="24"/>
        <v>1999.9999999999998</v>
      </c>
      <c r="L66" s="2396"/>
      <c r="M66" s="2388"/>
      <c r="N66" s="2388"/>
      <c r="O66" s="2388"/>
      <c r="P66" s="2388"/>
      <c r="Q66" s="2388"/>
      <c r="R66" s="2388"/>
      <c r="S66" s="2388"/>
      <c r="T66" s="2388"/>
      <c r="U66" s="2388"/>
      <c r="V66" s="2388"/>
      <c r="W66" s="2388"/>
      <c r="X66" s="2388"/>
      <c r="Y66" s="2388"/>
      <c r="Z66" s="2388"/>
      <c r="AA66" s="2388"/>
      <c r="AB66" s="2388"/>
      <c r="AC66" s="2388"/>
      <c r="AD66" s="2388"/>
      <c r="AE66" s="2388"/>
      <c r="AF66" s="2388"/>
      <c r="AG66" s="2388"/>
      <c r="AH66" s="2388"/>
      <c r="AI66" s="2388"/>
      <c r="AJ66" s="2388"/>
      <c r="AK66" s="2388"/>
      <c r="AL66" s="2388"/>
      <c r="AM66" s="2388"/>
      <c r="AN66" s="2388"/>
      <c r="AO66" s="2388"/>
      <c r="AP66" s="2388"/>
      <c r="AQ66" s="2388"/>
      <c r="AR66" s="2388"/>
      <c r="AS66" s="2388"/>
      <c r="AT66" s="2388"/>
      <c r="AU66" s="2388"/>
      <c r="AV66" s="2388"/>
      <c r="AW66" s="2388"/>
      <c r="AX66" s="2388"/>
      <c r="AY66" s="2388"/>
      <c r="AZ66" s="2388"/>
      <c r="BA66" s="2388"/>
      <c r="BB66" s="2388"/>
      <c r="BC66" s="2388"/>
      <c r="BD66" s="2388"/>
      <c r="BE66" s="2388"/>
      <c r="BF66" s="2388"/>
      <c r="BG66" s="2388"/>
      <c r="BH66" s="2388"/>
      <c r="BI66" s="2388"/>
      <c r="BJ66" s="2388"/>
      <c r="BK66" s="2388"/>
      <c r="BL66" s="2388"/>
      <c r="BM66" s="2388"/>
      <c r="BN66" s="2388"/>
      <c r="BO66" s="2388"/>
      <c r="BP66" s="2388"/>
      <c r="BQ66" s="2388"/>
      <c r="BR66" s="2388"/>
      <c r="BS66" s="2388"/>
      <c r="BT66" s="2388"/>
      <c r="BU66" s="2388"/>
      <c r="BV66" s="2388"/>
    </row>
    <row r="67" spans="1:74" ht="15.75" customHeight="1">
      <c r="A67" s="2388"/>
      <c r="B67" s="2388"/>
      <c r="C67" s="2381" t="s">
        <v>2327</v>
      </c>
      <c r="D67" s="2358" t="s">
        <v>443</v>
      </c>
      <c r="E67" s="2460">
        <v>1</v>
      </c>
      <c r="F67" s="2365">
        <v>3</v>
      </c>
      <c r="G67" s="2361">
        <f t="shared" si="25"/>
        <v>3</v>
      </c>
      <c r="H67" s="2364">
        <f t="shared" si="22"/>
        <v>29.928172386272948</v>
      </c>
      <c r="I67" s="2364">
        <f t="shared" si="23"/>
        <v>1500</v>
      </c>
      <c r="J67" s="2360">
        <f t="shared" si="26"/>
        <v>29.928172386272948</v>
      </c>
      <c r="K67" s="2360">
        <f t="shared" si="24"/>
        <v>1500</v>
      </c>
      <c r="L67" s="2396"/>
      <c r="M67" s="2388"/>
      <c r="N67" s="2388"/>
      <c r="O67" s="2388"/>
      <c r="P67" s="2388"/>
      <c r="Q67" s="2388"/>
      <c r="R67" s="2388"/>
      <c r="S67" s="2388"/>
      <c r="T67" s="2388"/>
      <c r="U67" s="2388"/>
      <c r="V67" s="2388"/>
      <c r="W67" s="2388"/>
      <c r="X67" s="2388"/>
      <c r="Y67" s="2388"/>
      <c r="Z67" s="2388"/>
      <c r="AA67" s="2388"/>
      <c r="AB67" s="2388"/>
      <c r="AC67" s="2388"/>
      <c r="AD67" s="2388"/>
      <c r="AE67" s="2388"/>
      <c r="AF67" s="2388"/>
      <c r="AG67" s="2388"/>
      <c r="AH67" s="2388"/>
      <c r="AI67" s="2388"/>
      <c r="AJ67" s="2388"/>
      <c r="AK67" s="2388"/>
      <c r="AL67" s="2388"/>
      <c r="AM67" s="2388"/>
      <c r="AN67" s="2388"/>
      <c r="AO67" s="2388"/>
      <c r="AP67" s="2388"/>
      <c r="AQ67" s="2388"/>
      <c r="AR67" s="2388"/>
      <c r="AS67" s="2388"/>
      <c r="AT67" s="2388"/>
      <c r="AU67" s="2388"/>
      <c r="AV67" s="2388"/>
      <c r="AW67" s="2388"/>
      <c r="AX67" s="2388"/>
      <c r="AY67" s="2388"/>
      <c r="AZ67" s="2388"/>
      <c r="BA67" s="2388"/>
      <c r="BB67" s="2388"/>
      <c r="BC67" s="2388"/>
      <c r="BD67" s="2388"/>
      <c r="BE67" s="2388"/>
      <c r="BF67" s="2388"/>
      <c r="BG67" s="2388"/>
      <c r="BH67" s="2388"/>
      <c r="BI67" s="2388"/>
      <c r="BJ67" s="2388"/>
      <c r="BK67" s="2388"/>
      <c r="BL67" s="2388"/>
      <c r="BM67" s="2388"/>
      <c r="BN67" s="2388"/>
      <c r="BO67" s="2388"/>
      <c r="BP67" s="2388"/>
      <c r="BQ67" s="2388"/>
      <c r="BR67" s="2388"/>
      <c r="BS67" s="2388"/>
      <c r="BT67" s="2388"/>
      <c r="BU67" s="2388"/>
      <c r="BV67" s="2388"/>
    </row>
    <row r="68" spans="1:74" ht="15.75" customHeight="1">
      <c r="A68" s="2388"/>
      <c r="B68" s="2388"/>
      <c r="C68" s="2381" t="s">
        <v>2328</v>
      </c>
      <c r="D68" s="2358" t="s">
        <v>443</v>
      </c>
      <c r="E68" s="2460">
        <v>1</v>
      </c>
      <c r="F68" s="2365">
        <v>3</v>
      </c>
      <c r="G68" s="2361">
        <f t="shared" si="25"/>
        <v>3</v>
      </c>
      <c r="H68" s="2364">
        <f t="shared" si="22"/>
        <v>29.928172386272948</v>
      </c>
      <c r="I68" s="2364">
        <f t="shared" si="23"/>
        <v>1500</v>
      </c>
      <c r="J68" s="2360">
        <f t="shared" si="26"/>
        <v>29.928172386272948</v>
      </c>
      <c r="K68" s="2360">
        <f t="shared" si="24"/>
        <v>1500</v>
      </c>
      <c r="L68" s="2396"/>
      <c r="M68" s="2388"/>
      <c r="N68" s="2388"/>
      <c r="O68" s="2388"/>
      <c r="P68" s="2388"/>
      <c r="Q68" s="2388"/>
      <c r="R68" s="2388"/>
      <c r="S68" s="2388"/>
      <c r="T68" s="2388"/>
      <c r="U68" s="2388"/>
      <c r="V68" s="2388"/>
      <c r="W68" s="2388"/>
      <c r="X68" s="2388"/>
      <c r="Y68" s="2388"/>
      <c r="Z68" s="2388"/>
      <c r="AA68" s="2388"/>
      <c r="AB68" s="2388"/>
      <c r="AC68" s="2388"/>
      <c r="AD68" s="2388"/>
      <c r="AE68" s="2388"/>
      <c r="AF68" s="2388"/>
      <c r="AG68" s="2388"/>
      <c r="AH68" s="2388"/>
      <c r="AI68" s="2388"/>
      <c r="AJ68" s="2388"/>
      <c r="AK68" s="2388"/>
      <c r="AL68" s="2388"/>
      <c r="AM68" s="2388"/>
      <c r="AN68" s="2388"/>
      <c r="AO68" s="2388"/>
      <c r="AP68" s="2388"/>
      <c r="AQ68" s="2388"/>
      <c r="AR68" s="2388"/>
      <c r="AS68" s="2388"/>
      <c r="AT68" s="2388"/>
      <c r="AU68" s="2388"/>
      <c r="AV68" s="2388"/>
      <c r="AW68" s="2388"/>
      <c r="AX68" s="2388"/>
      <c r="AY68" s="2388"/>
      <c r="AZ68" s="2388"/>
      <c r="BA68" s="2388"/>
      <c r="BB68" s="2388"/>
      <c r="BC68" s="2388"/>
      <c r="BD68" s="2388"/>
      <c r="BE68" s="2388"/>
      <c r="BF68" s="2388"/>
      <c r="BG68" s="2388"/>
      <c r="BH68" s="2388"/>
      <c r="BI68" s="2388"/>
      <c r="BJ68" s="2388"/>
      <c r="BK68" s="2388"/>
      <c r="BL68" s="2388"/>
      <c r="BM68" s="2388"/>
      <c r="BN68" s="2388"/>
      <c r="BO68" s="2388"/>
      <c r="BP68" s="2388"/>
      <c r="BQ68" s="2388"/>
      <c r="BR68" s="2388"/>
      <c r="BS68" s="2388"/>
      <c r="BT68" s="2388"/>
      <c r="BU68" s="2388"/>
      <c r="BV68" s="2388"/>
    </row>
    <row r="69" spans="1:74" ht="16.899999999999999" customHeight="1">
      <c r="A69" s="2388"/>
      <c r="B69" s="2388"/>
      <c r="C69" s="2421" t="s">
        <v>2404</v>
      </c>
      <c r="D69" s="2422"/>
      <c r="E69" s="2423"/>
      <c r="F69" s="2424"/>
      <c r="G69" s="2425">
        <f>SUM(G59:G68)</f>
        <v>60</v>
      </c>
      <c r="H69" s="2424"/>
      <c r="I69" s="2424"/>
      <c r="J69" s="2426">
        <f>SUM(J59:J68)</f>
        <v>598.56344772545901</v>
      </c>
      <c r="K69" s="2435">
        <f>SUM(K59:K68)</f>
        <v>30000</v>
      </c>
      <c r="L69" s="2396"/>
      <c r="M69" s="2388"/>
      <c r="N69" s="2388"/>
      <c r="O69" s="2388"/>
      <c r="P69" s="2388"/>
      <c r="Q69" s="2388"/>
      <c r="R69" s="2388"/>
      <c r="S69" s="2388"/>
      <c r="T69" s="2388"/>
      <c r="U69" s="2388"/>
      <c r="V69" s="2388"/>
      <c r="W69" s="2388"/>
      <c r="X69" s="2388"/>
      <c r="Y69" s="2388"/>
      <c r="Z69" s="2388"/>
      <c r="AA69" s="2388"/>
      <c r="AB69" s="2388"/>
      <c r="AC69" s="2388"/>
      <c r="AD69" s="2388"/>
      <c r="AE69" s="2388"/>
      <c r="AF69" s="2388"/>
      <c r="AG69" s="2388"/>
      <c r="AH69" s="2388"/>
      <c r="AI69" s="2388"/>
      <c r="AJ69" s="2388"/>
      <c r="AK69" s="2388"/>
      <c r="AL69" s="2388"/>
      <c r="AM69" s="2388"/>
      <c r="AN69" s="2388"/>
      <c r="AO69" s="2388"/>
      <c r="AP69" s="2388"/>
      <c r="AQ69" s="2388"/>
      <c r="AR69" s="2388"/>
      <c r="AS69" s="2388"/>
      <c r="AT69" s="2388"/>
      <c r="AU69" s="2388"/>
      <c r="AV69" s="2388"/>
      <c r="AW69" s="2388"/>
      <c r="AX69" s="2388"/>
      <c r="AY69" s="2388"/>
      <c r="AZ69" s="2388"/>
      <c r="BA69" s="2388"/>
      <c r="BB69" s="2388"/>
      <c r="BC69" s="2388"/>
      <c r="BD69" s="2388"/>
      <c r="BE69" s="2388"/>
      <c r="BF69" s="2388"/>
      <c r="BG69" s="2388"/>
      <c r="BH69" s="2388"/>
      <c r="BI69" s="2388"/>
      <c r="BJ69" s="2388"/>
      <c r="BK69" s="2388"/>
      <c r="BL69" s="2388"/>
      <c r="BM69" s="2388"/>
      <c r="BN69" s="2388"/>
      <c r="BO69" s="2388"/>
      <c r="BP69" s="2388"/>
      <c r="BQ69" s="2388"/>
      <c r="BR69" s="2388"/>
      <c r="BS69" s="2388"/>
      <c r="BT69" s="2388"/>
      <c r="BU69" s="2388"/>
      <c r="BV69" s="2388"/>
    </row>
    <row r="70" spans="1:74" ht="15.75" customHeight="1">
      <c r="A70" s="2388"/>
      <c r="B70" s="2388"/>
      <c r="C70" s="2381" t="s">
        <v>2329</v>
      </c>
      <c r="D70" s="2358" t="s">
        <v>443</v>
      </c>
      <c r="E70" s="2459">
        <v>1</v>
      </c>
      <c r="F70" s="2365">
        <v>2.5</v>
      </c>
      <c r="G70" s="2361">
        <f>E70*F70</f>
        <v>2.5</v>
      </c>
      <c r="H70" s="2364">
        <f t="shared" ref="H70:H79" si="27">(F70*N$5)/N$6</f>
        <v>24.940143655227455</v>
      </c>
      <c r="I70" s="2364">
        <f t="shared" ref="I70:I79" si="28">H70*N$6</f>
        <v>1250</v>
      </c>
      <c r="J70" s="2360">
        <f>E70*H70</f>
        <v>24.940143655227455</v>
      </c>
      <c r="K70" s="2360">
        <f t="shared" ref="K70:K79" si="29">J70*N$6</f>
        <v>1250</v>
      </c>
      <c r="L70" s="2396"/>
      <c r="M70" s="2388"/>
      <c r="N70" s="2388"/>
      <c r="O70" s="2388"/>
      <c r="P70" s="2388"/>
      <c r="Q70" s="2388"/>
      <c r="R70" s="2388"/>
      <c r="S70" s="2388"/>
      <c r="T70" s="2388"/>
      <c r="U70" s="2388"/>
      <c r="V70" s="2388"/>
      <c r="W70" s="2388"/>
      <c r="X70" s="2388"/>
      <c r="Y70" s="2388"/>
      <c r="Z70" s="2388"/>
      <c r="AA70" s="2388"/>
      <c r="AB70" s="2388"/>
      <c r="AC70" s="2388"/>
      <c r="AD70" s="2388"/>
      <c r="AE70" s="2388"/>
      <c r="AF70" s="2388"/>
      <c r="AG70" s="2388"/>
      <c r="AH70" s="2388"/>
      <c r="AI70" s="2388"/>
      <c r="AJ70" s="2388"/>
      <c r="AK70" s="2388"/>
      <c r="AL70" s="2388"/>
      <c r="AM70" s="2388"/>
      <c r="AN70" s="2388"/>
      <c r="AO70" s="2388"/>
      <c r="AP70" s="2388"/>
      <c r="AQ70" s="2388"/>
      <c r="AR70" s="2388"/>
      <c r="AS70" s="2388"/>
      <c r="AT70" s="2388"/>
      <c r="AU70" s="2388"/>
      <c r="AV70" s="2388"/>
      <c r="AW70" s="2388"/>
      <c r="AX70" s="2388"/>
      <c r="AY70" s="2388"/>
      <c r="AZ70" s="2388"/>
      <c r="BA70" s="2388"/>
      <c r="BB70" s="2388"/>
      <c r="BC70" s="2388"/>
      <c r="BD70" s="2388"/>
      <c r="BE70" s="2388"/>
      <c r="BF70" s="2388"/>
      <c r="BG70" s="2388"/>
      <c r="BH70" s="2388"/>
      <c r="BI70" s="2388"/>
      <c r="BJ70" s="2388"/>
      <c r="BK70" s="2388"/>
      <c r="BL70" s="2388"/>
      <c r="BM70" s="2388"/>
      <c r="BN70" s="2388"/>
      <c r="BO70" s="2388"/>
      <c r="BP70" s="2388"/>
      <c r="BQ70" s="2388"/>
      <c r="BR70" s="2388"/>
      <c r="BS70" s="2388"/>
      <c r="BT70" s="2388"/>
      <c r="BU70" s="2388"/>
      <c r="BV70" s="2388"/>
    </row>
    <row r="71" spans="1:74" ht="15.75" customHeight="1">
      <c r="A71" s="2388"/>
      <c r="B71" s="2388"/>
      <c r="C71" s="2381" t="s">
        <v>2320</v>
      </c>
      <c r="D71" s="2358" t="s">
        <v>443</v>
      </c>
      <c r="E71" s="2459">
        <f t="shared" ref="E71:E79" si="30">SUM(E60)</f>
        <v>1</v>
      </c>
      <c r="F71" s="2365">
        <v>0.8</v>
      </c>
      <c r="G71" s="2361">
        <f t="shared" ref="G71:G79" si="31">E71*F71</f>
        <v>0.8</v>
      </c>
      <c r="H71" s="2364">
        <f t="shared" si="27"/>
        <v>7.980845969672786</v>
      </c>
      <c r="I71" s="2364">
        <f t="shared" si="28"/>
        <v>400</v>
      </c>
      <c r="J71" s="2360">
        <f t="shared" ref="J71:J79" si="32">E71*H71</f>
        <v>7.980845969672786</v>
      </c>
      <c r="K71" s="2360">
        <f t="shared" si="29"/>
        <v>400</v>
      </c>
      <c r="L71" s="2396"/>
      <c r="M71" s="2388"/>
      <c r="N71" s="2388"/>
      <c r="O71" s="2388"/>
      <c r="P71" s="2388"/>
      <c r="Q71" s="2388"/>
      <c r="R71" s="2388"/>
      <c r="S71" s="2388"/>
      <c r="T71" s="2388"/>
      <c r="U71" s="2388"/>
      <c r="V71" s="2388"/>
      <c r="W71" s="2388"/>
      <c r="X71" s="2388"/>
      <c r="Y71" s="2388"/>
      <c r="Z71" s="2388"/>
      <c r="AA71" s="2388"/>
      <c r="AB71" s="2388"/>
      <c r="AC71" s="2388"/>
      <c r="AD71" s="2388"/>
      <c r="AE71" s="2388"/>
      <c r="AF71" s="2388"/>
      <c r="AG71" s="2388"/>
      <c r="AH71" s="2388"/>
      <c r="AI71" s="2388"/>
      <c r="AJ71" s="2388"/>
      <c r="AK71" s="2388"/>
      <c r="AL71" s="2388"/>
      <c r="AM71" s="2388"/>
      <c r="AN71" s="2388"/>
      <c r="AO71" s="2388"/>
      <c r="AP71" s="2388"/>
      <c r="AQ71" s="2388"/>
      <c r="AR71" s="2388"/>
      <c r="AS71" s="2388"/>
      <c r="AT71" s="2388"/>
      <c r="AU71" s="2388"/>
      <c r="AV71" s="2388"/>
      <c r="AW71" s="2388"/>
      <c r="AX71" s="2388"/>
      <c r="AY71" s="2388"/>
      <c r="AZ71" s="2388"/>
      <c r="BA71" s="2388"/>
      <c r="BB71" s="2388"/>
      <c r="BC71" s="2388"/>
      <c r="BD71" s="2388"/>
      <c r="BE71" s="2388"/>
      <c r="BF71" s="2388"/>
      <c r="BG71" s="2388"/>
      <c r="BH71" s="2388"/>
      <c r="BI71" s="2388"/>
      <c r="BJ71" s="2388"/>
      <c r="BK71" s="2388"/>
      <c r="BL71" s="2388"/>
      <c r="BM71" s="2388"/>
      <c r="BN71" s="2388"/>
      <c r="BO71" s="2388"/>
      <c r="BP71" s="2388"/>
      <c r="BQ71" s="2388"/>
      <c r="BR71" s="2388"/>
      <c r="BS71" s="2388"/>
      <c r="BT71" s="2388"/>
      <c r="BU71" s="2388"/>
      <c r="BV71" s="2388"/>
    </row>
    <row r="72" spans="1:74" ht="15.75" customHeight="1">
      <c r="A72" s="2388"/>
      <c r="B72" s="2388"/>
      <c r="C72" s="2381" t="s">
        <v>2330</v>
      </c>
      <c r="D72" s="2358" t="s">
        <v>443</v>
      </c>
      <c r="E72" s="2459">
        <f t="shared" si="30"/>
        <v>1</v>
      </c>
      <c r="F72" s="2365">
        <v>1.5</v>
      </c>
      <c r="G72" s="2361">
        <f t="shared" si="31"/>
        <v>1.5</v>
      </c>
      <c r="H72" s="2364">
        <f t="shared" si="27"/>
        <v>14.964086193136474</v>
      </c>
      <c r="I72" s="2364">
        <f t="shared" si="28"/>
        <v>750</v>
      </c>
      <c r="J72" s="2360">
        <f t="shared" si="32"/>
        <v>14.964086193136474</v>
      </c>
      <c r="K72" s="2360">
        <f t="shared" si="29"/>
        <v>750</v>
      </c>
      <c r="L72" s="2396"/>
      <c r="M72" s="2388"/>
      <c r="N72" s="2388"/>
      <c r="O72" s="2388"/>
      <c r="P72" s="2388"/>
      <c r="Q72" s="2388"/>
      <c r="R72" s="2388"/>
      <c r="S72" s="2388"/>
      <c r="T72" s="2388"/>
      <c r="U72" s="2388"/>
      <c r="V72" s="2388"/>
      <c r="W72" s="2388"/>
      <c r="X72" s="2388"/>
      <c r="Y72" s="2388"/>
      <c r="Z72" s="2388"/>
      <c r="AA72" s="2388"/>
      <c r="AB72" s="2388"/>
      <c r="AC72" s="2388"/>
      <c r="AD72" s="2388"/>
      <c r="AE72" s="2388"/>
      <c r="AF72" s="2388"/>
      <c r="AG72" s="2388"/>
      <c r="AH72" s="2388"/>
      <c r="AI72" s="2388"/>
      <c r="AJ72" s="2388"/>
      <c r="AK72" s="2388"/>
      <c r="AL72" s="2388"/>
      <c r="AM72" s="2388"/>
      <c r="AN72" s="2388"/>
      <c r="AO72" s="2388"/>
      <c r="AP72" s="2388"/>
      <c r="AQ72" s="2388"/>
      <c r="AR72" s="2388"/>
      <c r="AS72" s="2388"/>
      <c r="AT72" s="2388"/>
      <c r="AU72" s="2388"/>
      <c r="AV72" s="2388"/>
      <c r="AW72" s="2388"/>
      <c r="AX72" s="2388"/>
      <c r="AY72" s="2388"/>
      <c r="AZ72" s="2388"/>
      <c r="BA72" s="2388"/>
      <c r="BB72" s="2388"/>
      <c r="BC72" s="2388"/>
      <c r="BD72" s="2388"/>
      <c r="BE72" s="2388"/>
      <c r="BF72" s="2388"/>
      <c r="BG72" s="2388"/>
      <c r="BH72" s="2388"/>
      <c r="BI72" s="2388"/>
      <c r="BJ72" s="2388"/>
      <c r="BK72" s="2388"/>
      <c r="BL72" s="2388"/>
      <c r="BM72" s="2388"/>
      <c r="BN72" s="2388"/>
      <c r="BO72" s="2388"/>
      <c r="BP72" s="2388"/>
      <c r="BQ72" s="2388"/>
      <c r="BR72" s="2388"/>
      <c r="BS72" s="2388"/>
      <c r="BT72" s="2388"/>
      <c r="BU72" s="2388"/>
      <c r="BV72" s="2388"/>
    </row>
    <row r="73" spans="1:74" ht="15.75" customHeight="1">
      <c r="A73" s="2388"/>
      <c r="B73" s="2388"/>
      <c r="C73" s="2381" t="s">
        <v>2331</v>
      </c>
      <c r="D73" s="2358" t="s">
        <v>443</v>
      </c>
      <c r="E73" s="2459">
        <f t="shared" si="30"/>
        <v>1</v>
      </c>
      <c r="F73" s="2365">
        <v>1.7</v>
      </c>
      <c r="G73" s="2361">
        <f t="shared" si="31"/>
        <v>1.7</v>
      </c>
      <c r="H73" s="2364">
        <f t="shared" si="27"/>
        <v>16.95929768555467</v>
      </c>
      <c r="I73" s="2364">
        <f t="shared" si="28"/>
        <v>850</v>
      </c>
      <c r="J73" s="2360">
        <f t="shared" si="32"/>
        <v>16.95929768555467</v>
      </c>
      <c r="K73" s="2360">
        <f t="shared" si="29"/>
        <v>850</v>
      </c>
      <c r="L73" s="2396"/>
      <c r="M73" s="2388"/>
      <c r="N73" s="2388"/>
      <c r="O73" s="2388"/>
      <c r="P73" s="2388"/>
      <c r="Q73" s="2388"/>
      <c r="R73" s="2388"/>
      <c r="S73" s="2388"/>
      <c r="T73" s="2388"/>
      <c r="U73" s="2388"/>
      <c r="V73" s="2388"/>
      <c r="W73" s="2388"/>
      <c r="X73" s="2388"/>
      <c r="Y73" s="2388"/>
      <c r="Z73" s="2388"/>
      <c r="AA73" s="2388"/>
      <c r="AB73" s="2388"/>
      <c r="AC73" s="2388"/>
      <c r="AD73" s="2388"/>
      <c r="AE73" s="2388"/>
      <c r="AF73" s="2388"/>
      <c r="AG73" s="2388"/>
      <c r="AH73" s="2388"/>
      <c r="AI73" s="2388"/>
      <c r="AJ73" s="2388"/>
      <c r="AK73" s="2388"/>
      <c r="AL73" s="2388"/>
      <c r="AM73" s="2388"/>
      <c r="AN73" s="2388"/>
      <c r="AO73" s="2388"/>
      <c r="AP73" s="2388"/>
      <c r="AQ73" s="2388"/>
      <c r="AR73" s="2388"/>
      <c r="AS73" s="2388"/>
      <c r="AT73" s="2388"/>
      <c r="AU73" s="2388"/>
      <c r="AV73" s="2388"/>
      <c r="AW73" s="2388"/>
      <c r="AX73" s="2388"/>
      <c r="AY73" s="2388"/>
      <c r="AZ73" s="2388"/>
      <c r="BA73" s="2388"/>
      <c r="BB73" s="2388"/>
      <c r="BC73" s="2388"/>
      <c r="BD73" s="2388"/>
      <c r="BE73" s="2388"/>
      <c r="BF73" s="2388"/>
      <c r="BG73" s="2388"/>
      <c r="BH73" s="2388"/>
      <c r="BI73" s="2388"/>
      <c r="BJ73" s="2388"/>
      <c r="BK73" s="2388"/>
      <c r="BL73" s="2388"/>
      <c r="BM73" s="2388"/>
      <c r="BN73" s="2388"/>
      <c r="BO73" s="2388"/>
      <c r="BP73" s="2388"/>
      <c r="BQ73" s="2388"/>
      <c r="BR73" s="2388"/>
      <c r="BS73" s="2388"/>
      <c r="BT73" s="2388"/>
      <c r="BU73" s="2388"/>
      <c r="BV73" s="2388"/>
    </row>
    <row r="74" spans="1:74" ht="15.75" customHeight="1">
      <c r="A74" s="2388"/>
      <c r="B74" s="2388"/>
      <c r="C74" s="2381" t="s">
        <v>2332</v>
      </c>
      <c r="D74" s="2358" t="s">
        <v>443</v>
      </c>
      <c r="E74" s="2459">
        <f t="shared" si="30"/>
        <v>1</v>
      </c>
      <c r="F74" s="2365">
        <v>2.2999999999999998</v>
      </c>
      <c r="G74" s="2361">
        <f t="shared" si="31"/>
        <v>2.2999999999999998</v>
      </c>
      <c r="H74" s="2364">
        <f t="shared" si="27"/>
        <v>22.944932162809259</v>
      </c>
      <c r="I74" s="2364">
        <f t="shared" si="28"/>
        <v>1150</v>
      </c>
      <c r="J74" s="2360">
        <f t="shared" si="32"/>
        <v>22.944932162809259</v>
      </c>
      <c r="K74" s="2360">
        <f t="shared" si="29"/>
        <v>1150</v>
      </c>
      <c r="L74" s="2396"/>
      <c r="M74" s="2388"/>
      <c r="N74" s="2388"/>
      <c r="O74" s="2388"/>
      <c r="P74" s="2388"/>
      <c r="Q74" s="2388"/>
      <c r="R74" s="2388"/>
      <c r="S74" s="2388"/>
      <c r="T74" s="2388"/>
      <c r="U74" s="2388"/>
      <c r="V74" s="2388"/>
      <c r="W74" s="2388"/>
      <c r="X74" s="2388"/>
      <c r="Y74" s="2388"/>
      <c r="Z74" s="2388"/>
      <c r="AA74" s="2388"/>
      <c r="AB74" s="2388"/>
      <c r="AC74" s="2388"/>
      <c r="AD74" s="2388"/>
      <c r="AE74" s="2388"/>
      <c r="AF74" s="2388"/>
      <c r="AG74" s="2388"/>
      <c r="AH74" s="2388"/>
      <c r="AI74" s="2388"/>
      <c r="AJ74" s="2388"/>
      <c r="AK74" s="2388"/>
      <c r="AL74" s="2388"/>
      <c r="AM74" s="2388"/>
      <c r="AN74" s="2388"/>
      <c r="AO74" s="2388"/>
      <c r="AP74" s="2388"/>
      <c r="AQ74" s="2388"/>
      <c r="AR74" s="2388"/>
      <c r="AS74" s="2388"/>
      <c r="AT74" s="2388"/>
      <c r="AU74" s="2388"/>
      <c r="AV74" s="2388"/>
      <c r="AW74" s="2388"/>
      <c r="AX74" s="2388"/>
      <c r="AY74" s="2388"/>
      <c r="AZ74" s="2388"/>
      <c r="BA74" s="2388"/>
      <c r="BB74" s="2388"/>
      <c r="BC74" s="2388"/>
      <c r="BD74" s="2388"/>
      <c r="BE74" s="2388"/>
      <c r="BF74" s="2388"/>
      <c r="BG74" s="2388"/>
      <c r="BH74" s="2388"/>
      <c r="BI74" s="2388"/>
      <c r="BJ74" s="2388"/>
      <c r="BK74" s="2388"/>
      <c r="BL74" s="2388"/>
      <c r="BM74" s="2388"/>
      <c r="BN74" s="2388"/>
      <c r="BO74" s="2388"/>
      <c r="BP74" s="2388"/>
      <c r="BQ74" s="2388"/>
      <c r="BR74" s="2388"/>
      <c r="BS74" s="2388"/>
      <c r="BT74" s="2388"/>
      <c r="BU74" s="2388"/>
      <c r="BV74" s="2388"/>
    </row>
    <row r="75" spans="1:74" ht="15.75" customHeight="1">
      <c r="A75" s="2388"/>
      <c r="B75" s="2388"/>
      <c r="C75" s="2381" t="s">
        <v>2333</v>
      </c>
      <c r="D75" s="2358" t="s">
        <v>443</v>
      </c>
      <c r="E75" s="2459">
        <f t="shared" si="30"/>
        <v>1</v>
      </c>
      <c r="F75" s="2365">
        <v>3.6</v>
      </c>
      <c r="G75" s="2361">
        <f t="shared" si="31"/>
        <v>3.6</v>
      </c>
      <c r="H75" s="2364">
        <f t="shared" si="27"/>
        <v>35.913806863527533</v>
      </c>
      <c r="I75" s="2364">
        <f t="shared" si="28"/>
        <v>1799.9999999999998</v>
      </c>
      <c r="J75" s="2360">
        <f t="shared" si="32"/>
        <v>35.913806863527533</v>
      </c>
      <c r="K75" s="2360">
        <f t="shared" si="29"/>
        <v>1799.9999999999998</v>
      </c>
      <c r="L75" s="2396"/>
      <c r="M75" s="2388"/>
      <c r="N75" s="2388"/>
      <c r="O75" s="2388"/>
      <c r="P75" s="2388"/>
      <c r="Q75" s="2388"/>
      <c r="R75" s="2388"/>
      <c r="S75" s="2388"/>
      <c r="T75" s="2388"/>
      <c r="U75" s="2388"/>
      <c r="V75" s="2388"/>
      <c r="W75" s="2388"/>
      <c r="X75" s="2388"/>
      <c r="Y75" s="2388"/>
      <c r="Z75" s="2388"/>
      <c r="AA75" s="2388"/>
      <c r="AB75" s="2388"/>
      <c r="AC75" s="2388"/>
      <c r="AD75" s="2388"/>
      <c r="AE75" s="2388"/>
      <c r="AF75" s="2388"/>
      <c r="AG75" s="2388"/>
      <c r="AH75" s="2388"/>
      <c r="AI75" s="2388"/>
      <c r="AJ75" s="2388"/>
      <c r="AK75" s="2388"/>
      <c r="AL75" s="2388"/>
      <c r="AM75" s="2388"/>
      <c r="AN75" s="2388"/>
      <c r="AO75" s="2388"/>
      <c r="AP75" s="2388"/>
      <c r="AQ75" s="2388"/>
      <c r="AR75" s="2388"/>
      <c r="AS75" s="2388"/>
      <c r="AT75" s="2388"/>
      <c r="AU75" s="2388"/>
      <c r="AV75" s="2388"/>
      <c r="AW75" s="2388"/>
      <c r="AX75" s="2388"/>
      <c r="AY75" s="2388"/>
      <c r="AZ75" s="2388"/>
      <c r="BA75" s="2388"/>
      <c r="BB75" s="2388"/>
      <c r="BC75" s="2388"/>
      <c r="BD75" s="2388"/>
      <c r="BE75" s="2388"/>
      <c r="BF75" s="2388"/>
      <c r="BG75" s="2388"/>
      <c r="BH75" s="2388"/>
      <c r="BI75" s="2388"/>
      <c r="BJ75" s="2388"/>
      <c r="BK75" s="2388"/>
      <c r="BL75" s="2388"/>
      <c r="BM75" s="2388"/>
      <c r="BN75" s="2388"/>
      <c r="BO75" s="2388"/>
      <c r="BP75" s="2388"/>
      <c r="BQ75" s="2388"/>
      <c r="BR75" s="2388"/>
      <c r="BS75" s="2388"/>
      <c r="BT75" s="2388"/>
      <c r="BU75" s="2388"/>
      <c r="BV75" s="2388"/>
    </row>
    <row r="76" spans="1:74" ht="15.75" customHeight="1">
      <c r="A76" s="2388"/>
      <c r="B76" s="2388"/>
      <c r="C76" s="2381" t="s">
        <v>2334</v>
      </c>
      <c r="D76" s="2358" t="s">
        <v>443</v>
      </c>
      <c r="E76" s="2459">
        <f t="shared" si="30"/>
        <v>1</v>
      </c>
      <c r="F76" s="2365">
        <v>5</v>
      </c>
      <c r="G76" s="2361">
        <f t="shared" si="31"/>
        <v>5</v>
      </c>
      <c r="H76" s="2364">
        <f t="shared" si="27"/>
        <v>49.880287310454911</v>
      </c>
      <c r="I76" s="2364">
        <f t="shared" si="28"/>
        <v>2500</v>
      </c>
      <c r="J76" s="2360">
        <f t="shared" si="32"/>
        <v>49.880287310454911</v>
      </c>
      <c r="K76" s="2360">
        <f t="shared" si="29"/>
        <v>2500</v>
      </c>
      <c r="L76" s="2396"/>
      <c r="M76" s="2388"/>
      <c r="N76" s="2388"/>
      <c r="O76" s="2388"/>
      <c r="P76" s="2388"/>
      <c r="Q76" s="2388"/>
      <c r="R76" s="2388"/>
      <c r="S76" s="2388"/>
      <c r="T76" s="2388"/>
      <c r="U76" s="2388"/>
      <c r="V76" s="2388"/>
      <c r="W76" s="2388"/>
      <c r="X76" s="2388"/>
      <c r="Y76" s="2388"/>
      <c r="Z76" s="2388"/>
      <c r="AA76" s="2388"/>
      <c r="AB76" s="2388"/>
      <c r="AC76" s="2388"/>
      <c r="AD76" s="2388"/>
      <c r="AE76" s="2388"/>
      <c r="AF76" s="2388"/>
      <c r="AG76" s="2388"/>
      <c r="AH76" s="2388"/>
      <c r="AI76" s="2388"/>
      <c r="AJ76" s="2388"/>
      <c r="AK76" s="2388"/>
      <c r="AL76" s="2388"/>
      <c r="AM76" s="2388"/>
      <c r="AN76" s="2388"/>
      <c r="AO76" s="2388"/>
      <c r="AP76" s="2388"/>
      <c r="AQ76" s="2388"/>
      <c r="AR76" s="2388"/>
      <c r="AS76" s="2388"/>
      <c r="AT76" s="2388"/>
      <c r="AU76" s="2388"/>
      <c r="AV76" s="2388"/>
      <c r="AW76" s="2388"/>
      <c r="AX76" s="2388"/>
      <c r="AY76" s="2388"/>
      <c r="AZ76" s="2388"/>
      <c r="BA76" s="2388"/>
      <c r="BB76" s="2388"/>
      <c r="BC76" s="2388"/>
      <c r="BD76" s="2388"/>
      <c r="BE76" s="2388"/>
      <c r="BF76" s="2388"/>
      <c r="BG76" s="2388"/>
      <c r="BH76" s="2388"/>
      <c r="BI76" s="2388"/>
      <c r="BJ76" s="2388"/>
      <c r="BK76" s="2388"/>
      <c r="BL76" s="2388"/>
      <c r="BM76" s="2388"/>
      <c r="BN76" s="2388"/>
      <c r="BO76" s="2388"/>
      <c r="BP76" s="2388"/>
      <c r="BQ76" s="2388"/>
      <c r="BR76" s="2388"/>
      <c r="BS76" s="2388"/>
      <c r="BT76" s="2388"/>
      <c r="BU76" s="2388"/>
      <c r="BV76" s="2388"/>
    </row>
    <row r="77" spans="1:74" ht="15.75" customHeight="1">
      <c r="A77" s="2388"/>
      <c r="B77" s="2388"/>
      <c r="C77" s="2381" t="s">
        <v>2335</v>
      </c>
      <c r="D77" s="2358" t="s">
        <v>443</v>
      </c>
      <c r="E77" s="2459">
        <f t="shared" si="30"/>
        <v>1</v>
      </c>
      <c r="F77" s="2365">
        <v>1.6</v>
      </c>
      <c r="G77" s="2361">
        <f t="shared" si="31"/>
        <v>1.6</v>
      </c>
      <c r="H77" s="2364">
        <f t="shared" si="27"/>
        <v>15.961691939345572</v>
      </c>
      <c r="I77" s="2364">
        <f t="shared" si="28"/>
        <v>800</v>
      </c>
      <c r="J77" s="2360">
        <f t="shared" si="32"/>
        <v>15.961691939345572</v>
      </c>
      <c r="K77" s="2360">
        <f t="shared" si="29"/>
        <v>800</v>
      </c>
      <c r="L77" s="2396"/>
      <c r="M77" s="2388"/>
      <c r="N77" s="2388"/>
      <c r="O77" s="2388"/>
      <c r="P77" s="2388"/>
      <c r="Q77" s="2388"/>
      <c r="R77" s="2388"/>
      <c r="S77" s="2388"/>
      <c r="T77" s="2388"/>
      <c r="U77" s="2388"/>
      <c r="V77" s="2388"/>
      <c r="W77" s="2388"/>
      <c r="X77" s="2388"/>
      <c r="Y77" s="2388"/>
      <c r="Z77" s="2388"/>
      <c r="AA77" s="2388"/>
      <c r="AB77" s="2388"/>
      <c r="AC77" s="2388"/>
      <c r="AD77" s="2388"/>
      <c r="AE77" s="2388"/>
      <c r="AF77" s="2388"/>
      <c r="AG77" s="2388"/>
      <c r="AH77" s="2388"/>
      <c r="AI77" s="2388"/>
      <c r="AJ77" s="2388"/>
      <c r="AK77" s="2388"/>
      <c r="AL77" s="2388"/>
      <c r="AM77" s="2388"/>
      <c r="AN77" s="2388"/>
      <c r="AO77" s="2388"/>
      <c r="AP77" s="2388"/>
      <c r="AQ77" s="2388"/>
      <c r="AR77" s="2388"/>
      <c r="AS77" s="2388"/>
      <c r="AT77" s="2388"/>
      <c r="AU77" s="2388"/>
      <c r="AV77" s="2388"/>
      <c r="AW77" s="2388"/>
      <c r="AX77" s="2388"/>
      <c r="AY77" s="2388"/>
      <c r="AZ77" s="2388"/>
      <c r="BA77" s="2388"/>
      <c r="BB77" s="2388"/>
      <c r="BC77" s="2388"/>
      <c r="BD77" s="2388"/>
      <c r="BE77" s="2388"/>
      <c r="BF77" s="2388"/>
      <c r="BG77" s="2388"/>
      <c r="BH77" s="2388"/>
      <c r="BI77" s="2388"/>
      <c r="BJ77" s="2388"/>
      <c r="BK77" s="2388"/>
      <c r="BL77" s="2388"/>
      <c r="BM77" s="2388"/>
      <c r="BN77" s="2388"/>
      <c r="BO77" s="2388"/>
      <c r="BP77" s="2388"/>
      <c r="BQ77" s="2388"/>
      <c r="BR77" s="2388"/>
      <c r="BS77" s="2388"/>
      <c r="BT77" s="2388"/>
      <c r="BU77" s="2388"/>
      <c r="BV77" s="2388"/>
    </row>
    <row r="78" spans="1:74" ht="15.75" customHeight="1">
      <c r="A78" s="2388"/>
      <c r="B78" s="2388"/>
      <c r="C78" s="2381" t="s">
        <v>2336</v>
      </c>
      <c r="D78" s="2358" t="s">
        <v>443</v>
      </c>
      <c r="E78" s="2459">
        <f t="shared" si="30"/>
        <v>1</v>
      </c>
      <c r="F78" s="2365">
        <v>1.3</v>
      </c>
      <c r="G78" s="2361">
        <f t="shared" si="31"/>
        <v>1.3</v>
      </c>
      <c r="H78" s="2364">
        <f t="shared" si="27"/>
        <v>12.968874700718278</v>
      </c>
      <c r="I78" s="2364">
        <f t="shared" si="28"/>
        <v>650</v>
      </c>
      <c r="J78" s="2360">
        <f t="shared" si="32"/>
        <v>12.968874700718278</v>
      </c>
      <c r="K78" s="2360">
        <f t="shared" si="29"/>
        <v>650</v>
      </c>
      <c r="L78" s="2396"/>
      <c r="M78" s="2388"/>
      <c r="N78" s="2388"/>
      <c r="O78" s="2388"/>
      <c r="P78" s="2388"/>
      <c r="Q78" s="2388"/>
      <c r="R78" s="2388"/>
      <c r="S78" s="2388"/>
      <c r="T78" s="2388"/>
      <c r="U78" s="2388"/>
      <c r="V78" s="2388"/>
      <c r="W78" s="2388"/>
      <c r="X78" s="2388"/>
      <c r="Y78" s="2388"/>
      <c r="Z78" s="2388"/>
      <c r="AA78" s="2388"/>
      <c r="AB78" s="2388"/>
      <c r="AC78" s="2388"/>
      <c r="AD78" s="2388"/>
      <c r="AE78" s="2388"/>
      <c r="AF78" s="2388"/>
      <c r="AG78" s="2388"/>
      <c r="AH78" s="2388"/>
      <c r="AI78" s="2388"/>
      <c r="AJ78" s="2388"/>
      <c r="AK78" s="2388"/>
      <c r="AL78" s="2388"/>
      <c r="AM78" s="2388"/>
      <c r="AN78" s="2388"/>
      <c r="AO78" s="2388"/>
      <c r="AP78" s="2388"/>
      <c r="AQ78" s="2388"/>
      <c r="AR78" s="2388"/>
      <c r="AS78" s="2388"/>
      <c r="AT78" s="2388"/>
      <c r="AU78" s="2388"/>
      <c r="AV78" s="2388"/>
      <c r="AW78" s="2388"/>
      <c r="AX78" s="2388"/>
      <c r="AY78" s="2388"/>
      <c r="AZ78" s="2388"/>
      <c r="BA78" s="2388"/>
      <c r="BB78" s="2388"/>
      <c r="BC78" s="2388"/>
      <c r="BD78" s="2388"/>
      <c r="BE78" s="2388"/>
      <c r="BF78" s="2388"/>
      <c r="BG78" s="2388"/>
      <c r="BH78" s="2388"/>
      <c r="BI78" s="2388"/>
      <c r="BJ78" s="2388"/>
      <c r="BK78" s="2388"/>
      <c r="BL78" s="2388"/>
      <c r="BM78" s="2388"/>
      <c r="BN78" s="2388"/>
      <c r="BO78" s="2388"/>
      <c r="BP78" s="2388"/>
      <c r="BQ78" s="2388"/>
      <c r="BR78" s="2388"/>
      <c r="BS78" s="2388"/>
      <c r="BT78" s="2388"/>
      <c r="BU78" s="2388"/>
      <c r="BV78" s="2388"/>
    </row>
    <row r="79" spans="1:74" ht="15.75" customHeight="1">
      <c r="A79" s="2388"/>
      <c r="B79" s="2388"/>
      <c r="C79" s="2381" t="s">
        <v>2337</v>
      </c>
      <c r="D79" s="2358" t="s">
        <v>443</v>
      </c>
      <c r="E79" s="2459">
        <f t="shared" si="30"/>
        <v>1</v>
      </c>
      <c r="F79" s="2365">
        <v>1.3</v>
      </c>
      <c r="G79" s="2361">
        <f t="shared" si="31"/>
        <v>1.3</v>
      </c>
      <c r="H79" s="2364">
        <f t="shared" si="27"/>
        <v>12.968874700718278</v>
      </c>
      <c r="I79" s="2364">
        <f t="shared" si="28"/>
        <v>650</v>
      </c>
      <c r="J79" s="2360">
        <f t="shared" si="32"/>
        <v>12.968874700718278</v>
      </c>
      <c r="K79" s="2360">
        <f t="shared" si="29"/>
        <v>650</v>
      </c>
      <c r="L79" s="2396"/>
      <c r="M79" s="2388"/>
      <c r="N79" s="2388"/>
      <c r="O79" s="2388"/>
      <c r="P79" s="2388"/>
      <c r="Q79" s="2388"/>
      <c r="R79" s="2388"/>
      <c r="S79" s="2388"/>
      <c r="T79" s="2388"/>
      <c r="U79" s="2388"/>
      <c r="V79" s="2388"/>
      <c r="W79" s="2388"/>
      <c r="X79" s="2388"/>
      <c r="Y79" s="2388"/>
      <c r="Z79" s="2388"/>
      <c r="AA79" s="2388"/>
      <c r="AB79" s="2388"/>
      <c r="AC79" s="2388"/>
      <c r="AD79" s="2388"/>
      <c r="AE79" s="2388"/>
      <c r="AF79" s="2388"/>
      <c r="AG79" s="2388"/>
      <c r="AH79" s="2388"/>
      <c r="AI79" s="2388"/>
      <c r="AJ79" s="2388"/>
      <c r="AK79" s="2388"/>
      <c r="AL79" s="2388"/>
      <c r="AM79" s="2388"/>
      <c r="AN79" s="2388"/>
      <c r="AO79" s="2388"/>
      <c r="AP79" s="2388"/>
      <c r="AQ79" s="2388"/>
      <c r="AR79" s="2388"/>
      <c r="AS79" s="2388"/>
      <c r="AT79" s="2388"/>
      <c r="AU79" s="2388"/>
      <c r="AV79" s="2388"/>
      <c r="AW79" s="2388"/>
      <c r="AX79" s="2388"/>
      <c r="AY79" s="2388"/>
      <c r="AZ79" s="2388"/>
      <c r="BA79" s="2388"/>
      <c r="BB79" s="2388"/>
      <c r="BC79" s="2388"/>
      <c r="BD79" s="2388"/>
      <c r="BE79" s="2388"/>
      <c r="BF79" s="2388"/>
      <c r="BG79" s="2388"/>
      <c r="BH79" s="2388"/>
      <c r="BI79" s="2388"/>
      <c r="BJ79" s="2388"/>
      <c r="BK79" s="2388"/>
      <c r="BL79" s="2388"/>
      <c r="BM79" s="2388"/>
      <c r="BN79" s="2388"/>
      <c r="BO79" s="2388"/>
      <c r="BP79" s="2388"/>
      <c r="BQ79" s="2388"/>
      <c r="BR79" s="2388"/>
      <c r="BS79" s="2388"/>
      <c r="BT79" s="2388"/>
      <c r="BU79" s="2388"/>
      <c r="BV79" s="2388"/>
    </row>
    <row r="80" spans="1:74" ht="16.5" customHeight="1">
      <c r="A80" s="2388"/>
      <c r="B80" s="2388"/>
      <c r="C80" s="2421" t="s">
        <v>2405</v>
      </c>
      <c r="D80" s="2422"/>
      <c r="E80" s="2423"/>
      <c r="F80" s="2424"/>
      <c r="G80" s="2425">
        <f>SUM(G70:G79)</f>
        <v>21.6</v>
      </c>
      <c r="H80" s="2424"/>
      <c r="I80" s="2424"/>
      <c r="J80" s="2426">
        <f>SUM(J70:J79)</f>
        <v>215.48284118116524</v>
      </c>
      <c r="K80" s="2435">
        <f>SUM(K70:K79)</f>
        <v>10800</v>
      </c>
      <c r="L80" s="2396"/>
      <c r="M80" s="2388"/>
      <c r="N80" s="2388"/>
      <c r="O80" s="2388"/>
      <c r="P80" s="2388"/>
      <c r="Q80" s="2388"/>
      <c r="R80" s="2388"/>
      <c r="S80" s="2388"/>
      <c r="T80" s="2388"/>
      <c r="U80" s="2388"/>
      <c r="V80" s="2388"/>
      <c r="W80" s="2388"/>
      <c r="X80" s="2388"/>
      <c r="Y80" s="2388"/>
      <c r="Z80" s="2388"/>
      <c r="AA80" s="2388"/>
      <c r="AB80" s="2388"/>
      <c r="AC80" s="2388"/>
      <c r="AD80" s="2388"/>
      <c r="AE80" s="2388"/>
      <c r="AF80" s="2388"/>
      <c r="AG80" s="2388"/>
      <c r="AH80" s="2388"/>
      <c r="AI80" s="2388"/>
      <c r="AJ80" s="2388"/>
      <c r="AK80" s="2388"/>
      <c r="AL80" s="2388"/>
      <c r="AM80" s="2388"/>
      <c r="AN80" s="2388"/>
      <c r="AO80" s="2388"/>
      <c r="AP80" s="2388"/>
      <c r="AQ80" s="2388"/>
      <c r="AR80" s="2388"/>
      <c r="AS80" s="2388"/>
      <c r="AT80" s="2388"/>
      <c r="AU80" s="2388"/>
      <c r="AV80" s="2388"/>
      <c r="AW80" s="2388"/>
      <c r="AX80" s="2388"/>
      <c r="AY80" s="2388"/>
      <c r="AZ80" s="2388"/>
      <c r="BA80" s="2388"/>
      <c r="BB80" s="2388"/>
      <c r="BC80" s="2388"/>
      <c r="BD80" s="2388"/>
      <c r="BE80" s="2388"/>
      <c r="BF80" s="2388"/>
      <c r="BG80" s="2388"/>
      <c r="BH80" s="2388"/>
      <c r="BI80" s="2388"/>
      <c r="BJ80" s="2388"/>
      <c r="BK80" s="2388"/>
      <c r="BL80" s="2388"/>
      <c r="BM80" s="2388"/>
      <c r="BN80" s="2388"/>
      <c r="BO80" s="2388"/>
      <c r="BP80" s="2388"/>
      <c r="BQ80" s="2388"/>
      <c r="BR80" s="2388"/>
      <c r="BS80" s="2388"/>
      <c r="BT80" s="2388"/>
      <c r="BU80" s="2388"/>
      <c r="BV80" s="2388"/>
    </row>
    <row r="81" spans="1:76" ht="15.75" customHeight="1">
      <c r="A81" s="2388"/>
      <c r="B81" s="2388"/>
      <c r="C81" s="2387" t="s">
        <v>2394</v>
      </c>
      <c r="D81" s="2358" t="s">
        <v>443</v>
      </c>
      <c r="E81" s="2459">
        <v>1</v>
      </c>
      <c r="F81" s="2365">
        <v>5.5</v>
      </c>
      <c r="G81" s="2361">
        <f t="shared" ref="G81:G86" si="33">E81*F81</f>
        <v>5.5</v>
      </c>
      <c r="H81" s="2364">
        <f t="shared" ref="H81:H86" si="34">(F81*N$5)/N$6</f>
        <v>54.8683160415004</v>
      </c>
      <c r="I81" s="2364">
        <f t="shared" ref="I81:I86" si="35">H81*N$6</f>
        <v>2750</v>
      </c>
      <c r="J81" s="2360">
        <f t="shared" ref="J81:J86" si="36">E81*H81</f>
        <v>54.8683160415004</v>
      </c>
      <c r="K81" s="2360">
        <f t="shared" ref="K81:K86" si="37">J81*N$6</f>
        <v>2750</v>
      </c>
      <c r="L81" s="2396"/>
      <c r="M81" s="2388"/>
      <c r="N81" s="2388"/>
      <c r="O81" s="2388"/>
      <c r="P81" s="2388"/>
      <c r="Q81" s="2388"/>
      <c r="R81" s="2388"/>
      <c r="S81" s="2388"/>
      <c r="T81" s="2388"/>
      <c r="U81" s="2388"/>
      <c r="V81" s="2388"/>
      <c r="W81" s="2388"/>
      <c r="X81" s="2388"/>
      <c r="Y81" s="2388"/>
      <c r="Z81" s="2388"/>
      <c r="AA81" s="2388"/>
      <c r="AB81" s="2388"/>
      <c r="AC81" s="2388"/>
      <c r="AD81" s="2388"/>
      <c r="AE81" s="2388"/>
      <c r="AF81" s="2388"/>
      <c r="AG81" s="2388"/>
      <c r="AH81" s="2388"/>
      <c r="AI81" s="2388"/>
      <c r="AJ81" s="2388"/>
      <c r="AK81" s="2388"/>
      <c r="AL81" s="2388"/>
      <c r="AM81" s="2388"/>
      <c r="AN81" s="2388"/>
      <c r="AO81" s="2388"/>
      <c r="AP81" s="2388"/>
      <c r="AQ81" s="2388"/>
      <c r="AR81" s="2388"/>
      <c r="AS81" s="2388"/>
      <c r="AT81" s="2388"/>
      <c r="AU81" s="2388"/>
      <c r="AV81" s="2388"/>
      <c r="AW81" s="2388"/>
      <c r="AX81" s="2388"/>
      <c r="AY81" s="2388"/>
      <c r="AZ81" s="2388"/>
      <c r="BA81" s="2388"/>
      <c r="BB81" s="2388"/>
      <c r="BC81" s="2388"/>
      <c r="BD81" s="2388"/>
      <c r="BE81" s="2388"/>
      <c r="BF81" s="2388"/>
      <c r="BG81" s="2388"/>
      <c r="BH81" s="2388"/>
      <c r="BI81" s="2388"/>
      <c r="BJ81" s="2388"/>
      <c r="BK81" s="2388"/>
      <c r="BL81" s="2388"/>
      <c r="BM81" s="2388"/>
      <c r="BN81" s="2388"/>
      <c r="BO81" s="2388"/>
      <c r="BP81" s="2388"/>
      <c r="BQ81" s="2388"/>
      <c r="BR81" s="2388"/>
      <c r="BS81" s="2388"/>
      <c r="BT81" s="2388"/>
      <c r="BU81" s="2388"/>
      <c r="BV81" s="2388"/>
    </row>
    <row r="82" spans="1:76" ht="15.75" customHeight="1">
      <c r="A82" s="2388"/>
      <c r="B82" s="2388"/>
      <c r="C82" s="2387" t="s">
        <v>2395</v>
      </c>
      <c r="D82" s="2358" t="s">
        <v>443</v>
      </c>
      <c r="E82" s="2459">
        <v>1</v>
      </c>
      <c r="F82" s="2365">
        <v>5.5</v>
      </c>
      <c r="G82" s="2361">
        <f t="shared" si="33"/>
        <v>5.5</v>
      </c>
      <c r="H82" s="2364">
        <f t="shared" si="34"/>
        <v>54.8683160415004</v>
      </c>
      <c r="I82" s="2364">
        <f t="shared" si="35"/>
        <v>2750</v>
      </c>
      <c r="J82" s="2360">
        <f t="shared" si="36"/>
        <v>54.8683160415004</v>
      </c>
      <c r="K82" s="2360">
        <f t="shared" si="37"/>
        <v>2750</v>
      </c>
      <c r="L82" s="2396"/>
      <c r="M82" s="2388"/>
      <c r="N82" s="2388"/>
      <c r="O82" s="2388"/>
      <c r="P82" s="2388"/>
      <c r="Q82" s="2388"/>
      <c r="R82" s="2388"/>
      <c r="S82" s="2388"/>
      <c r="T82" s="2388"/>
      <c r="U82" s="2388"/>
      <c r="V82" s="2388"/>
      <c r="W82" s="2388"/>
      <c r="X82" s="2388"/>
      <c r="Y82" s="2388"/>
      <c r="Z82" s="2388"/>
      <c r="AA82" s="2388"/>
      <c r="AB82" s="2388"/>
      <c r="AC82" s="2388"/>
      <c r="AD82" s="2388"/>
      <c r="AE82" s="2388"/>
      <c r="AF82" s="2388"/>
      <c r="AG82" s="2388"/>
      <c r="AH82" s="2388"/>
      <c r="AI82" s="2388"/>
      <c r="AJ82" s="2388"/>
      <c r="AK82" s="2388"/>
      <c r="AL82" s="2388"/>
      <c r="AM82" s="2388"/>
      <c r="AN82" s="2388"/>
      <c r="AO82" s="2388"/>
      <c r="AP82" s="2388"/>
      <c r="AQ82" s="2388"/>
      <c r="AR82" s="2388"/>
      <c r="AS82" s="2388"/>
      <c r="AT82" s="2388"/>
      <c r="AU82" s="2388"/>
      <c r="AV82" s="2388"/>
      <c r="AW82" s="2388"/>
      <c r="AX82" s="2388"/>
      <c r="AY82" s="2388"/>
      <c r="AZ82" s="2388"/>
      <c r="BA82" s="2388"/>
      <c r="BB82" s="2388"/>
      <c r="BC82" s="2388"/>
      <c r="BD82" s="2388"/>
      <c r="BE82" s="2388"/>
      <c r="BF82" s="2388"/>
      <c r="BG82" s="2388"/>
      <c r="BH82" s="2388"/>
      <c r="BI82" s="2388"/>
      <c r="BJ82" s="2388"/>
      <c r="BK82" s="2388"/>
      <c r="BL82" s="2388"/>
      <c r="BM82" s="2388"/>
      <c r="BN82" s="2388"/>
      <c r="BO82" s="2388"/>
      <c r="BP82" s="2388"/>
      <c r="BQ82" s="2388"/>
      <c r="BR82" s="2388"/>
      <c r="BS82" s="2388"/>
      <c r="BT82" s="2388"/>
      <c r="BU82" s="2388"/>
      <c r="BV82" s="2388"/>
    </row>
    <row r="83" spans="1:76" ht="15.75" customHeight="1">
      <c r="A83" s="2388"/>
      <c r="B83" s="2388"/>
      <c r="C83" s="2387" t="s">
        <v>2396</v>
      </c>
      <c r="D83" s="2358" t="s">
        <v>443</v>
      </c>
      <c r="E83" s="2459">
        <v>1</v>
      </c>
      <c r="F83" s="2365">
        <v>5.5</v>
      </c>
      <c r="G83" s="2361">
        <f t="shared" si="33"/>
        <v>5.5</v>
      </c>
      <c r="H83" s="2364">
        <f t="shared" si="34"/>
        <v>54.8683160415004</v>
      </c>
      <c r="I83" s="2364">
        <f t="shared" si="35"/>
        <v>2750</v>
      </c>
      <c r="J83" s="2360">
        <f t="shared" si="36"/>
        <v>54.8683160415004</v>
      </c>
      <c r="K83" s="2360">
        <f t="shared" si="37"/>
        <v>2750</v>
      </c>
      <c r="L83" s="2396"/>
      <c r="M83" s="2388"/>
      <c r="N83" s="2388"/>
      <c r="O83" s="2388"/>
      <c r="P83" s="2388"/>
      <c r="Q83" s="2388"/>
      <c r="R83" s="2388"/>
      <c r="S83" s="2388"/>
      <c r="T83" s="2388"/>
      <c r="U83" s="2388"/>
      <c r="V83" s="2388"/>
      <c r="W83" s="2388"/>
      <c r="X83" s="2388"/>
      <c r="Y83" s="2388"/>
      <c r="Z83" s="2388"/>
      <c r="AA83" s="2388"/>
      <c r="AB83" s="2388"/>
      <c r="AC83" s="2388"/>
      <c r="AD83" s="2388"/>
      <c r="AE83" s="2388"/>
      <c r="AF83" s="2388"/>
      <c r="AG83" s="2388"/>
      <c r="AH83" s="2388"/>
      <c r="AI83" s="2388"/>
      <c r="AJ83" s="2388"/>
      <c r="AK83" s="2388"/>
      <c r="AL83" s="2388"/>
      <c r="AM83" s="2388"/>
      <c r="AN83" s="2388"/>
      <c r="AO83" s="2388"/>
      <c r="AP83" s="2388"/>
      <c r="AQ83" s="2388"/>
      <c r="AR83" s="2388"/>
      <c r="AS83" s="2388"/>
      <c r="AT83" s="2388"/>
      <c r="AU83" s="2388"/>
      <c r="AV83" s="2388"/>
      <c r="AW83" s="2388"/>
      <c r="AX83" s="2388"/>
      <c r="AY83" s="2388"/>
      <c r="AZ83" s="2388"/>
      <c r="BA83" s="2388"/>
      <c r="BB83" s="2388"/>
      <c r="BC83" s="2388"/>
      <c r="BD83" s="2388"/>
      <c r="BE83" s="2388"/>
      <c r="BF83" s="2388"/>
      <c r="BG83" s="2388"/>
      <c r="BH83" s="2388"/>
      <c r="BI83" s="2388"/>
      <c r="BJ83" s="2388"/>
      <c r="BK83" s="2388"/>
      <c r="BL83" s="2388"/>
      <c r="BM83" s="2388"/>
      <c r="BN83" s="2388"/>
      <c r="BO83" s="2388"/>
      <c r="BP83" s="2388"/>
      <c r="BQ83" s="2388"/>
      <c r="BR83" s="2388"/>
      <c r="BS83" s="2388"/>
      <c r="BT83" s="2388"/>
      <c r="BU83" s="2388"/>
      <c r="BV83" s="2388"/>
    </row>
    <row r="84" spans="1:76" ht="15.75" customHeight="1">
      <c r="A84" s="2388"/>
      <c r="B84" s="2388"/>
      <c r="C84" s="2387" t="s">
        <v>2397</v>
      </c>
      <c r="D84" s="2358" t="s">
        <v>443</v>
      </c>
      <c r="E84" s="2459">
        <v>1</v>
      </c>
      <c r="F84" s="2365">
        <v>5.5</v>
      </c>
      <c r="G84" s="2361">
        <f t="shared" si="33"/>
        <v>5.5</v>
      </c>
      <c r="H84" s="2364">
        <f t="shared" si="34"/>
        <v>54.8683160415004</v>
      </c>
      <c r="I84" s="2364">
        <f t="shared" si="35"/>
        <v>2750</v>
      </c>
      <c r="J84" s="2360">
        <f t="shared" si="36"/>
        <v>54.8683160415004</v>
      </c>
      <c r="K84" s="2360">
        <f t="shared" si="37"/>
        <v>2750</v>
      </c>
      <c r="L84" s="2396"/>
      <c r="M84" s="2388"/>
      <c r="N84" s="2388"/>
      <c r="O84" s="2388"/>
      <c r="P84" s="2388"/>
      <c r="Q84" s="2388"/>
      <c r="R84" s="2388"/>
      <c r="S84" s="2388"/>
      <c r="T84" s="2388"/>
      <c r="U84" s="2388"/>
      <c r="V84" s="2388"/>
      <c r="W84" s="2388"/>
      <c r="X84" s="2388"/>
      <c r="Y84" s="2388"/>
      <c r="Z84" s="2388"/>
      <c r="AA84" s="2388"/>
      <c r="AB84" s="2388"/>
      <c r="AC84" s="2388"/>
      <c r="AD84" s="2388"/>
      <c r="AE84" s="2388"/>
      <c r="AF84" s="2388"/>
      <c r="AG84" s="2388"/>
      <c r="AH84" s="2388"/>
      <c r="AI84" s="2388"/>
      <c r="AJ84" s="2388"/>
      <c r="AK84" s="2388"/>
      <c r="AL84" s="2388"/>
      <c r="AM84" s="2388"/>
      <c r="AN84" s="2388"/>
      <c r="AO84" s="2388"/>
      <c r="AP84" s="2388"/>
      <c r="AQ84" s="2388"/>
      <c r="AR84" s="2388"/>
      <c r="AS84" s="2388"/>
      <c r="AT84" s="2388"/>
      <c r="AU84" s="2388"/>
      <c r="AV84" s="2388"/>
      <c r="AW84" s="2388"/>
      <c r="AX84" s="2388"/>
      <c r="AY84" s="2388"/>
      <c r="AZ84" s="2388"/>
      <c r="BA84" s="2388"/>
      <c r="BB84" s="2388"/>
      <c r="BC84" s="2388"/>
      <c r="BD84" s="2388"/>
      <c r="BE84" s="2388"/>
      <c r="BF84" s="2388"/>
      <c r="BG84" s="2388"/>
      <c r="BH84" s="2388"/>
      <c r="BI84" s="2388"/>
      <c r="BJ84" s="2388"/>
      <c r="BK84" s="2388"/>
      <c r="BL84" s="2388"/>
      <c r="BM84" s="2388"/>
      <c r="BN84" s="2388"/>
      <c r="BO84" s="2388"/>
      <c r="BP84" s="2388"/>
      <c r="BQ84" s="2388"/>
      <c r="BR84" s="2388"/>
      <c r="BS84" s="2388"/>
      <c r="BT84" s="2388"/>
      <c r="BU84" s="2388"/>
      <c r="BV84" s="2388"/>
    </row>
    <row r="85" spans="1:76" ht="15.75" customHeight="1">
      <c r="A85" s="2388"/>
      <c r="B85" s="2388"/>
      <c r="C85" s="2387" t="s">
        <v>2398</v>
      </c>
      <c r="D85" s="2358" t="s">
        <v>443</v>
      </c>
      <c r="E85" s="2459">
        <v>1</v>
      </c>
      <c r="F85" s="2365">
        <v>2</v>
      </c>
      <c r="G85" s="2361">
        <f t="shared" si="33"/>
        <v>2</v>
      </c>
      <c r="H85" s="2364">
        <f t="shared" si="34"/>
        <v>19.952114924181963</v>
      </c>
      <c r="I85" s="2364">
        <f t="shared" si="35"/>
        <v>999.99999999999989</v>
      </c>
      <c r="J85" s="2360">
        <f t="shared" si="36"/>
        <v>19.952114924181963</v>
      </c>
      <c r="K85" s="2360">
        <f t="shared" si="37"/>
        <v>999.99999999999989</v>
      </c>
      <c r="L85" s="2396"/>
      <c r="M85" s="2581"/>
      <c r="N85" s="2581"/>
      <c r="O85" s="2581"/>
      <c r="P85" s="2581"/>
      <c r="Q85" s="2581"/>
      <c r="R85" s="2388"/>
      <c r="S85" s="2388"/>
      <c r="T85" s="2388"/>
      <c r="U85" s="2388"/>
      <c r="V85" s="2388"/>
      <c r="W85" s="2388"/>
      <c r="X85" s="2388"/>
      <c r="Y85" s="2388"/>
      <c r="Z85" s="2388"/>
      <c r="AA85" s="2388"/>
      <c r="AB85" s="2388"/>
      <c r="AC85" s="2388"/>
      <c r="AD85" s="2388"/>
      <c r="AE85" s="2388"/>
      <c r="AF85" s="2388"/>
      <c r="AG85" s="2388"/>
      <c r="AH85" s="2388"/>
      <c r="AI85" s="2388"/>
      <c r="AJ85" s="2388"/>
      <c r="AK85" s="2388"/>
      <c r="AL85" s="2388"/>
      <c r="AM85" s="2388"/>
      <c r="AN85" s="2388"/>
      <c r="AO85" s="2388"/>
      <c r="AP85" s="2388"/>
      <c r="AQ85" s="2388"/>
      <c r="AR85" s="2388"/>
      <c r="AS85" s="2388"/>
      <c r="AT85" s="2388"/>
      <c r="AU85" s="2388"/>
      <c r="AV85" s="2388"/>
      <c r="AW85" s="2388"/>
      <c r="AX85" s="2388"/>
      <c r="AY85" s="2388"/>
      <c r="AZ85" s="2388"/>
      <c r="BA85" s="2388"/>
      <c r="BB85" s="2388"/>
      <c r="BC85" s="2388"/>
      <c r="BD85" s="2388"/>
      <c r="BE85" s="2388"/>
      <c r="BF85" s="2388"/>
      <c r="BG85" s="2388"/>
      <c r="BH85" s="2388"/>
      <c r="BI85" s="2388"/>
      <c r="BJ85" s="2388"/>
      <c r="BK85" s="2388"/>
      <c r="BL85" s="2388"/>
      <c r="BM85" s="2388"/>
      <c r="BN85" s="2388"/>
      <c r="BO85" s="2388"/>
      <c r="BP85" s="2388"/>
      <c r="BQ85" s="2388"/>
      <c r="BR85" s="2388"/>
      <c r="BS85" s="2388"/>
      <c r="BT85" s="2388"/>
      <c r="BU85" s="2388"/>
      <c r="BV85" s="2388"/>
    </row>
    <row r="86" spans="1:76" ht="15.75" customHeight="1">
      <c r="A86" s="2388"/>
      <c r="B86" s="2388"/>
      <c r="C86" s="2387" t="s">
        <v>2399</v>
      </c>
      <c r="D86" s="2358" t="s">
        <v>443</v>
      </c>
      <c r="E86" s="2459">
        <v>1</v>
      </c>
      <c r="F86" s="2365">
        <v>2.6</v>
      </c>
      <c r="G86" s="2361">
        <f t="shared" si="33"/>
        <v>2.6</v>
      </c>
      <c r="H86" s="2364">
        <f t="shared" si="34"/>
        <v>25.937749401436555</v>
      </c>
      <c r="I86" s="2364">
        <f t="shared" si="35"/>
        <v>1300</v>
      </c>
      <c r="J86" s="2360">
        <f t="shared" si="36"/>
        <v>25.937749401436555</v>
      </c>
      <c r="K86" s="2360">
        <f t="shared" si="37"/>
        <v>1300</v>
      </c>
      <c r="L86" s="2396"/>
      <c r="M86" s="2278"/>
      <c r="N86" s="2278"/>
      <c r="O86" s="2278"/>
      <c r="P86" s="2450"/>
      <c r="Q86" s="2451"/>
      <c r="R86" s="2388"/>
      <c r="S86" s="2388"/>
      <c r="T86" s="2388"/>
      <c r="U86" s="2388"/>
      <c r="V86" s="2388"/>
      <c r="W86" s="2388"/>
      <c r="X86" s="2388"/>
      <c r="Y86" s="2388"/>
      <c r="Z86" s="2388"/>
      <c r="AA86" s="2388"/>
      <c r="AB86" s="2388"/>
      <c r="AC86" s="2388"/>
      <c r="AD86" s="2388"/>
      <c r="AE86" s="2388"/>
      <c r="AF86" s="2388"/>
      <c r="AG86" s="2388"/>
      <c r="AH86" s="2388"/>
      <c r="AI86" s="2388"/>
      <c r="AJ86" s="2388"/>
      <c r="AK86" s="2388"/>
      <c r="AL86" s="2388"/>
      <c r="AM86" s="2388"/>
      <c r="AN86" s="2388"/>
      <c r="AO86" s="2388"/>
      <c r="AP86" s="2388"/>
      <c r="AQ86" s="2388"/>
      <c r="AR86" s="2388"/>
      <c r="AS86" s="2388"/>
      <c r="AT86" s="2388"/>
      <c r="AU86" s="2388"/>
      <c r="AV86" s="2388"/>
      <c r="AW86" s="2388"/>
      <c r="AX86" s="2388"/>
      <c r="AY86" s="2388"/>
      <c r="AZ86" s="2388"/>
      <c r="BA86" s="2388"/>
      <c r="BB86" s="2388"/>
      <c r="BC86" s="2388"/>
      <c r="BD86" s="2388"/>
      <c r="BE86" s="2388"/>
      <c r="BF86" s="2388"/>
      <c r="BG86" s="2388"/>
      <c r="BH86" s="2388"/>
      <c r="BI86" s="2388"/>
      <c r="BJ86" s="2388"/>
      <c r="BK86" s="2388"/>
      <c r="BL86" s="2388"/>
      <c r="BM86" s="2388"/>
      <c r="BN86" s="2388"/>
      <c r="BO86" s="2388"/>
      <c r="BP86" s="2388"/>
      <c r="BQ86" s="2388"/>
      <c r="BR86" s="2388"/>
      <c r="BS86" s="2388"/>
      <c r="BT86" s="2388"/>
      <c r="BU86" s="2388"/>
      <c r="BV86" s="2388"/>
    </row>
    <row r="87" spans="1:76" ht="15.75">
      <c r="A87" s="2388"/>
      <c r="B87" s="2388"/>
      <c r="C87" s="2436" t="s">
        <v>2406</v>
      </c>
      <c r="D87" s="2437"/>
      <c r="E87" s="2438"/>
      <c r="F87" s="2439"/>
      <c r="G87" s="2440">
        <f>SUM(G81:G86)</f>
        <v>26.6</v>
      </c>
      <c r="H87" s="2439"/>
      <c r="I87" s="2439"/>
      <c r="J87" s="2441">
        <f>SUM(J81:J86)</f>
        <v>265.3631284916201</v>
      </c>
      <c r="K87" s="2442">
        <f>SUM(K81:K86)</f>
        <v>13300</v>
      </c>
      <c r="L87" s="2389"/>
      <c r="M87" s="2388"/>
      <c r="N87" s="2582"/>
      <c r="O87" s="2582"/>
      <c r="P87" s="2388"/>
      <c r="Q87" s="2388"/>
      <c r="R87" s="2388"/>
      <c r="S87" s="2388"/>
      <c r="T87" s="2388"/>
      <c r="U87" s="2388"/>
      <c r="V87" s="2388"/>
      <c r="W87" s="2388"/>
      <c r="X87" s="2388"/>
      <c r="Y87" s="2388"/>
      <c r="Z87" s="2388"/>
      <c r="AA87" s="2388"/>
      <c r="AB87" s="2388"/>
      <c r="AC87" s="2388"/>
      <c r="AD87" s="2388"/>
      <c r="AE87" s="2388"/>
      <c r="AF87" s="2388"/>
      <c r="AG87" s="2388"/>
      <c r="AH87" s="2388"/>
      <c r="AI87" s="2388"/>
      <c r="AJ87" s="2388"/>
      <c r="AK87" s="2388"/>
      <c r="AL87" s="2388"/>
      <c r="AM87" s="2388"/>
      <c r="AN87" s="2388"/>
      <c r="AO87" s="2388"/>
      <c r="AP87" s="2388"/>
      <c r="AQ87" s="2388"/>
      <c r="AR87" s="2388"/>
      <c r="AS87" s="2388"/>
      <c r="AT87" s="2388"/>
      <c r="AU87" s="2388"/>
      <c r="AV87" s="2388"/>
      <c r="AW87" s="2388"/>
      <c r="AX87" s="2388"/>
      <c r="AY87" s="2388"/>
      <c r="AZ87" s="2388"/>
      <c r="BA87" s="2388"/>
      <c r="BB87" s="2388"/>
      <c r="BC87" s="2388"/>
      <c r="BD87" s="2388"/>
      <c r="BE87" s="2388"/>
      <c r="BF87" s="2388"/>
      <c r="BG87" s="2388"/>
      <c r="BH87" s="2388"/>
      <c r="BI87" s="2388"/>
      <c r="BJ87" s="2388"/>
      <c r="BK87" s="2388"/>
      <c r="BL87" s="2388"/>
      <c r="BM87" s="2388"/>
      <c r="BN87" s="2388"/>
      <c r="BO87" s="2388"/>
      <c r="BP87" s="2388"/>
      <c r="BQ87" s="2388"/>
      <c r="BR87" s="2388"/>
      <c r="BS87" s="2388"/>
      <c r="BT87" s="2388"/>
      <c r="BU87" s="2388"/>
      <c r="BV87" s="2388"/>
    </row>
    <row r="88" spans="1:76" s="2388" customFormat="1">
      <c r="D88" s="2389"/>
      <c r="E88" s="2389"/>
      <c r="F88" s="2389"/>
      <c r="G88" s="2389"/>
      <c r="H88" s="2389"/>
      <c r="I88" s="2389"/>
      <c r="J88" s="2389"/>
      <c r="K88" s="2389"/>
      <c r="L88" s="2389"/>
    </row>
    <row r="89" spans="1:76" s="2388" customFormat="1">
      <c r="D89" s="2389"/>
      <c r="E89" s="2389"/>
      <c r="F89" s="2389"/>
      <c r="G89" s="2389"/>
      <c r="H89" s="2389"/>
      <c r="I89" s="2389"/>
      <c r="J89" s="2389"/>
      <c r="K89" s="2389"/>
      <c r="L89" s="2389"/>
    </row>
    <row r="90" spans="1:76" s="2388" customFormat="1">
      <c r="D90" s="2443"/>
      <c r="E90" s="2444"/>
      <c r="F90" s="2389"/>
      <c r="G90" s="2389"/>
      <c r="H90" s="2389"/>
      <c r="I90" s="2389"/>
      <c r="J90" s="2389"/>
      <c r="K90" s="2389"/>
      <c r="L90" s="2389"/>
    </row>
    <row r="91" spans="1:76" ht="50.25" customHeight="1">
      <c r="A91" s="2388"/>
      <c r="B91" s="2388"/>
      <c r="C91" s="2445"/>
      <c r="D91" s="2556" t="s">
        <v>2317</v>
      </c>
      <c r="E91" s="2557"/>
      <c r="F91" s="2558"/>
      <c r="G91" s="2565" t="s">
        <v>2341</v>
      </c>
      <c r="H91" s="2566"/>
      <c r="I91" s="2574" t="s">
        <v>2411</v>
      </c>
      <c r="J91" s="2575"/>
      <c r="K91" s="2576"/>
      <c r="L91" s="2389"/>
      <c r="M91" s="2388"/>
      <c r="N91" s="2388"/>
      <c r="O91" s="2388"/>
      <c r="P91" s="2388"/>
      <c r="Q91" s="2388"/>
      <c r="R91" s="2388"/>
      <c r="S91" s="2388"/>
      <c r="T91" s="2388"/>
      <c r="U91" s="2388"/>
      <c r="V91" s="2388"/>
      <c r="W91" s="2388"/>
      <c r="X91" s="2388"/>
      <c r="Y91" s="2388"/>
      <c r="Z91" s="2388"/>
      <c r="AA91" s="2388"/>
      <c r="AB91" s="2388"/>
      <c r="AC91" s="2388"/>
      <c r="AD91" s="2388"/>
      <c r="AE91" s="2388"/>
      <c r="AF91" s="2388"/>
      <c r="AG91" s="2388"/>
      <c r="AH91" s="2388"/>
      <c r="AI91" s="2388"/>
      <c r="AJ91" s="2388"/>
      <c r="AK91" s="2388"/>
      <c r="AL91" s="2388"/>
      <c r="AM91" s="2388"/>
      <c r="AN91" s="2388"/>
      <c r="AO91" s="2388"/>
      <c r="AP91" s="2388"/>
      <c r="AQ91" s="2388"/>
      <c r="AR91" s="2388"/>
      <c r="AS91" s="2388"/>
      <c r="AT91" s="2388"/>
      <c r="AU91" s="2388"/>
      <c r="AV91" s="2388"/>
      <c r="AW91" s="2388"/>
      <c r="AX91" s="2388"/>
      <c r="AY91" s="2388"/>
      <c r="AZ91" s="2388"/>
      <c r="BA91" s="2388"/>
      <c r="BB91" s="2388"/>
      <c r="BC91" s="2388"/>
      <c r="BD91" s="2388"/>
      <c r="BE91" s="2388"/>
      <c r="BF91" s="2388"/>
      <c r="BG91" s="2388"/>
      <c r="BH91" s="2388"/>
      <c r="BI91" s="2388"/>
      <c r="BJ91" s="2388"/>
      <c r="BK91" s="2388"/>
      <c r="BL91" s="2388"/>
      <c r="BM91" s="2388"/>
      <c r="BN91" s="2388"/>
      <c r="BO91" s="2388"/>
      <c r="BP91" s="2388"/>
      <c r="BQ91" s="2388"/>
      <c r="BR91" s="2388"/>
      <c r="BS91" s="2388"/>
      <c r="BT91" s="2388"/>
      <c r="BU91" s="2388"/>
      <c r="BV91" s="2388"/>
      <c r="BW91" s="2388"/>
      <c r="BX91" s="2388"/>
    </row>
    <row r="92" spans="1:76" s="2388" customFormat="1" ht="21" customHeight="1">
      <c r="D92" s="2559"/>
      <c r="E92" s="2560"/>
      <c r="F92" s="2561"/>
      <c r="G92" s="2567">
        <f>G14+G34+G44+G58+G69+G80+G87</f>
        <v>121.69999999999999</v>
      </c>
      <c r="H92" s="2568"/>
      <c r="I92" s="2571">
        <f>K14+K34+K44+K58+K69+K80+K87</f>
        <v>63892</v>
      </c>
      <c r="J92" s="2572"/>
      <c r="K92" s="2573"/>
      <c r="L92" s="2389"/>
      <c r="M92" s="2577" t="s">
        <v>2413</v>
      </c>
      <c r="N92" s="2577"/>
      <c r="O92" s="2577"/>
      <c r="P92" s="2450"/>
      <c r="Q92" s="2451"/>
    </row>
    <row r="93" spans="1:76" s="2388" customFormat="1" ht="20.25" customHeight="1">
      <c r="D93" s="2562"/>
      <c r="E93" s="2563"/>
      <c r="F93" s="2564"/>
      <c r="G93" s="2569"/>
      <c r="H93" s="2570"/>
      <c r="I93" s="2553">
        <f>J14+J34+J44+J58+J69+J80+J87</f>
        <v>1274.7805267358342</v>
      </c>
      <c r="J93" s="2554"/>
      <c r="K93" s="2555"/>
      <c r="L93" s="2389"/>
      <c r="M93" s="2578" t="s">
        <v>2410</v>
      </c>
      <c r="N93" s="2578"/>
      <c r="O93" s="2578"/>
      <c r="P93" s="2450"/>
      <c r="Q93" s="2451"/>
    </row>
    <row r="94" spans="1:76" s="2388" customFormat="1">
      <c r="D94" s="2389"/>
      <c r="E94" s="2389"/>
      <c r="F94" s="2389"/>
      <c r="G94" s="2389"/>
      <c r="H94" s="2389"/>
      <c r="I94" s="2389"/>
      <c r="J94" s="2389"/>
      <c r="K94" s="2389"/>
      <c r="L94" s="2389"/>
      <c r="N94" s="2579">
        <v>2026</v>
      </c>
      <c r="O94" s="2579"/>
    </row>
    <row r="95" spans="1:76" s="2388" customFormat="1">
      <c r="D95" s="2389"/>
      <c r="E95" s="2389"/>
      <c r="F95" s="2389"/>
      <c r="G95" s="2389"/>
      <c r="H95" s="2389"/>
      <c r="I95" s="2389"/>
      <c r="J95" s="2389"/>
      <c r="K95" s="2389"/>
      <c r="L95" s="2389"/>
      <c r="M95" s="2578"/>
      <c r="N95" s="2578"/>
      <c r="O95" s="2578"/>
    </row>
    <row r="96" spans="1:76" s="2388" customFormat="1">
      <c r="D96" s="2389"/>
      <c r="E96" s="2389"/>
      <c r="F96" s="2389"/>
      <c r="G96" s="2389"/>
      <c r="H96" s="2389"/>
      <c r="I96" s="2389"/>
      <c r="J96" s="2389"/>
      <c r="K96" s="2389"/>
      <c r="L96" s="2389"/>
    </row>
    <row r="97" spans="4:12" s="2388" customFormat="1">
      <c r="D97" s="2389"/>
      <c r="E97" s="2389"/>
      <c r="F97" s="2389"/>
      <c r="G97" s="2389"/>
      <c r="H97" s="2389"/>
      <c r="I97" s="2389"/>
      <c r="J97" s="2389"/>
      <c r="K97" s="2389"/>
      <c r="L97" s="2389"/>
    </row>
    <row r="98" spans="4:12" s="2388" customFormat="1">
      <c r="D98" s="2389"/>
      <c r="E98" s="2389"/>
      <c r="F98" s="2389"/>
      <c r="G98" s="2389"/>
      <c r="H98" s="2389"/>
      <c r="I98" s="2389"/>
      <c r="J98" s="2389"/>
      <c r="K98" s="2389"/>
      <c r="L98" s="2389"/>
    </row>
    <row r="99" spans="4:12" s="2388" customFormat="1">
      <c r="D99" s="2389"/>
      <c r="E99" s="2389"/>
      <c r="F99" s="2389"/>
      <c r="G99" s="2389"/>
      <c r="H99" s="2389"/>
      <c r="I99" s="2389"/>
      <c r="J99" s="2389"/>
      <c r="K99" s="2389"/>
      <c r="L99" s="2389"/>
    </row>
    <row r="100" spans="4:12" s="2388" customFormat="1">
      <c r="D100" s="2389"/>
      <c r="E100" s="2389"/>
      <c r="F100" s="2389"/>
      <c r="G100" s="2389"/>
      <c r="H100" s="2389"/>
      <c r="I100" s="2389"/>
      <c r="J100" s="2389"/>
      <c r="K100" s="2389"/>
      <c r="L100" s="2389"/>
    </row>
    <row r="101" spans="4:12" s="2388" customFormat="1">
      <c r="D101" s="2389"/>
      <c r="E101" s="2389"/>
      <c r="F101" s="2389"/>
      <c r="G101" s="2389"/>
      <c r="H101" s="2389"/>
      <c r="I101" s="2389"/>
      <c r="J101" s="2389"/>
      <c r="K101" s="2389"/>
      <c r="L101" s="2389"/>
    </row>
    <row r="102" spans="4:12" s="2388" customFormat="1">
      <c r="D102" s="2389"/>
      <c r="E102" s="2389"/>
      <c r="F102" s="2389"/>
      <c r="G102" s="2389"/>
      <c r="H102" s="2389"/>
      <c r="I102" s="2389"/>
      <c r="J102" s="2389"/>
      <c r="K102" s="2389"/>
      <c r="L102" s="2389"/>
    </row>
    <row r="103" spans="4:12" s="2388" customFormat="1">
      <c r="D103" s="2389"/>
      <c r="E103" s="2389"/>
      <c r="F103" s="2389"/>
      <c r="G103" s="2389"/>
      <c r="H103" s="2389"/>
      <c r="I103" s="2389"/>
      <c r="J103" s="2389"/>
      <c r="K103" s="2389"/>
      <c r="L103" s="2389"/>
    </row>
    <row r="104" spans="4:12" s="2388" customFormat="1">
      <c r="D104" s="2389"/>
      <c r="E104" s="2389"/>
      <c r="F104" s="2389"/>
      <c r="G104" s="2389"/>
      <c r="H104" s="2389"/>
      <c r="I104" s="2389"/>
      <c r="J104" s="2389"/>
      <c r="K104" s="2389"/>
      <c r="L104" s="2389"/>
    </row>
    <row r="105" spans="4:12" s="2388" customFormat="1">
      <c r="D105" s="2389"/>
      <c r="E105" s="2389"/>
      <c r="F105" s="2389"/>
      <c r="G105" s="2389"/>
      <c r="H105" s="2389"/>
      <c r="I105" s="2389"/>
      <c r="J105" s="2389"/>
      <c r="K105" s="2389"/>
      <c r="L105" s="2389"/>
    </row>
    <row r="106" spans="4:12" s="2388" customFormat="1">
      <c r="D106" s="2389"/>
      <c r="E106" s="2389"/>
      <c r="F106" s="2389"/>
      <c r="G106" s="2389"/>
      <c r="H106" s="2389"/>
      <c r="I106" s="2389"/>
      <c r="J106" s="2389"/>
      <c r="K106" s="2389"/>
      <c r="L106" s="2389"/>
    </row>
    <row r="107" spans="4:12" s="2388" customFormat="1">
      <c r="D107" s="2389"/>
      <c r="E107" s="2389"/>
      <c r="F107" s="2389"/>
      <c r="G107" s="2389"/>
      <c r="H107" s="2389"/>
      <c r="I107" s="2389"/>
      <c r="J107" s="2389"/>
      <c r="K107" s="2389"/>
      <c r="L107" s="2389"/>
    </row>
    <row r="108" spans="4:12" s="2388" customFormat="1">
      <c r="D108" s="2389"/>
      <c r="E108" s="2389"/>
      <c r="F108" s="2389"/>
      <c r="G108" s="2389"/>
      <c r="H108" s="2389"/>
      <c r="I108" s="2389"/>
      <c r="J108" s="2389"/>
      <c r="K108" s="2389"/>
      <c r="L108" s="2389"/>
    </row>
    <row r="109" spans="4:12" s="2388" customFormat="1">
      <c r="D109" s="2389"/>
      <c r="E109" s="2389"/>
      <c r="F109" s="2389"/>
      <c r="G109" s="2389"/>
      <c r="H109" s="2389"/>
      <c r="I109" s="2389"/>
      <c r="J109" s="2389"/>
      <c r="K109" s="2389"/>
      <c r="L109" s="2389"/>
    </row>
    <row r="110" spans="4:12" s="2388" customFormat="1">
      <c r="D110" s="2389"/>
      <c r="E110" s="2389"/>
      <c r="F110" s="2389"/>
      <c r="G110" s="2389"/>
      <c r="H110" s="2389"/>
      <c r="I110" s="2389"/>
      <c r="J110" s="2389"/>
      <c r="K110" s="2389"/>
      <c r="L110" s="2389"/>
    </row>
    <row r="111" spans="4:12" s="2388" customFormat="1">
      <c r="D111" s="2389"/>
      <c r="E111" s="2389"/>
      <c r="F111" s="2389"/>
      <c r="G111" s="2389"/>
      <c r="H111" s="2389"/>
      <c r="I111" s="2389"/>
      <c r="J111" s="2389"/>
      <c r="K111" s="2389"/>
      <c r="L111" s="2389"/>
    </row>
    <row r="112" spans="4:12" s="2388" customFormat="1">
      <c r="D112" s="2389"/>
      <c r="E112" s="2389"/>
      <c r="F112" s="2389"/>
      <c r="G112" s="2389"/>
      <c r="H112" s="2389"/>
      <c r="I112" s="2389"/>
      <c r="J112" s="2389"/>
      <c r="K112" s="2389"/>
      <c r="L112" s="2389"/>
    </row>
    <row r="113" spans="4:12" s="2388" customFormat="1">
      <c r="D113" s="2389"/>
      <c r="E113" s="2389"/>
      <c r="F113" s="2389"/>
      <c r="G113" s="2389"/>
      <c r="H113" s="2389"/>
      <c r="I113" s="2389"/>
      <c r="J113" s="2389"/>
      <c r="K113" s="2389"/>
      <c r="L113" s="2389"/>
    </row>
    <row r="114" spans="4:12" s="2388" customFormat="1">
      <c r="D114" s="2389"/>
      <c r="E114" s="2389"/>
      <c r="F114" s="2389"/>
      <c r="G114" s="2389"/>
      <c r="H114" s="2389"/>
      <c r="I114" s="2389"/>
      <c r="J114" s="2389"/>
      <c r="K114" s="2389"/>
      <c r="L114" s="2389"/>
    </row>
    <row r="115" spans="4:12" s="2388" customFormat="1">
      <c r="D115" s="2389"/>
      <c r="E115" s="2389"/>
      <c r="F115" s="2389"/>
      <c r="G115" s="2389"/>
      <c r="H115" s="2389"/>
      <c r="I115" s="2389"/>
      <c r="J115" s="2389"/>
      <c r="K115" s="2389"/>
      <c r="L115" s="2389"/>
    </row>
    <row r="116" spans="4:12" s="2388" customFormat="1">
      <c r="D116" s="2389"/>
      <c r="E116" s="2389"/>
      <c r="F116" s="2389"/>
      <c r="G116" s="2389"/>
      <c r="H116" s="2389"/>
      <c r="I116" s="2389"/>
      <c r="J116" s="2389"/>
      <c r="K116" s="2389"/>
      <c r="L116" s="2389"/>
    </row>
    <row r="117" spans="4:12" s="2388" customFormat="1">
      <c r="D117" s="2389"/>
      <c r="E117" s="2389"/>
      <c r="F117" s="2389"/>
      <c r="G117" s="2389"/>
      <c r="H117" s="2389"/>
      <c r="I117" s="2389"/>
      <c r="J117" s="2389"/>
      <c r="K117" s="2389"/>
      <c r="L117" s="2389"/>
    </row>
    <row r="118" spans="4:12" s="2388" customFormat="1">
      <c r="D118" s="2389"/>
      <c r="E118" s="2389"/>
      <c r="F118" s="2389"/>
      <c r="G118" s="2389"/>
      <c r="H118" s="2389"/>
      <c r="I118" s="2389"/>
      <c r="J118" s="2389"/>
      <c r="K118" s="2389"/>
      <c r="L118" s="2389"/>
    </row>
    <row r="119" spans="4:12" s="2388" customFormat="1">
      <c r="D119" s="2389"/>
      <c r="E119" s="2389"/>
      <c r="F119" s="2389"/>
      <c r="G119" s="2389"/>
      <c r="H119" s="2389"/>
      <c r="I119" s="2389"/>
      <c r="J119" s="2389"/>
      <c r="K119" s="2389"/>
      <c r="L119" s="2389"/>
    </row>
    <row r="120" spans="4:12" s="2388" customFormat="1">
      <c r="D120" s="2389"/>
      <c r="E120" s="2389"/>
      <c r="F120" s="2389"/>
      <c r="G120" s="2389"/>
      <c r="H120" s="2389"/>
      <c r="I120" s="2389"/>
      <c r="J120" s="2389"/>
      <c r="K120" s="2389"/>
      <c r="L120" s="2389"/>
    </row>
    <row r="121" spans="4:12" s="2388" customFormat="1">
      <c r="D121" s="2389"/>
      <c r="E121" s="2389"/>
      <c r="F121" s="2389"/>
      <c r="G121" s="2389"/>
      <c r="H121" s="2389"/>
      <c r="I121" s="2389"/>
      <c r="J121" s="2389"/>
      <c r="K121" s="2389"/>
      <c r="L121" s="2389"/>
    </row>
    <row r="122" spans="4:12" s="2388" customFormat="1">
      <c r="D122" s="2389"/>
      <c r="E122" s="2389"/>
      <c r="F122" s="2389"/>
      <c r="G122" s="2389"/>
      <c r="H122" s="2389"/>
      <c r="I122" s="2389"/>
      <c r="J122" s="2389"/>
      <c r="K122" s="2389"/>
      <c r="L122" s="2389"/>
    </row>
    <row r="123" spans="4:12" s="2388" customFormat="1">
      <c r="D123" s="2389"/>
      <c r="E123" s="2389"/>
      <c r="F123" s="2389"/>
      <c r="G123" s="2389"/>
      <c r="H123" s="2389"/>
      <c r="I123" s="2389"/>
      <c r="J123" s="2389"/>
      <c r="K123" s="2389"/>
      <c r="L123" s="2389"/>
    </row>
    <row r="124" spans="4:12" s="2388" customFormat="1">
      <c r="D124" s="2389"/>
      <c r="E124" s="2389"/>
      <c r="F124" s="2389"/>
      <c r="G124" s="2389"/>
      <c r="H124" s="2389"/>
      <c r="I124" s="2389"/>
      <c r="J124" s="2389"/>
      <c r="K124" s="2389"/>
      <c r="L124" s="2389"/>
    </row>
    <row r="125" spans="4:12" s="2388" customFormat="1">
      <c r="D125" s="2389"/>
      <c r="E125" s="2389"/>
      <c r="F125" s="2389"/>
      <c r="G125" s="2389"/>
      <c r="H125" s="2389"/>
      <c r="I125" s="2389"/>
      <c r="J125" s="2389"/>
      <c r="K125" s="2389"/>
      <c r="L125" s="2389"/>
    </row>
    <row r="126" spans="4:12" s="2388" customFormat="1">
      <c r="D126" s="2389"/>
      <c r="E126" s="2389"/>
      <c r="F126" s="2389"/>
      <c r="G126" s="2389"/>
      <c r="H126" s="2389"/>
      <c r="I126" s="2389"/>
      <c r="J126" s="2389"/>
      <c r="K126" s="2389"/>
      <c r="L126" s="2389"/>
    </row>
    <row r="127" spans="4:12" s="2388" customFormat="1">
      <c r="D127" s="2389"/>
      <c r="E127" s="2389"/>
      <c r="F127" s="2389"/>
      <c r="G127" s="2389"/>
      <c r="H127" s="2389"/>
      <c r="I127" s="2389"/>
      <c r="J127" s="2389"/>
      <c r="K127" s="2389"/>
      <c r="L127" s="2389"/>
    </row>
    <row r="128" spans="4:12" s="2388" customFormat="1">
      <c r="D128" s="2389"/>
      <c r="E128" s="2389"/>
      <c r="F128" s="2389"/>
      <c r="G128" s="2389"/>
      <c r="H128" s="2389"/>
      <c r="I128" s="2389"/>
      <c r="J128" s="2389"/>
      <c r="K128" s="2389"/>
      <c r="L128" s="2389"/>
    </row>
    <row r="129" spans="4:12" s="2388" customFormat="1">
      <c r="D129" s="2389"/>
      <c r="E129" s="2389"/>
      <c r="F129" s="2389"/>
      <c r="G129" s="2389"/>
      <c r="H129" s="2389"/>
      <c r="I129" s="2389"/>
      <c r="J129" s="2389"/>
      <c r="K129" s="2389"/>
      <c r="L129" s="2389"/>
    </row>
    <row r="130" spans="4:12" s="2388" customFormat="1">
      <c r="D130" s="2389"/>
      <c r="E130" s="2389"/>
      <c r="F130" s="2389"/>
      <c r="G130" s="2389"/>
      <c r="H130" s="2389"/>
      <c r="I130" s="2389"/>
      <c r="J130" s="2389"/>
      <c r="K130" s="2389"/>
      <c r="L130" s="2389"/>
    </row>
    <row r="131" spans="4:12" s="2388" customFormat="1">
      <c r="D131" s="2389"/>
      <c r="E131" s="2389"/>
      <c r="F131" s="2389"/>
      <c r="G131" s="2389"/>
      <c r="H131" s="2389"/>
      <c r="I131" s="2389"/>
      <c r="J131" s="2389"/>
      <c r="K131" s="2389"/>
      <c r="L131" s="2389"/>
    </row>
    <row r="132" spans="4:12" s="2388" customFormat="1">
      <c r="D132" s="2389"/>
      <c r="E132" s="2389"/>
      <c r="F132" s="2389"/>
      <c r="G132" s="2389"/>
      <c r="H132" s="2389"/>
      <c r="I132" s="2389"/>
      <c r="J132" s="2389"/>
      <c r="K132" s="2389"/>
      <c r="L132" s="2389"/>
    </row>
    <row r="133" spans="4:12" s="2388" customFormat="1">
      <c r="D133" s="2389"/>
      <c r="E133" s="2389"/>
      <c r="F133" s="2389"/>
      <c r="G133" s="2389"/>
      <c r="H133" s="2389"/>
      <c r="I133" s="2389"/>
      <c r="J133" s="2389"/>
      <c r="K133" s="2389"/>
      <c r="L133" s="2389"/>
    </row>
    <row r="134" spans="4:12" s="2388" customFormat="1">
      <c r="D134" s="2389"/>
      <c r="E134" s="2389"/>
      <c r="F134" s="2389"/>
      <c r="G134" s="2389"/>
      <c r="H134" s="2389"/>
      <c r="I134" s="2389"/>
      <c r="J134" s="2389"/>
      <c r="K134" s="2389"/>
      <c r="L134" s="2389"/>
    </row>
    <row r="135" spans="4:12" s="2388" customFormat="1">
      <c r="D135" s="2389"/>
      <c r="E135" s="2389"/>
      <c r="F135" s="2389"/>
      <c r="G135" s="2389"/>
      <c r="H135" s="2389"/>
      <c r="I135" s="2389"/>
      <c r="J135" s="2389"/>
      <c r="K135" s="2389"/>
      <c r="L135" s="2389"/>
    </row>
    <row r="136" spans="4:12" s="2388" customFormat="1">
      <c r="D136" s="2389"/>
      <c r="E136" s="2389"/>
      <c r="F136" s="2389"/>
      <c r="G136" s="2389"/>
      <c r="H136" s="2389"/>
      <c r="I136" s="2389"/>
      <c r="J136" s="2389"/>
      <c r="K136" s="2389"/>
      <c r="L136" s="2389"/>
    </row>
    <row r="137" spans="4:12" s="2388" customFormat="1">
      <c r="D137" s="2389"/>
      <c r="E137" s="2389"/>
      <c r="F137" s="2389"/>
      <c r="G137" s="2389"/>
      <c r="H137" s="2389"/>
      <c r="I137" s="2389"/>
      <c r="J137" s="2389"/>
      <c r="K137" s="2389"/>
      <c r="L137" s="2389"/>
    </row>
    <row r="138" spans="4:12" s="2388" customFormat="1">
      <c r="D138" s="2389"/>
      <c r="E138" s="2389"/>
      <c r="F138" s="2389"/>
      <c r="G138" s="2389"/>
      <c r="H138" s="2389"/>
      <c r="I138" s="2389"/>
      <c r="J138" s="2389"/>
      <c r="K138" s="2389"/>
      <c r="L138" s="2389"/>
    </row>
    <row r="139" spans="4:12" s="2388" customFormat="1">
      <c r="D139" s="2389"/>
      <c r="E139" s="2389"/>
      <c r="F139" s="2389"/>
      <c r="G139" s="2389"/>
      <c r="H139" s="2389"/>
      <c r="I139" s="2389"/>
      <c r="J139" s="2389"/>
      <c r="K139" s="2389"/>
      <c r="L139" s="2389"/>
    </row>
    <row r="140" spans="4:12" s="2388" customFormat="1">
      <c r="D140" s="2389"/>
      <c r="E140" s="2389"/>
      <c r="F140" s="2389"/>
      <c r="G140" s="2389"/>
      <c r="H140" s="2389"/>
      <c r="I140" s="2389"/>
      <c r="J140" s="2389"/>
      <c r="K140" s="2389"/>
      <c r="L140" s="2389"/>
    </row>
    <row r="141" spans="4:12" s="2388" customFormat="1">
      <c r="D141" s="2389"/>
      <c r="E141" s="2389"/>
      <c r="F141" s="2389"/>
      <c r="G141" s="2389"/>
      <c r="H141" s="2389"/>
      <c r="I141" s="2389"/>
      <c r="J141" s="2389"/>
      <c r="K141" s="2389"/>
      <c r="L141" s="2389"/>
    </row>
    <row r="142" spans="4:12" s="2388" customFormat="1">
      <c r="D142" s="2389"/>
      <c r="E142" s="2389"/>
      <c r="F142" s="2389"/>
      <c r="G142" s="2389"/>
      <c r="H142" s="2389"/>
      <c r="I142" s="2389"/>
      <c r="J142" s="2389"/>
      <c r="K142" s="2389"/>
      <c r="L142" s="2389"/>
    </row>
    <row r="143" spans="4:12" s="2388" customFormat="1">
      <c r="D143" s="2389"/>
      <c r="E143" s="2389"/>
      <c r="F143" s="2389"/>
      <c r="G143" s="2389"/>
      <c r="H143" s="2389"/>
      <c r="I143" s="2389"/>
      <c r="J143" s="2389"/>
      <c r="K143" s="2389"/>
      <c r="L143" s="2389"/>
    </row>
    <row r="144" spans="4:12" s="2388" customFormat="1">
      <c r="D144" s="2389"/>
      <c r="E144" s="2389"/>
      <c r="F144" s="2389"/>
      <c r="G144" s="2389"/>
      <c r="H144" s="2389"/>
      <c r="I144" s="2389"/>
      <c r="J144" s="2389"/>
      <c r="K144" s="2389"/>
      <c r="L144" s="2389"/>
    </row>
    <row r="145" spans="4:12" s="2388" customFormat="1">
      <c r="D145" s="2389"/>
      <c r="E145" s="2389"/>
      <c r="F145" s="2389"/>
      <c r="G145" s="2389"/>
      <c r="H145" s="2389"/>
      <c r="I145" s="2389"/>
      <c r="J145" s="2389"/>
      <c r="K145" s="2389"/>
      <c r="L145" s="2389"/>
    </row>
    <row r="146" spans="4:12" s="2388" customFormat="1">
      <c r="D146" s="2389"/>
      <c r="E146" s="2389"/>
      <c r="F146" s="2389"/>
      <c r="G146" s="2389"/>
      <c r="H146" s="2389"/>
      <c r="I146" s="2389"/>
      <c r="J146" s="2389"/>
      <c r="K146" s="2389"/>
      <c r="L146" s="2389"/>
    </row>
    <row r="147" spans="4:12" s="2388" customFormat="1">
      <c r="D147" s="2389"/>
      <c r="E147" s="2389"/>
      <c r="F147" s="2389"/>
      <c r="G147" s="2389"/>
      <c r="H147" s="2389"/>
      <c r="I147" s="2389"/>
      <c r="J147" s="2389"/>
      <c r="K147" s="2389"/>
      <c r="L147" s="2389"/>
    </row>
    <row r="148" spans="4:12" s="2388" customFormat="1">
      <c r="D148" s="2389"/>
      <c r="E148" s="2389"/>
      <c r="F148" s="2389"/>
      <c r="G148" s="2389"/>
      <c r="H148" s="2389"/>
      <c r="I148" s="2389"/>
      <c r="J148" s="2389"/>
      <c r="K148" s="2389"/>
      <c r="L148" s="2389"/>
    </row>
    <row r="149" spans="4:12" s="2388" customFormat="1">
      <c r="D149" s="2389"/>
      <c r="E149" s="2389"/>
      <c r="F149" s="2389"/>
      <c r="G149" s="2389"/>
      <c r="H149" s="2389"/>
      <c r="I149" s="2389"/>
      <c r="J149" s="2389"/>
      <c r="K149" s="2389"/>
      <c r="L149" s="2389"/>
    </row>
    <row r="150" spans="4:12" s="2388" customFormat="1">
      <c r="D150" s="2389"/>
      <c r="E150" s="2389"/>
      <c r="F150" s="2389"/>
      <c r="G150" s="2389"/>
      <c r="H150" s="2389"/>
      <c r="I150" s="2389"/>
      <c r="J150" s="2389"/>
      <c r="K150" s="2389"/>
      <c r="L150" s="2389"/>
    </row>
    <row r="151" spans="4:12" s="2388" customFormat="1">
      <c r="D151" s="2389"/>
      <c r="E151" s="2389"/>
      <c r="F151" s="2389"/>
      <c r="G151" s="2389"/>
      <c r="H151" s="2389"/>
      <c r="I151" s="2389"/>
      <c r="J151" s="2389"/>
      <c r="K151" s="2389"/>
      <c r="L151" s="2389"/>
    </row>
    <row r="152" spans="4:12" s="2388" customFormat="1">
      <c r="D152" s="2389"/>
      <c r="E152" s="2389"/>
      <c r="F152" s="2389"/>
      <c r="G152" s="2389"/>
      <c r="H152" s="2389"/>
      <c r="I152" s="2389"/>
      <c r="J152" s="2389"/>
      <c r="K152" s="2389"/>
      <c r="L152" s="2389"/>
    </row>
    <row r="153" spans="4:12" s="2388" customFormat="1">
      <c r="D153" s="2389"/>
      <c r="E153" s="2389"/>
      <c r="F153" s="2389"/>
      <c r="G153" s="2389"/>
      <c r="H153" s="2389"/>
      <c r="I153" s="2389"/>
      <c r="J153" s="2389"/>
      <c r="K153" s="2389"/>
      <c r="L153" s="2389"/>
    </row>
    <row r="154" spans="4:12" s="2388" customFormat="1">
      <c r="D154" s="2389"/>
      <c r="E154" s="2389"/>
      <c r="F154" s="2389"/>
      <c r="G154" s="2389"/>
      <c r="H154" s="2389"/>
      <c r="I154" s="2389"/>
      <c r="J154" s="2389"/>
      <c r="K154" s="2389"/>
      <c r="L154" s="2389"/>
    </row>
    <row r="155" spans="4:12" s="2388" customFormat="1">
      <c r="D155" s="2389"/>
      <c r="E155" s="2389"/>
      <c r="F155" s="2389"/>
      <c r="G155" s="2389"/>
      <c r="H155" s="2389"/>
      <c r="I155" s="2389"/>
      <c r="J155" s="2389"/>
      <c r="K155" s="2389"/>
      <c r="L155" s="2389"/>
    </row>
    <row r="156" spans="4:12" s="2388" customFormat="1">
      <c r="D156" s="2389"/>
      <c r="E156" s="2389"/>
      <c r="F156" s="2389"/>
      <c r="G156" s="2389"/>
      <c r="H156" s="2389"/>
      <c r="I156" s="2389"/>
      <c r="J156" s="2389"/>
      <c r="K156" s="2389"/>
      <c r="L156" s="2389"/>
    </row>
    <row r="157" spans="4:12" s="2388" customFormat="1">
      <c r="D157" s="2389"/>
      <c r="E157" s="2389"/>
      <c r="F157" s="2389"/>
      <c r="G157" s="2389"/>
      <c r="H157" s="2389"/>
      <c r="I157" s="2389"/>
      <c r="J157" s="2389"/>
      <c r="K157" s="2389"/>
      <c r="L157" s="2389"/>
    </row>
    <row r="158" spans="4:12" s="2388" customFormat="1">
      <c r="D158" s="2389"/>
      <c r="E158" s="2389"/>
      <c r="F158" s="2389"/>
      <c r="G158" s="2389"/>
      <c r="H158" s="2389"/>
      <c r="I158" s="2389"/>
      <c r="J158" s="2389"/>
      <c r="K158" s="2389"/>
      <c r="L158" s="2389"/>
    </row>
    <row r="159" spans="4:12" s="2388" customFormat="1">
      <c r="D159" s="2389"/>
      <c r="E159" s="2389"/>
      <c r="F159" s="2389"/>
      <c r="G159" s="2389"/>
      <c r="H159" s="2389"/>
      <c r="I159" s="2389"/>
      <c r="J159" s="2389"/>
      <c r="K159" s="2389"/>
      <c r="L159" s="2389"/>
    </row>
    <row r="160" spans="4:12" s="2388" customFormat="1">
      <c r="D160" s="2389"/>
      <c r="E160" s="2389"/>
      <c r="F160" s="2389"/>
      <c r="G160" s="2389"/>
      <c r="H160" s="2389"/>
      <c r="I160" s="2389"/>
      <c r="J160" s="2389"/>
      <c r="K160" s="2389"/>
      <c r="L160" s="2389"/>
    </row>
    <row r="161" spans="4:12" s="2388" customFormat="1">
      <c r="D161" s="2389"/>
      <c r="E161" s="2389"/>
      <c r="F161" s="2389"/>
      <c r="G161" s="2389"/>
      <c r="H161" s="2389"/>
      <c r="I161" s="2389"/>
      <c r="J161" s="2389"/>
      <c r="K161" s="2389"/>
      <c r="L161" s="2389"/>
    </row>
    <row r="162" spans="4:12" s="2388" customFormat="1">
      <c r="D162" s="2389"/>
      <c r="E162" s="2389"/>
      <c r="F162" s="2389"/>
      <c r="G162" s="2389"/>
      <c r="H162" s="2389"/>
      <c r="I162" s="2389"/>
      <c r="J162" s="2389"/>
      <c r="K162" s="2389"/>
      <c r="L162" s="2389"/>
    </row>
    <row r="163" spans="4:12" s="2388" customFormat="1">
      <c r="D163" s="2389"/>
      <c r="E163" s="2389"/>
      <c r="F163" s="2389"/>
      <c r="G163" s="2389"/>
      <c r="H163" s="2389"/>
      <c r="I163" s="2389"/>
      <c r="J163" s="2389"/>
      <c r="K163" s="2389"/>
      <c r="L163" s="2389"/>
    </row>
    <row r="164" spans="4:12" s="2388" customFormat="1">
      <c r="D164" s="2389"/>
      <c r="E164" s="2389"/>
      <c r="F164" s="2389"/>
      <c r="G164" s="2389"/>
      <c r="H164" s="2389"/>
      <c r="I164" s="2389"/>
      <c r="J164" s="2389"/>
      <c r="K164" s="2389"/>
      <c r="L164" s="2389"/>
    </row>
    <row r="165" spans="4:12" s="2388" customFormat="1">
      <c r="D165" s="2389"/>
      <c r="E165" s="2389"/>
      <c r="F165" s="2389"/>
      <c r="G165" s="2389"/>
      <c r="H165" s="2389"/>
      <c r="I165" s="2389"/>
      <c r="J165" s="2389"/>
      <c r="K165" s="2389"/>
      <c r="L165" s="2389"/>
    </row>
    <row r="166" spans="4:12" s="2388" customFormat="1">
      <c r="D166" s="2389"/>
      <c r="E166" s="2389"/>
      <c r="F166" s="2389"/>
      <c r="G166" s="2389"/>
      <c r="H166" s="2389"/>
      <c r="I166" s="2389"/>
      <c r="J166" s="2389"/>
      <c r="K166" s="2389"/>
      <c r="L166" s="2389"/>
    </row>
    <row r="167" spans="4:12" s="2388" customFormat="1">
      <c r="D167" s="2389"/>
      <c r="E167" s="2389"/>
      <c r="F167" s="2389"/>
      <c r="G167" s="2389"/>
      <c r="H167" s="2389"/>
      <c r="I167" s="2389"/>
      <c r="J167" s="2389"/>
      <c r="K167" s="2389"/>
      <c r="L167" s="2389"/>
    </row>
    <row r="168" spans="4:12" s="2388" customFormat="1">
      <c r="D168" s="2389"/>
      <c r="E168" s="2389"/>
      <c r="F168" s="2389"/>
      <c r="G168" s="2389"/>
      <c r="H168" s="2389"/>
      <c r="I168" s="2389"/>
      <c r="J168" s="2389"/>
      <c r="K168" s="2389"/>
      <c r="L168" s="2389"/>
    </row>
    <row r="169" spans="4:12" s="2388" customFormat="1">
      <c r="D169" s="2389"/>
      <c r="E169" s="2389"/>
      <c r="F169" s="2389"/>
      <c r="G169" s="2389"/>
      <c r="H169" s="2389"/>
      <c r="I169" s="2389"/>
      <c r="J169" s="2389"/>
      <c r="K169" s="2389"/>
      <c r="L169" s="2389"/>
    </row>
    <row r="170" spans="4:12" s="2388" customFormat="1">
      <c r="D170" s="2389"/>
      <c r="E170" s="2389"/>
      <c r="F170" s="2389"/>
      <c r="G170" s="2389"/>
      <c r="H170" s="2389"/>
      <c r="I170" s="2389"/>
      <c r="J170" s="2389"/>
      <c r="K170" s="2389"/>
      <c r="L170" s="2389"/>
    </row>
    <row r="171" spans="4:12" s="2388" customFormat="1">
      <c r="D171" s="2389"/>
      <c r="E171" s="2389"/>
      <c r="F171" s="2389"/>
      <c r="G171" s="2389"/>
      <c r="H171" s="2389"/>
      <c r="I171" s="2389"/>
      <c r="J171" s="2389"/>
      <c r="K171" s="2389"/>
      <c r="L171" s="2389"/>
    </row>
    <row r="172" spans="4:12" s="2388" customFormat="1">
      <c r="D172" s="2389"/>
      <c r="E172" s="2389"/>
      <c r="F172" s="2389"/>
      <c r="G172" s="2389"/>
      <c r="H172" s="2389"/>
      <c r="I172" s="2389"/>
      <c r="J172" s="2389"/>
      <c r="K172" s="2389"/>
      <c r="L172" s="2389"/>
    </row>
    <row r="173" spans="4:12" s="2388" customFormat="1">
      <c r="D173" s="2389"/>
      <c r="E173" s="2389"/>
      <c r="F173" s="2389"/>
      <c r="G173" s="2389"/>
      <c r="H173" s="2389"/>
      <c r="I173" s="2389"/>
      <c r="J173" s="2389"/>
      <c r="K173" s="2389"/>
      <c r="L173" s="2389"/>
    </row>
    <row r="174" spans="4:12" s="2388" customFormat="1">
      <c r="D174" s="2389"/>
      <c r="E174" s="2389"/>
      <c r="F174" s="2389"/>
      <c r="G174" s="2389"/>
      <c r="H174" s="2389"/>
      <c r="I174" s="2389"/>
      <c r="J174" s="2389"/>
      <c r="K174" s="2389"/>
      <c r="L174" s="2389"/>
    </row>
    <row r="175" spans="4:12" s="2388" customFormat="1">
      <c r="D175" s="2389"/>
      <c r="E175" s="2389"/>
      <c r="F175" s="2389"/>
      <c r="G175" s="2389"/>
      <c r="H175" s="2389"/>
      <c r="I175" s="2389"/>
      <c r="J175" s="2389"/>
      <c r="K175" s="2389"/>
      <c r="L175" s="2389"/>
    </row>
    <row r="176" spans="4:12" s="2388" customFormat="1">
      <c r="D176" s="2389"/>
      <c r="E176" s="2389"/>
      <c r="F176" s="2389"/>
      <c r="G176" s="2389"/>
      <c r="H176" s="2389"/>
      <c r="I176" s="2389"/>
      <c r="J176" s="2389"/>
      <c r="K176" s="2389"/>
      <c r="L176" s="2389"/>
    </row>
    <row r="177" spans="4:12" s="2388" customFormat="1">
      <c r="D177" s="2389"/>
      <c r="E177" s="2389"/>
      <c r="F177" s="2389"/>
      <c r="G177" s="2389"/>
      <c r="H177" s="2389"/>
      <c r="I177" s="2389"/>
      <c r="J177" s="2389"/>
      <c r="K177" s="2389"/>
      <c r="L177" s="2389"/>
    </row>
    <row r="178" spans="4:12" s="2388" customFormat="1">
      <c r="D178" s="2389"/>
      <c r="E178" s="2389"/>
      <c r="F178" s="2389"/>
      <c r="G178" s="2389"/>
      <c r="H178" s="2389"/>
      <c r="I178" s="2389"/>
      <c r="J178" s="2389"/>
      <c r="K178" s="2389"/>
      <c r="L178" s="2389"/>
    </row>
    <row r="179" spans="4:12" s="2388" customFormat="1">
      <c r="D179" s="2389"/>
      <c r="E179" s="2389"/>
      <c r="F179" s="2389"/>
      <c r="G179" s="2389"/>
      <c r="H179" s="2389"/>
      <c r="I179" s="2389"/>
      <c r="J179" s="2389"/>
      <c r="K179" s="2389"/>
      <c r="L179" s="2389"/>
    </row>
    <row r="180" spans="4:12" s="2388" customFormat="1">
      <c r="D180" s="2389"/>
      <c r="E180" s="2389"/>
      <c r="F180" s="2389"/>
      <c r="G180" s="2389"/>
      <c r="H180" s="2389"/>
      <c r="I180" s="2389"/>
      <c r="J180" s="2389"/>
      <c r="K180" s="2389"/>
      <c r="L180" s="2389"/>
    </row>
    <row r="181" spans="4:12" s="2388" customFormat="1">
      <c r="D181" s="2389"/>
      <c r="E181" s="2389"/>
      <c r="F181" s="2389"/>
      <c r="G181" s="2389"/>
      <c r="H181" s="2389"/>
      <c r="I181" s="2389"/>
      <c r="J181" s="2389"/>
      <c r="K181" s="2389"/>
      <c r="L181" s="2389"/>
    </row>
    <row r="182" spans="4:12" s="2388" customFormat="1">
      <c r="D182" s="2389"/>
      <c r="E182" s="2389"/>
      <c r="F182" s="2389"/>
      <c r="G182" s="2389"/>
      <c r="H182" s="2389"/>
      <c r="I182" s="2389"/>
      <c r="J182" s="2389"/>
      <c r="K182" s="2389"/>
      <c r="L182" s="2389"/>
    </row>
    <row r="183" spans="4:12" s="2388" customFormat="1">
      <c r="D183" s="2389"/>
      <c r="E183" s="2389"/>
      <c r="F183" s="2389"/>
      <c r="G183" s="2389"/>
      <c r="H183" s="2389"/>
      <c r="I183" s="2389"/>
      <c r="J183" s="2389"/>
      <c r="K183" s="2389"/>
      <c r="L183" s="2389"/>
    </row>
    <row r="184" spans="4:12" s="2388" customFormat="1">
      <c r="D184" s="2389"/>
      <c r="E184" s="2389"/>
      <c r="F184" s="2389"/>
      <c r="G184" s="2389"/>
      <c r="H184" s="2389"/>
      <c r="I184" s="2389"/>
      <c r="J184" s="2389"/>
      <c r="K184" s="2389"/>
      <c r="L184" s="2389"/>
    </row>
    <row r="185" spans="4:12" s="2388" customFormat="1">
      <c r="D185" s="2389"/>
      <c r="E185" s="2389"/>
      <c r="F185" s="2389"/>
      <c r="G185" s="2389"/>
      <c r="H185" s="2389"/>
      <c r="I185" s="2389"/>
      <c r="J185" s="2389"/>
      <c r="K185" s="2389"/>
      <c r="L185" s="2389"/>
    </row>
    <row r="186" spans="4:12" s="2388" customFormat="1">
      <c r="D186" s="2389"/>
      <c r="E186" s="2389"/>
      <c r="F186" s="2389"/>
      <c r="G186" s="2389"/>
      <c r="H186" s="2389"/>
      <c r="I186" s="2389"/>
      <c r="J186" s="2389"/>
      <c r="K186" s="2389"/>
      <c r="L186" s="2389"/>
    </row>
    <row r="187" spans="4:12" s="2388" customFormat="1">
      <c r="D187" s="2389"/>
      <c r="E187" s="2389"/>
      <c r="F187" s="2389"/>
      <c r="G187" s="2389"/>
      <c r="H187" s="2389"/>
      <c r="I187" s="2389"/>
      <c r="J187" s="2389"/>
      <c r="K187" s="2389"/>
      <c r="L187" s="2389"/>
    </row>
    <row r="188" spans="4:12" s="2388" customFormat="1">
      <c r="D188" s="2389"/>
      <c r="E188" s="2389"/>
      <c r="F188" s="2389"/>
      <c r="G188" s="2389"/>
      <c r="H188" s="2389"/>
      <c r="I188" s="2389"/>
      <c r="J188" s="2389"/>
      <c r="K188" s="2389"/>
      <c r="L188" s="2389"/>
    </row>
    <row r="189" spans="4:12" s="2388" customFormat="1">
      <c r="D189" s="2389"/>
      <c r="E189" s="2389"/>
      <c r="F189" s="2389"/>
      <c r="G189" s="2389"/>
      <c r="H189" s="2389"/>
      <c r="I189" s="2389"/>
      <c r="J189" s="2389"/>
      <c r="K189" s="2389"/>
      <c r="L189" s="2389"/>
    </row>
    <row r="190" spans="4:12" s="2388" customFormat="1">
      <c r="D190" s="2389"/>
      <c r="E190" s="2389"/>
      <c r="F190" s="2389"/>
      <c r="G190" s="2389"/>
      <c r="H190" s="2389"/>
      <c r="I190" s="2389"/>
      <c r="J190" s="2389"/>
      <c r="K190" s="2389"/>
      <c r="L190" s="2389"/>
    </row>
    <row r="191" spans="4:12" s="2388" customFormat="1">
      <c r="D191" s="2389"/>
      <c r="E191" s="2389"/>
      <c r="F191" s="2389"/>
      <c r="G191" s="2389"/>
      <c r="H191" s="2389"/>
      <c r="I191" s="2389"/>
      <c r="J191" s="2389"/>
      <c r="K191" s="2389"/>
      <c r="L191" s="2389"/>
    </row>
    <row r="192" spans="4:12" s="2388" customFormat="1">
      <c r="D192" s="2389"/>
      <c r="E192" s="2389"/>
      <c r="F192" s="2389"/>
      <c r="G192" s="2389"/>
      <c r="H192" s="2389"/>
      <c r="I192" s="2389"/>
      <c r="J192" s="2389"/>
      <c r="K192" s="2389"/>
      <c r="L192" s="2389"/>
    </row>
    <row r="193" spans="4:12" s="2388" customFormat="1">
      <c r="D193" s="2389"/>
      <c r="E193" s="2389"/>
      <c r="F193" s="2389"/>
      <c r="G193" s="2389"/>
      <c r="H193" s="2389"/>
      <c r="I193" s="2389"/>
      <c r="J193" s="2389"/>
      <c r="K193" s="2389"/>
      <c r="L193" s="2389"/>
    </row>
    <row r="194" spans="4:12" s="2388" customFormat="1">
      <c r="D194" s="2389"/>
      <c r="E194" s="2389"/>
      <c r="F194" s="2389"/>
      <c r="G194" s="2389"/>
      <c r="H194" s="2389"/>
      <c r="I194" s="2389"/>
      <c r="J194" s="2389"/>
      <c r="K194" s="2389"/>
      <c r="L194" s="2389"/>
    </row>
    <row r="195" spans="4:12" s="2388" customFormat="1">
      <c r="D195" s="2389"/>
      <c r="E195" s="2389"/>
      <c r="F195" s="2389"/>
      <c r="G195" s="2389"/>
      <c r="H195" s="2389"/>
      <c r="I195" s="2389"/>
      <c r="J195" s="2389"/>
      <c r="K195" s="2389"/>
      <c r="L195" s="2389"/>
    </row>
    <row r="196" spans="4:12" s="2388" customFormat="1">
      <c r="D196" s="2389"/>
      <c r="E196" s="2389"/>
      <c r="F196" s="2389"/>
      <c r="G196" s="2389"/>
      <c r="H196" s="2389"/>
      <c r="I196" s="2389"/>
      <c r="J196" s="2389"/>
      <c r="K196" s="2389"/>
      <c r="L196" s="2389"/>
    </row>
    <row r="197" spans="4:12" s="2388" customFormat="1">
      <c r="D197" s="2389"/>
      <c r="E197" s="2389"/>
      <c r="F197" s="2389"/>
      <c r="G197" s="2389"/>
      <c r="H197" s="2389"/>
      <c r="I197" s="2389"/>
      <c r="J197" s="2389"/>
      <c r="K197" s="2389"/>
      <c r="L197" s="2389"/>
    </row>
    <row r="198" spans="4:12" s="2388" customFormat="1">
      <c r="D198" s="2389"/>
      <c r="E198" s="2389"/>
      <c r="F198" s="2389"/>
      <c r="G198" s="2389"/>
      <c r="H198" s="2389"/>
      <c r="I198" s="2389"/>
      <c r="J198" s="2389"/>
      <c r="K198" s="2389"/>
      <c r="L198" s="2389"/>
    </row>
  </sheetData>
  <sheetProtection algorithmName="SHA-512" hashValue="3MOrOk+xCU1rynwWkR7OzrYr1q+nX9+IeKDEWQIdzssEj2mlMtflOQgfMtWatYxO9JBpNNZ5QDFULJB8JJUv3A==" saltValue="c6RD9cMGgNvJejFlumWNZw==" spinCount="100000" sheet="1" objects="1" selectLockedCells="1"/>
  <mergeCells count="18">
    <mergeCell ref="M7:O7"/>
    <mergeCell ref="M8:O8"/>
    <mergeCell ref="N9:O9"/>
    <mergeCell ref="M95:O95"/>
    <mergeCell ref="N94:O94"/>
    <mergeCell ref="M92:O92"/>
    <mergeCell ref="M11:O11"/>
    <mergeCell ref="M93:O93"/>
    <mergeCell ref="M14:Q14"/>
    <mergeCell ref="N16:Q16"/>
    <mergeCell ref="M85:Q85"/>
    <mergeCell ref="N87:O87"/>
    <mergeCell ref="I93:K93"/>
    <mergeCell ref="D91:F93"/>
    <mergeCell ref="G91:H91"/>
    <mergeCell ref="G92:H93"/>
    <mergeCell ref="I92:K92"/>
    <mergeCell ref="I91:K91"/>
  </mergeCells>
  <phoneticPr fontId="274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ayfa4">
    <tabColor theme="0" tint="-0.34998626667073579"/>
  </sheetPr>
  <dimension ref="A1:IW73"/>
  <sheetViews>
    <sheetView showGridLines="0" showRowColHeaders="0" zoomScale="69" zoomScaleNormal="69" workbookViewId="0">
      <selection activeCell="D6" sqref="D6"/>
    </sheetView>
  </sheetViews>
  <sheetFormatPr defaultColWidth="9" defaultRowHeight="15"/>
  <cols>
    <col min="1" max="1" width="1" style="91" customWidth="1"/>
    <col min="2" max="2" width="1.140625" style="91" customWidth="1"/>
    <col min="3" max="3" width="16.28515625" style="91" customWidth="1"/>
    <col min="4" max="4" width="11" style="91" bestFit="1" customWidth="1"/>
    <col min="5" max="5" width="9" style="91" customWidth="1"/>
    <col min="6" max="6" width="9.85546875" style="91" customWidth="1"/>
    <col min="7" max="7" width="3" style="91" customWidth="1"/>
    <col min="8" max="8" width="11.7109375" style="91" customWidth="1"/>
    <col min="9" max="9" width="10.28515625" style="91" customWidth="1"/>
    <col min="10" max="10" width="16" style="91" customWidth="1"/>
    <col min="11" max="11" width="8.140625" style="91" customWidth="1"/>
    <col min="12" max="12" width="9.5703125" style="91" customWidth="1"/>
    <col min="13" max="13" width="7.5703125" style="91" customWidth="1"/>
    <col min="14" max="14" width="7.5703125" style="91" bestFit="1" customWidth="1"/>
    <col min="15" max="16" width="3.85546875" style="91" customWidth="1"/>
    <col min="17" max="17" width="10.85546875" style="91" customWidth="1"/>
    <col min="18" max="18" width="11.5703125" style="91" customWidth="1"/>
    <col min="19" max="19" width="6.140625" style="91" customWidth="1"/>
    <col min="20" max="20" width="9.140625" style="91" customWidth="1"/>
    <col min="21" max="21" width="9" style="91" customWidth="1"/>
    <col min="22" max="23" width="9.140625" style="91" customWidth="1"/>
    <col min="24" max="24" width="3.28515625" style="91" customWidth="1"/>
    <col min="25" max="30" width="9.140625" style="91" customWidth="1"/>
    <col min="31" max="31" width="9.7109375" style="91" customWidth="1"/>
    <col min="32" max="34" width="9.140625" style="91" customWidth="1"/>
    <col min="35" max="35" width="4.85546875" style="91" customWidth="1"/>
    <col min="36" max="41" width="9.140625" style="91" customWidth="1"/>
    <col min="42" max="42" width="9.85546875" style="91" customWidth="1"/>
    <col min="43" max="43" width="11.85546875" style="91" customWidth="1"/>
    <col min="44" max="47" width="9.140625" style="91" customWidth="1"/>
    <col min="48" max="48" width="10.5703125" style="91" customWidth="1"/>
    <col min="49" max="49" width="9.140625" style="91" customWidth="1"/>
    <col min="50" max="50" width="10.7109375" style="91" customWidth="1"/>
    <col min="51" max="51" width="11.42578125" style="91" customWidth="1"/>
    <col min="52" max="52" width="9.85546875" style="91" customWidth="1"/>
    <col min="53" max="257" width="9.140625" style="91" customWidth="1"/>
  </cols>
  <sheetData>
    <row r="1" spans="1:52" ht="6.75" customHeight="1" thickBot="1">
      <c r="A1" s="188"/>
      <c r="B1" s="188"/>
    </row>
    <row r="2" spans="1:52" ht="48.75" thickBot="1">
      <c r="A2" s="188"/>
      <c r="B2" s="188"/>
      <c r="C2" s="2625" t="s">
        <v>1959</v>
      </c>
      <c r="D2" s="2626"/>
      <c r="E2" s="2626"/>
      <c r="F2" s="2626"/>
      <c r="G2" s="2626"/>
      <c r="H2" s="2626"/>
      <c r="I2" s="2626"/>
      <c r="J2" s="2626"/>
      <c r="K2" s="2626"/>
      <c r="L2" s="2626"/>
      <c r="M2" s="2626"/>
      <c r="N2" s="2627"/>
      <c r="R2" s="565" t="s">
        <v>796</v>
      </c>
      <c r="S2" s="76"/>
      <c r="T2" s="1270">
        <v>1000</v>
      </c>
      <c r="U2" s="1271" t="s">
        <v>160</v>
      </c>
      <c r="V2" s="1272">
        <f>T2/1000</f>
        <v>1</v>
      </c>
      <c r="W2" s="1273" t="s">
        <v>77</v>
      </c>
      <c r="X2" s="1272"/>
      <c r="Y2" s="1274">
        <f>V2*860</f>
        <v>860</v>
      </c>
      <c r="Z2" s="1275" t="s">
        <v>850</v>
      </c>
      <c r="AE2" s="185"/>
      <c r="AF2" s="723"/>
      <c r="AG2" s="723"/>
      <c r="AH2" s="723"/>
      <c r="AI2" s="724"/>
      <c r="AK2" s="2648" t="s">
        <v>1143</v>
      </c>
      <c r="AL2" s="2648"/>
      <c r="AM2" s="2648"/>
      <c r="AN2" s="2648"/>
      <c r="AO2" s="2648"/>
      <c r="AP2" s="2648"/>
      <c r="AQ2" s="2648"/>
    </row>
    <row r="3" spans="1:52" ht="15.75" customHeight="1" thickBot="1">
      <c r="A3" s="188"/>
      <c r="B3" s="188"/>
      <c r="C3" s="75"/>
      <c r="R3" s="1340">
        <v>16</v>
      </c>
      <c r="S3" s="76"/>
      <c r="T3" s="1276">
        <v>125</v>
      </c>
      <c r="U3" s="890" t="s">
        <v>77</v>
      </c>
      <c r="V3" s="891">
        <f>T3*860</f>
        <v>107500</v>
      </c>
      <c r="W3" s="892" t="s">
        <v>850</v>
      </c>
      <c r="X3" s="2650">
        <f>T3*1000</f>
        <v>125000</v>
      </c>
      <c r="Y3" s="2651"/>
      <c r="Z3" s="1277" t="s">
        <v>160</v>
      </c>
      <c r="AE3" s="185"/>
      <c r="AF3" s="723"/>
      <c r="AG3" s="723"/>
      <c r="AH3" s="723"/>
      <c r="AI3" s="725"/>
      <c r="AK3" s="2648"/>
      <c r="AL3" s="2648"/>
      <c r="AM3" s="2648"/>
      <c r="AN3" s="2648"/>
      <c r="AO3" s="2648"/>
      <c r="AP3" s="2648"/>
      <c r="AQ3" s="2648"/>
    </row>
    <row r="4" spans="1:52" ht="15.75" customHeight="1" thickBot="1">
      <c r="C4" s="2631" t="s">
        <v>145</v>
      </c>
      <c r="D4" s="2631"/>
      <c r="E4" s="2632"/>
      <c r="F4" s="2314">
        <f>IF(P4=17,12.5,11.2)</f>
        <v>12.5</v>
      </c>
      <c r="G4" s="2315" t="s">
        <v>160</v>
      </c>
      <c r="K4" s="2633" t="s">
        <v>1215</v>
      </c>
      <c r="L4" s="2633"/>
      <c r="M4" s="2633"/>
      <c r="N4" s="2633"/>
      <c r="O4" s="1283" t="s">
        <v>337</v>
      </c>
      <c r="P4" s="1284">
        <v>17</v>
      </c>
      <c r="Q4" s="1285" t="s">
        <v>5</v>
      </c>
      <c r="R4" s="189">
        <v>17</v>
      </c>
      <c r="S4" s="76"/>
      <c r="T4" s="1278">
        <v>232447</v>
      </c>
      <c r="U4" s="1279" t="s">
        <v>850</v>
      </c>
      <c r="V4" s="1280">
        <f>T4/860</f>
        <v>270.28720930232561</v>
      </c>
      <c r="W4" s="1281" t="s">
        <v>77</v>
      </c>
      <c r="X4" s="2652">
        <f>V4*1000</f>
        <v>270287.20930232562</v>
      </c>
      <c r="Y4" s="2653"/>
      <c r="Z4" s="1282" t="s">
        <v>160</v>
      </c>
      <c r="AE4" s="185"/>
      <c r="AF4" s="723"/>
      <c r="AG4" s="723"/>
      <c r="AH4" s="2583"/>
      <c r="AI4" s="2583"/>
      <c r="AK4" s="2648"/>
      <c r="AL4" s="2648"/>
      <c r="AM4" s="2648"/>
      <c r="AN4" s="2648"/>
      <c r="AO4" s="2648"/>
      <c r="AP4" s="2648"/>
      <c r="AQ4" s="2648"/>
    </row>
    <row r="5" spans="1:52" ht="77.25" thickBot="1">
      <c r="C5" s="76" t="s">
        <v>153</v>
      </c>
      <c r="D5" s="76" t="s">
        <v>3</v>
      </c>
      <c r="E5" s="78" t="s">
        <v>724</v>
      </c>
      <c r="F5" s="2619" t="s">
        <v>155</v>
      </c>
      <c r="G5" s="2619"/>
      <c r="H5" s="78" t="s">
        <v>2040</v>
      </c>
      <c r="I5" s="1339" t="s">
        <v>1269</v>
      </c>
      <c r="J5" s="78" t="s">
        <v>2041</v>
      </c>
      <c r="K5" s="2608" t="s">
        <v>42</v>
      </c>
      <c r="L5" s="2608"/>
      <c r="M5" s="2608" t="s">
        <v>77</v>
      </c>
      <c r="N5" s="2608"/>
      <c r="O5" s="2640" t="s">
        <v>755</v>
      </c>
      <c r="P5" s="2640"/>
      <c r="Q5" s="2640"/>
      <c r="U5" s="1268"/>
      <c r="AF5" s="188"/>
      <c r="AG5" s="188"/>
      <c r="AH5" s="188"/>
      <c r="AI5" s="188"/>
      <c r="AJ5" s="188"/>
      <c r="AS5" s="1299"/>
      <c r="AT5" s="1299"/>
      <c r="AU5" s="1299"/>
      <c r="AX5" s="1301"/>
    </row>
    <row r="6" spans="1:52" ht="21" customHeight="1" thickBot="1">
      <c r="C6" s="80" t="s">
        <v>152</v>
      </c>
      <c r="D6" s="81">
        <v>300</v>
      </c>
      <c r="E6" s="82">
        <v>7</v>
      </c>
      <c r="F6" s="83">
        <f>D6*E6</f>
        <v>2100</v>
      </c>
      <c r="G6" s="98" t="s">
        <v>156</v>
      </c>
      <c r="H6" s="84">
        <f>ROUNDUP(F6/V$6,0)</f>
        <v>27</v>
      </c>
      <c r="I6" s="82">
        <v>9</v>
      </c>
      <c r="J6" s="1341">
        <f>ROUNDUP(IF(I6=0,0,H6/I6),0)</f>
        <v>3</v>
      </c>
      <c r="K6" s="85">
        <f>((F6*F4)/1000)*860</f>
        <v>22575</v>
      </c>
      <c r="L6" s="86" t="s">
        <v>42</v>
      </c>
      <c r="M6" s="99">
        <f>K6/860</f>
        <v>26.25</v>
      </c>
      <c r="N6" s="1481" t="s">
        <v>77</v>
      </c>
      <c r="O6" s="2637">
        <f>IF(P$4=16,0.113*F6,0.133*F6)</f>
        <v>279.3</v>
      </c>
      <c r="P6" s="2638"/>
      <c r="Q6" s="2639"/>
      <c r="R6" s="189">
        <v>0</v>
      </c>
      <c r="S6" s="188"/>
      <c r="V6" s="87">
        <v>80</v>
      </c>
      <c r="W6" s="88" t="s">
        <v>163</v>
      </c>
      <c r="X6" s="1269" t="s">
        <v>1214</v>
      </c>
      <c r="AE6" s="185"/>
      <c r="AF6" s="2584"/>
      <c r="AG6" s="2584"/>
      <c r="AH6" s="2584"/>
      <c r="AI6" s="2584"/>
      <c r="AJ6" s="188"/>
      <c r="AS6" s="1299"/>
      <c r="AT6" s="1299"/>
      <c r="AU6" s="1299"/>
      <c r="AX6" s="1485"/>
      <c r="AY6" s="1486"/>
      <c r="AZ6" s="185"/>
    </row>
    <row r="7" spans="1:52" ht="15.75" thickBot="1">
      <c r="C7" s="80" t="s">
        <v>146</v>
      </c>
      <c r="D7" s="81"/>
      <c r="E7" s="82">
        <v>7</v>
      </c>
      <c r="F7" s="83">
        <f t="shared" ref="F7:F12" si="0">D7*E7</f>
        <v>0</v>
      </c>
      <c r="G7" s="98" t="s">
        <v>156</v>
      </c>
      <c r="H7" s="84">
        <f t="shared" ref="H7:H12" si="1">ROUNDUP(F7/V$6,0)</f>
        <v>0</v>
      </c>
      <c r="I7" s="82">
        <v>10</v>
      </c>
      <c r="J7" s="1341">
        <f t="shared" ref="J7:J12" si="2">ROUNDUP(IF(I7=0,0,H7/I7),0)</f>
        <v>0</v>
      </c>
      <c r="K7" s="85">
        <f>((F7*F4)/1000)*860</f>
        <v>0</v>
      </c>
      <c r="L7" s="86" t="s">
        <v>42</v>
      </c>
      <c r="M7" s="99">
        <f t="shared" ref="M7:M12" si="3">K7/860</f>
        <v>0</v>
      </c>
      <c r="N7" s="1481" t="s">
        <v>77</v>
      </c>
      <c r="O7" s="2641">
        <f t="shared" ref="O7:O12" si="4">IF(P$4=16,0.113*F7,0.133*F7)</f>
        <v>0</v>
      </c>
      <c r="P7" s="2642"/>
      <c r="Q7" s="2643"/>
      <c r="R7" s="189">
        <v>0</v>
      </c>
      <c r="S7" s="188"/>
      <c r="AE7" s="185"/>
      <c r="AF7" s="1333"/>
      <c r="AG7" s="1333"/>
      <c r="AH7" s="1335">
        <v>1</v>
      </c>
      <c r="AI7" s="1336"/>
      <c r="AJ7" s="188"/>
      <c r="AW7" s="540"/>
      <c r="AX7" s="1487"/>
      <c r="AY7" s="185"/>
      <c r="AZ7" s="1338"/>
    </row>
    <row r="8" spans="1:52" ht="15.75" customHeight="1" thickBot="1">
      <c r="C8" s="80" t="s">
        <v>147</v>
      </c>
      <c r="D8" s="81"/>
      <c r="E8" s="82">
        <v>7</v>
      </c>
      <c r="F8" s="83">
        <f t="shared" si="0"/>
        <v>0</v>
      </c>
      <c r="G8" s="98" t="s">
        <v>156</v>
      </c>
      <c r="H8" s="84">
        <f t="shared" si="1"/>
        <v>0</v>
      </c>
      <c r="I8" s="82"/>
      <c r="J8" s="1341">
        <f t="shared" si="2"/>
        <v>0</v>
      </c>
      <c r="K8" s="85">
        <f>((F8*F4)/1000)*860</f>
        <v>0</v>
      </c>
      <c r="L8" s="86" t="s">
        <v>42</v>
      </c>
      <c r="M8" s="99">
        <f t="shared" si="3"/>
        <v>0</v>
      </c>
      <c r="N8" s="1481" t="s">
        <v>77</v>
      </c>
      <c r="O8" s="2641">
        <f t="shared" si="4"/>
        <v>0</v>
      </c>
      <c r="P8" s="2642"/>
      <c r="Q8" s="2643"/>
      <c r="R8" s="189">
        <v>1</v>
      </c>
      <c r="S8" s="2628" t="s">
        <v>754</v>
      </c>
      <c r="T8" s="2629"/>
      <c r="U8" s="2629"/>
      <c r="V8" s="529"/>
      <c r="W8" s="529"/>
      <c r="X8" s="529"/>
      <c r="Y8" s="538" t="s">
        <v>756</v>
      </c>
      <c r="Z8" s="529"/>
      <c r="AA8" s="529"/>
      <c r="AB8" s="530"/>
      <c r="AE8" s="185"/>
      <c r="AF8" s="1333"/>
      <c r="AG8" s="1333"/>
      <c r="AH8" s="2649">
        <v>2</v>
      </c>
      <c r="AI8" s="2649"/>
      <c r="AJ8" s="188"/>
      <c r="AW8" s="540"/>
      <c r="AX8" s="1487"/>
      <c r="AY8" s="185"/>
      <c r="AZ8" s="1338"/>
    </row>
    <row r="9" spans="1:52" ht="15.75" thickBot="1">
      <c r="C9" s="192" t="s">
        <v>148</v>
      </c>
      <c r="D9" s="81"/>
      <c r="E9" s="82">
        <v>7</v>
      </c>
      <c r="F9" s="83">
        <f t="shared" si="0"/>
        <v>0</v>
      </c>
      <c r="G9" s="98" t="s">
        <v>156</v>
      </c>
      <c r="H9" s="84">
        <f t="shared" si="1"/>
        <v>0</v>
      </c>
      <c r="I9" s="82">
        <v>0</v>
      </c>
      <c r="J9" s="1341">
        <f t="shared" si="2"/>
        <v>0</v>
      </c>
      <c r="K9" s="190">
        <f>((F9*F4)/1000)*860</f>
        <v>0</v>
      </c>
      <c r="L9" s="191" t="s">
        <v>42</v>
      </c>
      <c r="M9" s="99">
        <f t="shared" si="3"/>
        <v>0</v>
      </c>
      <c r="N9" s="1481" t="s">
        <v>77</v>
      </c>
      <c r="O9" s="2641">
        <f t="shared" si="4"/>
        <v>0</v>
      </c>
      <c r="P9" s="2642"/>
      <c r="Q9" s="2643"/>
      <c r="R9" s="189">
        <v>2</v>
      </c>
      <c r="S9" s="531"/>
      <c r="T9" s="555">
        <v>100</v>
      </c>
      <c r="U9" s="532" t="s">
        <v>753</v>
      </c>
      <c r="V9" s="188"/>
      <c r="W9" s="188"/>
      <c r="X9" s="188"/>
      <c r="Y9" s="553">
        <f>0.113*T9</f>
        <v>11.3</v>
      </c>
      <c r="Z9" s="534" t="s">
        <v>755</v>
      </c>
      <c r="AA9" s="553">
        <f>Y9/1000</f>
        <v>1.1300000000000001E-2</v>
      </c>
      <c r="AB9" s="541" t="s">
        <v>133</v>
      </c>
      <c r="AC9" s="188"/>
      <c r="AD9" s="188"/>
      <c r="AE9" s="188"/>
      <c r="AF9" s="188"/>
      <c r="AG9" s="188"/>
      <c r="AH9" s="189">
        <v>3</v>
      </c>
      <c r="AI9" s="189"/>
      <c r="AJ9" s="188"/>
      <c r="AW9" s="540"/>
      <c r="AX9" s="1487"/>
      <c r="AY9" s="185"/>
      <c r="AZ9" s="1338"/>
    </row>
    <row r="10" spans="1:52" ht="15.75" thickBot="1">
      <c r="C10" s="192" t="s">
        <v>149</v>
      </c>
      <c r="D10" s="81"/>
      <c r="E10" s="82">
        <v>7</v>
      </c>
      <c r="F10" s="83">
        <f t="shared" si="0"/>
        <v>0</v>
      </c>
      <c r="G10" s="98" t="s">
        <v>156</v>
      </c>
      <c r="H10" s="84">
        <f t="shared" si="1"/>
        <v>0</v>
      </c>
      <c r="I10" s="82">
        <v>0</v>
      </c>
      <c r="J10" s="1341">
        <f t="shared" si="2"/>
        <v>0</v>
      </c>
      <c r="K10" s="190">
        <f>((F10*F4)/1000)*860</f>
        <v>0</v>
      </c>
      <c r="L10" s="191" t="s">
        <v>42</v>
      </c>
      <c r="M10" s="99">
        <f t="shared" si="3"/>
        <v>0</v>
      </c>
      <c r="N10" s="1481" t="s">
        <v>77</v>
      </c>
      <c r="O10" s="2641">
        <f t="shared" si="4"/>
        <v>0</v>
      </c>
      <c r="P10" s="2642"/>
      <c r="Q10" s="2643"/>
      <c r="R10" s="189">
        <v>3</v>
      </c>
      <c r="S10" s="531"/>
      <c r="T10" s="555">
        <v>1200</v>
      </c>
      <c r="U10" s="534" t="s">
        <v>752</v>
      </c>
      <c r="V10" s="188"/>
      <c r="W10" s="188"/>
      <c r="X10" s="188"/>
      <c r="Y10" s="553">
        <f>T10*0.133</f>
        <v>159.60000000000002</v>
      </c>
      <c r="Z10" s="534" t="s">
        <v>755</v>
      </c>
      <c r="AA10" s="553">
        <f>Y10/1000</f>
        <v>0.15960000000000002</v>
      </c>
      <c r="AB10" s="541" t="s">
        <v>133</v>
      </c>
      <c r="AC10" s="188"/>
      <c r="AD10" s="188"/>
      <c r="AE10" s="188"/>
      <c r="AF10" s="188"/>
      <c r="AG10" s="188"/>
      <c r="AH10" s="189">
        <v>4</v>
      </c>
      <c r="AI10" s="189"/>
      <c r="AJ10" s="188"/>
      <c r="AW10" s="540"/>
      <c r="AX10" s="1487"/>
      <c r="AY10" s="185"/>
      <c r="AZ10" s="1338"/>
    </row>
    <row r="11" spans="1:52" ht="15.75" thickBot="1">
      <c r="C11" s="80" t="s">
        <v>150</v>
      </c>
      <c r="D11" s="81"/>
      <c r="E11" s="82"/>
      <c r="F11" s="83">
        <f t="shared" si="0"/>
        <v>0</v>
      </c>
      <c r="G11" s="98" t="s">
        <v>156</v>
      </c>
      <c r="H11" s="84">
        <f t="shared" si="1"/>
        <v>0</v>
      </c>
      <c r="I11" s="82">
        <v>0</v>
      </c>
      <c r="J11" s="1341">
        <f t="shared" si="2"/>
        <v>0</v>
      </c>
      <c r="K11" s="85">
        <f>((F11*F4)/1000)*860</f>
        <v>0</v>
      </c>
      <c r="L11" s="86" t="s">
        <v>42</v>
      </c>
      <c r="M11" s="99">
        <f t="shared" si="3"/>
        <v>0</v>
      </c>
      <c r="N11" s="1481" t="s">
        <v>77</v>
      </c>
      <c r="O11" s="2641">
        <f t="shared" si="4"/>
        <v>0</v>
      </c>
      <c r="P11" s="2642"/>
      <c r="Q11" s="2643"/>
      <c r="R11" s="189">
        <v>4</v>
      </c>
      <c r="S11" s="531"/>
      <c r="T11" s="188"/>
      <c r="U11" s="188"/>
      <c r="V11" s="188"/>
      <c r="W11" s="188"/>
      <c r="X11" s="188"/>
      <c r="Y11" s="188"/>
      <c r="Z11" s="188"/>
      <c r="AA11" s="188"/>
      <c r="AB11" s="533"/>
      <c r="AC11" s="188"/>
      <c r="AD11" s="188"/>
      <c r="AE11" s="188"/>
      <c r="AF11" s="188"/>
      <c r="AG11" s="188"/>
      <c r="AH11" s="189">
        <v>5</v>
      </c>
      <c r="AI11" s="189"/>
      <c r="AJ11" s="188"/>
    </row>
    <row r="12" spans="1:52" ht="15.75" thickBot="1">
      <c r="C12" s="80" t="s">
        <v>151</v>
      </c>
      <c r="D12" s="704"/>
      <c r="E12" s="82"/>
      <c r="F12" s="83">
        <f t="shared" si="0"/>
        <v>0</v>
      </c>
      <c r="G12" s="98" t="s">
        <v>156</v>
      </c>
      <c r="H12" s="84">
        <f t="shared" si="1"/>
        <v>0</v>
      </c>
      <c r="I12" s="82">
        <v>0</v>
      </c>
      <c r="J12" s="1341">
        <f t="shared" si="2"/>
        <v>0</v>
      </c>
      <c r="K12" s="85">
        <f>((F12*F4)/1000)*860</f>
        <v>0</v>
      </c>
      <c r="L12" s="86" t="s">
        <v>42</v>
      </c>
      <c r="M12" s="99">
        <f t="shared" si="3"/>
        <v>0</v>
      </c>
      <c r="N12" s="1481" t="s">
        <v>77</v>
      </c>
      <c r="O12" s="2644">
        <f t="shared" si="4"/>
        <v>0</v>
      </c>
      <c r="P12" s="2645"/>
      <c r="Q12" s="2646"/>
      <c r="R12" s="189">
        <v>5</v>
      </c>
      <c r="S12" s="528"/>
      <c r="T12" s="529"/>
      <c r="U12" s="529"/>
      <c r="V12" s="529"/>
      <c r="W12" s="529"/>
      <c r="X12" s="529"/>
      <c r="Y12" s="529"/>
      <c r="Z12" s="529"/>
      <c r="AA12" s="529"/>
      <c r="AB12" s="529"/>
      <c r="AC12" s="529"/>
      <c r="AD12" s="529"/>
      <c r="AE12" s="530"/>
      <c r="AF12" s="188"/>
      <c r="AG12" s="188"/>
      <c r="AH12" s="189">
        <v>6</v>
      </c>
      <c r="AI12" s="189"/>
      <c r="AJ12" s="188"/>
    </row>
    <row r="13" spans="1:52" ht="16.5" thickBot="1">
      <c r="C13" s="703" t="s">
        <v>57</v>
      </c>
      <c r="D13" s="711">
        <f>SUM(D6:D12)</f>
        <v>300</v>
      </c>
      <c r="E13" s="89"/>
      <c r="F13" s="358">
        <f>SUM(F6:F12)</f>
        <v>2100</v>
      </c>
      <c r="G13" s="706" t="s">
        <v>156</v>
      </c>
      <c r="H13" s="707">
        <f>ROUNDUP(SUM(H6:H12),0)</f>
        <v>27</v>
      </c>
      <c r="I13" s="708">
        <f>SUM(I6:I12)</f>
        <v>19</v>
      </c>
      <c r="J13" s="707">
        <f>ROUNDUP(SUM(J6:J12),0)</f>
        <v>3</v>
      </c>
      <c r="K13" s="709">
        <f>SUM(K6:K12)</f>
        <v>22575</v>
      </c>
      <c r="L13" s="701" t="s">
        <v>42</v>
      </c>
      <c r="M13" s="702">
        <f>SUM(M6:M12)</f>
        <v>26.25</v>
      </c>
      <c r="N13" s="706" t="s">
        <v>77</v>
      </c>
      <c r="O13" s="2634">
        <f>SUM(O6:O12)</f>
        <v>279.3</v>
      </c>
      <c r="P13" s="2635"/>
      <c r="Q13" s="2636"/>
      <c r="R13" s="189">
        <v>6</v>
      </c>
      <c r="S13" s="531"/>
      <c r="T13" s="532" t="s">
        <v>757</v>
      </c>
      <c r="U13" s="188"/>
      <c r="V13" s="548">
        <v>300</v>
      </c>
      <c r="W13" s="542" t="s">
        <v>3</v>
      </c>
      <c r="X13" s="188"/>
      <c r="Y13" s="539" t="s">
        <v>759</v>
      </c>
      <c r="Z13" s="549">
        <f>V13*(V14/100)</f>
        <v>15</v>
      </c>
      <c r="AA13" s="540" t="s">
        <v>133</v>
      </c>
      <c r="AB13" s="542" t="s">
        <v>764</v>
      </c>
      <c r="AC13" s="549">
        <f>Z13*3</f>
        <v>45</v>
      </c>
      <c r="AD13" s="540" t="s">
        <v>766</v>
      </c>
      <c r="AE13" s="533"/>
      <c r="AF13" s="188"/>
      <c r="AG13" s="188"/>
      <c r="AH13" s="189">
        <v>7</v>
      </c>
      <c r="AI13" s="189"/>
      <c r="AJ13" s="188"/>
    </row>
    <row r="14" spans="1:52" ht="15.75" thickBot="1">
      <c r="C14" s="89"/>
      <c r="D14" s="705" t="s">
        <v>781</v>
      </c>
      <c r="E14" s="90"/>
      <c r="F14" s="89"/>
      <c r="H14" s="705" t="s">
        <v>819</v>
      </c>
      <c r="I14" s="90"/>
      <c r="J14" s="710" t="s">
        <v>2042</v>
      </c>
      <c r="K14" s="93"/>
      <c r="M14" s="94"/>
      <c r="R14" s="189">
        <v>7</v>
      </c>
      <c r="S14" s="531"/>
      <c r="T14" s="2630" t="s">
        <v>758</v>
      </c>
      <c r="U14" s="2630"/>
      <c r="V14" s="548">
        <v>5</v>
      </c>
      <c r="W14" s="534" t="s">
        <v>255</v>
      </c>
      <c r="X14" s="188"/>
      <c r="Y14" s="188"/>
      <c r="Z14" s="188"/>
      <c r="AA14" s="188"/>
      <c r="AB14" s="188"/>
      <c r="AC14" s="188"/>
      <c r="AD14" s="188"/>
      <c r="AE14" s="533"/>
      <c r="AF14" s="188"/>
      <c r="AG14" s="188"/>
      <c r="AH14" s="189">
        <v>8</v>
      </c>
      <c r="AI14" s="189"/>
      <c r="AJ14" s="188"/>
    </row>
    <row r="15" spans="1:52" ht="15.75" thickBot="1">
      <c r="C15" s="89"/>
      <c r="D15" s="90"/>
      <c r="E15" s="90"/>
      <c r="F15" s="89"/>
      <c r="H15" s="90"/>
      <c r="I15" s="90"/>
      <c r="J15" s="92"/>
      <c r="K15" s="93"/>
      <c r="M15" s="94"/>
      <c r="R15" s="189"/>
      <c r="S15" s="535"/>
      <c r="T15" s="554"/>
      <c r="U15" s="554"/>
      <c r="V15" s="552"/>
      <c r="W15" s="552"/>
      <c r="X15" s="536"/>
      <c r="Y15" s="536"/>
      <c r="Z15" s="536"/>
      <c r="AA15" s="536"/>
      <c r="AB15" s="536"/>
      <c r="AC15" s="536"/>
      <c r="AD15" s="536"/>
      <c r="AE15" s="537"/>
      <c r="AF15" s="188"/>
      <c r="AG15" s="188"/>
      <c r="AH15" s="189">
        <v>9</v>
      </c>
      <c r="AI15" s="189"/>
      <c r="AJ15" s="188"/>
    </row>
    <row r="16" spans="1:52" ht="16.5" thickBot="1">
      <c r="C16" s="2605" t="s">
        <v>57</v>
      </c>
      <c r="D16" s="2606"/>
      <c r="E16" s="2606"/>
      <c r="F16" s="718"/>
      <c r="G16" s="95"/>
      <c r="H16" s="2601" t="s">
        <v>2043</v>
      </c>
      <c r="I16" s="2603" t="s">
        <v>820</v>
      </c>
      <c r="J16" s="719"/>
      <c r="K16" s="720"/>
      <c r="L16" s="95"/>
      <c r="M16" s="721"/>
      <c r="N16" s="95"/>
      <c r="O16" s="96"/>
      <c r="R16" s="189"/>
      <c r="S16" s="188"/>
      <c r="T16" s="851"/>
      <c r="U16" s="851"/>
      <c r="V16" s="534"/>
      <c r="W16" s="534"/>
      <c r="X16" s="188"/>
      <c r="Y16" s="188"/>
      <c r="Z16" s="188"/>
      <c r="AA16" s="188"/>
      <c r="AB16" s="2654" t="s">
        <v>770</v>
      </c>
      <c r="AC16" s="2654"/>
      <c r="AD16" s="2654"/>
      <c r="AE16" s="2654"/>
      <c r="AF16" s="188"/>
      <c r="AG16" s="188"/>
      <c r="AH16" s="189">
        <v>10</v>
      </c>
      <c r="AI16" s="189"/>
      <c r="AJ16" s="188"/>
    </row>
    <row r="17" spans="3:55" ht="29.25" customHeight="1" thickBot="1">
      <c r="C17" s="101"/>
      <c r="D17" s="850" t="s">
        <v>3</v>
      </c>
      <c r="F17" s="2607" t="s">
        <v>159</v>
      </c>
      <c r="G17" s="2607"/>
      <c r="H17" s="2602"/>
      <c r="I17" s="2604"/>
      <c r="J17" s="79" t="s">
        <v>2044</v>
      </c>
      <c r="K17" s="2600" t="s">
        <v>162</v>
      </c>
      <c r="L17" s="2600"/>
      <c r="M17" s="2600" t="s">
        <v>161</v>
      </c>
      <c r="N17" s="2600"/>
      <c r="O17" s="100"/>
      <c r="R17" s="545">
        <v>8</v>
      </c>
      <c r="S17" s="529"/>
      <c r="T17" s="529"/>
      <c r="U17" s="529"/>
      <c r="V17" s="529"/>
      <c r="W17" s="530"/>
      <c r="X17" s="528"/>
      <c r="Y17" s="529"/>
      <c r="Z17" s="543" t="s">
        <v>760</v>
      </c>
      <c r="AA17" s="529"/>
      <c r="AB17" s="528"/>
      <c r="AC17" s="529"/>
      <c r="AD17" s="550">
        <f>Z13</f>
        <v>15</v>
      </c>
      <c r="AE17" s="551" t="s">
        <v>769</v>
      </c>
      <c r="AF17" s="188"/>
      <c r="AG17" s="188"/>
      <c r="AH17" s="189">
        <v>11</v>
      </c>
      <c r="AI17" s="189"/>
      <c r="AJ17" s="188"/>
    </row>
    <row r="18" spans="3:55" ht="15.75" thickBot="1">
      <c r="C18" s="97" t="s">
        <v>157</v>
      </c>
      <c r="D18" s="712">
        <f>SUM(D6:D12)</f>
        <v>300</v>
      </c>
      <c r="F18" s="713">
        <f>SUM(F6:F12)</f>
        <v>2100</v>
      </c>
      <c r="G18" s="713" t="s">
        <v>156</v>
      </c>
      <c r="H18" s="722">
        <f>H13</f>
        <v>27</v>
      </c>
      <c r="I18" s="722">
        <f>I13</f>
        <v>19</v>
      </c>
      <c r="J18" s="714">
        <f>SUM(J6:J12)</f>
        <v>3</v>
      </c>
      <c r="K18" s="715">
        <f>SUM(K6:K12)</f>
        <v>22575</v>
      </c>
      <c r="L18" s="716" t="s">
        <v>42</v>
      </c>
      <c r="M18" s="717">
        <f>SUM(M6:M12)</f>
        <v>26.25</v>
      </c>
      <c r="N18" s="713" t="s">
        <v>77</v>
      </c>
      <c r="O18" s="100"/>
      <c r="R18" s="546" t="s">
        <v>761</v>
      </c>
      <c r="S18" s="548">
        <v>250</v>
      </c>
      <c r="T18" s="534" t="s">
        <v>765</v>
      </c>
      <c r="U18" s="542" t="s">
        <v>762</v>
      </c>
      <c r="V18" s="548">
        <v>50</v>
      </c>
      <c r="W18" s="541" t="s">
        <v>765</v>
      </c>
      <c r="X18" s="531"/>
      <c r="Y18" s="542" t="s">
        <v>761</v>
      </c>
      <c r="Z18" s="534">
        <v>1500</v>
      </c>
      <c r="AA18" s="534" t="s">
        <v>765</v>
      </c>
      <c r="AB18" s="531"/>
      <c r="AC18" s="542" t="s">
        <v>761</v>
      </c>
      <c r="AD18" s="534">
        <f>AD17*1500</f>
        <v>22500</v>
      </c>
      <c r="AE18" s="541" t="s">
        <v>765</v>
      </c>
      <c r="AF18" s="188"/>
      <c r="AG18" s="188"/>
      <c r="AH18" s="189">
        <v>12</v>
      </c>
      <c r="AI18" s="189"/>
      <c r="AJ18" s="188"/>
    </row>
    <row r="19" spans="3:55">
      <c r="C19" s="101"/>
      <c r="O19" s="100"/>
      <c r="R19" s="546" t="s">
        <v>762</v>
      </c>
      <c r="S19" s="534">
        <f>S18/5</f>
        <v>50</v>
      </c>
      <c r="T19" s="534" t="s">
        <v>765</v>
      </c>
      <c r="U19" s="542" t="s">
        <v>761</v>
      </c>
      <c r="V19" s="534">
        <f>V18*5</f>
        <v>250</v>
      </c>
      <c r="W19" s="541" t="s">
        <v>765</v>
      </c>
      <c r="X19" s="531"/>
      <c r="Y19" s="542" t="s">
        <v>762</v>
      </c>
      <c r="Z19" s="534">
        <v>300</v>
      </c>
      <c r="AA19" s="534" t="s">
        <v>765</v>
      </c>
      <c r="AB19" s="531"/>
      <c r="AC19" s="542" t="s">
        <v>762</v>
      </c>
      <c r="AD19" s="534">
        <f>AD17*300</f>
        <v>4500</v>
      </c>
      <c r="AE19" s="541" t="s">
        <v>765</v>
      </c>
      <c r="AF19" s="188"/>
      <c r="AG19" s="188"/>
      <c r="AH19" s="189">
        <v>13</v>
      </c>
      <c r="AI19" s="189"/>
      <c r="AJ19" s="188"/>
    </row>
    <row r="20" spans="3:55" ht="15.75" thickBot="1">
      <c r="C20" s="102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4"/>
      <c r="R20" s="546" t="s">
        <v>763</v>
      </c>
      <c r="S20" s="544">
        <f>S18/13.9</f>
        <v>17.985611510791365</v>
      </c>
      <c r="T20" s="534" t="s">
        <v>766</v>
      </c>
      <c r="U20" s="542" t="s">
        <v>763</v>
      </c>
      <c r="V20" s="544">
        <f>V19/13.9</f>
        <v>17.985611510791365</v>
      </c>
      <c r="W20" s="541" t="s">
        <v>766</v>
      </c>
      <c r="X20" s="531"/>
      <c r="Y20" s="542" t="s">
        <v>763</v>
      </c>
      <c r="Z20" s="534">
        <v>108</v>
      </c>
      <c r="AA20" s="534" t="s">
        <v>766</v>
      </c>
      <c r="AB20" s="531"/>
      <c r="AC20" s="542" t="s">
        <v>763</v>
      </c>
      <c r="AD20" s="534">
        <f>AD17*108</f>
        <v>1620</v>
      </c>
      <c r="AE20" s="541" t="s">
        <v>766</v>
      </c>
      <c r="AF20" s="188"/>
      <c r="AG20" s="188"/>
      <c r="AH20" s="189">
        <v>14</v>
      </c>
      <c r="AI20" s="189"/>
      <c r="AJ20" s="188"/>
    </row>
    <row r="21" spans="3:55" ht="15.75" thickBot="1">
      <c r="R21" s="546" t="s">
        <v>764</v>
      </c>
      <c r="S21" s="534">
        <f>S18/500</f>
        <v>0.5</v>
      </c>
      <c r="T21" s="534" t="s">
        <v>766</v>
      </c>
      <c r="U21" s="542" t="s">
        <v>764</v>
      </c>
      <c r="V21" s="547">
        <f>V19/500</f>
        <v>0.5</v>
      </c>
      <c r="W21" s="541" t="s">
        <v>766</v>
      </c>
      <c r="X21" s="531"/>
      <c r="Y21" s="542" t="s">
        <v>764</v>
      </c>
      <c r="Z21" s="534">
        <v>3</v>
      </c>
      <c r="AA21" s="534" t="s">
        <v>766</v>
      </c>
      <c r="AB21" s="531"/>
      <c r="AC21" s="542" t="s">
        <v>764</v>
      </c>
      <c r="AD21" s="534">
        <f>AD17*3</f>
        <v>45</v>
      </c>
      <c r="AE21" s="541" t="s">
        <v>766</v>
      </c>
      <c r="AF21" s="188"/>
      <c r="AG21" s="188"/>
      <c r="AH21" s="188"/>
      <c r="AI21" s="188"/>
      <c r="AJ21" s="188"/>
    </row>
    <row r="22" spans="3:55" ht="36.75" customHeight="1" thickBot="1">
      <c r="C22" s="2609" t="s">
        <v>164</v>
      </c>
      <c r="D22" s="2610"/>
      <c r="E22" s="95"/>
      <c r="F22" s="2620" t="s">
        <v>1388</v>
      </c>
      <c r="G22" s="2620"/>
      <c r="H22" s="2611" t="s">
        <v>42</v>
      </c>
      <c r="I22" s="2611"/>
      <c r="J22" s="2611" t="s">
        <v>77</v>
      </c>
      <c r="K22" s="2611"/>
      <c r="L22" s="2624" t="s">
        <v>755</v>
      </c>
      <c r="M22" s="2624"/>
      <c r="N22" s="2624"/>
      <c r="O22" s="2615"/>
      <c r="P22" s="2616"/>
      <c r="R22" s="535"/>
      <c r="S22" s="536"/>
      <c r="T22" s="536"/>
      <c r="U22" s="536"/>
      <c r="V22" s="536"/>
      <c r="W22" s="537"/>
      <c r="X22" s="535"/>
      <c r="Y22" s="536"/>
      <c r="Z22" s="536"/>
      <c r="AA22" s="536"/>
      <c r="AB22" s="535"/>
      <c r="AC22" s="536"/>
      <c r="AD22" s="536"/>
      <c r="AE22" s="537"/>
      <c r="AF22" s="1338"/>
      <c r="AG22" s="1333"/>
      <c r="AH22" s="1333"/>
      <c r="AI22" s="1333"/>
      <c r="AJ22" s="1334"/>
    </row>
    <row r="23" spans="3:55" ht="15.75" thickBot="1">
      <c r="C23" s="101"/>
      <c r="F23" s="87">
        <v>1000</v>
      </c>
      <c r="G23" s="88" t="s">
        <v>156</v>
      </c>
      <c r="H23" s="85">
        <f>((F23*F4)/1000)*860</f>
        <v>10750</v>
      </c>
      <c r="I23" s="86" t="s">
        <v>42</v>
      </c>
      <c r="J23" s="99">
        <f>H23/860</f>
        <v>12.5</v>
      </c>
      <c r="K23" s="98" t="s">
        <v>77</v>
      </c>
      <c r="L23" s="2621">
        <f>IF(P$4=16,0.113*F23,0.133*F23)</f>
        <v>133</v>
      </c>
      <c r="M23" s="2622"/>
      <c r="N23" s="2623"/>
      <c r="O23" s="2617"/>
      <c r="P23" s="261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338"/>
      <c r="AG23" s="1333"/>
      <c r="AH23" s="1333"/>
      <c r="AI23" s="1333"/>
      <c r="AJ23" s="1337"/>
    </row>
    <row r="24" spans="3:55">
      <c r="C24" s="101"/>
      <c r="L24" s="185"/>
      <c r="M24" s="185"/>
      <c r="N24" s="185"/>
      <c r="O24" s="2617"/>
      <c r="P24" s="2618"/>
      <c r="R24" s="542" t="s">
        <v>767</v>
      </c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338"/>
      <c r="AG24" s="1333"/>
      <c r="AH24" s="1333"/>
      <c r="AI24" s="2647"/>
      <c r="AJ24" s="2647"/>
    </row>
    <row r="25" spans="3:55" ht="17.25" customHeight="1" thickBot="1">
      <c r="C25" s="101"/>
      <c r="O25" s="2617"/>
      <c r="P25" s="2618"/>
      <c r="R25" s="542" t="s">
        <v>768</v>
      </c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</row>
    <row r="26" spans="3:55" ht="39" customHeight="1" thickBot="1">
      <c r="C26" s="101"/>
      <c r="F26" s="2613" t="s">
        <v>2045</v>
      </c>
      <c r="G26" s="2614"/>
      <c r="H26" s="2612" t="s">
        <v>783</v>
      </c>
      <c r="I26" s="2612"/>
      <c r="J26" s="2619" t="s">
        <v>2046</v>
      </c>
      <c r="K26" s="2619"/>
      <c r="L26" s="2608" t="s">
        <v>42</v>
      </c>
      <c r="M26" s="2608"/>
      <c r="N26" s="2608" t="s">
        <v>77</v>
      </c>
      <c r="O26" s="2608"/>
      <c r="P26" s="556"/>
      <c r="R26" s="562"/>
      <c r="S26" s="568"/>
      <c r="T26" s="568" t="s">
        <v>777</v>
      </c>
      <c r="U26" s="529"/>
      <c r="V26" s="529"/>
      <c r="W26" s="529"/>
      <c r="X26" s="529"/>
      <c r="Y26" s="2655"/>
      <c r="Z26" s="2655"/>
      <c r="AA26" s="2655"/>
      <c r="AB26" s="529"/>
      <c r="AC26" s="529"/>
      <c r="AD26" s="529"/>
      <c r="AE26" s="529"/>
      <c r="AF26" s="95"/>
      <c r="AG26" s="95"/>
      <c r="AH26" s="95"/>
      <c r="AI26" s="96"/>
    </row>
    <row r="27" spans="3:55" ht="13.5" customHeight="1" thickBot="1">
      <c r="C27" s="101"/>
      <c r="E27" s="89" t="s">
        <v>771</v>
      </c>
      <c r="F27" s="2588">
        <v>9</v>
      </c>
      <c r="G27" s="2589"/>
      <c r="H27" s="187">
        <v>80</v>
      </c>
      <c r="I27" s="88" t="s">
        <v>163</v>
      </c>
      <c r="J27" s="85">
        <f t="shared" ref="J27:J32" si="5">F27*H27</f>
        <v>720</v>
      </c>
      <c r="K27" s="86" t="s">
        <v>163</v>
      </c>
      <c r="L27" s="190">
        <f t="shared" ref="L27:L32" si="6">N27*860</f>
        <v>7740</v>
      </c>
      <c r="M27" s="191" t="s">
        <v>42</v>
      </c>
      <c r="N27" s="99">
        <f t="shared" ref="N27:N32" si="7">(J27*F$4)/1000</f>
        <v>9</v>
      </c>
      <c r="O27" s="98" t="s">
        <v>77</v>
      </c>
      <c r="P27" s="186"/>
      <c r="R27" s="531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2656" t="s">
        <v>786</v>
      </c>
      <c r="AF27" s="2657"/>
      <c r="AG27" s="2657"/>
      <c r="AH27" s="577">
        <v>8</v>
      </c>
      <c r="AI27" s="1330" t="s">
        <v>156</v>
      </c>
    </row>
    <row r="28" spans="3:55" ht="13.5" customHeight="1" thickBot="1">
      <c r="C28" s="101"/>
      <c r="E28" s="89" t="s">
        <v>772</v>
      </c>
      <c r="F28" s="2588">
        <v>9</v>
      </c>
      <c r="G28" s="2589"/>
      <c r="H28" s="187">
        <v>80</v>
      </c>
      <c r="I28" s="88" t="s">
        <v>163</v>
      </c>
      <c r="J28" s="85">
        <f t="shared" si="5"/>
        <v>720</v>
      </c>
      <c r="K28" s="86" t="s">
        <v>163</v>
      </c>
      <c r="L28" s="190">
        <f t="shared" si="6"/>
        <v>7740</v>
      </c>
      <c r="M28" s="191" t="s">
        <v>42</v>
      </c>
      <c r="N28" s="99">
        <f t="shared" si="7"/>
        <v>9</v>
      </c>
      <c r="O28" s="98" t="s">
        <v>77</v>
      </c>
      <c r="P28" s="186"/>
      <c r="R28" s="531"/>
      <c r="S28" s="563"/>
      <c r="T28" s="563"/>
      <c r="U28" s="2590" t="s">
        <v>778</v>
      </c>
      <c r="V28" s="2590"/>
      <c r="W28" s="2590"/>
      <c r="X28" s="188"/>
      <c r="Y28" s="2590" t="s">
        <v>779</v>
      </c>
      <c r="Z28" s="2590"/>
      <c r="AA28" s="2590"/>
      <c r="AB28" s="188"/>
      <c r="AC28" s="564" t="s">
        <v>780</v>
      </c>
      <c r="AD28" s="188"/>
      <c r="AE28" s="188"/>
      <c r="AF28" s="565" t="s">
        <v>782</v>
      </c>
      <c r="AH28" s="566" t="s">
        <v>77</v>
      </c>
      <c r="AI28" s="100"/>
    </row>
    <row r="29" spans="3:55" ht="13.5" customHeight="1" thickBot="1">
      <c r="C29" s="101"/>
      <c r="E29" s="89" t="s">
        <v>773</v>
      </c>
      <c r="F29" s="2588">
        <v>10</v>
      </c>
      <c r="G29" s="2589"/>
      <c r="H29" s="187">
        <v>80</v>
      </c>
      <c r="I29" s="88" t="s">
        <v>163</v>
      </c>
      <c r="J29" s="85">
        <f t="shared" si="5"/>
        <v>800</v>
      </c>
      <c r="K29" s="86" t="s">
        <v>163</v>
      </c>
      <c r="L29" s="190">
        <f t="shared" si="6"/>
        <v>8600</v>
      </c>
      <c r="M29" s="191" t="s">
        <v>42</v>
      </c>
      <c r="N29" s="99">
        <f t="shared" si="7"/>
        <v>10</v>
      </c>
      <c r="O29" s="98" t="s">
        <v>77</v>
      </c>
      <c r="P29" s="186"/>
      <c r="R29" s="531"/>
      <c r="S29" s="188" t="s">
        <v>771</v>
      </c>
      <c r="T29" s="576">
        <v>3</v>
      </c>
      <c r="U29" s="561" t="s">
        <v>163</v>
      </c>
      <c r="V29" s="574">
        <v>4.51</v>
      </c>
      <c r="W29" s="561" t="s">
        <v>163</v>
      </c>
      <c r="X29" s="188"/>
      <c r="Y29" s="560"/>
      <c r="Z29" s="571">
        <f>T29*V29</f>
        <v>13.53</v>
      </c>
      <c r="AA29" s="561" t="s">
        <v>781</v>
      </c>
      <c r="AB29" s="188"/>
      <c r="AC29" s="574">
        <v>10.53</v>
      </c>
      <c r="AD29" s="561" t="s">
        <v>781</v>
      </c>
      <c r="AE29" s="188"/>
      <c r="AF29" s="575">
        <f>(Z33+AC29)*AH27</f>
        <v>461.28000000000003</v>
      </c>
      <c r="AG29" s="567" t="s">
        <v>163</v>
      </c>
      <c r="AH29" s="575">
        <f>(AF29*F4)/1000</f>
        <v>5.766</v>
      </c>
      <c r="AI29" s="100"/>
    </row>
    <row r="30" spans="3:55" ht="13.5" customHeight="1" thickBot="1">
      <c r="C30" s="101"/>
      <c r="E30" s="89" t="s">
        <v>774</v>
      </c>
      <c r="F30" s="2588"/>
      <c r="G30" s="2589"/>
      <c r="H30" s="187">
        <v>80</v>
      </c>
      <c r="I30" s="88" t="s">
        <v>163</v>
      </c>
      <c r="J30" s="85">
        <f t="shared" si="5"/>
        <v>0</v>
      </c>
      <c r="K30" s="86" t="s">
        <v>163</v>
      </c>
      <c r="L30" s="190">
        <f t="shared" si="6"/>
        <v>0</v>
      </c>
      <c r="M30" s="191" t="s">
        <v>42</v>
      </c>
      <c r="N30" s="99">
        <f t="shared" si="7"/>
        <v>0</v>
      </c>
      <c r="O30" s="98" t="s">
        <v>77</v>
      </c>
      <c r="P30" s="186"/>
      <c r="R30" s="531"/>
      <c r="S30" s="188" t="s">
        <v>772</v>
      </c>
      <c r="T30" s="574">
        <v>3</v>
      </c>
      <c r="U30" s="561" t="s">
        <v>163</v>
      </c>
      <c r="V30" s="574">
        <v>4.51</v>
      </c>
      <c r="W30" s="561" t="s">
        <v>163</v>
      </c>
      <c r="X30" s="188"/>
      <c r="Y30" s="560"/>
      <c r="Z30" s="571">
        <f>T30*V30</f>
        <v>13.53</v>
      </c>
      <c r="AA30" s="561" t="s">
        <v>781</v>
      </c>
      <c r="AB30" s="188"/>
      <c r="AC30" s="188"/>
      <c r="AD30" s="188"/>
      <c r="AE30" s="188"/>
      <c r="AI30" s="100"/>
    </row>
    <row r="31" spans="3:55" ht="13.5" customHeight="1" thickBot="1">
      <c r="C31" s="531"/>
      <c r="D31" s="188"/>
      <c r="E31" s="89" t="s">
        <v>775</v>
      </c>
      <c r="F31" s="2588"/>
      <c r="G31" s="2589"/>
      <c r="H31" s="187">
        <v>80</v>
      </c>
      <c r="I31" s="88" t="s">
        <v>163</v>
      </c>
      <c r="J31" s="85">
        <f t="shared" si="5"/>
        <v>0</v>
      </c>
      <c r="K31" s="86" t="s">
        <v>163</v>
      </c>
      <c r="L31" s="190">
        <f t="shared" si="6"/>
        <v>0</v>
      </c>
      <c r="M31" s="191" t="s">
        <v>42</v>
      </c>
      <c r="N31" s="99">
        <f t="shared" si="7"/>
        <v>0</v>
      </c>
      <c r="O31" s="98" t="s">
        <v>77</v>
      </c>
      <c r="P31" s="533"/>
      <c r="Q31" s="188"/>
      <c r="R31" s="531"/>
      <c r="S31" s="188" t="s">
        <v>773</v>
      </c>
      <c r="T31" s="574">
        <v>3</v>
      </c>
      <c r="U31" s="561" t="s">
        <v>163</v>
      </c>
      <c r="V31" s="574">
        <v>4.2300000000000004</v>
      </c>
      <c r="W31" s="561" t="s">
        <v>163</v>
      </c>
      <c r="X31" s="188"/>
      <c r="Y31" s="560"/>
      <c r="Z31" s="571">
        <f>T31*V31</f>
        <v>12.690000000000001</v>
      </c>
      <c r="AA31" s="561" t="s">
        <v>781</v>
      </c>
      <c r="AB31" s="188"/>
      <c r="AC31" s="188"/>
      <c r="AD31" s="188"/>
      <c r="AE31" s="188"/>
      <c r="AF31" s="564" t="s">
        <v>2049</v>
      </c>
      <c r="AG31" s="188"/>
      <c r="AH31" s="188"/>
      <c r="AI31" s="533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188"/>
      <c r="AU31" s="188"/>
      <c r="AV31" s="188"/>
      <c r="AW31" s="188"/>
      <c r="AX31" s="188"/>
      <c r="AY31" s="188"/>
      <c r="AZ31" s="188"/>
      <c r="BA31" s="188"/>
      <c r="BB31" s="188"/>
      <c r="BC31" s="188"/>
    </row>
    <row r="32" spans="3:55" ht="13.5" customHeight="1" thickBot="1">
      <c r="C32" s="531"/>
      <c r="D32" s="188"/>
      <c r="E32" s="89" t="s">
        <v>776</v>
      </c>
      <c r="F32" s="2588"/>
      <c r="G32" s="2589"/>
      <c r="H32" s="187">
        <v>80</v>
      </c>
      <c r="I32" s="88" t="s">
        <v>163</v>
      </c>
      <c r="J32" s="85">
        <f t="shared" si="5"/>
        <v>0</v>
      </c>
      <c r="K32" s="86" t="s">
        <v>163</v>
      </c>
      <c r="L32" s="190">
        <f t="shared" si="6"/>
        <v>0</v>
      </c>
      <c r="M32" s="191" t="s">
        <v>42</v>
      </c>
      <c r="N32" s="99">
        <f t="shared" si="7"/>
        <v>0</v>
      </c>
      <c r="O32" s="98" t="s">
        <v>77</v>
      </c>
      <c r="P32" s="533"/>
      <c r="Q32" s="188"/>
      <c r="R32" s="531"/>
      <c r="S32" s="188" t="s">
        <v>774</v>
      </c>
      <c r="T32" s="574">
        <v>3</v>
      </c>
      <c r="U32" s="561" t="s">
        <v>163</v>
      </c>
      <c r="V32" s="574">
        <v>2.46</v>
      </c>
      <c r="W32" s="561" t="s">
        <v>163</v>
      </c>
      <c r="X32" s="188"/>
      <c r="Y32" s="569"/>
      <c r="Z32" s="572">
        <f>T32*V32</f>
        <v>7.38</v>
      </c>
      <c r="AA32" s="570" t="s">
        <v>781</v>
      </c>
      <c r="AB32" s="188"/>
      <c r="AC32" s="188"/>
      <c r="AD32" s="188"/>
      <c r="AE32" s="188"/>
      <c r="AF32" s="1345">
        <f>ROUNDUP( AF29/V6,0)</f>
        <v>6</v>
      </c>
      <c r="AG32" s="1346" t="s">
        <v>443</v>
      </c>
      <c r="AH32" s="188"/>
      <c r="AI32" s="533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</row>
    <row r="33" spans="3:55" ht="13.5" customHeight="1" thickBot="1">
      <c r="C33" s="531"/>
      <c r="D33" s="188"/>
      <c r="E33" s="89" t="s">
        <v>903</v>
      </c>
      <c r="F33" s="2588"/>
      <c r="G33" s="2589"/>
      <c r="H33" s="187">
        <v>80</v>
      </c>
      <c r="I33" s="88" t="s">
        <v>163</v>
      </c>
      <c r="J33" s="85">
        <f>F33*H33</f>
        <v>0</v>
      </c>
      <c r="K33" s="86" t="s">
        <v>163</v>
      </c>
      <c r="L33" s="190">
        <f>N33*860</f>
        <v>0</v>
      </c>
      <c r="M33" s="191" t="s">
        <v>42</v>
      </c>
      <c r="N33" s="99">
        <f>(J33*F$4)/1000</f>
        <v>0</v>
      </c>
      <c r="O33" s="98" t="s">
        <v>77</v>
      </c>
      <c r="P33" s="533"/>
      <c r="Q33" s="188"/>
      <c r="R33" s="531"/>
      <c r="S33" s="188"/>
      <c r="T33" s="188"/>
      <c r="U33" s="188"/>
      <c r="V33" s="188"/>
      <c r="W33" s="188"/>
      <c r="X33" s="188"/>
      <c r="Y33" s="560" t="s">
        <v>399</v>
      </c>
      <c r="Z33" s="571">
        <f>SUM(Z29:Z32)</f>
        <v>47.13</v>
      </c>
      <c r="AA33" s="573" t="s">
        <v>781</v>
      </c>
      <c r="AB33" s="188"/>
      <c r="AC33" s="188"/>
      <c r="AD33" s="188"/>
      <c r="AE33" s="188"/>
      <c r="AF33" s="188"/>
      <c r="AG33" s="857">
        <f>AH29*860</f>
        <v>4958.76</v>
      </c>
      <c r="AH33" s="98" t="s">
        <v>42</v>
      </c>
      <c r="AI33" s="533"/>
      <c r="AJ33" s="188"/>
      <c r="AK33" s="188"/>
      <c r="AL33" s="188"/>
      <c r="AM33" s="188"/>
      <c r="AN33" s="188"/>
      <c r="AO33" s="188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</row>
    <row r="34" spans="3:55" ht="13.5" customHeight="1" thickBot="1">
      <c r="C34" s="531"/>
      <c r="D34" s="188"/>
      <c r="E34" s="89" t="s">
        <v>904</v>
      </c>
      <c r="F34" s="2588"/>
      <c r="G34" s="2589"/>
      <c r="H34" s="187">
        <v>80</v>
      </c>
      <c r="I34" s="88" t="s">
        <v>163</v>
      </c>
      <c r="J34" s="85">
        <f>F34*H34</f>
        <v>0</v>
      </c>
      <c r="K34" s="86" t="s">
        <v>163</v>
      </c>
      <c r="L34" s="190">
        <f>N34*860</f>
        <v>0</v>
      </c>
      <c r="M34" s="191" t="s">
        <v>42</v>
      </c>
      <c r="N34" s="99">
        <f>(J34*F$4)/1000</f>
        <v>0</v>
      </c>
      <c r="O34" s="98" t="s">
        <v>77</v>
      </c>
      <c r="P34" s="533"/>
      <c r="Q34" s="188"/>
      <c r="R34" s="535"/>
      <c r="S34" s="536"/>
      <c r="T34" s="536"/>
      <c r="U34" s="536"/>
      <c r="V34" s="536"/>
      <c r="W34" s="103"/>
      <c r="X34" s="103"/>
      <c r="Y34" s="536"/>
      <c r="Z34" s="536"/>
      <c r="AA34" s="536"/>
      <c r="AB34" s="536"/>
      <c r="AC34" s="536"/>
      <c r="AD34" s="536"/>
      <c r="AE34" s="536"/>
      <c r="AF34" s="536"/>
      <c r="AG34" s="536"/>
      <c r="AH34" s="536"/>
      <c r="AI34" s="537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8"/>
      <c r="BA34" s="188"/>
      <c r="BB34" s="188"/>
      <c r="BC34" s="188"/>
    </row>
    <row r="35" spans="3:55" ht="15.75" thickBot="1">
      <c r="C35" s="531"/>
      <c r="D35" s="2595" t="s">
        <v>57</v>
      </c>
      <c r="E35" s="2596"/>
      <c r="F35" s="557">
        <f>SUM(F27:F34)</f>
        <v>28</v>
      </c>
      <c r="G35" s="557"/>
      <c r="H35" s="557">
        <f>SUM(H27:H34)</f>
        <v>640</v>
      </c>
      <c r="I35" s="557" t="s">
        <v>163</v>
      </c>
      <c r="J35" s="557">
        <f>SUM(J27:J34)</f>
        <v>2240</v>
      </c>
      <c r="K35" s="558" t="s">
        <v>163</v>
      </c>
      <c r="L35" s="558">
        <f>N35*860</f>
        <v>24080</v>
      </c>
      <c r="M35" s="558" t="s">
        <v>42</v>
      </c>
      <c r="N35" s="558">
        <f>(J35*F$4)/1000</f>
        <v>28</v>
      </c>
      <c r="O35" s="559" t="s">
        <v>77</v>
      </c>
      <c r="P35" s="533"/>
      <c r="Q35" s="188"/>
      <c r="R35" s="188"/>
      <c r="S35" s="188"/>
      <c r="T35" s="188"/>
      <c r="U35" s="188"/>
      <c r="V35" s="188"/>
      <c r="Y35" s="188"/>
      <c r="Z35" s="188"/>
      <c r="AA35" s="188"/>
      <c r="AB35" s="188"/>
      <c r="AC35" s="188"/>
      <c r="AD35" s="188"/>
      <c r="AE35" s="185"/>
      <c r="AF35" s="723"/>
      <c r="AG35" s="723"/>
      <c r="AH35" s="723"/>
      <c r="AI35" s="724"/>
      <c r="AK35" s="188"/>
      <c r="AL35" s="188"/>
      <c r="AM35" s="188"/>
      <c r="AN35" s="188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  <c r="AY35" s="188"/>
      <c r="AZ35" s="188"/>
      <c r="BA35" s="188"/>
      <c r="BB35" s="188"/>
      <c r="BC35" s="188"/>
    </row>
    <row r="36" spans="3:55" ht="15.75" thickBot="1">
      <c r="C36" s="535"/>
      <c r="D36" s="536"/>
      <c r="E36" s="536"/>
      <c r="F36" s="536"/>
      <c r="G36" s="536"/>
      <c r="H36" s="536"/>
      <c r="I36" s="536"/>
      <c r="J36" s="536"/>
      <c r="K36" s="536"/>
      <c r="L36" s="536"/>
      <c r="M36" s="536"/>
      <c r="N36" s="536"/>
      <c r="O36" s="536"/>
      <c r="P36" s="537"/>
      <c r="Q36" s="188"/>
      <c r="R36" s="542" t="s">
        <v>784</v>
      </c>
      <c r="S36" s="188"/>
      <c r="T36" s="188"/>
      <c r="U36" s="188"/>
      <c r="V36" s="188"/>
      <c r="Y36" s="188"/>
      <c r="Z36" s="188"/>
      <c r="AA36" s="188"/>
      <c r="AB36" s="188"/>
      <c r="AC36" s="188"/>
      <c r="AD36" s="188"/>
      <c r="AE36" s="185"/>
      <c r="AF36" s="723"/>
      <c r="AG36" s="723"/>
      <c r="AH36" s="723"/>
      <c r="AI36" s="725"/>
      <c r="AK36" s="188"/>
      <c r="AL36" s="188"/>
      <c r="AM36" s="188"/>
      <c r="AN36" s="188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</row>
    <row r="37" spans="3:55"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  <c r="R37" s="542" t="s">
        <v>785</v>
      </c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  <c r="AD37" s="188"/>
      <c r="AE37" s="185"/>
      <c r="AF37" s="723"/>
      <c r="AG37" s="723"/>
      <c r="AH37" s="2583"/>
      <c r="AI37" s="2583"/>
      <c r="AK37" s="188"/>
      <c r="AL37" s="188"/>
      <c r="AM37" s="188"/>
      <c r="AN37" s="188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  <c r="AY37" s="188"/>
      <c r="AZ37" s="188"/>
      <c r="BA37" s="188"/>
      <c r="BB37" s="188"/>
      <c r="BC37" s="188"/>
    </row>
    <row r="38" spans="3:55" ht="21.75" thickBot="1">
      <c r="C38" s="937" t="s">
        <v>2047</v>
      </c>
      <c r="D38" s="2594" t="s">
        <v>2048</v>
      </c>
      <c r="E38" s="2594"/>
      <c r="F38" s="2594" t="s">
        <v>929</v>
      </c>
      <c r="G38" s="2594"/>
      <c r="H38" s="937" t="s">
        <v>930</v>
      </c>
      <c r="I38" s="937" t="s">
        <v>928</v>
      </c>
      <c r="J38" s="188"/>
      <c r="K38" s="188"/>
      <c r="L38" s="188"/>
      <c r="M38" s="188"/>
      <c r="N38" s="188"/>
      <c r="O38" s="188"/>
      <c r="P38" s="188"/>
      <c r="Q38" s="188"/>
      <c r="R38" s="188"/>
      <c r="S38" s="188"/>
      <c r="T38" s="188"/>
      <c r="U38" s="188"/>
      <c r="V38" s="188"/>
      <c r="W38" s="2597"/>
      <c r="X38" s="2597"/>
      <c r="Y38" s="2597"/>
      <c r="Z38" s="2597"/>
      <c r="AA38" s="2597"/>
      <c r="AB38" s="2597"/>
      <c r="AC38" s="2597"/>
      <c r="AD38" s="2597"/>
      <c r="AE38" s="188"/>
      <c r="AF38" s="188"/>
      <c r="AG38" s="188"/>
      <c r="AH38" s="188"/>
      <c r="AI38" s="188"/>
      <c r="AJ38" s="188"/>
      <c r="AK38" s="1299" t="s">
        <v>1238</v>
      </c>
      <c r="AL38" s="1299"/>
      <c r="AM38" s="1299"/>
      <c r="AP38" s="1301" t="s">
        <v>1248</v>
      </c>
      <c r="AQ38" s="2587" t="s">
        <v>1467</v>
      </c>
      <c r="AR38" s="2587"/>
      <c r="AS38" s="2587"/>
      <c r="AT38" s="2587"/>
      <c r="AU38" s="188"/>
      <c r="AV38" s="188"/>
      <c r="AW38" s="188"/>
      <c r="AX38" s="188"/>
      <c r="AY38" s="188"/>
      <c r="AZ38" s="188"/>
      <c r="BA38" s="188"/>
      <c r="BB38" s="188"/>
      <c r="BC38" s="188"/>
    </row>
    <row r="39" spans="3:55" ht="19.5" thickBot="1">
      <c r="C39" s="935" t="s">
        <v>925</v>
      </c>
      <c r="D39" s="2591" t="s">
        <v>981</v>
      </c>
      <c r="E39" s="2592"/>
      <c r="F39" s="2593" t="s">
        <v>931</v>
      </c>
      <c r="G39" s="2593"/>
      <c r="H39" s="936" t="s">
        <v>934</v>
      </c>
      <c r="I39" s="936" t="s">
        <v>935</v>
      </c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2598"/>
      <c r="X39" s="2598"/>
      <c r="Y39" s="2598"/>
      <c r="Z39" s="2598"/>
      <c r="AA39" s="2598"/>
      <c r="AB39" s="2598"/>
      <c r="AC39" s="2598"/>
      <c r="AD39" s="2598"/>
      <c r="AE39" s="188"/>
      <c r="AF39" s="188"/>
      <c r="AG39" s="188"/>
      <c r="AH39" s="188"/>
      <c r="AI39" s="188"/>
      <c r="AJ39" s="188"/>
      <c r="AK39" s="1299" t="s">
        <v>1239</v>
      </c>
      <c r="AL39" s="1299"/>
      <c r="AM39" s="1299"/>
      <c r="AP39" s="1599">
        <v>30</v>
      </c>
      <c r="AQ39" s="1602">
        <f>AP39/6.864</f>
        <v>4.3706293706293708</v>
      </c>
      <c r="AR39" s="2585" t="s">
        <v>1466</v>
      </c>
      <c r="AS39" s="2585"/>
      <c r="AT39" s="2586"/>
      <c r="AU39" s="188"/>
      <c r="AV39" s="188"/>
      <c r="AW39" s="188"/>
      <c r="AX39" s="188"/>
      <c r="AY39" s="188"/>
      <c r="AZ39" s="188"/>
      <c r="BA39" s="188"/>
      <c r="BB39" s="188"/>
      <c r="BC39" s="188"/>
    </row>
    <row r="40" spans="3:55">
      <c r="C40" s="935" t="s">
        <v>926</v>
      </c>
      <c r="D40" s="2591" t="s">
        <v>2072</v>
      </c>
      <c r="E40" s="2592"/>
      <c r="F40" s="2593" t="s">
        <v>932</v>
      </c>
      <c r="G40" s="2593"/>
      <c r="H40" s="936" t="s">
        <v>934</v>
      </c>
      <c r="I40" s="936" t="s">
        <v>935</v>
      </c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  <c r="V40" s="188"/>
      <c r="W40" s="2599"/>
      <c r="X40" s="2599"/>
      <c r="Y40" s="2599"/>
      <c r="Z40" s="2599"/>
      <c r="AA40" s="2599"/>
      <c r="AB40" s="2599"/>
      <c r="AC40" s="2599"/>
      <c r="AD40" s="2599"/>
      <c r="AE40" s="188"/>
      <c r="AF40" s="188"/>
      <c r="AG40" s="188"/>
      <c r="AH40" s="188"/>
      <c r="AI40" s="188"/>
      <c r="AJ40" s="188"/>
      <c r="AK40" s="91" t="s">
        <v>1240</v>
      </c>
      <c r="AM40" s="91" t="s">
        <v>1237</v>
      </c>
      <c r="AO40" s="540" t="s">
        <v>1245</v>
      </c>
      <c r="AP40" s="1303">
        <f>AQ39*7</f>
        <v>30.594405594405597</v>
      </c>
      <c r="AQ40" s="1600" t="s">
        <v>1253</v>
      </c>
      <c r="AR40" s="1601" t="s">
        <v>1249</v>
      </c>
      <c r="AT40" s="188"/>
      <c r="AU40" s="188"/>
      <c r="AV40" s="188"/>
      <c r="AW40" s="188"/>
      <c r="AX40" s="188"/>
      <c r="AY40" s="188"/>
      <c r="AZ40" s="188"/>
      <c r="BA40" s="188"/>
      <c r="BB40" s="188"/>
      <c r="BC40" s="188"/>
    </row>
    <row r="41" spans="3:55" ht="21">
      <c r="C41" s="935" t="s">
        <v>927</v>
      </c>
      <c r="D41" s="2591" t="s">
        <v>2073</v>
      </c>
      <c r="E41" s="2592"/>
      <c r="F41" s="2593" t="s">
        <v>933</v>
      </c>
      <c r="G41" s="2593"/>
      <c r="H41" s="936" t="s">
        <v>934</v>
      </c>
      <c r="I41" s="936" t="s">
        <v>935</v>
      </c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2584" t="s">
        <v>1439</v>
      </c>
      <c r="X41" s="2584"/>
      <c r="Y41" s="2584"/>
      <c r="Z41" s="2584"/>
      <c r="AA41" s="188"/>
      <c r="AB41" s="188"/>
      <c r="AC41" s="185"/>
      <c r="AD41" s="723"/>
      <c r="AE41" s="723"/>
      <c r="AF41" s="723"/>
      <c r="AG41" s="724" t="s">
        <v>818</v>
      </c>
      <c r="AH41" s="188"/>
      <c r="AI41" s="188"/>
      <c r="AJ41" s="188"/>
      <c r="AK41" s="91" t="s">
        <v>1240</v>
      </c>
      <c r="AM41" s="91" t="s">
        <v>1242</v>
      </c>
      <c r="AO41" s="540" t="s">
        <v>1241</v>
      </c>
      <c r="AP41" s="1303">
        <f>AQ39*4</f>
        <v>17.482517482517483</v>
      </c>
      <c r="AQ41" s="1302" t="s">
        <v>1253</v>
      </c>
      <c r="AR41" s="561" t="s">
        <v>1250</v>
      </c>
      <c r="AT41" s="188"/>
      <c r="AU41" s="188"/>
      <c r="AV41" s="188"/>
      <c r="AW41" s="188"/>
      <c r="AX41" s="188"/>
      <c r="AY41" s="188"/>
      <c r="AZ41" s="188"/>
      <c r="BA41" s="188"/>
      <c r="BB41" s="188"/>
      <c r="BC41" s="188"/>
    </row>
    <row r="42" spans="3:55">
      <c r="C42" s="935" t="s">
        <v>936</v>
      </c>
      <c r="D42" s="2591" t="s">
        <v>2074</v>
      </c>
      <c r="E42" s="2592"/>
      <c r="F42" s="2593" t="s">
        <v>937</v>
      </c>
      <c r="G42" s="2593"/>
      <c r="H42" s="936" t="s">
        <v>934</v>
      </c>
      <c r="I42" s="936" t="s">
        <v>935</v>
      </c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5"/>
      <c r="AD42" s="723"/>
      <c r="AE42" s="723"/>
      <c r="AF42" s="723"/>
      <c r="AG42" s="725" t="s">
        <v>17</v>
      </c>
      <c r="AH42" s="188"/>
      <c r="AI42" s="188"/>
      <c r="AJ42" s="188"/>
      <c r="AK42" s="91" t="s">
        <v>1240</v>
      </c>
      <c r="AM42" s="91" t="s">
        <v>1243</v>
      </c>
      <c r="AO42" s="540" t="s">
        <v>1246</v>
      </c>
      <c r="AP42" s="1303">
        <f>AQ39*3</f>
        <v>13.111888111888113</v>
      </c>
      <c r="AQ42" s="1302" t="s">
        <v>1253</v>
      </c>
      <c r="AR42" s="561" t="s">
        <v>1251</v>
      </c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</row>
    <row r="43" spans="3:55"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5"/>
      <c r="AD43" s="723"/>
      <c r="AE43" s="723"/>
      <c r="AF43" s="2583">
        <v>2026</v>
      </c>
      <c r="AG43" s="2583"/>
      <c r="AH43" s="188"/>
      <c r="AI43" s="188"/>
      <c r="AJ43" s="188"/>
      <c r="AK43" s="91" t="s">
        <v>1240</v>
      </c>
      <c r="AM43" s="91" t="s">
        <v>1244</v>
      </c>
      <c r="AO43" s="540" t="s">
        <v>1247</v>
      </c>
      <c r="AP43" s="1303">
        <f>AQ39*2</f>
        <v>8.7412587412587417</v>
      </c>
      <c r="AQ43" s="1302" t="s">
        <v>1253</v>
      </c>
      <c r="AR43" s="561" t="s">
        <v>1252</v>
      </c>
      <c r="AT43" s="188"/>
      <c r="AU43" s="188"/>
      <c r="AV43" s="188"/>
      <c r="AW43" s="188"/>
      <c r="AX43" s="188"/>
      <c r="AY43" s="188"/>
      <c r="AZ43" s="188"/>
      <c r="BA43" s="188"/>
      <c r="BB43" s="188"/>
      <c r="BC43" s="188"/>
    </row>
    <row r="44" spans="3:55"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88"/>
    </row>
    <row r="45" spans="3:55">
      <c r="C45" s="189" t="s">
        <v>1440</v>
      </c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</row>
    <row r="46" spans="3:55">
      <c r="C46" s="188"/>
      <c r="D46" s="188"/>
      <c r="E46" s="188"/>
      <c r="F46" s="188"/>
      <c r="G46" s="188"/>
      <c r="H46" s="188"/>
      <c r="I46" s="188"/>
      <c r="J46" s="188"/>
      <c r="K46" s="188"/>
      <c r="L46" s="188"/>
      <c r="M46" s="188"/>
      <c r="N46" s="188"/>
      <c r="O46" s="188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8"/>
      <c r="BA46" s="188"/>
      <c r="BB46" s="188"/>
      <c r="BC46" s="188"/>
    </row>
    <row r="47" spans="3:55">
      <c r="C47" s="188"/>
      <c r="D47" s="188"/>
      <c r="E47" s="188"/>
      <c r="F47" s="188"/>
      <c r="G47" s="188"/>
      <c r="H47" s="188"/>
      <c r="I47" s="188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  <c r="AY47" s="188"/>
      <c r="AZ47" s="188"/>
      <c r="BA47" s="188"/>
      <c r="BB47" s="188"/>
      <c r="BC47" s="188"/>
    </row>
    <row r="48" spans="3:55">
      <c r="C48" s="188"/>
      <c r="D48" s="188"/>
      <c r="E48" s="188"/>
      <c r="F48" s="188"/>
      <c r="G48" s="188"/>
      <c r="H48" s="188"/>
      <c r="I48" s="188"/>
      <c r="J48" s="188"/>
      <c r="K48" s="188"/>
      <c r="L48" s="188"/>
      <c r="M48" s="188"/>
      <c r="N48" s="188"/>
      <c r="O48" s="188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</row>
    <row r="49" spans="3:55">
      <c r="C49" s="188"/>
      <c r="D49" s="188"/>
      <c r="E49" s="188"/>
      <c r="F49" s="188"/>
      <c r="G49" s="188"/>
      <c r="H49" s="188"/>
      <c r="I49" s="188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  <c r="AY49" s="188"/>
      <c r="AZ49" s="188"/>
      <c r="BA49" s="188"/>
      <c r="BB49" s="188"/>
      <c r="BC49" s="188"/>
    </row>
    <row r="50" spans="3:55">
      <c r="C50" s="188"/>
      <c r="D50" s="188"/>
      <c r="E50" s="188"/>
      <c r="F50" s="188"/>
      <c r="G50" s="188"/>
      <c r="H50" s="188"/>
      <c r="I50" s="18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  <c r="AY50" s="188"/>
      <c r="AZ50" s="188"/>
      <c r="BA50" s="188"/>
      <c r="BB50" s="188"/>
      <c r="BC50" s="188"/>
    </row>
    <row r="51" spans="3:55">
      <c r="C51" s="188"/>
      <c r="D51" s="188"/>
      <c r="E51" s="188"/>
      <c r="F51" s="188"/>
      <c r="G51" s="188"/>
      <c r="H51" s="188"/>
      <c r="I51" s="188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</row>
    <row r="52" spans="3:55">
      <c r="C52" s="188"/>
      <c r="D52" s="188"/>
      <c r="E52" s="188"/>
      <c r="F52" s="188"/>
      <c r="G52" s="188"/>
      <c r="H52" s="188"/>
      <c r="I52" s="188"/>
      <c r="J52" s="188"/>
      <c r="K52" s="188"/>
      <c r="L52" s="188"/>
      <c r="M52" s="188"/>
      <c r="N52" s="188"/>
      <c r="O52" s="188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</row>
    <row r="53" spans="3:55">
      <c r="C53" s="188"/>
      <c r="D53" s="188"/>
      <c r="E53" s="188"/>
      <c r="F53" s="188"/>
      <c r="G53" s="188"/>
      <c r="H53" s="188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</row>
    <row r="54" spans="3:55"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</row>
    <row r="55" spans="3:55"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</row>
    <row r="56" spans="3:55">
      <c r="C56" s="188"/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</row>
    <row r="57" spans="3:55">
      <c r="C57" s="188"/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</row>
    <row r="58" spans="3:55">
      <c r="C58" s="188"/>
      <c r="D58" s="188"/>
      <c r="E58" s="188"/>
      <c r="F58" s="188"/>
      <c r="G58" s="188"/>
      <c r="H58" s="188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</row>
    <row r="59" spans="3:55">
      <c r="C59" s="188"/>
      <c r="D59" s="188"/>
      <c r="E59" s="188"/>
      <c r="F59" s="188"/>
      <c r="G59" s="188"/>
      <c r="H59" s="188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88"/>
    </row>
    <row r="60" spans="3:55">
      <c r="C60" s="188"/>
      <c r="D60" s="188"/>
      <c r="E60" s="188"/>
      <c r="F60" s="188"/>
      <c r="G60" s="188"/>
      <c r="H60" s="188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</row>
    <row r="61" spans="3:55">
      <c r="C61" s="188"/>
      <c r="D61" s="188"/>
      <c r="E61" s="188"/>
      <c r="F61" s="188"/>
      <c r="G61" s="188"/>
      <c r="H61" s="188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</row>
    <row r="62" spans="3:55">
      <c r="C62" s="188"/>
      <c r="D62" s="188"/>
      <c r="E62" s="188"/>
      <c r="F62" s="188"/>
      <c r="G62" s="188"/>
      <c r="H62" s="188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</row>
    <row r="63" spans="3:55">
      <c r="C63" s="188"/>
      <c r="D63" s="188"/>
      <c r="E63" s="188"/>
      <c r="F63" s="188"/>
      <c r="G63" s="188"/>
      <c r="H63" s="188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</row>
    <row r="64" spans="3:55">
      <c r="C64" s="188"/>
      <c r="D64" s="188"/>
      <c r="E64" s="188"/>
      <c r="F64" s="188"/>
      <c r="G64" s="188"/>
      <c r="H64" s="188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</row>
    <row r="65" spans="3:55"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</row>
    <row r="66" spans="3:55">
      <c r="C66" s="188"/>
      <c r="D66" s="188"/>
      <c r="E66" s="188"/>
      <c r="F66" s="188"/>
      <c r="G66" s="188"/>
      <c r="H66" s="188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</row>
    <row r="67" spans="3:55"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  <c r="AD67" s="188"/>
      <c r="AE67" s="188"/>
      <c r="AF67" s="188"/>
      <c r="AG67" s="188"/>
      <c r="AH67" s="188"/>
      <c r="AI67" s="188"/>
      <c r="AJ67" s="188"/>
      <c r="AK67" s="188"/>
      <c r="AL67" s="188"/>
      <c r="AM67" s="188"/>
      <c r="AN67" s="188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8"/>
      <c r="BA67" s="188"/>
      <c r="BB67" s="188"/>
      <c r="BC67" s="188"/>
    </row>
    <row r="68" spans="3:55"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</row>
    <row r="69" spans="3:55"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  <c r="AD69" s="188"/>
      <c r="AE69" s="188"/>
      <c r="AF69" s="188"/>
      <c r="AG69" s="188"/>
      <c r="AH69" s="188"/>
      <c r="AI69" s="188"/>
      <c r="AJ69" s="188"/>
      <c r="AK69" s="188"/>
      <c r="AL69" s="188"/>
      <c r="AM69" s="188"/>
      <c r="AN69" s="188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</row>
    <row r="70" spans="3:55">
      <c r="C70" s="188"/>
      <c r="D70" s="188"/>
      <c r="E70" s="188"/>
      <c r="F70" s="188"/>
      <c r="G70" s="188"/>
      <c r="H70" s="188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</row>
    <row r="71" spans="3:55"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  <c r="AD71" s="188"/>
      <c r="AE71" s="188"/>
      <c r="AF71" s="188"/>
      <c r="AG71" s="188"/>
      <c r="AH71" s="188"/>
      <c r="AI71" s="188"/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</row>
    <row r="72" spans="3:55">
      <c r="C72" s="188"/>
      <c r="D72" s="188"/>
      <c r="E72" s="188"/>
      <c r="F72" s="188"/>
      <c r="G72" s="188"/>
      <c r="H72" s="188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  <c r="AD72" s="188"/>
      <c r="AE72" s="188"/>
      <c r="AF72" s="188"/>
      <c r="AG72" s="188"/>
      <c r="AH72" s="188"/>
      <c r="AI72" s="188"/>
      <c r="AJ72" s="188"/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</row>
    <row r="73" spans="3:55">
      <c r="C73" s="188"/>
      <c r="D73" s="188"/>
      <c r="E73" s="188"/>
      <c r="F73" s="188"/>
      <c r="G73" s="188"/>
      <c r="H73" s="188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  <c r="AD73" s="188"/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</row>
  </sheetData>
  <sheetProtection algorithmName="SHA-512" hashValue="rLNhS7oe7c29UNB4EoZi8H61+A0upGFZKLkLtqYcEfektoZea2Y1DnN+qTGP8zquQzttQf3NxHtw2PAzs2P/XA==" saltValue="vzdOwg5mAQfisdQ7QgFW4g==" spinCount="100000" sheet="1" objects="1" selectLockedCells="1"/>
  <dataConsolidate function="var" topLabels="1">
    <dataRefs count="1">
      <dataRef ref="Q10:Q20" sheet="Yerden Isıtma Hesabı"/>
    </dataRefs>
  </dataConsolidate>
  <mergeCells count="77">
    <mergeCell ref="O12:Q12"/>
    <mergeCell ref="AI24:AJ24"/>
    <mergeCell ref="AH37:AI37"/>
    <mergeCell ref="AK2:AQ4"/>
    <mergeCell ref="AH8:AI8"/>
    <mergeCell ref="AH4:AI4"/>
    <mergeCell ref="X3:Y3"/>
    <mergeCell ref="X4:Y4"/>
    <mergeCell ref="AB16:AE16"/>
    <mergeCell ref="Y26:AA26"/>
    <mergeCell ref="AF6:AI6"/>
    <mergeCell ref="AE27:AG27"/>
    <mergeCell ref="C2:N2"/>
    <mergeCell ref="S8:U8"/>
    <mergeCell ref="T14:U14"/>
    <mergeCell ref="C4:E4"/>
    <mergeCell ref="K5:L5"/>
    <mergeCell ref="M5:N5"/>
    <mergeCell ref="F5:G5"/>
    <mergeCell ref="K4:N4"/>
    <mergeCell ref="O13:Q13"/>
    <mergeCell ref="O6:Q6"/>
    <mergeCell ref="O5:Q5"/>
    <mergeCell ref="O7:Q7"/>
    <mergeCell ref="O8:Q8"/>
    <mergeCell ref="O9:Q9"/>
    <mergeCell ref="O10:Q10"/>
    <mergeCell ref="O11:Q11"/>
    <mergeCell ref="L26:M26"/>
    <mergeCell ref="C22:D22"/>
    <mergeCell ref="N26:O26"/>
    <mergeCell ref="J22:K22"/>
    <mergeCell ref="H22:I22"/>
    <mergeCell ref="H26:I26"/>
    <mergeCell ref="F26:G26"/>
    <mergeCell ref="O22:P22"/>
    <mergeCell ref="O23:P23"/>
    <mergeCell ref="O24:P24"/>
    <mergeCell ref="O25:P25"/>
    <mergeCell ref="J26:K26"/>
    <mergeCell ref="F22:G22"/>
    <mergeCell ref="L23:N23"/>
    <mergeCell ref="L22:N22"/>
    <mergeCell ref="K17:L17"/>
    <mergeCell ref="M17:N17"/>
    <mergeCell ref="H16:H17"/>
    <mergeCell ref="I16:I17"/>
    <mergeCell ref="C16:E16"/>
    <mergeCell ref="F17:G17"/>
    <mergeCell ref="D35:E35"/>
    <mergeCell ref="F33:G33"/>
    <mergeCell ref="W38:AD38"/>
    <mergeCell ref="W39:AD39"/>
    <mergeCell ref="W40:AD40"/>
    <mergeCell ref="F34:G34"/>
    <mergeCell ref="D42:E42"/>
    <mergeCell ref="F42:G42"/>
    <mergeCell ref="D38:E38"/>
    <mergeCell ref="F38:G38"/>
    <mergeCell ref="F39:G39"/>
    <mergeCell ref="F40:G40"/>
    <mergeCell ref="F41:G41"/>
    <mergeCell ref="D39:E39"/>
    <mergeCell ref="D40:E40"/>
    <mergeCell ref="D41:E41"/>
    <mergeCell ref="F27:G27"/>
    <mergeCell ref="F28:G28"/>
    <mergeCell ref="F29:G29"/>
    <mergeCell ref="Y28:AA28"/>
    <mergeCell ref="U28:W28"/>
    <mergeCell ref="AF43:AG43"/>
    <mergeCell ref="W41:Z41"/>
    <mergeCell ref="AR39:AT39"/>
    <mergeCell ref="AQ38:AT38"/>
    <mergeCell ref="F30:G30"/>
    <mergeCell ref="F31:G31"/>
    <mergeCell ref="F32:G32"/>
  </mergeCells>
  <phoneticPr fontId="274" type="noConversion"/>
  <dataValidations count="2">
    <dataValidation type="list" allowBlank="1" showInputMessage="1" showErrorMessage="1" sqref="I6:I12" xr:uid="{00000000-0002-0000-0900-000000000000}">
      <formula1>$AH$6:$AH$20</formula1>
    </dataValidation>
    <dataValidation type="list" allowBlank="1" showInputMessage="1" showErrorMessage="1" sqref="P4" xr:uid="{00000000-0002-0000-0900-000001000000}">
      <formula1>$R$3:$R$4</formula1>
    </dataValidation>
  </dataValidation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F6E1-AD60-4F6F-8315-AB7C1AAE6A6F}">
  <dimension ref="B1:AD54"/>
  <sheetViews>
    <sheetView showRowColHeaders="0" topLeftCell="A4" zoomScale="57" zoomScaleNormal="57" workbookViewId="0">
      <selection activeCell="H33" sqref="H33:H34"/>
    </sheetView>
  </sheetViews>
  <sheetFormatPr defaultColWidth="9.140625" defaultRowHeight="15"/>
  <cols>
    <col min="1" max="1" width="42.7109375" style="1933" customWidth="1"/>
    <col min="2" max="2" width="9.140625" style="1933"/>
    <col min="3" max="3" width="27.5703125" style="1933" customWidth="1"/>
    <col min="4" max="4" width="9.140625" style="1933"/>
    <col min="5" max="5" width="3.85546875" style="1933" customWidth="1"/>
    <col min="6" max="6" width="9.140625" style="1933"/>
    <col min="7" max="7" width="30.5703125" style="1933" customWidth="1"/>
    <col min="8" max="8" width="28" style="1933" customWidth="1"/>
    <col min="9" max="9" width="9.140625" style="1933"/>
    <col min="10" max="10" width="12.28515625" style="1933" customWidth="1"/>
    <col min="11" max="18" width="9.140625" style="1933"/>
    <col min="19" max="19" width="74.42578125" style="1933" bestFit="1" customWidth="1"/>
    <col min="20" max="20" width="19" style="1933" customWidth="1"/>
    <col min="21" max="21" width="11.28515625" style="1933" customWidth="1"/>
    <col min="22" max="27" width="9.140625" style="1933"/>
    <col min="28" max="28" width="25.28515625" style="1933" bestFit="1" customWidth="1"/>
    <col min="29" max="16384" width="9.140625" style="1933"/>
  </cols>
  <sheetData>
    <row r="1" spans="2:30" hidden="1"/>
    <row r="2" spans="2:30" hidden="1"/>
    <row r="3" spans="2:30" hidden="1"/>
    <row r="4" spans="2:30" ht="15.75" thickBot="1"/>
    <row r="5" spans="2:30" ht="48.75" thickBot="1">
      <c r="H5" s="2670" t="s">
        <v>2030</v>
      </c>
      <c r="I5" s="2671"/>
      <c r="J5" s="2671"/>
      <c r="K5" s="2671"/>
      <c r="L5" s="2671"/>
      <c r="M5" s="2671"/>
      <c r="N5" s="2671"/>
      <c r="O5" s="2671"/>
      <c r="P5" s="2672"/>
    </row>
    <row r="6" spans="2:30" ht="13.15" hidden="1" customHeight="1"/>
    <row r="7" spans="2:30" ht="11.45" customHeight="1" thickBot="1"/>
    <row r="8" spans="2:30" ht="15.75" hidden="1" thickBot="1"/>
    <row r="9" spans="2:30">
      <c r="B9" s="1934"/>
      <c r="C9" s="1935"/>
      <c r="D9" s="1935"/>
      <c r="E9" s="1935"/>
      <c r="F9" s="1935"/>
      <c r="G9" s="1935"/>
      <c r="H9" s="1935"/>
      <c r="I9" s="1935"/>
      <c r="J9" s="1935"/>
      <c r="K9" s="1936"/>
      <c r="M9" s="1934"/>
      <c r="N9" s="1935"/>
      <c r="O9" s="1935"/>
      <c r="P9" s="1935"/>
      <c r="Q9" s="1935"/>
      <c r="R9" s="1935"/>
      <c r="S9" s="1935"/>
      <c r="T9" s="1935"/>
      <c r="U9" s="1935"/>
      <c r="V9" s="1936"/>
    </row>
    <row r="10" spans="2:30" ht="28.5">
      <c r="B10" s="1937"/>
      <c r="C10" s="2677" t="s">
        <v>2022</v>
      </c>
      <c r="D10" s="2678"/>
      <c r="E10" s="2678"/>
      <c r="F10" s="2678"/>
      <c r="G10" s="2678"/>
      <c r="H10" s="2678"/>
      <c r="I10" s="2678"/>
      <c r="J10" s="2679"/>
      <c r="K10" s="1938"/>
      <c r="M10" s="1937"/>
      <c r="N10" s="2681" t="s">
        <v>2059</v>
      </c>
      <c r="O10" s="2682"/>
      <c r="P10" s="2682"/>
      <c r="Q10" s="2682"/>
      <c r="R10" s="2682"/>
      <c r="S10" s="2682"/>
      <c r="T10" s="2682"/>
      <c r="U10" s="2683"/>
      <c r="V10" s="1938"/>
    </row>
    <row r="11" spans="2:30">
      <c r="B11" s="1937"/>
      <c r="K11" s="1938"/>
      <c r="M11" s="1937"/>
      <c r="V11" s="1938"/>
    </row>
    <row r="12" spans="2:30">
      <c r="B12" s="1937"/>
      <c r="K12" s="1938"/>
      <c r="M12" s="1937"/>
      <c r="V12" s="1938"/>
    </row>
    <row r="13" spans="2:30" ht="20.25" customHeight="1">
      <c r="B13" s="1937"/>
      <c r="F13" s="2659" t="s">
        <v>2026</v>
      </c>
      <c r="G13" s="2660"/>
      <c r="H13" s="2661"/>
      <c r="K13" s="1938"/>
      <c r="M13" s="1937"/>
      <c r="S13" s="2673" t="s">
        <v>2027</v>
      </c>
      <c r="T13" s="2660"/>
      <c r="U13" s="2661"/>
      <c r="V13" s="1938"/>
    </row>
    <row r="14" spans="2:30">
      <c r="B14" s="1937"/>
      <c r="K14" s="1938"/>
      <c r="M14" s="1937"/>
      <c r="V14" s="1938"/>
    </row>
    <row r="15" spans="2:30" ht="21.75" customHeight="1">
      <c r="B15" s="1939"/>
      <c r="C15" s="1940"/>
      <c r="G15" s="2017"/>
      <c r="H15" s="2710"/>
      <c r="I15" s="2710"/>
      <c r="J15" s="340"/>
      <c r="K15" s="1938"/>
      <c r="M15" s="1937"/>
      <c r="Q15" s="1941"/>
      <c r="R15" s="1941"/>
      <c r="S15" s="2702" t="s">
        <v>2020</v>
      </c>
      <c r="T15" s="2694">
        <v>15</v>
      </c>
      <c r="U15" s="2696" t="s">
        <v>3</v>
      </c>
      <c r="V15" s="1938"/>
      <c r="AB15" s="1942"/>
      <c r="AC15" s="2693"/>
      <c r="AD15" s="2693"/>
    </row>
    <row r="16" spans="2:30" ht="21">
      <c r="B16" s="1937"/>
      <c r="G16" s="340"/>
      <c r="H16" s="2710" t="s">
        <v>2024</v>
      </c>
      <c r="I16" s="2710"/>
      <c r="J16" s="340"/>
      <c r="K16" s="1938"/>
      <c r="M16" s="1937"/>
      <c r="S16" s="2703"/>
      <c r="T16" s="2695"/>
      <c r="U16" s="2697"/>
      <c r="V16" s="1938"/>
      <c r="AB16" s="1943"/>
      <c r="AC16" s="2693"/>
      <c r="AD16" s="2693"/>
    </row>
    <row r="17" spans="2:27" ht="26.25">
      <c r="B17" s="1937"/>
      <c r="E17" s="2689" t="s">
        <v>2018</v>
      </c>
      <c r="F17" s="2689"/>
      <c r="G17" s="2690"/>
      <c r="H17" s="2713" t="s">
        <v>2062</v>
      </c>
      <c r="I17" s="2714"/>
      <c r="K17" s="1938"/>
      <c r="M17" s="1937"/>
      <c r="V17" s="1938"/>
      <c r="X17" s="2033"/>
      <c r="Y17" s="2033" t="s">
        <v>2061</v>
      </c>
    </row>
    <row r="18" spans="2:27" ht="26.25">
      <c r="B18" s="1937"/>
      <c r="E18" s="2709"/>
      <c r="F18" s="2709"/>
      <c r="G18" s="2709"/>
      <c r="H18" s="2018"/>
      <c r="I18" s="2019"/>
      <c r="K18" s="1938"/>
      <c r="M18" s="1937"/>
      <c r="S18" s="2704" t="s">
        <v>2067</v>
      </c>
      <c r="T18" s="2685">
        <f>T15*H19</f>
        <v>66</v>
      </c>
      <c r="U18" s="2687" t="s">
        <v>156</v>
      </c>
      <c r="V18" s="1938"/>
      <c r="X18" s="2033"/>
      <c r="Y18" s="2033" t="s">
        <v>2062</v>
      </c>
    </row>
    <row r="19" spans="2:27" ht="26.25">
      <c r="B19" s="1937"/>
      <c r="E19" s="2689" t="s">
        <v>2055</v>
      </c>
      <c r="F19" s="2689"/>
      <c r="G19" s="2690"/>
      <c r="H19" s="2031">
        <f>IF(H17=Y17,6.6,IF(H17=Y18,4.4,IF(H17=Y19,3.3)))</f>
        <v>4.4000000000000004</v>
      </c>
      <c r="I19" s="2032" t="s">
        <v>156</v>
      </c>
      <c r="J19" s="2016"/>
      <c r="K19" s="1938"/>
      <c r="M19" s="1937"/>
      <c r="S19" s="2705"/>
      <c r="T19" s="2686"/>
      <c r="U19" s="2688"/>
      <c r="V19" s="1938"/>
      <c r="W19" s="2316"/>
      <c r="X19" s="2033"/>
      <c r="Y19" s="2033" t="s">
        <v>2063</v>
      </c>
      <c r="Z19" s="2316"/>
      <c r="AA19" s="2316"/>
    </row>
    <row r="20" spans="2:27" ht="9.6" customHeight="1">
      <c r="B20" s="1937"/>
      <c r="K20" s="1938"/>
      <c r="M20" s="1937"/>
      <c r="N20" s="1940"/>
      <c r="S20" s="1940"/>
      <c r="V20" s="1938"/>
      <c r="W20" s="2316"/>
      <c r="X20" s="2033"/>
      <c r="Y20" s="2033"/>
      <c r="Z20" s="2316"/>
      <c r="AA20" s="2316"/>
    </row>
    <row r="21" spans="2:27" ht="8.4499999999999993" customHeight="1">
      <c r="B21" s="1937"/>
      <c r="K21" s="1938"/>
      <c r="M21" s="1937"/>
      <c r="U21" s="1944"/>
      <c r="V21" s="1938"/>
      <c r="W21" s="2316"/>
      <c r="X21" s="2033"/>
      <c r="Y21" s="2033"/>
      <c r="Z21" s="2316"/>
      <c r="AA21" s="2316"/>
    </row>
    <row r="22" spans="2:27" ht="26.25">
      <c r="B22" s="1937"/>
      <c r="E22" s="2710" t="s">
        <v>2056</v>
      </c>
      <c r="F22" s="2710"/>
      <c r="G22" s="2711"/>
      <c r="H22" s="2031">
        <f>IF(H19=6.6,15,IF(H19=4.4,22.5,30))</f>
        <v>22.5</v>
      </c>
      <c r="I22" s="2032" t="s">
        <v>255</v>
      </c>
      <c r="K22" s="1938"/>
      <c r="M22" s="1937"/>
      <c r="N22" s="1940"/>
      <c r="S22" s="2704" t="s">
        <v>2068</v>
      </c>
      <c r="T22" s="2685">
        <f>IF(H43=16,T18*11.87,(T18*12.5))/1000</f>
        <v>0.78342000000000001</v>
      </c>
      <c r="U22" s="2687" t="s">
        <v>725</v>
      </c>
      <c r="V22" s="1938"/>
      <c r="W22" s="2316"/>
      <c r="X22" s="2033"/>
      <c r="Y22" s="2033"/>
      <c r="Z22" s="2316"/>
      <c r="AA22" s="2316"/>
    </row>
    <row r="23" spans="2:27">
      <c r="B23" s="1937"/>
      <c r="K23" s="1938"/>
      <c r="M23" s="1937"/>
      <c r="S23" s="2706"/>
      <c r="T23" s="2686"/>
      <c r="U23" s="2688"/>
      <c r="V23" s="1938"/>
      <c r="W23" s="2316"/>
      <c r="X23" s="2033"/>
      <c r="Y23" s="2033"/>
      <c r="Z23" s="2316"/>
      <c r="AA23" s="2316"/>
    </row>
    <row r="24" spans="2:27" ht="25.15" customHeight="1">
      <c r="B24" s="1937"/>
      <c r="G24" s="2712" t="s">
        <v>2031</v>
      </c>
      <c r="H24" s="2712"/>
      <c r="I24" s="2712"/>
      <c r="K24" s="1938"/>
      <c r="M24" s="1937"/>
      <c r="S24" s="2028" t="s">
        <v>2070</v>
      </c>
      <c r="T24" s="2027">
        <f>X24*T15</f>
        <v>745.44</v>
      </c>
      <c r="U24" s="2026" t="s">
        <v>1134</v>
      </c>
      <c r="V24" s="1938"/>
      <c r="W24" s="2316"/>
      <c r="X24" s="2033">
        <f>IF(H43=16,(12.84*H19-((H50-3)*6.8)),IF(H43=17,(13.57*H19-((H50-3)*7.5))))</f>
        <v>49.696000000000005</v>
      </c>
      <c r="Y24" s="2033"/>
      <c r="Z24" s="2316"/>
      <c r="AA24" s="2316"/>
    </row>
    <row r="25" spans="2:27" ht="25.15" customHeight="1">
      <c r="B25" s="1937"/>
      <c r="K25" s="1938"/>
      <c r="M25" s="1937"/>
      <c r="S25" s="2029"/>
      <c r="T25" s="2025">
        <f>(T24/100)*860</f>
        <v>6410.7840000000006</v>
      </c>
      <c r="U25" s="2030" t="s">
        <v>42</v>
      </c>
      <c r="V25" s="1938"/>
      <c r="W25" s="2316"/>
      <c r="X25" s="2033"/>
      <c r="Y25" s="2033"/>
      <c r="Z25" s="2316"/>
      <c r="AA25" s="2316"/>
    </row>
    <row r="26" spans="2:27" ht="31.15" customHeight="1">
      <c r="B26" s="1937"/>
      <c r="K26" s="1938"/>
      <c r="M26" s="1937"/>
      <c r="S26" s="1942"/>
      <c r="V26" s="1938"/>
      <c r="W26" s="2316"/>
      <c r="X26" s="2316"/>
      <c r="Y26" s="2316"/>
      <c r="Z26" s="2316"/>
      <c r="AA26" s="2316"/>
    </row>
    <row r="27" spans="2:27" ht="21">
      <c r="B27" s="1937"/>
      <c r="K27" s="1938"/>
      <c r="M27" s="1937"/>
      <c r="S27" s="2673" t="s">
        <v>2028</v>
      </c>
      <c r="T27" s="2660"/>
      <c r="U27" s="2661"/>
      <c r="V27" s="1938"/>
      <c r="W27" s="2316"/>
      <c r="X27" s="2316"/>
      <c r="Y27" s="2316"/>
      <c r="Z27" s="2316"/>
      <c r="AA27" s="2316"/>
    </row>
    <row r="28" spans="2:27" ht="17.45" customHeight="1">
      <c r="B28" s="1937"/>
      <c r="H28" s="2676"/>
      <c r="I28" s="2676"/>
      <c r="J28" s="2676"/>
      <c r="K28" s="1938"/>
      <c r="M28" s="1937"/>
      <c r="S28" s="1943"/>
      <c r="T28" s="1943"/>
      <c r="U28" s="1943"/>
      <c r="V28" s="1938"/>
      <c r="W28" s="2316"/>
      <c r="X28" s="2316"/>
      <c r="Y28" s="2316"/>
      <c r="Z28" s="2316"/>
      <c r="AA28" s="2316"/>
    </row>
    <row r="29" spans="2:27" ht="26.25">
      <c r="B29" s="1937"/>
      <c r="K29" s="1938"/>
      <c r="M29" s="1937"/>
      <c r="Q29" s="1941"/>
      <c r="R29" s="1941"/>
      <c r="S29" s="2702" t="s">
        <v>2033</v>
      </c>
      <c r="T29" s="2698">
        <f>(T15*H19)/H33</f>
        <v>0.82499999999999996</v>
      </c>
      <c r="U29" s="2700" t="s">
        <v>2019</v>
      </c>
      <c r="V29" s="1938"/>
      <c r="W29" s="2316"/>
      <c r="X29" s="2316"/>
      <c r="Y29" s="2316"/>
      <c r="Z29" s="2316"/>
      <c r="AA29" s="2316"/>
    </row>
    <row r="30" spans="2:27" ht="19.899999999999999" customHeight="1">
      <c r="B30" s="1937"/>
      <c r="F30" s="2659" t="s">
        <v>2025</v>
      </c>
      <c r="G30" s="2660"/>
      <c r="H30" s="2661"/>
      <c r="K30" s="1938"/>
      <c r="M30" s="1937"/>
      <c r="S30" s="2703"/>
      <c r="T30" s="2699"/>
      <c r="U30" s="2701"/>
      <c r="V30" s="1938"/>
      <c r="W30" s="2316"/>
      <c r="X30" s="2316"/>
      <c r="Y30" s="2316"/>
      <c r="Z30" s="2316"/>
      <c r="AA30" s="2316"/>
    </row>
    <row r="31" spans="2:27">
      <c r="B31" s="1937"/>
      <c r="K31" s="1938"/>
      <c r="M31" s="1937"/>
      <c r="V31" s="1938"/>
      <c r="W31" s="2316"/>
      <c r="X31" s="2316"/>
      <c r="Y31" s="2316"/>
      <c r="Z31" s="2316"/>
      <c r="AA31" s="2316"/>
    </row>
    <row r="32" spans="2:27">
      <c r="B32" s="1937"/>
      <c r="K32" s="1938"/>
      <c r="M32" s="1937"/>
      <c r="V32" s="1938"/>
      <c r="W32" s="2316"/>
      <c r="X32" s="2316"/>
      <c r="Y32" s="2316"/>
      <c r="Z32" s="2316"/>
      <c r="AA32" s="2316"/>
    </row>
    <row r="33" spans="2:27">
      <c r="B33" s="1937"/>
      <c r="F33" s="2662" t="s">
        <v>2024</v>
      </c>
      <c r="G33" s="2663"/>
      <c r="H33" s="2666">
        <v>80</v>
      </c>
      <c r="I33" s="2707" t="s">
        <v>163</v>
      </c>
      <c r="K33" s="2684"/>
      <c r="M33" s="1937"/>
      <c r="S33" s="1942"/>
      <c r="V33" s="1938"/>
      <c r="W33" s="2316"/>
      <c r="X33" s="2316"/>
      <c r="Y33" s="2316"/>
      <c r="Z33" s="2316"/>
      <c r="AA33" s="2316"/>
    </row>
    <row r="34" spans="2:27" ht="13.9" customHeight="1">
      <c r="B34" s="1937"/>
      <c r="F34" s="2664"/>
      <c r="G34" s="2665"/>
      <c r="H34" s="2667"/>
      <c r="I34" s="2708"/>
      <c r="K34" s="2684"/>
      <c r="M34" s="1937"/>
      <c r="S34" s="2691" t="s">
        <v>2032</v>
      </c>
      <c r="T34" s="2694">
        <v>8</v>
      </c>
      <c r="U34" s="2696" t="s">
        <v>2019</v>
      </c>
      <c r="V34" s="1938"/>
      <c r="W34" s="2316"/>
      <c r="X34" s="2316"/>
      <c r="Y34" s="2316"/>
      <c r="Z34" s="2316"/>
      <c r="AA34" s="2316"/>
    </row>
    <row r="35" spans="2:27" ht="21" customHeight="1">
      <c r="B35" s="1937"/>
      <c r="G35" s="2658" t="s">
        <v>2023</v>
      </c>
      <c r="H35" s="2658"/>
      <c r="I35" s="2658"/>
      <c r="J35" s="2658"/>
      <c r="K35" s="2680"/>
      <c r="M35" s="1937"/>
      <c r="S35" s="2692"/>
      <c r="T35" s="2695"/>
      <c r="U35" s="2697"/>
      <c r="V35" s="1938"/>
      <c r="W35" s="2316"/>
      <c r="X35" s="2316"/>
      <c r="Y35" s="2316"/>
      <c r="Z35" s="2316"/>
      <c r="AA35" s="2316"/>
    </row>
    <row r="36" spans="2:27" ht="21.75" customHeight="1">
      <c r="B36" s="1937"/>
      <c r="C36" s="2020"/>
      <c r="K36" s="1938"/>
      <c r="M36" s="1937"/>
      <c r="V36" s="1938"/>
      <c r="W36" s="2316"/>
      <c r="X36" s="2316"/>
      <c r="Y36" s="2316"/>
      <c r="Z36" s="2316"/>
      <c r="AA36" s="2316"/>
    </row>
    <row r="37" spans="2:27" ht="21" customHeight="1">
      <c r="B37" s="1937"/>
      <c r="K37" s="1938"/>
      <c r="M37" s="1937"/>
      <c r="V37" s="1938"/>
      <c r="W37" s="2316"/>
      <c r="X37" s="2316"/>
      <c r="Y37" s="2316"/>
      <c r="Z37" s="2316"/>
      <c r="AA37" s="2316"/>
    </row>
    <row r="38" spans="2:27">
      <c r="B38" s="1937"/>
      <c r="K38" s="1938"/>
      <c r="M38" s="1937"/>
      <c r="S38" s="1940"/>
      <c r="U38" s="1940"/>
      <c r="V38" s="1938"/>
    </row>
    <row r="39" spans="2:27">
      <c r="B39" s="1937"/>
      <c r="K39" s="1938"/>
      <c r="M39" s="1937"/>
      <c r="S39" s="1940"/>
      <c r="U39" s="1940"/>
      <c r="V39" s="1938"/>
    </row>
    <row r="40" spans="2:27" ht="15" customHeight="1">
      <c r="B40" s="1937"/>
      <c r="K40" s="1938"/>
      <c r="M40" s="1937"/>
      <c r="V40" s="1938"/>
    </row>
    <row r="41" spans="2:27" ht="15" customHeight="1">
      <c r="B41" s="1937"/>
      <c r="F41" s="2659" t="s">
        <v>2057</v>
      </c>
      <c r="G41" s="2660"/>
      <c r="H41" s="2661"/>
      <c r="K41" s="1938"/>
      <c r="M41" s="1937"/>
      <c r="V41" s="1938"/>
    </row>
    <row r="42" spans="2:27" ht="21" customHeight="1">
      <c r="B42" s="1937"/>
      <c r="J42" s="2034"/>
      <c r="K42" s="1938"/>
      <c r="M42" s="1937"/>
      <c r="S42" s="2673" t="s">
        <v>2029</v>
      </c>
      <c r="T42" s="2674"/>
      <c r="U42" s="2675"/>
      <c r="V42" s="1938"/>
    </row>
    <row r="43" spans="2:27" ht="21" customHeight="1">
      <c r="B43" s="1937"/>
      <c r="F43" s="2662" t="s">
        <v>2064</v>
      </c>
      <c r="G43" s="2663"/>
      <c r="H43" s="2666">
        <v>16</v>
      </c>
      <c r="I43" s="2668" t="s">
        <v>5</v>
      </c>
      <c r="J43" s="2034">
        <v>16</v>
      </c>
      <c r="K43" s="1938"/>
      <c r="M43" s="1937"/>
      <c r="S43" s="2676"/>
      <c r="T43" s="2676"/>
      <c r="U43" s="2676"/>
      <c r="V43" s="1938"/>
    </row>
    <row r="44" spans="2:27" ht="18.75" customHeight="1">
      <c r="B44" s="1937"/>
      <c r="F44" s="2664"/>
      <c r="G44" s="2665"/>
      <c r="H44" s="2667"/>
      <c r="I44" s="2669"/>
      <c r="J44" s="2034">
        <v>17</v>
      </c>
      <c r="K44" s="1938"/>
      <c r="M44" s="1937"/>
      <c r="S44" s="1932" t="s">
        <v>2038</v>
      </c>
      <c r="T44" s="1951">
        <f>T29/T34</f>
        <v>0.10312499999999999</v>
      </c>
      <c r="U44" s="1950" t="s">
        <v>88</v>
      </c>
      <c r="V44" s="1938"/>
    </row>
    <row r="45" spans="2:27" ht="21">
      <c r="B45" s="1937"/>
      <c r="H45" s="2023" t="s">
        <v>2065</v>
      </c>
      <c r="J45" s="2034"/>
      <c r="K45" s="1938"/>
      <c r="M45" s="1937"/>
      <c r="S45" s="1952" t="s">
        <v>2037</v>
      </c>
      <c r="T45" s="1949">
        <f>T34</f>
        <v>8</v>
      </c>
      <c r="U45" s="1950" t="s">
        <v>2019</v>
      </c>
      <c r="V45" s="1938"/>
    </row>
    <row r="46" spans="2:27" ht="21" customHeight="1">
      <c r="B46" s="1937"/>
      <c r="K46" s="1938"/>
      <c r="M46" s="1937"/>
      <c r="S46" s="1948" t="s">
        <v>2039</v>
      </c>
      <c r="T46" s="1951">
        <f>T44</f>
        <v>0.10312499999999999</v>
      </c>
      <c r="U46" s="1950" t="s">
        <v>88</v>
      </c>
      <c r="V46" s="1938"/>
    </row>
    <row r="47" spans="2:27" ht="9.6" customHeight="1">
      <c r="B47" s="1937"/>
      <c r="K47" s="1938"/>
      <c r="M47" s="1937"/>
      <c r="V47" s="1938"/>
    </row>
    <row r="48" spans="2:27" ht="21">
      <c r="B48" s="1937"/>
      <c r="F48" s="2659" t="s">
        <v>2060</v>
      </c>
      <c r="G48" s="2660"/>
      <c r="H48" s="2661"/>
      <c r="K48" s="1938"/>
      <c r="M48" s="1937"/>
      <c r="V48" s="1938"/>
    </row>
    <row r="49" spans="2:22">
      <c r="B49" s="1937"/>
      <c r="K49" s="1938"/>
      <c r="M49" s="1937"/>
      <c r="V49" s="1938"/>
    </row>
    <row r="50" spans="2:22">
      <c r="B50" s="1937"/>
      <c r="F50" s="2662" t="s">
        <v>2024</v>
      </c>
      <c r="G50" s="2663"/>
      <c r="H50" s="2666">
        <v>4</v>
      </c>
      <c r="I50" s="2668" t="s">
        <v>255</v>
      </c>
      <c r="J50" s="2715" t="str">
        <f>IF(H50&lt;3.5,"DİKKAT!!!","")</f>
        <v/>
      </c>
      <c r="K50" s="1938"/>
      <c r="M50" s="1937"/>
      <c r="V50" s="1938"/>
    </row>
    <row r="51" spans="2:22">
      <c r="B51" s="1937"/>
      <c r="F51" s="2664"/>
      <c r="G51" s="2665"/>
      <c r="H51" s="2667"/>
      <c r="I51" s="2669"/>
      <c r="J51" s="2715"/>
      <c r="K51" s="1938"/>
      <c r="M51" s="1937"/>
      <c r="V51" s="1938"/>
    </row>
    <row r="52" spans="2:22" ht="26.25">
      <c r="B52" s="1937"/>
      <c r="G52" s="2024" t="s">
        <v>2066</v>
      </c>
      <c r="H52" s="2658" t="s">
        <v>2069</v>
      </c>
      <c r="I52" s="2658"/>
      <c r="K52" s="1938"/>
      <c r="M52" s="1937"/>
      <c r="S52" s="2274" t="s">
        <v>2303</v>
      </c>
      <c r="V52" s="1938"/>
    </row>
    <row r="53" spans="2:22" ht="23.25">
      <c r="B53" s="1937"/>
      <c r="K53" s="1938"/>
      <c r="M53" s="1937"/>
      <c r="S53" s="2275" t="s">
        <v>2071</v>
      </c>
      <c r="V53" s="1938"/>
    </row>
    <row r="54" spans="2:22" ht="15.75" thickBot="1">
      <c r="B54" s="1945"/>
      <c r="C54" s="1946"/>
      <c r="D54" s="1946"/>
      <c r="E54" s="1946"/>
      <c r="F54" s="1946"/>
      <c r="G54" s="1946"/>
      <c r="H54" s="1946"/>
      <c r="I54" s="1946"/>
      <c r="J54" s="1946"/>
      <c r="K54" s="1947"/>
      <c r="M54" s="1945"/>
      <c r="N54" s="1946"/>
      <c r="O54" s="1946"/>
      <c r="P54" s="1946"/>
      <c r="Q54" s="1946"/>
      <c r="R54" s="1946"/>
      <c r="S54" s="1946"/>
      <c r="T54" s="1946"/>
      <c r="U54" s="1946"/>
      <c r="V54" s="1947"/>
    </row>
  </sheetData>
  <sheetProtection algorithmName="SHA-512" hashValue="BtFh/MToMbtzgCiaMoy/IJOF4nU4VsmanFJgnvpSr1KRmh62CYQ1WKdqSDJgzbqXwCH/S3fMspOjwaH/BZCAbQ==" saltValue="tGa6hDLKRlG9dgvJfElNMg==" spinCount="100000" sheet="1" objects="1" selectLockedCells="1"/>
  <mergeCells count="50">
    <mergeCell ref="J50:J51"/>
    <mergeCell ref="F41:H41"/>
    <mergeCell ref="F43:G44"/>
    <mergeCell ref="H43:H44"/>
    <mergeCell ref="I43:I44"/>
    <mergeCell ref="F13:H13"/>
    <mergeCell ref="F30:H30"/>
    <mergeCell ref="F33:G34"/>
    <mergeCell ref="I33:I34"/>
    <mergeCell ref="E19:G19"/>
    <mergeCell ref="E18:G18"/>
    <mergeCell ref="E22:G22"/>
    <mergeCell ref="G24:I24"/>
    <mergeCell ref="H28:J28"/>
    <mergeCell ref="H17:I17"/>
    <mergeCell ref="H16:I16"/>
    <mergeCell ref="H15:I15"/>
    <mergeCell ref="S29:S30"/>
    <mergeCell ref="S15:S16"/>
    <mergeCell ref="AC15:AC16"/>
    <mergeCell ref="S18:S19"/>
    <mergeCell ref="S22:S23"/>
    <mergeCell ref="AD15:AD16"/>
    <mergeCell ref="T34:T35"/>
    <mergeCell ref="U34:U35"/>
    <mergeCell ref="T29:T30"/>
    <mergeCell ref="U29:U30"/>
    <mergeCell ref="T15:T16"/>
    <mergeCell ref="U15:U16"/>
    <mergeCell ref="H5:P5"/>
    <mergeCell ref="S42:U42"/>
    <mergeCell ref="S43:U43"/>
    <mergeCell ref="C10:J10"/>
    <mergeCell ref="G35:K35"/>
    <mergeCell ref="N10:U10"/>
    <mergeCell ref="S13:U13"/>
    <mergeCell ref="S27:U27"/>
    <mergeCell ref="K33:K34"/>
    <mergeCell ref="H33:H34"/>
    <mergeCell ref="T18:T19"/>
    <mergeCell ref="U18:U19"/>
    <mergeCell ref="T22:T23"/>
    <mergeCell ref="U22:U23"/>
    <mergeCell ref="E17:G17"/>
    <mergeCell ref="S34:S35"/>
    <mergeCell ref="H52:I52"/>
    <mergeCell ref="F48:H48"/>
    <mergeCell ref="F50:G51"/>
    <mergeCell ref="H50:H51"/>
    <mergeCell ref="I50:I51"/>
  </mergeCells>
  <dataValidations count="2">
    <dataValidation type="list" allowBlank="1" showInputMessage="1" showErrorMessage="1" sqref="H17:I17" xr:uid="{B1EB3996-808E-48BA-AF5D-376FDA89C719}">
      <formula1>$Y$17:$Y$19</formula1>
    </dataValidation>
    <dataValidation type="list" allowBlank="1" showInputMessage="1" showErrorMessage="1" sqref="H43:H44" xr:uid="{FF5599E3-28DF-4FF3-8A1F-E4C0E388B68C}">
      <formula1>$J$43:$J$44</formula1>
    </dataValidation>
  </dataValidation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89497-FEFB-47BA-8211-29EC0340721C}">
  <dimension ref="B2:AI32"/>
  <sheetViews>
    <sheetView showRowColHeaders="0" zoomScale="84" zoomScaleNormal="84" workbookViewId="0">
      <selection activeCell="N14" sqref="N14:P15"/>
    </sheetView>
  </sheetViews>
  <sheetFormatPr defaultColWidth="8.85546875" defaultRowHeight="15"/>
  <cols>
    <col min="1" max="1" width="12.42578125" style="2278" customWidth="1"/>
    <col min="2" max="12" width="8.85546875" style="2278"/>
    <col min="13" max="13" width="20.140625" style="2278" customWidth="1"/>
    <col min="14" max="15" width="8.85546875" style="2278"/>
    <col min="16" max="16" width="6.7109375" style="2278" customWidth="1"/>
    <col min="17" max="17" width="8.5703125" style="2278" customWidth="1"/>
    <col min="18" max="18" width="11.140625" style="2278" customWidth="1"/>
    <col min="19" max="21" width="8.85546875" style="2278"/>
    <col min="22" max="22" width="8.85546875" style="2278" customWidth="1"/>
    <col min="23" max="23" width="8.5703125" style="2278" customWidth="1"/>
    <col min="24" max="24" width="6.140625" style="2278" customWidth="1"/>
    <col min="25" max="25" width="4.28515625" style="2278" customWidth="1"/>
    <col min="26" max="26" width="5.7109375" style="2278" customWidth="1"/>
    <col min="27" max="16384" width="8.85546875" style="2278"/>
  </cols>
  <sheetData>
    <row r="2" spans="2:35" ht="48">
      <c r="B2" s="2282" t="s">
        <v>2305</v>
      </c>
      <c r="C2" s="2283"/>
      <c r="D2" s="2283"/>
      <c r="E2" s="2283"/>
      <c r="F2" s="2283"/>
      <c r="G2" s="2283"/>
      <c r="H2" s="2283"/>
      <c r="I2" s="2283"/>
      <c r="J2" s="2284"/>
      <c r="K2" s="2280"/>
      <c r="L2" s="2280"/>
      <c r="M2" s="2281"/>
      <c r="P2" s="2308"/>
      <c r="Q2" s="2297"/>
    </row>
    <row r="3" spans="2:35" ht="26.25">
      <c r="O3" s="2287"/>
      <c r="P3" s="2310" t="s">
        <v>2314</v>
      </c>
      <c r="Q3" s="2288"/>
      <c r="R3" s="2288"/>
      <c r="S3" s="2288"/>
      <c r="T3" s="2288"/>
      <c r="U3" s="2288"/>
      <c r="V3" s="2288"/>
      <c r="W3" s="2289"/>
      <c r="Z3" s="2716" t="s">
        <v>2303</v>
      </c>
      <c r="AA3" s="2716"/>
      <c r="AB3" s="2716"/>
      <c r="AC3" s="2716"/>
      <c r="AD3" s="2716"/>
      <c r="AE3" s="2716"/>
      <c r="AF3" s="2716"/>
      <c r="AG3" s="2716"/>
    </row>
    <row r="4" spans="2:35" ht="25.15" customHeight="1">
      <c r="O4" s="2294"/>
      <c r="P4" s="2307" t="s">
        <v>337</v>
      </c>
      <c r="Q4" s="2305">
        <v>16</v>
      </c>
      <c r="R4" s="2306" t="s">
        <v>5</v>
      </c>
      <c r="S4" s="2309" t="s">
        <v>1215</v>
      </c>
      <c r="T4" s="2297"/>
      <c r="U4" s="2297"/>
      <c r="V4" s="2297"/>
      <c r="W4" s="2299"/>
      <c r="X4" s="2297"/>
      <c r="Y4" s="2286"/>
      <c r="AB4" s="2762" t="s">
        <v>2071</v>
      </c>
      <c r="AC4" s="2762"/>
      <c r="AD4" s="2762"/>
      <c r="AE4" s="2762"/>
      <c r="AF4" s="2762"/>
      <c r="AG4" s="2762"/>
    </row>
    <row r="5" spans="2:35" ht="10.15" customHeight="1">
      <c r="O5" s="2294"/>
      <c r="P5" s="2297"/>
      <c r="Q5" s="2297"/>
      <c r="R5" s="2297"/>
      <c r="S5" s="2297"/>
      <c r="T5" s="2297"/>
      <c r="U5" s="2297"/>
      <c r="V5" s="2297"/>
      <c r="W5" s="2299"/>
      <c r="X5" s="2297"/>
      <c r="AF5" s="2763">
        <v>2026</v>
      </c>
      <c r="AG5" s="2763"/>
    </row>
    <row r="6" spans="2:35" ht="21">
      <c r="N6" s="2279"/>
      <c r="O6" s="2294"/>
      <c r="P6" s="2303">
        <v>80</v>
      </c>
      <c r="Q6" s="2304" t="s">
        <v>163</v>
      </c>
      <c r="R6" s="2295" t="s">
        <v>1214</v>
      </c>
      <c r="S6" s="2296"/>
      <c r="T6" s="2297"/>
      <c r="U6" s="2297"/>
      <c r="V6" s="2296"/>
      <c r="W6" s="2298"/>
      <c r="X6" s="2296"/>
    </row>
    <row r="7" spans="2:35" ht="18.75">
      <c r="N7" s="2279"/>
      <c r="O7" s="2294"/>
      <c r="P7" s="2297"/>
      <c r="Q7" s="2297"/>
      <c r="R7" s="2297"/>
      <c r="S7" s="2297"/>
      <c r="T7" s="2297"/>
      <c r="U7" s="2297"/>
      <c r="V7" s="2297"/>
      <c r="W7" s="2299"/>
      <c r="X7" s="2297"/>
    </row>
    <row r="8" spans="2:35" ht="21">
      <c r="N8" s="2279"/>
      <c r="O8" s="2291"/>
      <c r="P8" s="2313">
        <f>IF(Q4=17,12.5,11.2)</f>
        <v>11.2</v>
      </c>
      <c r="Q8" s="2312" t="s">
        <v>2316</v>
      </c>
      <c r="R8" s="2295" t="s">
        <v>145</v>
      </c>
      <c r="S8" s="2297"/>
      <c r="T8" s="2297"/>
      <c r="U8" s="2297"/>
      <c r="V8" s="2297"/>
      <c r="W8" s="2299"/>
      <c r="X8" s="2297"/>
    </row>
    <row r="9" spans="2:35" ht="21">
      <c r="N9" s="2279"/>
      <c r="O9" s="2292"/>
      <c r="P9" s="2317"/>
      <c r="Q9" s="2300"/>
      <c r="R9" s="2290"/>
      <c r="S9" s="2290"/>
      <c r="T9" s="2301"/>
      <c r="U9" s="2300"/>
      <c r="V9" s="2300"/>
      <c r="W9" s="2302"/>
      <c r="X9" s="2297"/>
    </row>
    <row r="10" spans="2:35" ht="14.45" customHeight="1">
      <c r="N10" s="2279"/>
      <c r="O10" s="2279"/>
      <c r="P10" s="2279"/>
      <c r="R10" s="2286"/>
      <c r="S10" s="2286"/>
    </row>
    <row r="11" spans="2:35" ht="14.45" customHeight="1">
      <c r="N11" s="2290" t="s">
        <v>2306</v>
      </c>
      <c r="O11" s="2290"/>
      <c r="P11" s="2290"/>
    </row>
    <row r="12" spans="2:35" ht="24" customHeight="1">
      <c r="M12" s="2794" t="s">
        <v>2309</v>
      </c>
      <c r="N12" s="2796" t="s">
        <v>2307</v>
      </c>
      <c r="O12" s="2797"/>
      <c r="P12" s="2798"/>
      <c r="Q12" s="2776" t="s">
        <v>2310</v>
      </c>
      <c r="R12" s="2777"/>
      <c r="S12" s="2776" t="s">
        <v>2311</v>
      </c>
      <c r="T12" s="2777"/>
      <c r="U12" s="2780" t="s">
        <v>2312</v>
      </c>
      <c r="V12" s="2781"/>
      <c r="W12" s="2780" t="s">
        <v>2313</v>
      </c>
      <c r="X12" s="2781"/>
      <c r="Y12" s="2781"/>
      <c r="Z12" s="2784"/>
      <c r="AA12" s="2802" t="s">
        <v>42</v>
      </c>
      <c r="AB12" s="2803"/>
      <c r="AC12" s="2802" t="s">
        <v>77</v>
      </c>
      <c r="AD12" s="2803"/>
      <c r="AE12" s="2806" t="s">
        <v>755</v>
      </c>
      <c r="AF12" s="2807"/>
    </row>
    <row r="13" spans="2:35" ht="21" customHeight="1">
      <c r="M13" s="2795"/>
      <c r="N13" s="2799"/>
      <c r="O13" s="2800"/>
      <c r="P13" s="2801"/>
      <c r="Q13" s="2778"/>
      <c r="R13" s="2779"/>
      <c r="S13" s="2778"/>
      <c r="T13" s="2779"/>
      <c r="U13" s="2782"/>
      <c r="V13" s="2783"/>
      <c r="W13" s="2782"/>
      <c r="X13" s="2783"/>
      <c r="Y13" s="2783"/>
      <c r="Z13" s="2785"/>
      <c r="AA13" s="2804"/>
      <c r="AB13" s="2805"/>
      <c r="AC13" s="2804"/>
      <c r="AD13" s="2805"/>
      <c r="AE13" s="2808"/>
      <c r="AF13" s="2809"/>
    </row>
    <row r="14" spans="2:35" ht="16.899999999999999" customHeight="1">
      <c r="M14" s="2788" t="s">
        <v>771</v>
      </c>
      <c r="N14" s="2790">
        <v>7.5</v>
      </c>
      <c r="O14" s="2791"/>
      <c r="P14" s="2791"/>
      <c r="Q14" s="2753">
        <v>3</v>
      </c>
      <c r="R14" s="2758" t="s">
        <v>156</v>
      </c>
      <c r="S14" s="2753">
        <v>1</v>
      </c>
      <c r="T14" s="2758" t="s">
        <v>156</v>
      </c>
      <c r="U14" s="2764">
        <f>Q14*S14</f>
        <v>3</v>
      </c>
      <c r="V14" s="2765"/>
      <c r="W14" s="2768">
        <f>(U14/(N14/100))*1.05</f>
        <v>42</v>
      </c>
      <c r="X14" s="2769"/>
      <c r="Y14" s="2772" t="s">
        <v>156</v>
      </c>
      <c r="Z14" s="2773"/>
      <c r="AA14" s="2810">
        <f>((W14*P$8)/1000)*860</f>
        <v>404.54399999999998</v>
      </c>
      <c r="AB14" s="2812" t="s">
        <v>42</v>
      </c>
      <c r="AC14" s="2810">
        <f>AA14/860</f>
        <v>0.47039999999999998</v>
      </c>
      <c r="AD14" s="2812" t="s">
        <v>77</v>
      </c>
      <c r="AE14" s="2814">
        <f>IF(Q$4=16,0.113*W14,0.133*W14)</f>
        <v>4.7460000000000004</v>
      </c>
      <c r="AF14" s="2812" t="s">
        <v>755</v>
      </c>
      <c r="AG14" s="2819" t="str">
        <f>IF(W14&gt;P$6,"DİKKAT !!!                         boru metrajı sınırı aştı","")</f>
        <v/>
      </c>
      <c r="AH14" s="2819"/>
      <c r="AI14" s="2819"/>
    </row>
    <row r="15" spans="2:35" ht="16.899999999999999" customHeight="1">
      <c r="M15" s="2789"/>
      <c r="N15" s="2792"/>
      <c r="O15" s="2793"/>
      <c r="P15" s="2793"/>
      <c r="Q15" s="2787"/>
      <c r="R15" s="2786"/>
      <c r="S15" s="2787"/>
      <c r="T15" s="2786"/>
      <c r="U15" s="2766"/>
      <c r="V15" s="2767"/>
      <c r="W15" s="2770"/>
      <c r="X15" s="2771"/>
      <c r="Y15" s="2774"/>
      <c r="Z15" s="2775"/>
      <c r="AA15" s="2811"/>
      <c r="AB15" s="2813"/>
      <c r="AC15" s="2811"/>
      <c r="AD15" s="2813"/>
      <c r="AE15" s="2815"/>
      <c r="AF15" s="2813"/>
      <c r="AG15" s="2819"/>
      <c r="AH15" s="2819"/>
      <c r="AI15" s="2819"/>
    </row>
    <row r="16" spans="2:35" ht="16.899999999999999" customHeight="1">
      <c r="M16" s="2788" t="s">
        <v>772</v>
      </c>
      <c r="N16" s="2790">
        <v>15</v>
      </c>
      <c r="O16" s="2791"/>
      <c r="P16" s="2791"/>
      <c r="Q16" s="2753">
        <v>2</v>
      </c>
      <c r="R16" s="2758" t="s">
        <v>156</v>
      </c>
      <c r="S16" s="2753">
        <v>2.5</v>
      </c>
      <c r="T16" s="2758" t="s">
        <v>156</v>
      </c>
      <c r="U16" s="2764">
        <f>Q16*S16</f>
        <v>5</v>
      </c>
      <c r="V16" s="2765"/>
      <c r="W16" s="2768">
        <f>(U16/(N16/100))*1.05</f>
        <v>35.000000000000007</v>
      </c>
      <c r="X16" s="2769"/>
      <c r="Y16" s="2772" t="s">
        <v>156</v>
      </c>
      <c r="Z16" s="2773"/>
      <c r="AA16" s="2810">
        <f t="shared" ref="AA16" si="0">((W16*P$8)/1000)*860</f>
        <v>337.12000000000006</v>
      </c>
      <c r="AB16" s="2812" t="s">
        <v>42</v>
      </c>
      <c r="AC16" s="2810">
        <f t="shared" ref="AC16" si="1">AA16/860</f>
        <v>0.39200000000000007</v>
      </c>
      <c r="AD16" s="2812" t="s">
        <v>77</v>
      </c>
      <c r="AE16" s="2814">
        <f>IF(Q$4=16,0.113*W16,0.133*W16)</f>
        <v>3.955000000000001</v>
      </c>
      <c r="AF16" s="2812" t="s">
        <v>755</v>
      </c>
      <c r="AG16" s="2820" t="str">
        <f t="shared" ref="AG16" si="2">IF(W16&gt;P$6,"DİKKAT !!!                         boru metrajı sınırı aştı","")</f>
        <v/>
      </c>
      <c r="AH16" s="2820"/>
      <c r="AI16" s="2820"/>
    </row>
    <row r="17" spans="13:35" ht="16.899999999999999" customHeight="1">
      <c r="M17" s="2789"/>
      <c r="N17" s="2792"/>
      <c r="O17" s="2793"/>
      <c r="P17" s="2793"/>
      <c r="Q17" s="2787"/>
      <c r="R17" s="2786"/>
      <c r="S17" s="2787"/>
      <c r="T17" s="2786"/>
      <c r="U17" s="2766"/>
      <c r="V17" s="2767"/>
      <c r="W17" s="2770"/>
      <c r="X17" s="2771"/>
      <c r="Y17" s="2774"/>
      <c r="Z17" s="2775"/>
      <c r="AA17" s="2811"/>
      <c r="AB17" s="2813"/>
      <c r="AC17" s="2811"/>
      <c r="AD17" s="2813"/>
      <c r="AE17" s="2815"/>
      <c r="AF17" s="2813"/>
      <c r="AG17" s="2820"/>
      <c r="AH17" s="2820"/>
      <c r="AI17" s="2820"/>
    </row>
    <row r="18" spans="13:35" ht="16.899999999999999" customHeight="1">
      <c r="M18" s="2788" t="s">
        <v>773</v>
      </c>
      <c r="N18" s="2790">
        <v>22.5</v>
      </c>
      <c r="O18" s="2791"/>
      <c r="P18" s="2791"/>
      <c r="Q18" s="2753"/>
      <c r="R18" s="2758" t="s">
        <v>156</v>
      </c>
      <c r="S18" s="2753"/>
      <c r="T18" s="2758" t="s">
        <v>156</v>
      </c>
      <c r="U18" s="2764">
        <f>Q18*S18</f>
        <v>0</v>
      </c>
      <c r="V18" s="2765"/>
      <c r="W18" s="2768">
        <f>(U18/(N18/100))*1.05</f>
        <v>0</v>
      </c>
      <c r="X18" s="2769"/>
      <c r="Y18" s="2772" t="s">
        <v>156</v>
      </c>
      <c r="Z18" s="2773"/>
      <c r="AA18" s="2810">
        <f t="shared" ref="AA18" si="3">((W18*P$8)/1000)*860</f>
        <v>0</v>
      </c>
      <c r="AB18" s="2812" t="s">
        <v>42</v>
      </c>
      <c r="AC18" s="2810">
        <f t="shared" ref="AC18" si="4">AA18/860</f>
        <v>0</v>
      </c>
      <c r="AD18" s="2812" t="s">
        <v>77</v>
      </c>
      <c r="AE18" s="2814">
        <f t="shared" ref="AE18" si="5">IF(Q$4=16,0.113*W18,0.133*W18)</f>
        <v>0</v>
      </c>
      <c r="AF18" s="2812" t="s">
        <v>755</v>
      </c>
      <c r="AG18" s="2819" t="str">
        <f t="shared" ref="AG18" si="6">IF(W18&gt;P$6,"DİKKAT !!!                         boru metrajı sınırı aştı","")</f>
        <v/>
      </c>
      <c r="AH18" s="2819"/>
      <c r="AI18" s="2819"/>
    </row>
    <row r="19" spans="13:35" ht="16.899999999999999" customHeight="1">
      <c r="M19" s="2789"/>
      <c r="N19" s="2792"/>
      <c r="O19" s="2793"/>
      <c r="P19" s="2793"/>
      <c r="Q19" s="2787"/>
      <c r="R19" s="2786"/>
      <c r="S19" s="2787"/>
      <c r="T19" s="2786"/>
      <c r="U19" s="2766"/>
      <c r="V19" s="2767"/>
      <c r="W19" s="2770"/>
      <c r="X19" s="2771"/>
      <c r="Y19" s="2774"/>
      <c r="Z19" s="2775"/>
      <c r="AA19" s="2811"/>
      <c r="AB19" s="2813"/>
      <c r="AC19" s="2811"/>
      <c r="AD19" s="2813"/>
      <c r="AE19" s="2815"/>
      <c r="AF19" s="2813"/>
      <c r="AG19" s="2819"/>
      <c r="AH19" s="2819"/>
      <c r="AI19" s="2819"/>
    </row>
    <row r="20" spans="13:35" ht="16.899999999999999" customHeight="1">
      <c r="M20" s="2788" t="s">
        <v>774</v>
      </c>
      <c r="N20" s="2790">
        <v>22.5</v>
      </c>
      <c r="O20" s="2791"/>
      <c r="P20" s="2791"/>
      <c r="Q20" s="2753"/>
      <c r="R20" s="2758" t="s">
        <v>156</v>
      </c>
      <c r="S20" s="2753"/>
      <c r="T20" s="2758" t="s">
        <v>156</v>
      </c>
      <c r="U20" s="2764">
        <f>Q20*S20</f>
        <v>0</v>
      </c>
      <c r="V20" s="2765"/>
      <c r="W20" s="2768">
        <f>(U20/(N20/100))*1.05</f>
        <v>0</v>
      </c>
      <c r="X20" s="2769"/>
      <c r="Y20" s="2772" t="s">
        <v>156</v>
      </c>
      <c r="Z20" s="2773"/>
      <c r="AA20" s="2810">
        <f t="shared" ref="AA20" si="7">((W20*P$8)/1000)*860</f>
        <v>0</v>
      </c>
      <c r="AB20" s="2812" t="s">
        <v>42</v>
      </c>
      <c r="AC20" s="2810">
        <f t="shared" ref="AC20" si="8">AA20/860</f>
        <v>0</v>
      </c>
      <c r="AD20" s="2812" t="s">
        <v>77</v>
      </c>
      <c r="AE20" s="2814">
        <f t="shared" ref="AE20" si="9">IF(Q$4=16,0.113*W20,0.133*W20)</f>
        <v>0</v>
      </c>
      <c r="AF20" s="2812" t="s">
        <v>755</v>
      </c>
      <c r="AG20" s="2820" t="str">
        <f t="shared" ref="AG20" si="10">IF(W20&gt;P$6,"DİKKAT !!!                         boru metrajı sınırı aştı","")</f>
        <v/>
      </c>
      <c r="AH20" s="2820"/>
      <c r="AI20" s="2820"/>
    </row>
    <row r="21" spans="13:35" ht="16.899999999999999" customHeight="1">
      <c r="M21" s="2789"/>
      <c r="N21" s="2792"/>
      <c r="O21" s="2793"/>
      <c r="P21" s="2793"/>
      <c r="Q21" s="2787"/>
      <c r="R21" s="2786"/>
      <c r="S21" s="2787"/>
      <c r="T21" s="2786"/>
      <c r="U21" s="2766"/>
      <c r="V21" s="2767"/>
      <c r="W21" s="2770"/>
      <c r="X21" s="2771"/>
      <c r="Y21" s="2774"/>
      <c r="Z21" s="2775"/>
      <c r="AA21" s="2811"/>
      <c r="AB21" s="2813"/>
      <c r="AC21" s="2811"/>
      <c r="AD21" s="2813"/>
      <c r="AE21" s="2815"/>
      <c r="AF21" s="2813"/>
      <c r="AG21" s="2820"/>
      <c r="AH21" s="2820"/>
      <c r="AI21" s="2820"/>
    </row>
    <row r="22" spans="13:35" ht="16.899999999999999" customHeight="1">
      <c r="M22" s="2788" t="s">
        <v>775</v>
      </c>
      <c r="N22" s="2790">
        <v>30</v>
      </c>
      <c r="O22" s="2791"/>
      <c r="P22" s="2791"/>
      <c r="Q22" s="2753"/>
      <c r="R22" s="2758" t="s">
        <v>156</v>
      </c>
      <c r="S22" s="2753"/>
      <c r="T22" s="2758" t="s">
        <v>156</v>
      </c>
      <c r="U22" s="2764">
        <f>Q22*S22</f>
        <v>0</v>
      </c>
      <c r="V22" s="2765"/>
      <c r="W22" s="2768">
        <f>(U22/(N22/100))*1.05</f>
        <v>0</v>
      </c>
      <c r="X22" s="2769"/>
      <c r="Y22" s="2772" t="s">
        <v>156</v>
      </c>
      <c r="Z22" s="2773"/>
      <c r="AA22" s="2810">
        <f t="shared" ref="AA22" si="11">((W22*P$8)/1000)*860</f>
        <v>0</v>
      </c>
      <c r="AB22" s="2812" t="s">
        <v>42</v>
      </c>
      <c r="AC22" s="2810">
        <f t="shared" ref="AC22" si="12">AA22/860</f>
        <v>0</v>
      </c>
      <c r="AD22" s="2812" t="s">
        <v>77</v>
      </c>
      <c r="AE22" s="2814">
        <f t="shared" ref="AE22" si="13">IF(Q$4=16,0.113*W22,0.133*W22)</f>
        <v>0</v>
      </c>
      <c r="AF22" s="2812" t="s">
        <v>755</v>
      </c>
      <c r="AG22" s="2819" t="str">
        <f t="shared" ref="AG22" si="14">IF(W22&gt;P$6,"DİKKAT !!!                         boru metrajı sınırı aştı","")</f>
        <v/>
      </c>
      <c r="AH22" s="2819"/>
      <c r="AI22" s="2819"/>
    </row>
    <row r="23" spans="13:35" ht="16.899999999999999" customHeight="1">
      <c r="M23" s="2789"/>
      <c r="N23" s="2792"/>
      <c r="O23" s="2793"/>
      <c r="P23" s="2793"/>
      <c r="Q23" s="2787"/>
      <c r="R23" s="2786"/>
      <c r="S23" s="2787"/>
      <c r="T23" s="2786"/>
      <c r="U23" s="2766"/>
      <c r="V23" s="2767"/>
      <c r="W23" s="2770"/>
      <c r="X23" s="2771"/>
      <c r="Y23" s="2774"/>
      <c r="Z23" s="2775"/>
      <c r="AA23" s="2811"/>
      <c r="AB23" s="2813"/>
      <c r="AC23" s="2811"/>
      <c r="AD23" s="2813"/>
      <c r="AE23" s="2815"/>
      <c r="AF23" s="2813"/>
      <c r="AG23" s="2819"/>
      <c r="AH23" s="2819"/>
      <c r="AI23" s="2819"/>
    </row>
    <row r="24" spans="13:35" ht="14.45" customHeight="1">
      <c r="R24" s="2747" t="s">
        <v>2315</v>
      </c>
      <c r="S24" s="2748"/>
      <c r="T24" s="2748"/>
      <c r="U24" s="2748"/>
      <c r="V24" s="2749"/>
      <c r="W24" s="2753">
        <v>6</v>
      </c>
      <c r="X24" s="2754"/>
      <c r="Y24" s="2757" t="s">
        <v>156</v>
      </c>
      <c r="Z24" s="2758"/>
      <c r="AA24" s="2810">
        <f t="shared" ref="AA24" si="15">((W24*P$8)/1000)*860</f>
        <v>57.791999999999987</v>
      </c>
      <c r="AB24" s="2812" t="s">
        <v>42</v>
      </c>
      <c r="AC24" s="2810">
        <f t="shared" ref="AC24" si="16">AA24/860</f>
        <v>6.7199999999999982E-2</v>
      </c>
      <c r="AD24" s="2812" t="s">
        <v>77</v>
      </c>
      <c r="AE24" s="2814">
        <f>IF(Q$4=16,0.113*W24,0.133*W24)</f>
        <v>0.67800000000000005</v>
      </c>
      <c r="AF24" s="2812" t="s">
        <v>755</v>
      </c>
      <c r="AG24" s="2821" t="str">
        <f>IF(W24&gt;P$6,"DİKKAT !!!                         boru metrajı sınırı aştı","")</f>
        <v/>
      </c>
      <c r="AH24" s="2820"/>
      <c r="AI24" s="2820"/>
    </row>
    <row r="25" spans="13:35" ht="14.45" customHeight="1">
      <c r="R25" s="2750"/>
      <c r="S25" s="2751"/>
      <c r="T25" s="2751"/>
      <c r="U25" s="2751"/>
      <c r="V25" s="2752"/>
      <c r="W25" s="2755"/>
      <c r="X25" s="2756"/>
      <c r="Y25" s="2759"/>
      <c r="Z25" s="2760"/>
      <c r="AA25" s="2831"/>
      <c r="AB25" s="2832"/>
      <c r="AC25" s="2831"/>
      <c r="AD25" s="2832"/>
      <c r="AE25" s="2833"/>
      <c r="AF25" s="2832"/>
      <c r="AG25" s="2821"/>
      <c r="AH25" s="2820"/>
      <c r="AI25" s="2820"/>
    </row>
    <row r="26" spans="13:35" ht="15.75" thickBot="1">
      <c r="M26" s="2293"/>
      <c r="N26" s="2293"/>
      <c r="O26" s="2293"/>
      <c r="R26" s="2750"/>
      <c r="S26" s="2751"/>
      <c r="T26" s="2751"/>
      <c r="U26" s="2751"/>
      <c r="V26" s="2752"/>
      <c r="W26" s="2755"/>
      <c r="X26" s="2756"/>
      <c r="Y26" s="2759"/>
      <c r="Z26" s="2760"/>
      <c r="AA26" s="2831"/>
      <c r="AB26" s="2832"/>
      <c r="AC26" s="2831"/>
      <c r="AD26" s="2832"/>
      <c r="AE26" s="2833"/>
      <c r="AF26" s="2832"/>
      <c r="AG26" s="2821"/>
      <c r="AH26" s="2820"/>
      <c r="AI26" s="2820"/>
    </row>
    <row r="27" spans="13:35" ht="14.45" customHeight="1">
      <c r="M27" s="2293"/>
      <c r="N27" s="2293"/>
      <c r="O27" s="2717" t="s">
        <v>2317</v>
      </c>
      <c r="P27" s="2718"/>
      <c r="Q27" s="2719"/>
      <c r="R27" s="2726" t="s">
        <v>2308</v>
      </c>
      <c r="S27" s="2727"/>
      <c r="T27" s="2727"/>
      <c r="U27" s="2727"/>
      <c r="V27" s="2728"/>
      <c r="W27" s="2735">
        <f>W14+W16+W18+W20+W22+W24</f>
        <v>83</v>
      </c>
      <c r="X27" s="2736"/>
      <c r="Y27" s="2741" t="s">
        <v>156</v>
      </c>
      <c r="Z27" s="2742"/>
      <c r="AA27" s="2822">
        <f t="shared" ref="AA27" si="17">((W27*P$8)/1000)*860</f>
        <v>799.4559999999999</v>
      </c>
      <c r="AB27" s="2825" t="s">
        <v>42</v>
      </c>
      <c r="AC27" s="2822">
        <f t="shared" ref="AC27" si="18">AA27/860</f>
        <v>0.92959999999999987</v>
      </c>
      <c r="AD27" s="2825" t="s">
        <v>77</v>
      </c>
      <c r="AE27" s="2828">
        <f>IF(Q$4=16,0.113*W27,0.133*W27)</f>
        <v>9.3789999999999996</v>
      </c>
      <c r="AF27" s="2816" t="s">
        <v>755</v>
      </c>
      <c r="AG27" s="2819"/>
      <c r="AH27" s="2819"/>
      <c r="AI27" s="2819"/>
    </row>
    <row r="28" spans="13:35" ht="14.45" customHeight="1">
      <c r="M28" s="2285">
        <v>16</v>
      </c>
      <c r="N28" s="2285">
        <v>7.5</v>
      </c>
      <c r="O28" s="2720"/>
      <c r="P28" s="2721"/>
      <c r="Q28" s="2722"/>
      <c r="R28" s="2729"/>
      <c r="S28" s="2730"/>
      <c r="T28" s="2730"/>
      <c r="U28" s="2730"/>
      <c r="V28" s="2731"/>
      <c r="W28" s="2737"/>
      <c r="X28" s="2738"/>
      <c r="Y28" s="2743"/>
      <c r="Z28" s="2744"/>
      <c r="AA28" s="2823"/>
      <c r="AB28" s="2826"/>
      <c r="AC28" s="2823"/>
      <c r="AD28" s="2826"/>
      <c r="AE28" s="2829"/>
      <c r="AF28" s="2817"/>
      <c r="AG28" s="2819"/>
      <c r="AH28" s="2819"/>
      <c r="AI28" s="2819"/>
    </row>
    <row r="29" spans="13:35" ht="14.45" customHeight="1" thickBot="1">
      <c r="M29" s="2285">
        <v>17</v>
      </c>
      <c r="N29" s="2285">
        <v>15</v>
      </c>
      <c r="O29" s="2723"/>
      <c r="P29" s="2724"/>
      <c r="Q29" s="2725"/>
      <c r="R29" s="2732"/>
      <c r="S29" s="2733"/>
      <c r="T29" s="2733"/>
      <c r="U29" s="2733"/>
      <c r="V29" s="2734"/>
      <c r="W29" s="2739"/>
      <c r="X29" s="2740"/>
      <c r="Y29" s="2745"/>
      <c r="Z29" s="2746"/>
      <c r="AA29" s="2824"/>
      <c r="AB29" s="2827"/>
      <c r="AC29" s="2824"/>
      <c r="AD29" s="2827"/>
      <c r="AE29" s="2830"/>
      <c r="AF29" s="2818"/>
      <c r="AG29" s="2819"/>
      <c r="AH29" s="2819"/>
      <c r="AI29" s="2819"/>
    </row>
    <row r="30" spans="13:35" ht="22.9" customHeight="1">
      <c r="M30" s="2285"/>
      <c r="N30" s="2285">
        <v>22.5</v>
      </c>
      <c r="O30" s="2311"/>
      <c r="V30" s="2761" t="str">
        <f>IF(W27&gt;P$6,"DİKKAT !!!                         boru metrajı sınırı aştı","")</f>
        <v>DİKKAT !!!                         boru metrajı sınırı aştı</v>
      </c>
      <c r="W30" s="2761"/>
      <c r="X30" s="2761"/>
      <c r="Y30" s="2761"/>
      <c r="Z30" s="2761"/>
      <c r="AA30" s="2761"/>
    </row>
    <row r="31" spans="13:35" ht="14.45" customHeight="1">
      <c r="M31" s="2285"/>
      <c r="N31" s="2285">
        <v>30</v>
      </c>
      <c r="O31" s="2311"/>
      <c r="V31" s="2761"/>
      <c r="W31" s="2761"/>
      <c r="X31" s="2761"/>
      <c r="Y31" s="2761"/>
      <c r="Z31" s="2761"/>
      <c r="AA31" s="2761"/>
    </row>
    <row r="32" spans="13:35" ht="14.45" customHeight="1">
      <c r="M32" s="2285"/>
      <c r="N32" s="2285">
        <v>37.5</v>
      </c>
      <c r="V32" s="2761"/>
      <c r="W32" s="2761"/>
      <c r="X32" s="2761"/>
      <c r="Y32" s="2761"/>
      <c r="Z32" s="2761"/>
      <c r="AA32" s="2761"/>
    </row>
  </sheetData>
  <sheetProtection algorithmName="SHA-512" hashValue="gxDiT25E8E8fbXxXvDh/VNmXXUiF0CCI+CtlCQHSyz+X4/wr6TvGoTkKGHLvJrPQ5sjwfeND1sYAZ/5I3CjPeA==" saltValue="Tr95nqL/2efz2XNPQH04Zg==" spinCount="100000" sheet="1" objects="1" selectLockedCells="1"/>
  <mergeCells count="114">
    <mergeCell ref="AF27:AF29"/>
    <mergeCell ref="AG14:AI15"/>
    <mergeCell ref="AG16:AI17"/>
    <mergeCell ref="AG18:AI19"/>
    <mergeCell ref="AG20:AI21"/>
    <mergeCell ref="AG22:AI23"/>
    <mergeCell ref="AG24:AI26"/>
    <mergeCell ref="AG27:AI29"/>
    <mergeCell ref="AA27:AA29"/>
    <mergeCell ref="AB27:AB29"/>
    <mergeCell ref="AC27:AC29"/>
    <mergeCell ref="AD27:AD29"/>
    <mergeCell ref="AE27:AE29"/>
    <mergeCell ref="AA24:AA26"/>
    <mergeCell ref="AB24:AB26"/>
    <mergeCell ref="AC24:AC26"/>
    <mergeCell ref="AD24:AD26"/>
    <mergeCell ref="AE24:AE26"/>
    <mergeCell ref="AF24:AF26"/>
    <mergeCell ref="AF20:AF21"/>
    <mergeCell ref="AA22:AA23"/>
    <mergeCell ref="AB22:AB23"/>
    <mergeCell ref="AC22:AC23"/>
    <mergeCell ref="AD22:AD23"/>
    <mergeCell ref="AE22:AE23"/>
    <mergeCell ref="AF22:AF23"/>
    <mergeCell ref="AA20:AA21"/>
    <mergeCell ref="AB20:AB21"/>
    <mergeCell ref="AC20:AC21"/>
    <mergeCell ref="AD20:AD21"/>
    <mergeCell ref="AE20:AE21"/>
    <mergeCell ref="AF16:AF17"/>
    <mergeCell ref="AA18:AA19"/>
    <mergeCell ref="AB18:AB19"/>
    <mergeCell ref="AC18:AC19"/>
    <mergeCell ref="AD18:AD19"/>
    <mergeCell ref="AE18:AE19"/>
    <mergeCell ref="AF18:AF19"/>
    <mergeCell ref="AA16:AA17"/>
    <mergeCell ref="AB16:AB17"/>
    <mergeCell ref="AC16:AC17"/>
    <mergeCell ref="AD16:AD17"/>
    <mergeCell ref="AE16:AE17"/>
    <mergeCell ref="T14:T15"/>
    <mergeCell ref="AA12:AB13"/>
    <mergeCell ref="AC12:AD13"/>
    <mergeCell ref="AE12:AF13"/>
    <mergeCell ref="AA14:AA15"/>
    <mergeCell ref="AB14:AB15"/>
    <mergeCell ref="AC14:AC15"/>
    <mergeCell ref="AD14:AD15"/>
    <mergeCell ref="AF14:AF15"/>
    <mergeCell ref="AE14:AE15"/>
    <mergeCell ref="M12:M13"/>
    <mergeCell ref="M14:M15"/>
    <mergeCell ref="M16:M17"/>
    <mergeCell ref="M18:M19"/>
    <mergeCell ref="N18:P19"/>
    <mergeCell ref="Q18:Q19"/>
    <mergeCell ref="W16:X17"/>
    <mergeCell ref="Y16:Z17"/>
    <mergeCell ref="N16:P17"/>
    <mergeCell ref="Q16:Q17"/>
    <mergeCell ref="R16:R17"/>
    <mergeCell ref="S16:S17"/>
    <mergeCell ref="T16:T17"/>
    <mergeCell ref="U16:V17"/>
    <mergeCell ref="Y14:Z15"/>
    <mergeCell ref="R18:R19"/>
    <mergeCell ref="S18:S19"/>
    <mergeCell ref="T18:T19"/>
    <mergeCell ref="U18:V19"/>
    <mergeCell ref="W18:X19"/>
    <mergeCell ref="U14:V15"/>
    <mergeCell ref="N14:P15"/>
    <mergeCell ref="S14:S15"/>
    <mergeCell ref="N12:P13"/>
    <mergeCell ref="M22:M23"/>
    <mergeCell ref="N22:P23"/>
    <mergeCell ref="Q22:Q23"/>
    <mergeCell ref="R22:R23"/>
    <mergeCell ref="S22:S23"/>
    <mergeCell ref="T22:T23"/>
    <mergeCell ref="U22:V23"/>
    <mergeCell ref="M20:M21"/>
    <mergeCell ref="N20:P21"/>
    <mergeCell ref="Q20:Q21"/>
    <mergeCell ref="R20:R21"/>
    <mergeCell ref="S20:S21"/>
    <mergeCell ref="T20:T21"/>
    <mergeCell ref="Z3:AG3"/>
    <mergeCell ref="O27:Q29"/>
    <mergeCell ref="R27:V29"/>
    <mergeCell ref="W27:X29"/>
    <mergeCell ref="Y27:Z29"/>
    <mergeCell ref="R24:V26"/>
    <mergeCell ref="W24:X26"/>
    <mergeCell ref="Y24:Z26"/>
    <mergeCell ref="V30:AA32"/>
    <mergeCell ref="AB4:AG4"/>
    <mergeCell ref="AF5:AG5"/>
    <mergeCell ref="U20:V21"/>
    <mergeCell ref="W20:X21"/>
    <mergeCell ref="Y20:Z21"/>
    <mergeCell ref="W22:X23"/>
    <mergeCell ref="Y22:Z23"/>
    <mergeCell ref="Y18:Z19"/>
    <mergeCell ref="Q12:R13"/>
    <mergeCell ref="S12:T13"/>
    <mergeCell ref="W14:X15"/>
    <mergeCell ref="U12:V13"/>
    <mergeCell ref="W12:Z13"/>
    <mergeCell ref="R14:R15"/>
    <mergeCell ref="Q14:Q15"/>
  </mergeCells>
  <phoneticPr fontId="274" type="noConversion"/>
  <dataValidations count="2">
    <dataValidation type="list" allowBlank="1" showInputMessage="1" showErrorMessage="1" sqref="N14 N16 N18 N20 N22" xr:uid="{9E4E000B-52BB-46E5-872B-1E80533A2837}">
      <formula1>$N$28:$N$32</formula1>
    </dataValidation>
    <dataValidation type="list" allowBlank="1" showInputMessage="1" showErrorMessage="1" sqref="Q4" xr:uid="{8C348C84-530E-4BC6-B0B3-510D960CD582}">
      <formula1>$M$28:$M$29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ayfa5"/>
  <dimension ref="B1:AC44"/>
  <sheetViews>
    <sheetView showGridLines="0" showRowColHeaders="0" zoomScale="87" zoomScaleNormal="87" workbookViewId="0">
      <selection activeCell="B3" sqref="B3"/>
    </sheetView>
  </sheetViews>
  <sheetFormatPr defaultColWidth="9.140625" defaultRowHeight="15"/>
  <cols>
    <col min="1" max="1" width="2.85546875" style="630" customWidth="1"/>
    <col min="2" max="2" width="9.85546875" style="630" customWidth="1"/>
    <col min="3" max="3" width="19.28515625" style="630" customWidth="1"/>
    <col min="4" max="4" width="55.28515625" style="630" bestFit="1" customWidth="1"/>
    <col min="5" max="5" width="5.5703125" style="630" customWidth="1"/>
    <col min="6" max="6" width="3.7109375" style="630" bestFit="1" customWidth="1"/>
    <col min="7" max="7" width="3" style="630" hidden="1" customWidth="1"/>
    <col min="8" max="8" width="9.140625" style="631"/>
    <col min="9" max="9" width="6.28515625" style="632" customWidth="1"/>
    <col min="10" max="10" width="7.7109375" style="630" customWidth="1"/>
    <col min="11" max="12" width="9.140625" style="630"/>
    <col min="13" max="13" width="7.5703125" style="630" customWidth="1"/>
    <col min="14" max="14" width="3.5703125" style="630" customWidth="1"/>
    <col min="15" max="15" width="12.5703125" style="630" customWidth="1"/>
    <col min="16" max="16" width="17.28515625" style="630" customWidth="1"/>
    <col min="17" max="17" width="55.28515625" style="630" customWidth="1"/>
    <col min="18" max="18" width="5.5703125" style="630" customWidth="1"/>
    <col min="19" max="19" width="3.5703125" style="630" customWidth="1"/>
    <col min="20" max="20" width="5.140625" style="630" hidden="1" customWidth="1"/>
    <col min="21" max="21" width="9.140625" style="630"/>
    <col min="22" max="22" width="6.28515625" style="630" customWidth="1"/>
    <col min="23" max="26" width="9.140625" style="630"/>
    <col min="27" max="27" width="1.7109375" style="630" customWidth="1"/>
    <col min="28" max="16384" width="9.140625" style="630"/>
  </cols>
  <sheetData>
    <row r="1" spans="2:29" ht="15.75" thickBot="1"/>
    <row r="2" spans="2:29" ht="19.5" thickBot="1">
      <c r="B2" s="660" t="s">
        <v>802</v>
      </c>
      <c r="C2" s="487"/>
      <c r="D2" s="666"/>
      <c r="E2" s="487"/>
      <c r="F2" s="487"/>
      <c r="G2" s="487"/>
      <c r="H2" s="661"/>
      <c r="I2" s="662"/>
      <c r="O2" s="660" t="s">
        <v>803</v>
      </c>
      <c r="P2" s="487"/>
      <c r="Q2" s="487"/>
      <c r="R2" s="487"/>
      <c r="S2" s="487"/>
      <c r="T2" s="487"/>
      <c r="U2" s="661"/>
      <c r="V2" s="662"/>
    </row>
    <row r="3" spans="2:29" ht="19.5" thickBot="1">
      <c r="B3" s="198">
        <v>12</v>
      </c>
      <c r="C3" s="665" t="s">
        <v>3</v>
      </c>
      <c r="D3" s="634" t="s">
        <v>165</v>
      </c>
      <c r="E3" s="630">
        <f>B3</f>
        <v>12</v>
      </c>
      <c r="F3" s="633" t="s">
        <v>3</v>
      </c>
      <c r="G3" s="634"/>
      <c r="H3" s="635"/>
      <c r="K3" s="663" t="s">
        <v>154</v>
      </c>
      <c r="L3" s="664">
        <v>7</v>
      </c>
      <c r="M3" s="636"/>
      <c r="N3" s="636"/>
      <c r="O3" s="638"/>
      <c r="P3" s="638"/>
      <c r="Q3" s="634" t="s">
        <v>165</v>
      </c>
      <c r="R3" s="630">
        <f>U4/L3</f>
        <v>571.42857142857144</v>
      </c>
      <c r="S3" s="633" t="s">
        <v>3</v>
      </c>
      <c r="T3" s="634"/>
      <c r="U3" s="635"/>
      <c r="V3" s="632"/>
      <c r="Z3" s="636"/>
      <c r="AA3" s="636"/>
      <c r="AB3" s="637"/>
      <c r="AC3" s="637"/>
    </row>
    <row r="4" spans="2:29" ht="18" customHeight="1">
      <c r="B4" s="638"/>
      <c r="C4" s="638"/>
      <c r="D4" s="639" t="s">
        <v>166</v>
      </c>
      <c r="E4" s="640"/>
      <c r="F4" s="641"/>
      <c r="G4" s="642"/>
      <c r="H4" s="643">
        <f>SUM(B3*L3)</f>
        <v>84</v>
      </c>
      <c r="I4" s="644" t="s">
        <v>163</v>
      </c>
      <c r="K4" s="645"/>
      <c r="L4" s="645"/>
      <c r="M4" s="636"/>
      <c r="N4" s="646"/>
      <c r="O4" s="638"/>
      <c r="P4" s="638"/>
      <c r="Q4" s="639" t="s">
        <v>166</v>
      </c>
      <c r="R4" s="640"/>
      <c r="S4" s="641"/>
      <c r="T4" s="642"/>
      <c r="U4" s="200">
        <v>4000</v>
      </c>
      <c r="V4" s="193" t="s">
        <v>163</v>
      </c>
      <c r="X4" s="645"/>
      <c r="Y4" s="645"/>
      <c r="Z4" s="636"/>
      <c r="AA4" s="646"/>
      <c r="AB4" s="637"/>
      <c r="AC4" s="637"/>
    </row>
    <row r="5" spans="2:29" ht="18" customHeight="1">
      <c r="B5" s="638"/>
      <c r="C5" s="638"/>
      <c r="D5" s="639" t="s">
        <v>167</v>
      </c>
      <c r="E5" s="640"/>
      <c r="F5" s="641"/>
      <c r="G5" s="642"/>
      <c r="H5" s="643">
        <f>SUM(B3*1)</f>
        <v>12</v>
      </c>
      <c r="I5" s="644" t="s">
        <v>88</v>
      </c>
      <c r="K5" s="645"/>
      <c r="L5" s="2834"/>
      <c r="M5" s="2834"/>
      <c r="N5" s="2834"/>
      <c r="O5" s="638"/>
      <c r="P5" s="638"/>
      <c r="Q5" s="639" t="s">
        <v>167</v>
      </c>
      <c r="R5" s="640"/>
      <c r="S5" s="641"/>
      <c r="T5" s="642"/>
      <c r="U5" s="643">
        <f>U4/L3</f>
        <v>571.42857142857144</v>
      </c>
      <c r="V5" s="644" t="s">
        <v>88</v>
      </c>
      <c r="X5" s="645"/>
      <c r="Y5" s="2834"/>
      <c r="Z5" s="2834"/>
      <c r="AA5" s="2834"/>
      <c r="AB5" s="2834"/>
      <c r="AC5" s="2834"/>
    </row>
    <row r="6" spans="2:29" ht="12.75" customHeight="1">
      <c r="B6" s="638"/>
      <c r="C6" s="638"/>
      <c r="D6" s="639" t="s">
        <v>168</v>
      </c>
      <c r="E6" s="640"/>
      <c r="F6" s="641"/>
      <c r="G6" s="642"/>
      <c r="H6" s="643">
        <f>SUM(B3*1.1)</f>
        <v>13.200000000000001</v>
      </c>
      <c r="I6" s="644" t="s">
        <v>3</v>
      </c>
      <c r="O6" s="638"/>
      <c r="P6" s="638"/>
      <c r="Q6" s="639" t="s">
        <v>168</v>
      </c>
      <c r="R6" s="640"/>
      <c r="S6" s="641"/>
      <c r="T6" s="642"/>
      <c r="U6" s="643">
        <f>U5*1.1</f>
        <v>628.57142857142867</v>
      </c>
      <c r="V6" s="644" t="s">
        <v>3</v>
      </c>
    </row>
    <row r="7" spans="2:29" ht="12.75" customHeight="1">
      <c r="B7" s="638"/>
      <c r="C7" s="638"/>
      <c r="D7" s="639" t="s">
        <v>169</v>
      </c>
      <c r="E7" s="640"/>
      <c r="F7" s="641"/>
      <c r="G7" s="642"/>
      <c r="H7" s="643">
        <f>SUM(B3*1.1)</f>
        <v>13.200000000000001</v>
      </c>
      <c r="I7" s="644" t="s">
        <v>3</v>
      </c>
      <c r="O7" s="638"/>
      <c r="P7" s="638"/>
      <c r="Q7" s="639" t="s">
        <v>169</v>
      </c>
      <c r="R7" s="640"/>
      <c r="S7" s="641"/>
      <c r="T7" s="642"/>
      <c r="U7" s="643">
        <f>U5*1.1</f>
        <v>628.57142857142867</v>
      </c>
      <c r="V7" s="644" t="s">
        <v>3</v>
      </c>
    </row>
    <row r="8" spans="2:29" ht="12.75" customHeight="1">
      <c r="B8" s="638"/>
      <c r="C8" s="638"/>
      <c r="D8" s="639" t="s">
        <v>170</v>
      </c>
      <c r="E8" s="640"/>
      <c r="F8" s="641"/>
      <c r="G8" s="642"/>
      <c r="H8" s="643">
        <f>SUM(B3*1.1)</f>
        <v>13.200000000000001</v>
      </c>
      <c r="I8" s="644" t="s">
        <v>3</v>
      </c>
      <c r="O8" s="638"/>
      <c r="P8" s="638"/>
      <c r="Q8" s="639" t="s">
        <v>170</v>
      </c>
      <c r="R8" s="640"/>
      <c r="S8" s="641"/>
      <c r="T8" s="642"/>
      <c r="U8" s="643">
        <f>U5*1.1</f>
        <v>628.57142857142867</v>
      </c>
      <c r="V8" s="644" t="s">
        <v>3</v>
      </c>
    </row>
    <row r="9" spans="2:29" ht="12.75" customHeight="1">
      <c r="B9" s="638"/>
      <c r="C9" s="638"/>
      <c r="D9" s="639" t="s">
        <v>171</v>
      </c>
      <c r="E9" s="640"/>
      <c r="F9" s="641"/>
      <c r="G9" s="642"/>
      <c r="H9" s="643">
        <f>SUM(B3*1.2)</f>
        <v>14.399999999999999</v>
      </c>
      <c r="I9" s="644" t="s">
        <v>163</v>
      </c>
      <c r="O9" s="638"/>
      <c r="P9" s="638"/>
      <c r="Q9" s="639" t="s">
        <v>171</v>
      </c>
      <c r="R9" s="640"/>
      <c r="S9" s="641"/>
      <c r="T9" s="642"/>
      <c r="U9" s="643">
        <f>U5*1.2</f>
        <v>685.71428571428567</v>
      </c>
      <c r="V9" s="644" t="s">
        <v>163</v>
      </c>
    </row>
    <row r="10" spans="2:29" ht="18" customHeight="1" thickBot="1">
      <c r="B10" s="638"/>
      <c r="C10" s="638"/>
      <c r="D10" s="639" t="s">
        <v>172</v>
      </c>
      <c r="E10" s="640"/>
      <c r="F10" s="641"/>
      <c r="G10" s="642"/>
      <c r="H10" s="643">
        <f>SUM(B3/15)</f>
        <v>0.8</v>
      </c>
      <c r="I10" s="644" t="s">
        <v>163</v>
      </c>
      <c r="O10" s="638"/>
      <c r="P10" s="638"/>
      <c r="Q10" s="639" t="s">
        <v>172</v>
      </c>
      <c r="R10" s="640"/>
      <c r="S10" s="641"/>
      <c r="T10" s="642"/>
      <c r="U10" s="643">
        <f>(U4/L3)/15</f>
        <v>38.095238095238095</v>
      </c>
      <c r="V10" s="644" t="s">
        <v>163</v>
      </c>
    </row>
    <row r="11" spans="2:29" ht="18" customHeight="1" thickBot="1">
      <c r="B11" s="638"/>
      <c r="C11" s="638"/>
      <c r="D11" s="639" t="s">
        <v>186</v>
      </c>
      <c r="E11" s="640"/>
      <c r="F11" s="641"/>
      <c r="G11" s="642"/>
      <c r="H11" s="647">
        <f>SUM(B3*0.07)*3</f>
        <v>2.5200000000000005</v>
      </c>
      <c r="I11" s="644" t="s">
        <v>185</v>
      </c>
      <c r="J11" s="648">
        <f>H11/10</f>
        <v>0.25200000000000006</v>
      </c>
      <c r="K11" s="649" t="s">
        <v>187</v>
      </c>
      <c r="L11" s="648"/>
      <c r="M11" s="648"/>
      <c r="N11" s="650"/>
      <c r="O11" s="638"/>
      <c r="P11" s="638"/>
      <c r="Q11" s="639" t="s">
        <v>186</v>
      </c>
      <c r="R11" s="640"/>
      <c r="S11" s="641"/>
      <c r="T11" s="642"/>
      <c r="U11" s="647">
        <f>((U4/7)*0.07)*3</f>
        <v>120.00000000000003</v>
      </c>
      <c r="V11" s="644" t="s">
        <v>185</v>
      </c>
      <c r="W11" s="648">
        <f>U11/10</f>
        <v>12.000000000000004</v>
      </c>
      <c r="X11" s="649" t="s">
        <v>187</v>
      </c>
      <c r="Y11" s="648"/>
      <c r="Z11" s="648"/>
      <c r="AA11" s="650"/>
    </row>
    <row r="12" spans="2:29" ht="12.75" customHeight="1">
      <c r="B12" s="638"/>
      <c r="C12" s="638"/>
      <c r="D12" s="651" t="s">
        <v>173</v>
      </c>
      <c r="E12" s="652"/>
      <c r="F12" s="653"/>
      <c r="G12" s="654"/>
      <c r="H12" s="199">
        <v>35</v>
      </c>
      <c r="I12" s="194" t="s">
        <v>163</v>
      </c>
      <c r="O12" s="638"/>
      <c r="P12" s="638"/>
      <c r="Q12" s="651" t="s">
        <v>173</v>
      </c>
      <c r="R12" s="652"/>
      <c r="S12" s="653"/>
      <c r="T12" s="654"/>
      <c r="U12" s="655">
        <v>35</v>
      </c>
      <c r="V12" s="656" t="s">
        <v>163</v>
      </c>
    </row>
    <row r="13" spans="2:29" ht="12.75" customHeight="1">
      <c r="B13" s="638"/>
      <c r="C13" s="638"/>
      <c r="D13" s="657" t="s">
        <v>174</v>
      </c>
      <c r="E13" s="658">
        <v>2</v>
      </c>
      <c r="F13" s="641" t="s">
        <v>963</v>
      </c>
      <c r="G13" s="642">
        <f>E13*H13</f>
        <v>0</v>
      </c>
      <c r="H13" s="200"/>
      <c r="I13" s="193" t="s">
        <v>88</v>
      </c>
      <c r="O13" s="638"/>
      <c r="P13" s="638"/>
      <c r="Q13" s="657" t="s">
        <v>174</v>
      </c>
      <c r="R13" s="658">
        <v>2</v>
      </c>
      <c r="S13" s="641" t="s">
        <v>175</v>
      </c>
      <c r="T13" s="642">
        <f>R13*U13</f>
        <v>0</v>
      </c>
      <c r="U13" s="200"/>
      <c r="V13" s="193" t="s">
        <v>88</v>
      </c>
    </row>
    <row r="14" spans="2:29" ht="12.75" customHeight="1">
      <c r="B14" s="638"/>
      <c r="C14" s="638"/>
      <c r="D14" s="657" t="s">
        <v>174</v>
      </c>
      <c r="E14" s="658">
        <v>3</v>
      </c>
      <c r="F14" s="641" t="s">
        <v>175</v>
      </c>
      <c r="G14" s="642">
        <f>E14*H14</f>
        <v>0</v>
      </c>
      <c r="H14" s="200"/>
      <c r="I14" s="193" t="s">
        <v>88</v>
      </c>
      <c r="O14" s="638"/>
      <c r="P14" s="638"/>
      <c r="Q14" s="657" t="s">
        <v>174</v>
      </c>
      <c r="R14" s="658">
        <v>3</v>
      </c>
      <c r="S14" s="641" t="s">
        <v>175</v>
      </c>
      <c r="T14" s="642">
        <f>R14*U14</f>
        <v>0</v>
      </c>
      <c r="U14" s="200"/>
      <c r="V14" s="193" t="s">
        <v>88</v>
      </c>
    </row>
    <row r="15" spans="2:29" ht="12.75" customHeight="1">
      <c r="B15" s="638"/>
      <c r="C15" s="638"/>
      <c r="D15" s="657" t="s">
        <v>174</v>
      </c>
      <c r="E15" s="640">
        <v>4</v>
      </c>
      <c r="F15" s="641" t="s">
        <v>175</v>
      </c>
      <c r="G15" s="642">
        <f t="shared" ref="G15:G23" si="0">E15*H15</f>
        <v>8</v>
      </c>
      <c r="H15" s="200">
        <v>2</v>
      </c>
      <c r="I15" s="193" t="s">
        <v>88</v>
      </c>
      <c r="O15" s="638"/>
      <c r="P15" s="638"/>
      <c r="Q15" s="657" t="s">
        <v>174</v>
      </c>
      <c r="R15" s="640">
        <v>4</v>
      </c>
      <c r="S15" s="641" t="s">
        <v>175</v>
      </c>
      <c r="T15" s="642">
        <f t="shared" ref="T15:T25" si="1">R15*U15</f>
        <v>0</v>
      </c>
      <c r="U15" s="200"/>
      <c r="V15" s="193" t="s">
        <v>88</v>
      </c>
    </row>
    <row r="16" spans="2:29" ht="12.75" customHeight="1">
      <c r="B16" s="638"/>
      <c r="C16" s="638"/>
      <c r="D16" s="657" t="s">
        <v>174</v>
      </c>
      <c r="E16" s="640">
        <v>5</v>
      </c>
      <c r="F16" s="641" t="s">
        <v>175</v>
      </c>
      <c r="G16" s="642">
        <f t="shared" si="0"/>
        <v>0</v>
      </c>
      <c r="H16" s="200"/>
      <c r="I16" s="193" t="s">
        <v>88</v>
      </c>
      <c r="O16" s="638"/>
      <c r="P16" s="638"/>
      <c r="Q16" s="657" t="s">
        <v>174</v>
      </c>
      <c r="R16" s="640">
        <v>5</v>
      </c>
      <c r="S16" s="641" t="s">
        <v>175</v>
      </c>
      <c r="T16" s="642">
        <f t="shared" si="1"/>
        <v>0</v>
      </c>
      <c r="U16" s="200"/>
      <c r="V16" s="193" t="s">
        <v>88</v>
      </c>
    </row>
    <row r="17" spans="2:22" ht="12.75" customHeight="1">
      <c r="B17" s="638"/>
      <c r="C17" s="638"/>
      <c r="D17" s="657" t="s">
        <v>174</v>
      </c>
      <c r="E17" s="640">
        <v>6</v>
      </c>
      <c r="F17" s="641" t="s">
        <v>175</v>
      </c>
      <c r="G17" s="642">
        <f t="shared" si="0"/>
        <v>0</v>
      </c>
      <c r="H17" s="200"/>
      <c r="I17" s="193" t="s">
        <v>88</v>
      </c>
      <c r="O17" s="638"/>
      <c r="P17" s="638"/>
      <c r="Q17" s="657" t="s">
        <v>174</v>
      </c>
      <c r="R17" s="640">
        <v>6</v>
      </c>
      <c r="S17" s="641" t="s">
        <v>175</v>
      </c>
      <c r="T17" s="642">
        <f t="shared" si="1"/>
        <v>6</v>
      </c>
      <c r="U17" s="200">
        <v>1</v>
      </c>
      <c r="V17" s="193" t="s">
        <v>88</v>
      </c>
    </row>
    <row r="18" spans="2:22" ht="12.75" customHeight="1">
      <c r="B18" s="638"/>
      <c r="C18" s="638"/>
      <c r="D18" s="657" t="s">
        <v>174</v>
      </c>
      <c r="E18" s="640">
        <v>7</v>
      </c>
      <c r="F18" s="641" t="s">
        <v>175</v>
      </c>
      <c r="G18" s="642">
        <f t="shared" si="0"/>
        <v>7</v>
      </c>
      <c r="H18" s="200">
        <v>1</v>
      </c>
      <c r="I18" s="193" t="s">
        <v>88</v>
      </c>
      <c r="O18" s="638"/>
      <c r="P18" s="638"/>
      <c r="Q18" s="657" t="s">
        <v>174</v>
      </c>
      <c r="R18" s="640">
        <v>7</v>
      </c>
      <c r="S18" s="641" t="s">
        <v>175</v>
      </c>
      <c r="T18" s="642">
        <f t="shared" si="1"/>
        <v>7</v>
      </c>
      <c r="U18" s="200">
        <v>1</v>
      </c>
      <c r="V18" s="193" t="s">
        <v>88</v>
      </c>
    </row>
    <row r="19" spans="2:22" ht="12.75" customHeight="1">
      <c r="B19" s="638"/>
      <c r="C19" s="638"/>
      <c r="D19" s="657" t="s">
        <v>174</v>
      </c>
      <c r="E19" s="640">
        <v>8</v>
      </c>
      <c r="F19" s="641" t="s">
        <v>175</v>
      </c>
      <c r="G19" s="642">
        <f t="shared" si="0"/>
        <v>8</v>
      </c>
      <c r="H19" s="200">
        <v>1</v>
      </c>
      <c r="I19" s="193" t="s">
        <v>88</v>
      </c>
      <c r="O19" s="638"/>
      <c r="P19" s="638"/>
      <c r="Q19" s="657" t="s">
        <v>174</v>
      </c>
      <c r="R19" s="640">
        <v>8</v>
      </c>
      <c r="S19" s="641" t="s">
        <v>175</v>
      </c>
      <c r="T19" s="642">
        <f t="shared" si="1"/>
        <v>0</v>
      </c>
      <c r="U19" s="200"/>
      <c r="V19" s="193" t="s">
        <v>88</v>
      </c>
    </row>
    <row r="20" spans="2:22" ht="12.75" customHeight="1">
      <c r="B20" s="638"/>
      <c r="C20" s="638"/>
      <c r="D20" s="657" t="s">
        <v>174</v>
      </c>
      <c r="E20" s="640">
        <v>9</v>
      </c>
      <c r="F20" s="641" t="s">
        <v>175</v>
      </c>
      <c r="G20" s="642">
        <f t="shared" si="0"/>
        <v>18</v>
      </c>
      <c r="H20" s="200">
        <v>2</v>
      </c>
      <c r="I20" s="193" t="s">
        <v>88</v>
      </c>
      <c r="O20" s="638"/>
      <c r="P20" s="638"/>
      <c r="Q20" s="657" t="s">
        <v>174</v>
      </c>
      <c r="R20" s="640">
        <v>9</v>
      </c>
      <c r="S20" s="641" t="s">
        <v>175</v>
      </c>
      <c r="T20" s="642">
        <f t="shared" si="1"/>
        <v>0</v>
      </c>
      <c r="U20" s="200"/>
      <c r="V20" s="193" t="s">
        <v>88</v>
      </c>
    </row>
    <row r="21" spans="2:22" ht="12.75" customHeight="1">
      <c r="B21" s="638"/>
      <c r="C21" s="638"/>
      <c r="D21" s="657" t="s">
        <v>174</v>
      </c>
      <c r="E21" s="640">
        <v>10</v>
      </c>
      <c r="F21" s="641" t="s">
        <v>175</v>
      </c>
      <c r="G21" s="642">
        <f t="shared" si="0"/>
        <v>10</v>
      </c>
      <c r="H21" s="200">
        <v>1</v>
      </c>
      <c r="I21" s="193" t="s">
        <v>88</v>
      </c>
      <c r="O21" s="638"/>
      <c r="P21" s="638"/>
      <c r="Q21" s="657" t="s">
        <v>174</v>
      </c>
      <c r="R21" s="640">
        <v>10</v>
      </c>
      <c r="S21" s="641" t="s">
        <v>175</v>
      </c>
      <c r="T21" s="642">
        <f t="shared" si="1"/>
        <v>10</v>
      </c>
      <c r="U21" s="200">
        <v>1</v>
      </c>
      <c r="V21" s="193" t="s">
        <v>88</v>
      </c>
    </row>
    <row r="22" spans="2:22" ht="12.75" customHeight="1">
      <c r="B22" s="638"/>
      <c r="C22" s="638"/>
      <c r="D22" s="657" t="s">
        <v>174</v>
      </c>
      <c r="E22" s="640">
        <v>11</v>
      </c>
      <c r="F22" s="641" t="s">
        <v>175</v>
      </c>
      <c r="G22" s="642">
        <f t="shared" si="0"/>
        <v>0</v>
      </c>
      <c r="H22" s="200"/>
      <c r="I22" s="193" t="s">
        <v>88</v>
      </c>
      <c r="O22" s="638"/>
      <c r="P22" s="638"/>
      <c r="Q22" s="657" t="s">
        <v>174</v>
      </c>
      <c r="R22" s="640">
        <v>11</v>
      </c>
      <c r="S22" s="641" t="s">
        <v>175</v>
      </c>
      <c r="T22" s="642">
        <f t="shared" si="1"/>
        <v>11</v>
      </c>
      <c r="U22" s="200">
        <v>1</v>
      </c>
      <c r="V22" s="193" t="s">
        <v>88</v>
      </c>
    </row>
    <row r="23" spans="2:22" ht="12.75" customHeight="1">
      <c r="B23" s="638"/>
      <c r="C23" s="638"/>
      <c r="D23" s="657" t="s">
        <v>174</v>
      </c>
      <c r="E23" s="640">
        <v>12</v>
      </c>
      <c r="F23" s="641" t="s">
        <v>175</v>
      </c>
      <c r="G23" s="642">
        <f t="shared" si="0"/>
        <v>0</v>
      </c>
      <c r="H23" s="200"/>
      <c r="I23" s="193" t="s">
        <v>88</v>
      </c>
      <c r="O23" s="638"/>
      <c r="P23" s="638"/>
      <c r="Q23" s="657" t="s">
        <v>174</v>
      </c>
      <c r="R23" s="640">
        <v>12</v>
      </c>
      <c r="S23" s="641" t="s">
        <v>175</v>
      </c>
      <c r="T23" s="642">
        <f t="shared" si="1"/>
        <v>24</v>
      </c>
      <c r="U23" s="200">
        <v>2</v>
      </c>
      <c r="V23" s="193" t="s">
        <v>88</v>
      </c>
    </row>
    <row r="24" spans="2:22" ht="12.75" customHeight="1">
      <c r="B24" s="638"/>
      <c r="C24" s="638"/>
      <c r="D24" s="657" t="s">
        <v>174</v>
      </c>
      <c r="E24" s="640">
        <v>13</v>
      </c>
      <c r="F24" s="641" t="s">
        <v>175</v>
      </c>
      <c r="G24" s="642">
        <f>E24*H24</f>
        <v>0</v>
      </c>
      <c r="H24" s="200"/>
      <c r="I24" s="193" t="s">
        <v>88</v>
      </c>
      <c r="O24" s="638"/>
      <c r="P24" s="638"/>
      <c r="Q24" s="657" t="s">
        <v>174</v>
      </c>
      <c r="R24" s="640">
        <v>13</v>
      </c>
      <c r="S24" s="641" t="s">
        <v>175</v>
      </c>
      <c r="T24" s="642">
        <f t="shared" si="1"/>
        <v>0</v>
      </c>
      <c r="U24" s="200"/>
      <c r="V24" s="193" t="s">
        <v>88</v>
      </c>
    </row>
    <row r="25" spans="2:22" ht="12.75" customHeight="1">
      <c r="B25" s="638"/>
      <c r="C25" s="638"/>
      <c r="D25" s="657" t="s">
        <v>174</v>
      </c>
      <c r="E25" s="640">
        <v>14</v>
      </c>
      <c r="F25" s="641" t="s">
        <v>175</v>
      </c>
      <c r="G25" s="642">
        <f>E25*H25</f>
        <v>0</v>
      </c>
      <c r="H25" s="200"/>
      <c r="I25" s="193" t="s">
        <v>88</v>
      </c>
      <c r="O25" s="638"/>
      <c r="P25" s="638"/>
      <c r="Q25" s="657" t="s">
        <v>174</v>
      </c>
      <c r="R25" s="640">
        <v>14</v>
      </c>
      <c r="S25" s="641" t="s">
        <v>175</v>
      </c>
      <c r="T25" s="642">
        <f t="shared" si="1"/>
        <v>0</v>
      </c>
      <c r="U25" s="200"/>
      <c r="V25" s="193" t="s">
        <v>88</v>
      </c>
    </row>
    <row r="26" spans="2:22" ht="12.75" customHeight="1">
      <c r="B26" s="638"/>
      <c r="C26" s="638"/>
      <c r="D26" s="639" t="s">
        <v>176</v>
      </c>
      <c r="E26" s="640"/>
      <c r="F26" s="641"/>
      <c r="G26" s="642"/>
      <c r="H26" s="643">
        <f>SUM(G13:G25)</f>
        <v>51</v>
      </c>
      <c r="I26" s="644" t="s">
        <v>88</v>
      </c>
      <c r="O26" s="638"/>
      <c r="P26" s="638"/>
      <c r="Q26" s="639" t="s">
        <v>176</v>
      </c>
      <c r="R26" s="640"/>
      <c r="S26" s="641"/>
      <c r="T26" s="642"/>
      <c r="U26" s="643">
        <f>SUM(T13:T25)</f>
        <v>58</v>
      </c>
      <c r="V26" s="644" t="s">
        <v>88</v>
      </c>
    </row>
    <row r="27" spans="2:22" ht="12.75" customHeight="1">
      <c r="B27" s="638"/>
      <c r="C27" s="638"/>
      <c r="D27" s="639" t="s">
        <v>177</v>
      </c>
      <c r="E27" s="640"/>
      <c r="F27" s="641"/>
      <c r="G27" s="642"/>
      <c r="H27" s="643">
        <f>H26*2</f>
        <v>102</v>
      </c>
      <c r="I27" s="644" t="s">
        <v>88</v>
      </c>
      <c r="O27" s="638"/>
      <c r="P27" s="638"/>
      <c r="Q27" s="639" t="s">
        <v>177</v>
      </c>
      <c r="R27" s="640"/>
      <c r="S27" s="641"/>
      <c r="T27" s="642"/>
      <c r="U27" s="643">
        <f>U26*2</f>
        <v>116</v>
      </c>
      <c r="V27" s="644" t="s">
        <v>88</v>
      </c>
    </row>
    <row r="28" spans="2:22" ht="12.75" customHeight="1">
      <c r="B28" s="638"/>
      <c r="C28" s="638"/>
      <c r="D28" s="639" t="s">
        <v>178</v>
      </c>
      <c r="E28" s="640"/>
      <c r="F28" s="641"/>
      <c r="G28" s="642"/>
      <c r="H28" s="643">
        <f>SUM(H27)</f>
        <v>102</v>
      </c>
      <c r="I28" s="644" t="s">
        <v>88</v>
      </c>
      <c r="O28" s="638"/>
      <c r="P28" s="638"/>
      <c r="Q28" s="639" t="s">
        <v>178</v>
      </c>
      <c r="R28" s="640"/>
      <c r="S28" s="641"/>
      <c r="T28" s="642"/>
      <c r="U28" s="643">
        <f>SUM(U27)</f>
        <v>116</v>
      </c>
      <c r="V28" s="644" t="s">
        <v>88</v>
      </c>
    </row>
    <row r="29" spans="2:22" ht="12.75" customHeight="1">
      <c r="B29" s="638"/>
      <c r="C29" s="638"/>
      <c r="D29" s="639" t="s">
        <v>179</v>
      </c>
      <c r="E29" s="640"/>
      <c r="F29" s="641"/>
      <c r="G29" s="642"/>
      <c r="H29" s="643">
        <f>SUM(H26)</f>
        <v>51</v>
      </c>
      <c r="I29" s="644" t="s">
        <v>88</v>
      </c>
      <c r="O29" s="638"/>
      <c r="P29" s="638"/>
      <c r="Q29" s="639" t="s">
        <v>179</v>
      </c>
      <c r="R29" s="640"/>
      <c r="S29" s="641"/>
      <c r="T29" s="642"/>
      <c r="U29" s="643">
        <f>SUM(U26)</f>
        <v>58</v>
      </c>
      <c r="V29" s="644" t="s">
        <v>88</v>
      </c>
    </row>
    <row r="30" spans="2:22" ht="12.75" customHeight="1">
      <c r="B30" s="195" t="s">
        <v>184</v>
      </c>
      <c r="C30" s="196"/>
      <c r="D30" s="639" t="s">
        <v>180</v>
      </c>
      <c r="E30" s="640"/>
      <c r="F30" s="641"/>
      <c r="G30" s="642"/>
      <c r="H30" s="643">
        <f>SUM(H14:H25)</f>
        <v>7</v>
      </c>
      <c r="I30" s="644" t="s">
        <v>88</v>
      </c>
      <c r="O30" s="195" t="s">
        <v>184</v>
      </c>
      <c r="P30" s="196"/>
      <c r="Q30" s="639" t="s">
        <v>180</v>
      </c>
      <c r="R30" s="640"/>
      <c r="S30" s="641"/>
      <c r="T30" s="642"/>
      <c r="U30" s="643">
        <f>SUM(U14:U25)</f>
        <v>6</v>
      </c>
      <c r="V30" s="644" t="s">
        <v>88</v>
      </c>
    </row>
    <row r="31" spans="2:22" ht="12.75" customHeight="1">
      <c r="B31" s="198">
        <v>5</v>
      </c>
      <c r="C31" s="197" t="s">
        <v>88</v>
      </c>
      <c r="D31" s="639" t="s">
        <v>181</v>
      </c>
      <c r="E31" s="640"/>
      <c r="F31" s="641"/>
      <c r="G31" s="642"/>
      <c r="H31" s="659">
        <f>B31</f>
        <v>5</v>
      </c>
      <c r="I31" s="656" t="s">
        <v>88</v>
      </c>
      <c r="O31" s="198">
        <v>5</v>
      </c>
      <c r="P31" s="197" t="s">
        <v>88</v>
      </c>
      <c r="Q31" s="639" t="s">
        <v>181</v>
      </c>
      <c r="R31" s="640"/>
      <c r="S31" s="641"/>
      <c r="T31" s="642"/>
      <c r="U31" s="659">
        <f>O31</f>
        <v>5</v>
      </c>
      <c r="V31" s="656" t="s">
        <v>88</v>
      </c>
    </row>
    <row r="32" spans="2:22" ht="12.75" customHeight="1">
      <c r="B32" s="638"/>
      <c r="C32" s="638"/>
      <c r="D32" s="639" t="s">
        <v>182</v>
      </c>
      <c r="E32" s="640"/>
      <c r="F32" s="641"/>
      <c r="G32" s="642"/>
      <c r="H32" s="643">
        <f>SUM(H13:H25)*2</f>
        <v>14</v>
      </c>
      <c r="I32" s="644" t="s">
        <v>88</v>
      </c>
      <c r="O32" s="638"/>
      <c r="P32" s="638"/>
      <c r="Q32" s="639" t="s">
        <v>182</v>
      </c>
      <c r="R32" s="640"/>
      <c r="S32" s="641"/>
      <c r="T32" s="642"/>
      <c r="U32" s="643">
        <f>SUM(U13:U25)*2</f>
        <v>12</v>
      </c>
      <c r="V32" s="644" t="s">
        <v>88</v>
      </c>
    </row>
    <row r="33" spans="2:22" ht="12.75" customHeight="1">
      <c r="B33" s="638"/>
      <c r="C33" s="638"/>
      <c r="D33" s="639" t="s">
        <v>183</v>
      </c>
      <c r="E33" s="640"/>
      <c r="F33" s="641"/>
      <c r="G33" s="642"/>
      <c r="H33" s="669">
        <f>SUM(H32)</f>
        <v>14</v>
      </c>
      <c r="I33" s="670" t="s">
        <v>88</v>
      </c>
      <c r="O33" s="638"/>
      <c r="P33" s="638"/>
      <c r="Q33" s="639" t="s">
        <v>183</v>
      </c>
      <c r="R33" s="640"/>
      <c r="S33" s="641"/>
      <c r="T33" s="642"/>
      <c r="U33" s="669">
        <f>SUM(U32)</f>
        <v>12</v>
      </c>
      <c r="V33" s="670" t="s">
        <v>88</v>
      </c>
    </row>
    <row r="34" spans="2:22" ht="12.75" customHeight="1">
      <c r="B34" s="638"/>
      <c r="C34" s="638"/>
      <c r="D34" s="639" t="s">
        <v>959</v>
      </c>
      <c r="E34" s="640"/>
      <c r="F34" s="641"/>
      <c r="G34" s="642"/>
      <c r="H34" s="671">
        <f>SUM(H13:H16)</f>
        <v>2</v>
      </c>
      <c r="I34" s="644" t="s">
        <v>88</v>
      </c>
      <c r="O34" s="638"/>
      <c r="P34" s="638"/>
      <c r="Q34" s="639" t="s">
        <v>959</v>
      </c>
      <c r="R34" s="640"/>
      <c r="S34" s="641"/>
      <c r="T34" s="642"/>
      <c r="U34" s="671">
        <f>SUM(U13:U16)</f>
        <v>0</v>
      </c>
      <c r="V34" s="644" t="s">
        <v>88</v>
      </c>
    </row>
    <row r="35" spans="2:22" ht="12.75" customHeight="1">
      <c r="B35" s="638"/>
      <c r="C35" s="638"/>
      <c r="D35" s="639" t="s">
        <v>960</v>
      </c>
      <c r="E35" s="640"/>
      <c r="F35" s="641"/>
      <c r="G35" s="642"/>
      <c r="H35" s="671">
        <f>SUM(H17:H20)</f>
        <v>4</v>
      </c>
      <c r="I35" s="644" t="s">
        <v>88</v>
      </c>
      <c r="O35" s="638"/>
      <c r="P35" s="638"/>
      <c r="Q35" s="639" t="s">
        <v>960</v>
      </c>
      <c r="R35" s="640"/>
      <c r="S35" s="641"/>
      <c r="T35" s="642"/>
      <c r="U35" s="671">
        <f>SUM(U17:U20)</f>
        <v>2</v>
      </c>
      <c r="V35" s="644" t="s">
        <v>88</v>
      </c>
    </row>
    <row r="36" spans="2:22" ht="12.75" customHeight="1">
      <c r="B36" s="638"/>
      <c r="C36" s="638"/>
      <c r="D36" s="639" t="s">
        <v>961</v>
      </c>
      <c r="E36" s="640"/>
      <c r="F36" s="641"/>
      <c r="G36" s="642"/>
      <c r="H36" s="671">
        <f>SUM(H21:H24)</f>
        <v>1</v>
      </c>
      <c r="I36" s="644" t="s">
        <v>88</v>
      </c>
      <c r="O36" s="638"/>
      <c r="P36" s="638"/>
      <c r="Q36" s="639" t="s">
        <v>961</v>
      </c>
      <c r="R36" s="640"/>
      <c r="S36" s="641"/>
      <c r="T36" s="642"/>
      <c r="U36" s="671">
        <f>SUM(U21:U24)</f>
        <v>4</v>
      </c>
      <c r="V36" s="644" t="s">
        <v>88</v>
      </c>
    </row>
    <row r="37" spans="2:22" ht="12.75" customHeight="1">
      <c r="B37" s="638"/>
      <c r="C37" s="638"/>
      <c r="D37" s="639" t="s">
        <v>962</v>
      </c>
      <c r="E37" s="640"/>
      <c r="F37" s="641"/>
      <c r="G37" s="642"/>
      <c r="H37" s="671">
        <f>SUM(H25)</f>
        <v>0</v>
      </c>
      <c r="I37" s="644" t="s">
        <v>88</v>
      </c>
      <c r="O37" s="638"/>
      <c r="P37" s="638"/>
      <c r="Q37" s="639" t="s">
        <v>962</v>
      </c>
      <c r="R37" s="640"/>
      <c r="S37" s="641"/>
      <c r="T37" s="642"/>
      <c r="U37" s="671">
        <f>SUM(U25)</f>
        <v>0</v>
      </c>
      <c r="V37" s="644" t="s">
        <v>88</v>
      </c>
    </row>
    <row r="38" spans="2:22" ht="12.75" customHeight="1">
      <c r="B38" s="638"/>
      <c r="C38" s="638"/>
      <c r="D38" s="642"/>
      <c r="E38" s="642"/>
      <c r="F38" s="642"/>
      <c r="G38" s="642"/>
      <c r="H38" s="667"/>
      <c r="I38" s="668"/>
      <c r="O38" s="638"/>
      <c r="P38" s="638"/>
      <c r="Q38" s="642"/>
      <c r="R38" s="642"/>
      <c r="S38" s="642"/>
      <c r="T38" s="642"/>
      <c r="U38" s="667"/>
      <c r="V38" s="668"/>
    </row>
    <row r="39" spans="2:22" ht="12.75" customHeight="1">
      <c r="B39" s="638"/>
      <c r="C39" s="638"/>
      <c r="D39" s="642"/>
      <c r="E39" s="642"/>
      <c r="F39" s="642"/>
      <c r="G39" s="642"/>
      <c r="H39" s="667"/>
      <c r="I39" s="668"/>
      <c r="O39" s="638"/>
      <c r="P39" s="638"/>
      <c r="Q39" s="642"/>
      <c r="R39" s="642"/>
      <c r="S39" s="642"/>
      <c r="T39" s="642"/>
      <c r="U39" s="667"/>
      <c r="V39" s="668"/>
    </row>
    <row r="42" spans="2:22">
      <c r="C42" s="645"/>
      <c r="Q42" s="631" t="s">
        <v>804</v>
      </c>
    </row>
    <row r="43" spans="2:22">
      <c r="C43" s="645"/>
      <c r="Q43" s="631" t="s">
        <v>17</v>
      </c>
    </row>
    <row r="44" spans="2:22">
      <c r="C44" s="645"/>
      <c r="Q44" s="631">
        <v>2026</v>
      </c>
    </row>
  </sheetData>
  <sheetProtection algorithmName="SHA-512" hashValue="VD/1O8FwnGFR02LOmySaj6zhOfzZNEelmT10tu7nlUaZWBdvy9HosIkvaKFeeOTYHvJSLebamj992s+5rbq6SQ==" saltValue="eKPyxAqdI8edxzdmXjFzpQ==" spinCount="100000" sheet="1" objects="1" selectLockedCells="1"/>
  <mergeCells count="2">
    <mergeCell ref="L5:N5"/>
    <mergeCell ref="Y5:AC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ayfa6">
    <tabColor theme="1"/>
  </sheetPr>
  <dimension ref="A1:IV196"/>
  <sheetViews>
    <sheetView showGridLines="0" showRowColHeaders="0" zoomScale="64" zoomScaleNormal="64" workbookViewId="0">
      <selection activeCell="E6" sqref="E6"/>
    </sheetView>
  </sheetViews>
  <sheetFormatPr defaultColWidth="9" defaultRowHeight="15"/>
  <cols>
    <col min="1" max="1" width="9" style="1265"/>
    <col min="2" max="2" width="4.28515625" style="105" customWidth="1"/>
    <col min="3" max="4" width="9.140625" style="105" customWidth="1"/>
    <col min="5" max="5" width="8.5703125" style="105" customWidth="1"/>
    <col min="6" max="6" width="9.140625" style="105" bestFit="1" customWidth="1"/>
    <col min="7" max="7" width="9.140625" style="105" customWidth="1"/>
    <col min="8" max="8" width="8.42578125" style="105" customWidth="1"/>
    <col min="9" max="9" width="4.7109375" style="105" customWidth="1"/>
    <col min="10" max="10" width="5.7109375" style="105" customWidth="1"/>
    <col min="11" max="11" width="7" style="105" customWidth="1"/>
    <col min="12" max="12" width="9.140625" style="105" customWidth="1"/>
    <col min="13" max="13" width="9.5703125" style="105" customWidth="1"/>
    <col min="14" max="14" width="4.28515625" style="105" customWidth="1"/>
    <col min="15" max="15" width="12.140625" style="105" customWidth="1"/>
    <col min="16" max="16" width="9.42578125" style="105" customWidth="1"/>
    <col min="17" max="17" width="5.85546875" style="105" customWidth="1"/>
    <col min="18" max="18" width="7.28515625" style="105" customWidth="1"/>
    <col min="19" max="20" width="9.140625" style="105" customWidth="1"/>
    <col min="21" max="21" width="5.7109375" style="105" customWidth="1"/>
    <col min="22" max="27" width="9.140625" style="105" customWidth="1"/>
    <col min="28" max="28" width="10.7109375" style="105" customWidth="1"/>
    <col min="29" max="32" width="9.140625" style="105" customWidth="1"/>
    <col min="33" max="33" width="11" style="105" customWidth="1"/>
    <col min="34" max="35" width="9.140625" style="105" customWidth="1"/>
    <col min="36" max="36" width="12.140625" style="105" bestFit="1" customWidth="1"/>
    <col min="37" max="38" width="9.140625" style="105" customWidth="1"/>
    <col min="39" max="39" width="10.5703125" style="105" customWidth="1"/>
    <col min="40" max="43" width="9.140625" style="105" customWidth="1"/>
    <col min="44" max="44" width="10.140625" style="105" customWidth="1"/>
    <col min="45" max="47" width="9.140625" style="105" customWidth="1"/>
    <col min="48" max="48" width="10.7109375" style="105" bestFit="1" customWidth="1"/>
    <col min="49" max="51" width="9.140625" style="105" customWidth="1"/>
    <col min="52" max="52" width="10.5703125" style="105" customWidth="1"/>
    <col min="53" max="256" width="9.140625" style="105" customWidth="1"/>
  </cols>
  <sheetData>
    <row r="1" spans="1:55" ht="6.75" customHeight="1">
      <c r="A1" s="105"/>
    </row>
    <row r="2" spans="1:55" ht="18" customHeight="1" thickBot="1">
      <c r="A2" s="2878" t="s">
        <v>1933</v>
      </c>
      <c r="B2" s="2878"/>
      <c r="C2" s="2878"/>
      <c r="D2" s="2878"/>
      <c r="E2" s="2878"/>
    </row>
    <row r="3" spans="1:55" ht="19.5" customHeight="1" thickBot="1">
      <c r="A3" s="2878"/>
      <c r="B3" s="2878"/>
      <c r="C3" s="2878"/>
      <c r="D3" s="2878"/>
      <c r="E3" s="2878"/>
      <c r="F3" s="2903" t="s">
        <v>124</v>
      </c>
      <c r="G3" s="2904"/>
      <c r="H3" s="106">
        <v>0.7</v>
      </c>
      <c r="I3" s="25" t="s">
        <v>122</v>
      </c>
      <c r="L3" s="2849" t="s">
        <v>94</v>
      </c>
      <c r="M3" s="2850"/>
      <c r="N3" s="2850"/>
      <c r="O3" s="2850"/>
      <c r="P3" s="2851"/>
      <c r="Q3" s="107"/>
      <c r="T3" s="795"/>
    </row>
    <row r="4" spans="1:55" ht="32.25" thickBot="1">
      <c r="A4" s="105"/>
      <c r="C4" s="1839"/>
      <c r="L4" s="107"/>
      <c r="M4" s="107"/>
      <c r="N4" s="107"/>
      <c r="O4" s="107"/>
      <c r="P4" s="107"/>
      <c r="Q4" s="107"/>
      <c r="T4" s="1519" t="s">
        <v>1415</v>
      </c>
    </row>
    <row r="5" spans="1:55" ht="15" customHeight="1" thickBot="1">
      <c r="A5" s="105"/>
      <c r="C5" s="181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9"/>
      <c r="T5" s="2872" t="s">
        <v>1416</v>
      </c>
      <c r="U5" s="2873"/>
      <c r="V5" s="2873"/>
      <c r="W5" s="2873"/>
      <c r="X5" s="2873"/>
      <c r="Y5" s="2873"/>
      <c r="Z5" s="2873"/>
      <c r="AA5" s="2874"/>
      <c r="AB5" s="2879" t="s">
        <v>1417</v>
      </c>
      <c r="AC5" s="2880"/>
      <c r="AD5" s="2880"/>
      <c r="AE5" s="2880"/>
      <c r="AF5" s="2881"/>
      <c r="AG5" s="2839" t="s">
        <v>364</v>
      </c>
      <c r="AH5" s="2840"/>
      <c r="AI5" s="2840"/>
      <c r="AJ5" s="2840"/>
      <c r="AK5" s="2885"/>
      <c r="AL5" s="2858" t="s">
        <v>1418</v>
      </c>
      <c r="AM5" s="2858"/>
      <c r="AN5" s="2858"/>
      <c r="AO5" s="2858"/>
      <c r="AP5" s="2858"/>
      <c r="AQ5" s="2859"/>
      <c r="AR5" s="2887" t="s">
        <v>1419</v>
      </c>
      <c r="AS5" s="2887"/>
      <c r="AT5" s="2887"/>
      <c r="AU5" s="2888"/>
      <c r="AV5" s="2869" t="s">
        <v>1420</v>
      </c>
      <c r="AW5" s="2870"/>
      <c r="AX5" s="2870"/>
      <c r="AY5" s="2871"/>
      <c r="AZ5" s="2839" t="s">
        <v>1441</v>
      </c>
      <c r="BA5" s="2840"/>
      <c r="BB5" s="2840"/>
      <c r="BC5" s="2841"/>
    </row>
    <row r="6" spans="1:55" ht="19.5" customHeight="1" thickBot="1">
      <c r="A6" s="105"/>
      <c r="C6" s="108" t="s">
        <v>93</v>
      </c>
      <c r="D6" s="120" t="s">
        <v>95</v>
      </c>
      <c r="E6" s="109">
        <v>34080</v>
      </c>
      <c r="F6" s="25" t="s">
        <v>42</v>
      </c>
      <c r="H6" s="110" t="s">
        <v>92</v>
      </c>
      <c r="I6" s="111">
        <v>20</v>
      </c>
      <c r="K6" s="120" t="s">
        <v>91</v>
      </c>
      <c r="L6" s="112">
        <f>E6/I6</f>
        <v>1704</v>
      </c>
      <c r="M6" s="114" t="s">
        <v>36</v>
      </c>
      <c r="O6" s="863" t="s">
        <v>99</v>
      </c>
      <c r="P6" s="113">
        <f>(((4*L8)/(3.14*3600*H3))^0.5)*1000</f>
        <v>29.349431709045387</v>
      </c>
      <c r="Q6" s="114" t="s">
        <v>5</v>
      </c>
      <c r="R6" s="123"/>
      <c r="T6" s="2875"/>
      <c r="U6" s="2876"/>
      <c r="V6" s="2876"/>
      <c r="W6" s="2876"/>
      <c r="X6" s="2876"/>
      <c r="Y6" s="2876"/>
      <c r="Z6" s="2876"/>
      <c r="AA6" s="2877"/>
      <c r="AB6" s="2882"/>
      <c r="AC6" s="2883"/>
      <c r="AD6" s="2883"/>
      <c r="AE6" s="2883"/>
      <c r="AF6" s="2884"/>
      <c r="AG6" s="2842"/>
      <c r="AH6" s="2843"/>
      <c r="AI6" s="2843"/>
      <c r="AJ6" s="2843"/>
      <c r="AK6" s="2886"/>
      <c r="AL6" s="2860"/>
      <c r="AM6" s="2860"/>
      <c r="AN6" s="2860"/>
      <c r="AO6" s="2860"/>
      <c r="AP6" s="2860"/>
      <c r="AQ6" s="2861"/>
      <c r="AR6" s="2889"/>
      <c r="AS6" s="2889"/>
      <c r="AT6" s="2889"/>
      <c r="AU6" s="2890"/>
      <c r="AV6" s="2855" t="s">
        <v>1421</v>
      </c>
      <c r="AW6" s="2856"/>
      <c r="AX6" s="2856"/>
      <c r="AY6" s="2857"/>
      <c r="AZ6" s="2842"/>
      <c r="BA6" s="2843"/>
      <c r="BB6" s="2843"/>
      <c r="BC6" s="2844"/>
    </row>
    <row r="7" spans="1:55" ht="14.25" customHeight="1" thickBot="1">
      <c r="A7" s="105"/>
      <c r="C7" s="182"/>
      <c r="D7" s="120"/>
      <c r="H7" s="110"/>
      <c r="K7" s="120"/>
      <c r="R7" s="123"/>
      <c r="T7" s="2893" t="s">
        <v>1422</v>
      </c>
      <c r="U7" s="2848"/>
      <c r="V7" s="456" t="s">
        <v>1423</v>
      </c>
      <c r="W7" s="1524" t="s">
        <v>1424</v>
      </c>
      <c r="X7" s="456" t="s">
        <v>1425</v>
      </c>
      <c r="Y7" s="2848" t="s">
        <v>1426</v>
      </c>
      <c r="Z7" s="2848"/>
      <c r="AA7" s="1530" t="s">
        <v>1427</v>
      </c>
      <c r="AB7" s="1535" t="s">
        <v>1422</v>
      </c>
      <c r="AC7" s="456" t="s">
        <v>1423</v>
      </c>
      <c r="AD7" s="1524" t="s">
        <v>1424</v>
      </c>
      <c r="AE7" s="456" t="s">
        <v>1425</v>
      </c>
      <c r="AF7" s="1530" t="s">
        <v>1427</v>
      </c>
      <c r="AG7" s="1535" t="s">
        <v>1422</v>
      </c>
      <c r="AH7" s="456" t="s">
        <v>1423</v>
      </c>
      <c r="AI7" s="1524" t="s">
        <v>1424</v>
      </c>
      <c r="AJ7" s="456" t="s">
        <v>1425</v>
      </c>
      <c r="AK7" s="1718" t="s">
        <v>1427</v>
      </c>
      <c r="AL7" s="1717"/>
      <c r="AM7" s="1535" t="s">
        <v>1422</v>
      </c>
      <c r="AN7" s="456" t="s">
        <v>1423</v>
      </c>
      <c r="AO7" s="1524" t="s">
        <v>1424</v>
      </c>
      <c r="AP7" s="456" t="s">
        <v>1425</v>
      </c>
      <c r="AQ7" s="1718" t="s">
        <v>1427</v>
      </c>
      <c r="AR7" s="1254" t="s">
        <v>1422</v>
      </c>
      <c r="AS7" s="456" t="s">
        <v>1423</v>
      </c>
      <c r="AT7" s="1524" t="s">
        <v>1424</v>
      </c>
      <c r="AU7" s="1530" t="s">
        <v>1427</v>
      </c>
      <c r="AV7" s="1542" t="s">
        <v>1422</v>
      </c>
      <c r="AW7" s="456" t="s">
        <v>1423</v>
      </c>
      <c r="AX7" s="1524" t="s">
        <v>1424</v>
      </c>
      <c r="AY7" s="1530" t="s">
        <v>1427</v>
      </c>
      <c r="AZ7" s="1535" t="s">
        <v>1422</v>
      </c>
      <c r="BA7" s="456" t="s">
        <v>1423</v>
      </c>
      <c r="BB7" s="1524" t="s">
        <v>1424</v>
      </c>
      <c r="BC7" s="1553" t="s">
        <v>1425</v>
      </c>
    </row>
    <row r="8" spans="1:55" ht="15.75" thickBot="1">
      <c r="A8" s="105"/>
      <c r="C8" s="182"/>
      <c r="E8" s="122">
        <f>E6/860</f>
        <v>39.627906976744185</v>
      </c>
      <c r="F8" s="114" t="s">
        <v>77</v>
      </c>
      <c r="K8" s="120" t="s">
        <v>91</v>
      </c>
      <c r="L8" s="112">
        <f>L6/1000</f>
        <v>1.704</v>
      </c>
      <c r="M8" s="114" t="s">
        <v>2</v>
      </c>
      <c r="R8" s="123"/>
      <c r="T8" s="1518"/>
      <c r="U8" s="1300"/>
      <c r="V8" s="1300"/>
      <c r="W8" s="1531"/>
      <c r="X8" s="1300"/>
      <c r="Y8" s="1300"/>
      <c r="Z8" s="1300"/>
      <c r="AA8" s="1517"/>
      <c r="AB8" s="1516"/>
      <c r="AC8" s="231"/>
      <c r="AD8" s="1536"/>
      <c r="AE8" s="231"/>
      <c r="AF8" s="1517"/>
      <c r="AG8" s="1516" t="s">
        <v>1437</v>
      </c>
      <c r="AH8" s="231"/>
      <c r="AI8" s="1536"/>
      <c r="AJ8" s="231"/>
      <c r="AK8" s="1719"/>
      <c r="AL8" s="231"/>
      <c r="AM8" s="231"/>
      <c r="AN8" s="231"/>
      <c r="AO8" s="1536"/>
      <c r="AP8" s="231"/>
      <c r="AQ8" s="1719"/>
      <c r="AR8" s="231"/>
      <c r="AS8" s="231"/>
      <c r="AT8" s="1536"/>
      <c r="AU8" s="1517"/>
      <c r="AV8" s="1516"/>
      <c r="AW8" s="231"/>
      <c r="AX8" s="1536"/>
      <c r="AY8" s="1517"/>
      <c r="AZ8" s="1518" t="s">
        <v>1442</v>
      </c>
      <c r="BA8" s="231"/>
      <c r="BB8" s="1536"/>
      <c r="BC8" s="1517"/>
    </row>
    <row r="9" spans="1:55" ht="15.75" thickBot="1">
      <c r="A9" s="105"/>
      <c r="C9" s="11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6"/>
      <c r="T9" s="1532" t="s">
        <v>1428</v>
      </c>
      <c r="U9" s="1525" t="s">
        <v>1429</v>
      </c>
      <c r="V9" s="1525" t="s">
        <v>1429</v>
      </c>
      <c r="W9" s="1526" t="s">
        <v>1429</v>
      </c>
      <c r="X9" s="1525" t="s">
        <v>1429</v>
      </c>
      <c r="Y9" s="1525" t="s">
        <v>1430</v>
      </c>
      <c r="Z9" s="1525" t="s">
        <v>1431</v>
      </c>
      <c r="AA9" s="1533" t="s">
        <v>1432</v>
      </c>
      <c r="AB9" s="1532" t="s">
        <v>1429</v>
      </c>
      <c r="AC9" s="1525" t="s">
        <v>1429</v>
      </c>
      <c r="AD9" s="1526" t="s">
        <v>1429</v>
      </c>
      <c r="AE9" s="1525" t="s">
        <v>1429</v>
      </c>
      <c r="AF9" s="1533" t="s">
        <v>1432</v>
      </c>
      <c r="AG9" s="1532" t="s">
        <v>1429</v>
      </c>
      <c r="AH9" s="1525" t="s">
        <v>1429</v>
      </c>
      <c r="AI9" s="1526" t="s">
        <v>1429</v>
      </c>
      <c r="AJ9" s="1525" t="s">
        <v>1429</v>
      </c>
      <c r="AK9" s="1721" t="s">
        <v>1432</v>
      </c>
      <c r="AL9" s="1720" t="s">
        <v>1443</v>
      </c>
      <c r="AM9" s="1525" t="s">
        <v>1429</v>
      </c>
      <c r="AN9" s="1525" t="s">
        <v>1429</v>
      </c>
      <c r="AO9" s="1526" t="s">
        <v>1429</v>
      </c>
      <c r="AP9" s="1525" t="s">
        <v>1429</v>
      </c>
      <c r="AQ9" s="1721" t="s">
        <v>1432</v>
      </c>
      <c r="AR9" s="1552" t="s">
        <v>1429</v>
      </c>
      <c r="AS9" s="1525" t="s">
        <v>1429</v>
      </c>
      <c r="AT9" s="1526" t="s">
        <v>1429</v>
      </c>
      <c r="AU9" s="1533" t="s">
        <v>755</v>
      </c>
      <c r="AV9" s="1532" t="s">
        <v>1429</v>
      </c>
      <c r="AW9" s="1525" t="s">
        <v>1429</v>
      </c>
      <c r="AX9" s="1526" t="s">
        <v>1429</v>
      </c>
      <c r="AY9" s="1533" t="s">
        <v>755</v>
      </c>
      <c r="AZ9" s="1532" t="s">
        <v>1429</v>
      </c>
      <c r="BA9" s="1525" t="s">
        <v>1429</v>
      </c>
      <c r="BB9" s="1526" t="s">
        <v>1429</v>
      </c>
      <c r="BC9" s="1533" t="s">
        <v>1429</v>
      </c>
    </row>
    <row r="10" spans="1:55" ht="15.75" thickBot="1">
      <c r="A10" s="105"/>
      <c r="T10" s="1545" t="s">
        <v>195</v>
      </c>
      <c r="U10" s="1546">
        <v>15</v>
      </c>
      <c r="V10" s="1527">
        <v>2.8</v>
      </c>
      <c r="W10" s="1528">
        <v>15.7</v>
      </c>
      <c r="X10" s="1527">
        <f t="shared" ref="X10:X15" si="0">(V10*2)+W10</f>
        <v>21.299999999999997</v>
      </c>
      <c r="Y10" s="1527">
        <v>1.28</v>
      </c>
      <c r="Z10" s="1527">
        <v>7.66</v>
      </c>
      <c r="AA10" s="1534">
        <f>(((W10/1000)/2)^2)*3.14*1000</f>
        <v>0.19349464999999999</v>
      </c>
      <c r="AB10" s="1544">
        <v>20</v>
      </c>
      <c r="AC10" s="1527">
        <v>3.4</v>
      </c>
      <c r="AD10" s="1528">
        <v>13.2</v>
      </c>
      <c r="AE10" s="462">
        <v>20</v>
      </c>
      <c r="AF10" s="1534">
        <f t="shared" ref="AF10:AF18" si="1">(((AD10/1000)/2)^2)*3.14*1000</f>
        <v>0.13677839999999999</v>
      </c>
      <c r="AG10" s="1547">
        <v>16</v>
      </c>
      <c r="AH10" s="1527">
        <v>2.2999999999999998</v>
      </c>
      <c r="AI10" s="1528">
        <f t="shared" ref="AI10:AI26" si="2">AG10-AH10-AH10</f>
        <v>11.399999999999999</v>
      </c>
      <c r="AJ10" s="462">
        <v>16</v>
      </c>
      <c r="AK10" s="1723">
        <f t="shared" ref="AK10:AK26" si="3">(((AI10/1000)/2)^2)*3.14*1000</f>
        <v>0.10201859999999999</v>
      </c>
      <c r="AL10" s="1722" t="s">
        <v>195</v>
      </c>
      <c r="AM10" s="1546">
        <v>12</v>
      </c>
      <c r="AN10" s="462">
        <v>1</v>
      </c>
      <c r="AO10" s="1529">
        <f t="shared" ref="AO10:AO24" si="4">AM10-AN10-AN10</f>
        <v>10</v>
      </c>
      <c r="AP10" s="462">
        <v>12</v>
      </c>
      <c r="AQ10" s="1723">
        <f t="shared" ref="AQ10:AQ24" si="5">(((AO10/1000)/2)^2)*3.14*1000</f>
        <v>7.8500000000000014E-2</v>
      </c>
      <c r="AR10" s="1551">
        <v>16</v>
      </c>
      <c r="AS10" s="462">
        <v>2.2000000000000002</v>
      </c>
      <c r="AT10" s="1528">
        <f>AR10-AS10-AS10</f>
        <v>11.600000000000001</v>
      </c>
      <c r="AU10" s="1541">
        <v>0.106</v>
      </c>
      <c r="AV10" s="1547">
        <v>25</v>
      </c>
      <c r="AW10" s="462">
        <v>2.2999999999999998</v>
      </c>
      <c r="AX10" s="1528">
        <f>AV10-AW10-AW10</f>
        <v>20.399999999999999</v>
      </c>
      <c r="AY10" s="1541">
        <v>0.32700000000000001</v>
      </c>
      <c r="AZ10" s="1547">
        <v>50</v>
      </c>
      <c r="BA10" s="1527">
        <v>1.8</v>
      </c>
      <c r="BB10" s="1528">
        <f>BC10-BA10-BA10</f>
        <v>46.400000000000006</v>
      </c>
      <c r="BC10" s="1530">
        <v>50</v>
      </c>
    </row>
    <row r="11" spans="1:55" ht="15" customHeight="1" thickBot="1">
      <c r="A11" s="105"/>
      <c r="C11" s="181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9"/>
      <c r="T11" s="1545" t="s">
        <v>198</v>
      </c>
      <c r="U11" s="1546">
        <v>20</v>
      </c>
      <c r="V11" s="1527">
        <v>2.9</v>
      </c>
      <c r="W11" s="1528">
        <v>20.9</v>
      </c>
      <c r="X11" s="1527">
        <f t="shared" si="0"/>
        <v>26.7</v>
      </c>
      <c r="Y11" s="1527">
        <v>1.7</v>
      </c>
      <c r="Z11" s="1527">
        <v>10.210000000000001</v>
      </c>
      <c r="AA11" s="1534">
        <f t="shared" ref="AA11:AA25" si="6">(((W11/1000)/2)^2)*3.14*1000</f>
        <v>0.34289585</v>
      </c>
      <c r="AB11" s="1544">
        <v>25</v>
      </c>
      <c r="AC11" s="1527">
        <v>4.2</v>
      </c>
      <c r="AD11" s="1528">
        <v>16.600000000000001</v>
      </c>
      <c r="AE11" s="462">
        <v>25</v>
      </c>
      <c r="AF11" s="1534">
        <f t="shared" si="1"/>
        <v>0.21631460000000002</v>
      </c>
      <c r="AG11" s="1547">
        <v>20</v>
      </c>
      <c r="AH11" s="1527">
        <v>2.2999999999999998</v>
      </c>
      <c r="AI11" s="1528">
        <f t="shared" si="2"/>
        <v>15.399999999999999</v>
      </c>
      <c r="AJ11" s="462">
        <v>20</v>
      </c>
      <c r="AK11" s="1723">
        <f t="shared" si="3"/>
        <v>0.18617059999999996</v>
      </c>
      <c r="AL11" s="1722" t="s">
        <v>1444</v>
      </c>
      <c r="AM11" s="1546">
        <v>15</v>
      </c>
      <c r="AN11" s="462">
        <v>1</v>
      </c>
      <c r="AO11" s="1529">
        <f t="shared" si="4"/>
        <v>13</v>
      </c>
      <c r="AP11" s="462">
        <v>15</v>
      </c>
      <c r="AQ11" s="1723">
        <f t="shared" si="5"/>
        <v>0.13266499999999998</v>
      </c>
      <c r="AR11" s="1551">
        <v>20</v>
      </c>
      <c r="AS11" s="462">
        <v>2.8</v>
      </c>
      <c r="AT11" s="1528">
        <f t="shared" ref="AT11:AT16" si="7">AR11-AS11-AS11</f>
        <v>14.399999999999999</v>
      </c>
      <c r="AU11" s="1541">
        <v>0.16300000000000001</v>
      </c>
      <c r="AV11" s="1547">
        <v>32</v>
      </c>
      <c r="AW11" s="462">
        <v>2.9</v>
      </c>
      <c r="AX11" s="1528">
        <f>AV11-AW11-AW11</f>
        <v>26.200000000000003</v>
      </c>
      <c r="AY11" s="1541">
        <v>0.53900000000000003</v>
      </c>
      <c r="AZ11" s="1547">
        <v>75</v>
      </c>
      <c r="BA11" s="1527">
        <v>1.9</v>
      </c>
      <c r="BB11" s="1528">
        <f t="shared" ref="BB11:BB15" si="8">BC11-BA11-BA11</f>
        <v>71.199999999999989</v>
      </c>
      <c r="BC11" s="1530">
        <v>75</v>
      </c>
    </row>
    <row r="12" spans="1:55" ht="15.75" thickBot="1">
      <c r="A12" s="105"/>
      <c r="C12" s="108" t="s">
        <v>96</v>
      </c>
      <c r="D12" s="120" t="s">
        <v>95</v>
      </c>
      <c r="E12" s="106">
        <v>45.6</v>
      </c>
      <c r="F12" s="25" t="s">
        <v>77</v>
      </c>
      <c r="H12" s="110" t="s">
        <v>92</v>
      </c>
      <c r="I12" s="111">
        <v>20</v>
      </c>
      <c r="K12" s="120" t="s">
        <v>91</v>
      </c>
      <c r="L12" s="121">
        <f>E14/I12</f>
        <v>1960.8</v>
      </c>
      <c r="M12" s="114" t="s">
        <v>36</v>
      </c>
      <c r="O12" s="863" t="s">
        <v>99</v>
      </c>
      <c r="P12" s="113">
        <f>(((4*L14)/(3.14*3600*H3))^0.5)*1000</f>
        <v>31.483394432019029</v>
      </c>
      <c r="Q12" s="114" t="s">
        <v>5</v>
      </c>
      <c r="R12" s="123"/>
      <c r="T12" s="1545" t="s">
        <v>201</v>
      </c>
      <c r="U12" s="1546">
        <v>25</v>
      </c>
      <c r="V12" s="1527">
        <v>3.4</v>
      </c>
      <c r="W12" s="1528">
        <v>26.6</v>
      </c>
      <c r="X12" s="1527">
        <f t="shared" si="0"/>
        <v>33.4</v>
      </c>
      <c r="Y12" s="1527">
        <v>2.52</v>
      </c>
      <c r="Z12" s="1527">
        <v>15.09</v>
      </c>
      <c r="AA12" s="1534">
        <f t="shared" si="6"/>
        <v>0.55543460000000011</v>
      </c>
      <c r="AB12" s="1544">
        <v>32</v>
      </c>
      <c r="AC12" s="1527">
        <v>5.4</v>
      </c>
      <c r="AD12" s="1528">
        <v>21.2</v>
      </c>
      <c r="AE12" s="462">
        <v>32</v>
      </c>
      <c r="AF12" s="1534">
        <f t="shared" si="1"/>
        <v>0.35281040000000002</v>
      </c>
      <c r="AG12" s="1547">
        <v>25</v>
      </c>
      <c r="AH12" s="1527">
        <v>2.2999999999999998</v>
      </c>
      <c r="AI12" s="1528">
        <f t="shared" si="2"/>
        <v>20.399999999999999</v>
      </c>
      <c r="AJ12" s="462">
        <v>25</v>
      </c>
      <c r="AK12" s="1723">
        <f t="shared" si="3"/>
        <v>0.32668559999999996</v>
      </c>
      <c r="AL12" s="1722" t="s">
        <v>198</v>
      </c>
      <c r="AM12" s="1546">
        <v>18</v>
      </c>
      <c r="AN12" s="462">
        <v>1</v>
      </c>
      <c r="AO12" s="1529">
        <f t="shared" si="4"/>
        <v>16</v>
      </c>
      <c r="AP12" s="462">
        <v>18</v>
      </c>
      <c r="AQ12" s="1723">
        <f t="shared" si="5"/>
        <v>0.20096</v>
      </c>
      <c r="AR12" s="1551">
        <v>25</v>
      </c>
      <c r="AS12" s="462">
        <v>3.5</v>
      </c>
      <c r="AT12" s="1528">
        <f t="shared" si="7"/>
        <v>18</v>
      </c>
      <c r="AU12" s="1541">
        <v>0.254</v>
      </c>
      <c r="AV12" s="1547">
        <v>40</v>
      </c>
      <c r="AW12" s="462">
        <v>3.7</v>
      </c>
      <c r="AX12" s="1528">
        <f>AV12-AW12-AW12</f>
        <v>32.599999999999994</v>
      </c>
      <c r="AY12" s="1541">
        <v>0.83499999999999996</v>
      </c>
      <c r="AZ12" s="1547">
        <v>100</v>
      </c>
      <c r="BA12" s="1527">
        <v>2.7</v>
      </c>
      <c r="BB12" s="1528">
        <f t="shared" si="8"/>
        <v>104.6</v>
      </c>
      <c r="BC12" s="1530">
        <v>110</v>
      </c>
    </row>
    <row r="13" spans="1:55" ht="15.75" thickBot="1">
      <c r="A13" s="105"/>
      <c r="C13" s="182"/>
      <c r="D13" s="120"/>
      <c r="H13" s="110"/>
      <c r="K13" s="120"/>
      <c r="R13" s="123"/>
      <c r="T13" s="1545" t="s">
        <v>867</v>
      </c>
      <c r="U13" s="1546">
        <v>32</v>
      </c>
      <c r="V13" s="1527">
        <v>3.6</v>
      </c>
      <c r="W13" s="1528">
        <v>35</v>
      </c>
      <c r="X13" s="1527">
        <f t="shared" si="0"/>
        <v>42.2</v>
      </c>
      <c r="Y13" s="1527">
        <v>3.43</v>
      </c>
      <c r="Z13" s="1527">
        <v>20.56</v>
      </c>
      <c r="AA13" s="1534">
        <f t="shared" si="6"/>
        <v>0.96162500000000017</v>
      </c>
      <c r="AB13" s="1544">
        <v>40</v>
      </c>
      <c r="AC13" s="1527">
        <v>6.7</v>
      </c>
      <c r="AD13" s="1528">
        <v>26.6</v>
      </c>
      <c r="AE13" s="462">
        <v>40</v>
      </c>
      <c r="AF13" s="1534">
        <f t="shared" si="1"/>
        <v>0.55543460000000011</v>
      </c>
      <c r="AG13" s="1547">
        <v>32</v>
      </c>
      <c r="AH13" s="1527">
        <v>2.9</v>
      </c>
      <c r="AI13" s="1528">
        <f t="shared" si="2"/>
        <v>26.200000000000003</v>
      </c>
      <c r="AJ13" s="462">
        <v>32</v>
      </c>
      <c r="AK13" s="1723">
        <f t="shared" si="3"/>
        <v>0.5388554000000001</v>
      </c>
      <c r="AL13" s="1722" t="s">
        <v>1445</v>
      </c>
      <c r="AM13" s="1546">
        <v>22</v>
      </c>
      <c r="AN13" s="462">
        <v>1</v>
      </c>
      <c r="AO13" s="1529">
        <f t="shared" si="4"/>
        <v>20</v>
      </c>
      <c r="AP13" s="462">
        <v>22</v>
      </c>
      <c r="AQ13" s="1723">
        <f t="shared" si="5"/>
        <v>0.31400000000000006</v>
      </c>
      <c r="AR13" s="1551">
        <v>32</v>
      </c>
      <c r="AS13" s="462">
        <v>4.4000000000000004</v>
      </c>
      <c r="AT13" s="1528">
        <f t="shared" si="7"/>
        <v>23.200000000000003</v>
      </c>
      <c r="AU13" s="1541">
        <v>0.42299999999999999</v>
      </c>
      <c r="AV13" s="1547">
        <v>50</v>
      </c>
      <c r="AW13" s="462">
        <v>4.5999999999999996</v>
      </c>
      <c r="AX13" s="1528">
        <f>AV13-AW13-AW13</f>
        <v>40.799999999999997</v>
      </c>
      <c r="AY13" s="1541">
        <v>1.3069999999999999</v>
      </c>
      <c r="AZ13" s="1547">
        <v>125</v>
      </c>
      <c r="BA13" s="1527">
        <v>3.1</v>
      </c>
      <c r="BB13" s="1528">
        <f t="shared" si="8"/>
        <v>118.80000000000001</v>
      </c>
      <c r="BC13" s="1530">
        <v>125</v>
      </c>
    </row>
    <row r="14" spans="1:55" ht="15.75" thickBot="1">
      <c r="A14" s="105"/>
      <c r="C14" s="182"/>
      <c r="E14" s="121">
        <f>E12*860</f>
        <v>39216</v>
      </c>
      <c r="F14" s="114" t="s">
        <v>42</v>
      </c>
      <c r="K14" s="120" t="s">
        <v>91</v>
      </c>
      <c r="L14" s="112">
        <f>L12/1000</f>
        <v>1.9607999999999999</v>
      </c>
      <c r="M14" s="114" t="s">
        <v>2</v>
      </c>
      <c r="R14" s="123"/>
      <c r="T14" s="1545" t="s">
        <v>868</v>
      </c>
      <c r="U14" s="1546">
        <v>40</v>
      </c>
      <c r="V14" s="1527">
        <v>3.7</v>
      </c>
      <c r="W14" s="1528">
        <v>40.9</v>
      </c>
      <c r="X14" s="1527">
        <f t="shared" si="0"/>
        <v>48.3</v>
      </c>
      <c r="Y14" s="1527">
        <v>4.07</v>
      </c>
      <c r="Z14" s="1527">
        <v>24.42</v>
      </c>
      <c r="AA14" s="1534">
        <f t="shared" si="6"/>
        <v>1.31315585</v>
      </c>
      <c r="AB14" s="1544">
        <v>50</v>
      </c>
      <c r="AC14" s="1527">
        <v>8.4</v>
      </c>
      <c r="AD14" s="1528">
        <v>33.200000000000003</v>
      </c>
      <c r="AE14" s="462">
        <v>50</v>
      </c>
      <c r="AF14" s="1534">
        <f t="shared" si="1"/>
        <v>0.86525840000000009</v>
      </c>
      <c r="AG14" s="1547">
        <v>40</v>
      </c>
      <c r="AH14" s="1527">
        <v>3.7</v>
      </c>
      <c r="AI14" s="1528">
        <f t="shared" si="2"/>
        <v>32.599999999999994</v>
      </c>
      <c r="AJ14" s="462">
        <v>40</v>
      </c>
      <c r="AK14" s="1723">
        <f t="shared" si="3"/>
        <v>0.83426659999999997</v>
      </c>
      <c r="AL14" s="1722" t="s">
        <v>1447</v>
      </c>
      <c r="AM14" s="1546">
        <v>28</v>
      </c>
      <c r="AN14" s="462">
        <v>1.5</v>
      </c>
      <c r="AO14" s="1529">
        <f t="shared" si="4"/>
        <v>25</v>
      </c>
      <c r="AP14" s="462">
        <v>28</v>
      </c>
      <c r="AQ14" s="1723">
        <f t="shared" si="5"/>
        <v>0.49062500000000009</v>
      </c>
      <c r="AR14" s="1551">
        <v>40</v>
      </c>
      <c r="AS14" s="462">
        <v>5.5</v>
      </c>
      <c r="AT14" s="1528">
        <f t="shared" si="7"/>
        <v>29</v>
      </c>
      <c r="AU14" s="1541">
        <v>0.66100000000000003</v>
      </c>
      <c r="AV14" s="1547">
        <v>63</v>
      </c>
      <c r="AW14" s="462">
        <v>5.8</v>
      </c>
      <c r="AX14" s="1528">
        <f>AV14-AW14-AW14</f>
        <v>51.400000000000006</v>
      </c>
      <c r="AY14" s="1541">
        <v>2.0750000000000002</v>
      </c>
      <c r="AZ14" s="1547">
        <v>150</v>
      </c>
      <c r="BA14" s="1527">
        <v>3.9</v>
      </c>
      <c r="BB14" s="1528">
        <f t="shared" si="8"/>
        <v>152.19999999999999</v>
      </c>
      <c r="BC14" s="1530">
        <v>160</v>
      </c>
    </row>
    <row r="15" spans="1:55" ht="15.75" thickBot="1">
      <c r="A15" s="105"/>
      <c r="C15" s="115"/>
      <c r="D15" s="125"/>
      <c r="E15" s="125"/>
      <c r="F15" s="125"/>
      <c r="G15" s="125"/>
      <c r="H15" s="125"/>
      <c r="I15" s="125"/>
      <c r="J15" s="125"/>
      <c r="K15" s="116"/>
      <c r="L15" s="125"/>
      <c r="M15" s="125"/>
      <c r="N15" s="125"/>
      <c r="O15" s="125"/>
      <c r="P15" s="125"/>
      <c r="Q15" s="125"/>
      <c r="R15" s="126"/>
      <c r="T15" s="1545" t="s">
        <v>209</v>
      </c>
      <c r="U15" s="1546">
        <v>50</v>
      </c>
      <c r="V15" s="1527">
        <v>3.9</v>
      </c>
      <c r="W15" s="1528">
        <v>52.5</v>
      </c>
      <c r="X15" s="1527">
        <f t="shared" si="0"/>
        <v>60.3</v>
      </c>
      <c r="Y15" s="1527">
        <v>5.42</v>
      </c>
      <c r="Z15" s="1527">
        <v>32.549999999999997</v>
      </c>
      <c r="AA15" s="1534">
        <f t="shared" si="6"/>
        <v>2.1636562499999998</v>
      </c>
      <c r="AB15" s="1544">
        <v>63</v>
      </c>
      <c r="AC15" s="1527">
        <v>10.5</v>
      </c>
      <c r="AD15" s="1528">
        <v>42</v>
      </c>
      <c r="AE15" s="462">
        <v>63</v>
      </c>
      <c r="AF15" s="1534">
        <f t="shared" si="1"/>
        <v>1.3847400000000001</v>
      </c>
      <c r="AG15" s="1547">
        <v>50</v>
      </c>
      <c r="AH15" s="1527">
        <v>4.5999999999999996</v>
      </c>
      <c r="AI15" s="1528">
        <f t="shared" si="2"/>
        <v>40.799999999999997</v>
      </c>
      <c r="AJ15" s="462">
        <v>50</v>
      </c>
      <c r="AK15" s="1723">
        <f t="shared" si="3"/>
        <v>1.3067423999999999</v>
      </c>
      <c r="AL15" s="1724" t="s">
        <v>1446</v>
      </c>
      <c r="AM15" s="1546">
        <v>35</v>
      </c>
      <c r="AN15" s="462">
        <v>1.5</v>
      </c>
      <c r="AO15" s="1529">
        <f t="shared" si="4"/>
        <v>32</v>
      </c>
      <c r="AP15" s="462">
        <v>35</v>
      </c>
      <c r="AQ15" s="1723">
        <f t="shared" si="5"/>
        <v>0.80384</v>
      </c>
      <c r="AR15" s="1551">
        <v>50</v>
      </c>
      <c r="AS15" s="462">
        <v>6.9</v>
      </c>
      <c r="AT15" s="1528">
        <f t="shared" si="7"/>
        <v>36.200000000000003</v>
      </c>
      <c r="AU15" s="1541">
        <v>1.0289999999999999</v>
      </c>
      <c r="AV15" s="2855" t="s">
        <v>1433</v>
      </c>
      <c r="AW15" s="2856"/>
      <c r="AX15" s="2856"/>
      <c r="AY15" s="2857"/>
      <c r="AZ15" s="1547">
        <v>200</v>
      </c>
      <c r="BA15" s="1527">
        <v>6.2</v>
      </c>
      <c r="BB15" s="1528">
        <f t="shared" si="8"/>
        <v>187.60000000000002</v>
      </c>
      <c r="BC15" s="1530">
        <v>200</v>
      </c>
    </row>
    <row r="16" spans="1:55" ht="15.75" thickBot="1">
      <c r="A16" s="105"/>
      <c r="T16" s="1545" t="s">
        <v>869</v>
      </c>
      <c r="U16" s="1546">
        <v>65</v>
      </c>
      <c r="V16" s="1527">
        <v>5.2</v>
      </c>
      <c r="W16" s="1528">
        <v>62.6</v>
      </c>
      <c r="X16" s="1527">
        <f t="shared" ref="X16:X25" si="9">(V16*2)+W16</f>
        <v>73</v>
      </c>
      <c r="Y16" s="1527">
        <v>8.69</v>
      </c>
      <c r="Z16" s="1527">
        <v>52.16</v>
      </c>
      <c r="AA16" s="1534">
        <f t="shared" si="6"/>
        <v>3.0762266</v>
      </c>
      <c r="AB16" s="1544">
        <v>75</v>
      </c>
      <c r="AC16" s="1527">
        <v>12.5</v>
      </c>
      <c r="AD16" s="1528">
        <v>50</v>
      </c>
      <c r="AE16" s="462">
        <v>75</v>
      </c>
      <c r="AF16" s="1534">
        <f t="shared" si="1"/>
        <v>1.9625000000000004</v>
      </c>
      <c r="AG16" s="1547">
        <v>63</v>
      </c>
      <c r="AH16" s="1527">
        <v>5.8</v>
      </c>
      <c r="AI16" s="1528">
        <f t="shared" si="2"/>
        <v>51.400000000000006</v>
      </c>
      <c r="AJ16" s="462">
        <v>63</v>
      </c>
      <c r="AK16" s="1723">
        <f t="shared" si="3"/>
        <v>2.0739386000000009</v>
      </c>
      <c r="AL16" s="1724" t="s">
        <v>1448</v>
      </c>
      <c r="AM16" s="1546">
        <v>42</v>
      </c>
      <c r="AN16" s="462">
        <v>1.5</v>
      </c>
      <c r="AO16" s="1529">
        <f t="shared" si="4"/>
        <v>39</v>
      </c>
      <c r="AP16" s="462">
        <v>42</v>
      </c>
      <c r="AQ16" s="1723">
        <f t="shared" si="5"/>
        <v>1.1939850000000001</v>
      </c>
      <c r="AR16" s="1551">
        <v>63</v>
      </c>
      <c r="AS16" s="462">
        <v>8.6</v>
      </c>
      <c r="AT16" s="1528">
        <f t="shared" si="7"/>
        <v>45.8</v>
      </c>
      <c r="AU16" s="1541">
        <v>1.647</v>
      </c>
      <c r="AV16" s="1547">
        <v>25</v>
      </c>
      <c r="AW16" s="462">
        <v>2.2999999999999998</v>
      </c>
      <c r="AX16" s="1528">
        <f>AV16-AW16-AW16</f>
        <v>20.399999999999999</v>
      </c>
      <c r="AY16" s="1541">
        <v>0.32700000000000001</v>
      </c>
      <c r="AZ16" s="1537"/>
      <c r="BA16" s="871"/>
      <c r="BB16" s="871"/>
      <c r="BC16" s="1520"/>
    </row>
    <row r="17" spans="1:55" ht="15.75" thickBot="1">
      <c r="A17" s="105"/>
      <c r="C17" s="181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9"/>
      <c r="T17" s="1545" t="s">
        <v>225</v>
      </c>
      <c r="U17" s="1546">
        <v>80</v>
      </c>
      <c r="V17" s="1527">
        <v>5.5</v>
      </c>
      <c r="W17" s="1528">
        <v>77.900000000000006</v>
      </c>
      <c r="X17" s="1527">
        <f t="shared" si="9"/>
        <v>88.9</v>
      </c>
      <c r="Y17" s="1527">
        <v>11.31</v>
      </c>
      <c r="Z17" s="1527">
        <v>67.87</v>
      </c>
      <c r="AA17" s="1534">
        <f t="shared" si="6"/>
        <v>4.7637018500000012</v>
      </c>
      <c r="AB17" s="1544">
        <v>90</v>
      </c>
      <c r="AC17" s="1527">
        <v>15</v>
      </c>
      <c r="AD17" s="1528">
        <v>60</v>
      </c>
      <c r="AE17" s="462">
        <v>90</v>
      </c>
      <c r="AF17" s="1534">
        <f t="shared" si="1"/>
        <v>2.8260000000000001</v>
      </c>
      <c r="AG17" s="1547">
        <v>75</v>
      </c>
      <c r="AH17" s="1527">
        <v>6.8</v>
      </c>
      <c r="AI17" s="1528">
        <f t="shared" si="2"/>
        <v>61.400000000000006</v>
      </c>
      <c r="AJ17" s="462">
        <v>75</v>
      </c>
      <c r="AK17" s="1723">
        <f t="shared" si="3"/>
        <v>2.9594186000000007</v>
      </c>
      <c r="AL17" s="1724" t="s">
        <v>1449</v>
      </c>
      <c r="AM17" s="1546">
        <v>54</v>
      </c>
      <c r="AN17" s="462">
        <v>2</v>
      </c>
      <c r="AO17" s="1529">
        <f t="shared" si="4"/>
        <v>50</v>
      </c>
      <c r="AP17" s="462">
        <v>54</v>
      </c>
      <c r="AQ17" s="1723">
        <f t="shared" si="5"/>
        <v>1.9625000000000004</v>
      </c>
      <c r="AR17" s="871"/>
      <c r="AS17" s="871"/>
      <c r="AT17" s="871"/>
      <c r="AU17" s="1520"/>
      <c r="AV17" s="1547">
        <v>32</v>
      </c>
      <c r="AW17" s="462">
        <v>2.9</v>
      </c>
      <c r="AX17" s="1528">
        <f t="shared" ref="AX17:AX24" si="10">AV17-AW17-AW17</f>
        <v>26.200000000000003</v>
      </c>
      <c r="AY17" s="1541">
        <v>0.53900000000000003</v>
      </c>
      <c r="AZ17" s="1537"/>
      <c r="BA17" s="871"/>
      <c r="BB17" s="871"/>
      <c r="BC17" s="1520"/>
    </row>
    <row r="18" spans="1:55" ht="15.75" thickBot="1">
      <c r="A18" s="105"/>
      <c r="C18" s="108" t="s">
        <v>97</v>
      </c>
      <c r="D18" s="120" t="s">
        <v>91</v>
      </c>
      <c r="E18" s="106">
        <v>6880</v>
      </c>
      <c r="F18" s="25" t="s">
        <v>36</v>
      </c>
      <c r="H18" s="110" t="s">
        <v>92</v>
      </c>
      <c r="I18" s="111">
        <v>10</v>
      </c>
      <c r="K18" s="120" t="s">
        <v>95</v>
      </c>
      <c r="L18" s="112">
        <f>E18*I18</f>
        <v>68800</v>
      </c>
      <c r="M18" s="124" t="s">
        <v>42</v>
      </c>
      <c r="O18" s="863" t="s">
        <v>99</v>
      </c>
      <c r="P18" s="113">
        <f>(((4*E20)/(3.14*3600*H3))^0.5)*1000</f>
        <v>58.973801050918254</v>
      </c>
      <c r="Q18" s="114" t="s">
        <v>5</v>
      </c>
      <c r="R18" s="123"/>
      <c r="T18" s="1545" t="s">
        <v>870</v>
      </c>
      <c r="U18" s="1546">
        <v>100</v>
      </c>
      <c r="V18" s="1527">
        <v>6</v>
      </c>
      <c r="W18" s="1528">
        <v>102.3</v>
      </c>
      <c r="X18" s="1527">
        <f t="shared" si="9"/>
        <v>114.3</v>
      </c>
      <c r="Y18" s="1527">
        <v>16.02</v>
      </c>
      <c r="Z18" s="1527">
        <v>96.14</v>
      </c>
      <c r="AA18" s="1534">
        <f t="shared" si="6"/>
        <v>8.2152526500000018</v>
      </c>
      <c r="AB18" s="1544">
        <v>110</v>
      </c>
      <c r="AC18" s="1527">
        <v>18.399999999999999</v>
      </c>
      <c r="AD18" s="1528">
        <v>73.2</v>
      </c>
      <c r="AE18" s="462">
        <v>110</v>
      </c>
      <c r="AF18" s="1534">
        <f t="shared" si="1"/>
        <v>4.2062184</v>
      </c>
      <c r="AG18" s="1547">
        <v>90</v>
      </c>
      <c r="AH18" s="1527">
        <v>8.1999999999999993</v>
      </c>
      <c r="AI18" s="1528">
        <f t="shared" si="2"/>
        <v>73.599999999999994</v>
      </c>
      <c r="AJ18" s="462">
        <v>90</v>
      </c>
      <c r="AK18" s="1723">
        <f t="shared" si="3"/>
        <v>4.2523135999999999</v>
      </c>
      <c r="AL18" s="871"/>
      <c r="AM18" s="1546">
        <v>64</v>
      </c>
      <c r="AN18" s="462">
        <v>2</v>
      </c>
      <c r="AO18" s="1529">
        <f t="shared" si="4"/>
        <v>60</v>
      </c>
      <c r="AP18" s="462">
        <v>55</v>
      </c>
      <c r="AQ18" s="1723">
        <f t="shared" si="5"/>
        <v>2.8260000000000001</v>
      </c>
      <c r="AR18" s="871"/>
      <c r="AS18" s="871"/>
      <c r="AT18" s="871"/>
      <c r="AU18" s="1520"/>
      <c r="AV18" s="1547">
        <v>40</v>
      </c>
      <c r="AW18" s="462">
        <v>3.7</v>
      </c>
      <c r="AX18" s="1528">
        <f t="shared" si="10"/>
        <v>32.599999999999994</v>
      </c>
      <c r="AY18" s="1541">
        <v>0.83499999999999996</v>
      </c>
      <c r="AZ18" s="1537"/>
      <c r="BA18" s="871"/>
      <c r="BB18" s="871"/>
      <c r="BC18" s="1520"/>
    </row>
    <row r="19" spans="1:55" ht="15.75" thickBot="1">
      <c r="A19" s="105"/>
      <c r="C19" s="182"/>
      <c r="D19" s="120"/>
      <c r="H19" s="110"/>
      <c r="K19" s="120"/>
      <c r="R19" s="123"/>
      <c r="T19" s="1545" t="s">
        <v>871</v>
      </c>
      <c r="U19" s="1546">
        <v>125</v>
      </c>
      <c r="V19" s="1527">
        <v>6.6</v>
      </c>
      <c r="W19" s="1528">
        <v>127.8</v>
      </c>
      <c r="X19" s="1527">
        <f t="shared" si="9"/>
        <v>141</v>
      </c>
      <c r="Y19" s="1527">
        <v>21.87</v>
      </c>
      <c r="Z19" s="1527">
        <v>131.25</v>
      </c>
      <c r="AA19" s="1534">
        <f t="shared" si="6"/>
        <v>12.821279399999998</v>
      </c>
      <c r="AB19" s="1537"/>
      <c r="AC19" s="871"/>
      <c r="AD19" s="871"/>
      <c r="AE19" s="871"/>
      <c r="AF19" s="1520"/>
      <c r="AG19" s="1547">
        <v>110</v>
      </c>
      <c r="AH19" s="1527">
        <v>10</v>
      </c>
      <c r="AI19" s="1528">
        <f t="shared" si="2"/>
        <v>90</v>
      </c>
      <c r="AJ19" s="462">
        <v>110</v>
      </c>
      <c r="AK19" s="1723">
        <f t="shared" si="3"/>
        <v>6.3584999999999994</v>
      </c>
      <c r="AL19" s="871"/>
      <c r="AM19" s="1546">
        <v>76.099999999999994</v>
      </c>
      <c r="AN19" s="462">
        <v>2</v>
      </c>
      <c r="AO19" s="1529">
        <f t="shared" si="4"/>
        <v>72.099999999999994</v>
      </c>
      <c r="AP19" s="462">
        <v>56</v>
      </c>
      <c r="AQ19" s="1723">
        <f t="shared" si="5"/>
        <v>4.0807518499999995</v>
      </c>
      <c r="AR19" s="871"/>
      <c r="AS19" s="871"/>
      <c r="AT19" s="871"/>
      <c r="AU19" s="1520"/>
      <c r="AV19" s="1547">
        <v>50</v>
      </c>
      <c r="AW19" s="462">
        <v>4.5999999999999996</v>
      </c>
      <c r="AX19" s="1528">
        <f t="shared" si="10"/>
        <v>40.799999999999997</v>
      </c>
      <c r="AY19" s="1541">
        <v>1.3069999999999999</v>
      </c>
      <c r="AZ19" s="1537"/>
      <c r="BA19" s="871"/>
      <c r="BB19" s="871"/>
      <c r="BC19" s="1520"/>
    </row>
    <row r="20" spans="1:55" ht="18" customHeight="1" thickBot="1">
      <c r="A20" s="105"/>
      <c r="C20" s="182"/>
      <c r="E20" s="122">
        <f>E18/1000</f>
        <v>6.88</v>
      </c>
      <c r="F20" s="114" t="s">
        <v>2</v>
      </c>
      <c r="K20" s="120" t="s">
        <v>95</v>
      </c>
      <c r="L20" s="122">
        <f>L18/860</f>
        <v>80</v>
      </c>
      <c r="M20" s="124" t="s">
        <v>77</v>
      </c>
      <c r="R20" s="123"/>
      <c r="T20" s="1545" t="s">
        <v>872</v>
      </c>
      <c r="U20" s="1546">
        <v>150</v>
      </c>
      <c r="V20" s="1527">
        <v>7.1</v>
      </c>
      <c r="W20" s="1528">
        <v>154.1</v>
      </c>
      <c r="X20" s="1527">
        <f t="shared" si="9"/>
        <v>168.29999999999998</v>
      </c>
      <c r="Y20" s="1527">
        <v>28.22</v>
      </c>
      <c r="Z20" s="1527">
        <v>169.34</v>
      </c>
      <c r="AA20" s="1534">
        <f t="shared" si="6"/>
        <v>18.641245849999997</v>
      </c>
      <c r="AB20" s="1537"/>
      <c r="AC20" s="871"/>
      <c r="AD20" s="871"/>
      <c r="AE20" s="871"/>
      <c r="AF20" s="1520"/>
      <c r="AG20" s="1547">
        <v>125</v>
      </c>
      <c r="AH20" s="1527">
        <v>11.4</v>
      </c>
      <c r="AI20" s="1528">
        <f t="shared" si="2"/>
        <v>102.19999999999999</v>
      </c>
      <c r="AJ20" s="462">
        <v>125</v>
      </c>
      <c r="AK20" s="1723">
        <f t="shared" si="3"/>
        <v>8.1991993999999977</v>
      </c>
      <c r="AL20" s="871"/>
      <c r="AM20" s="1546">
        <v>88.9</v>
      </c>
      <c r="AN20" s="462">
        <v>2</v>
      </c>
      <c r="AO20" s="1529">
        <f t="shared" si="4"/>
        <v>84.9</v>
      </c>
      <c r="AP20" s="462">
        <v>57</v>
      </c>
      <c r="AQ20" s="1723">
        <f t="shared" si="5"/>
        <v>5.6582878500000007</v>
      </c>
      <c r="AR20" s="871"/>
      <c r="AS20" s="871"/>
      <c r="AT20" s="871"/>
      <c r="AU20" s="1520"/>
      <c r="AV20" s="1547">
        <v>63</v>
      </c>
      <c r="AW20" s="462">
        <v>5.8</v>
      </c>
      <c r="AX20" s="1528">
        <f t="shared" si="10"/>
        <v>51.400000000000006</v>
      </c>
      <c r="AY20" s="1541">
        <v>2.0750000000000002</v>
      </c>
      <c r="AZ20" s="1537"/>
      <c r="BA20" s="871"/>
      <c r="BB20" s="871"/>
      <c r="BC20" s="1520"/>
    </row>
    <row r="21" spans="1:55" ht="15.75" thickBot="1">
      <c r="A21" s="105"/>
      <c r="C21" s="11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6"/>
      <c r="T21" s="1545" t="s">
        <v>873</v>
      </c>
      <c r="U21" s="1546">
        <v>200</v>
      </c>
      <c r="V21" s="1527">
        <v>8.18</v>
      </c>
      <c r="W21" s="1528">
        <v>202.74</v>
      </c>
      <c r="X21" s="1527">
        <f t="shared" si="9"/>
        <v>219.10000000000002</v>
      </c>
      <c r="Y21" s="1527">
        <v>42.55</v>
      </c>
      <c r="Z21" s="1527">
        <v>255.28</v>
      </c>
      <c r="AA21" s="1534">
        <f t="shared" si="6"/>
        <v>32.266253465999995</v>
      </c>
      <c r="AB21" s="1537"/>
      <c r="AC21" s="871"/>
      <c r="AD21" s="871"/>
      <c r="AE21" s="871"/>
      <c r="AF21" s="1520"/>
      <c r="AG21" s="1547">
        <v>140</v>
      </c>
      <c r="AH21" s="1527">
        <v>12.7</v>
      </c>
      <c r="AI21" s="1528">
        <f t="shared" si="2"/>
        <v>114.6</v>
      </c>
      <c r="AJ21" s="462">
        <v>140</v>
      </c>
      <c r="AK21" s="1723">
        <f t="shared" si="3"/>
        <v>10.309530599999999</v>
      </c>
      <c r="AL21" s="871"/>
      <c r="AM21" s="1546">
        <v>108</v>
      </c>
      <c r="AN21" s="462">
        <v>2.5</v>
      </c>
      <c r="AO21" s="1529">
        <f t="shared" si="4"/>
        <v>103</v>
      </c>
      <c r="AP21" s="462">
        <v>58</v>
      </c>
      <c r="AQ21" s="1723">
        <f t="shared" si="5"/>
        <v>8.3280649999999987</v>
      </c>
      <c r="AR21" s="871"/>
      <c r="AS21" s="871"/>
      <c r="AT21" s="871"/>
      <c r="AU21" s="1520"/>
      <c r="AV21" s="1547">
        <v>75</v>
      </c>
      <c r="AW21" s="462">
        <v>6.8</v>
      </c>
      <c r="AX21" s="1528">
        <f t="shared" si="10"/>
        <v>61.400000000000006</v>
      </c>
      <c r="AY21" s="1541">
        <v>2.9609999999999999</v>
      </c>
      <c r="AZ21" s="1537"/>
      <c r="BA21" s="871"/>
      <c r="BB21" s="871"/>
      <c r="BC21" s="1520"/>
    </row>
    <row r="22" spans="1:55" ht="15.75" thickBot="1">
      <c r="A22" s="105"/>
      <c r="T22" s="1545" t="s">
        <v>884</v>
      </c>
      <c r="U22" s="1546">
        <v>250</v>
      </c>
      <c r="V22" s="1527">
        <v>9.27</v>
      </c>
      <c r="W22" s="1528">
        <v>254.46</v>
      </c>
      <c r="X22" s="1527">
        <f t="shared" si="9"/>
        <v>273</v>
      </c>
      <c r="Y22" s="1527">
        <v>60.29</v>
      </c>
      <c r="Z22" s="1527">
        <v>361.73</v>
      </c>
      <c r="AA22" s="1534">
        <f t="shared" si="6"/>
        <v>50.828664906000014</v>
      </c>
      <c r="AB22" s="1537"/>
      <c r="AC22" s="871"/>
      <c r="AD22" s="871"/>
      <c r="AE22" s="871"/>
      <c r="AF22" s="1520"/>
      <c r="AG22" s="1547">
        <v>160</v>
      </c>
      <c r="AH22" s="1527">
        <v>14.6</v>
      </c>
      <c r="AI22" s="1528">
        <f t="shared" si="2"/>
        <v>130.80000000000001</v>
      </c>
      <c r="AJ22" s="462">
        <v>160</v>
      </c>
      <c r="AK22" s="1723">
        <f t="shared" si="3"/>
        <v>13.430282400000001</v>
      </c>
      <c r="AL22" s="871"/>
      <c r="AM22" s="1546">
        <v>133</v>
      </c>
      <c r="AN22" s="462">
        <v>3</v>
      </c>
      <c r="AO22" s="1529">
        <f t="shared" si="4"/>
        <v>127</v>
      </c>
      <c r="AP22" s="462">
        <v>59</v>
      </c>
      <c r="AQ22" s="1723">
        <f t="shared" si="5"/>
        <v>12.661265000000002</v>
      </c>
      <c r="AR22" s="871"/>
      <c r="AS22" s="871"/>
      <c r="AT22" s="871"/>
      <c r="AU22" s="1520"/>
      <c r="AV22" s="1547">
        <v>90</v>
      </c>
      <c r="AW22" s="462">
        <v>8.1999999999999993</v>
      </c>
      <c r="AX22" s="1528">
        <f t="shared" si="10"/>
        <v>73.599999999999994</v>
      </c>
      <c r="AY22" s="1541">
        <v>4.2539999999999996</v>
      </c>
      <c r="AZ22" s="1537"/>
      <c r="BA22" s="871"/>
      <c r="BB22" s="871"/>
      <c r="BC22" s="1520"/>
    </row>
    <row r="23" spans="1:55" ht="15.75" thickBot="1">
      <c r="A23" s="105"/>
      <c r="C23" s="181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9"/>
      <c r="T23" s="1545" t="s">
        <v>1434</v>
      </c>
      <c r="U23" s="1546">
        <v>300</v>
      </c>
      <c r="V23" s="1527">
        <v>9.5</v>
      </c>
      <c r="W23" s="1528">
        <v>304.89999999999998</v>
      </c>
      <c r="X23" s="1527">
        <f t="shared" si="9"/>
        <v>323.89999999999998</v>
      </c>
      <c r="Y23" s="1527">
        <v>73.650000000000006</v>
      </c>
      <c r="Z23" s="1527">
        <v>441.93</v>
      </c>
      <c r="AA23" s="1534">
        <f t="shared" si="6"/>
        <v>72.97674785000001</v>
      </c>
      <c r="AB23" s="1537"/>
      <c r="AC23" s="871"/>
      <c r="AD23" s="871"/>
      <c r="AE23" s="871"/>
      <c r="AF23" s="1520"/>
      <c r="AG23" s="1547">
        <v>180</v>
      </c>
      <c r="AH23" s="1527">
        <v>16.399999999999999</v>
      </c>
      <c r="AI23" s="1528">
        <f t="shared" si="2"/>
        <v>147.19999999999999</v>
      </c>
      <c r="AJ23" s="462">
        <v>180</v>
      </c>
      <c r="AK23" s="1723">
        <f t="shared" si="3"/>
        <v>17.0092544</v>
      </c>
      <c r="AL23" s="871"/>
      <c r="AM23" s="1546">
        <v>159</v>
      </c>
      <c r="AN23" s="462">
        <v>3</v>
      </c>
      <c r="AO23" s="1529">
        <f t="shared" si="4"/>
        <v>153</v>
      </c>
      <c r="AP23" s="462">
        <v>60</v>
      </c>
      <c r="AQ23" s="1723">
        <f t="shared" si="5"/>
        <v>18.376065000000001</v>
      </c>
      <c r="AR23" s="871"/>
      <c r="AS23" s="871"/>
      <c r="AT23" s="871"/>
      <c r="AU23" s="1520"/>
      <c r="AV23" s="1547">
        <v>110</v>
      </c>
      <c r="AW23" s="462">
        <v>10</v>
      </c>
      <c r="AX23" s="1528">
        <f t="shared" si="10"/>
        <v>90</v>
      </c>
      <c r="AY23" s="1541">
        <v>6.3620000000000001</v>
      </c>
      <c r="AZ23" s="1537"/>
      <c r="BA23" s="871"/>
      <c r="BB23" s="871"/>
      <c r="BC23" s="1520"/>
    </row>
    <row r="24" spans="1:55" ht="15.75" thickBot="1">
      <c r="A24" s="105"/>
      <c r="C24" s="108" t="s">
        <v>98</v>
      </c>
      <c r="D24" s="120" t="s">
        <v>91</v>
      </c>
      <c r="E24" s="117">
        <v>3.6</v>
      </c>
      <c r="F24" s="25" t="s">
        <v>2</v>
      </c>
      <c r="H24" s="110" t="s">
        <v>92</v>
      </c>
      <c r="I24" s="111">
        <v>10</v>
      </c>
      <c r="K24" s="120" t="s">
        <v>95</v>
      </c>
      <c r="L24" s="112">
        <f>E26*I24</f>
        <v>36000</v>
      </c>
      <c r="M24" s="124" t="s">
        <v>42</v>
      </c>
      <c r="O24" s="863" t="s">
        <v>99</v>
      </c>
      <c r="P24" s="113">
        <f>(((4*E24)/(3.14*3600*H3))^0.5)*1000</f>
        <v>42.659538379366857</v>
      </c>
      <c r="Q24" s="114" t="s">
        <v>5</v>
      </c>
      <c r="R24" s="123"/>
      <c r="T24" s="1545" t="s">
        <v>1435</v>
      </c>
      <c r="U24" s="1546">
        <v>400</v>
      </c>
      <c r="V24" s="1527">
        <v>9.5</v>
      </c>
      <c r="W24" s="1528">
        <v>387</v>
      </c>
      <c r="X24" s="1527">
        <f t="shared" si="9"/>
        <v>406</v>
      </c>
      <c r="Y24" s="462"/>
      <c r="Z24" s="462"/>
      <c r="AA24" s="1534">
        <f t="shared" si="6"/>
        <v>117.56866500000001</v>
      </c>
      <c r="AB24" s="1537"/>
      <c r="AC24" s="871"/>
      <c r="AD24" s="871"/>
      <c r="AE24" s="871"/>
      <c r="AF24" s="1520"/>
      <c r="AG24" s="1547">
        <v>200</v>
      </c>
      <c r="AH24" s="1527">
        <v>18.2</v>
      </c>
      <c r="AI24" s="1528">
        <f t="shared" si="2"/>
        <v>163.60000000000002</v>
      </c>
      <c r="AJ24" s="462">
        <v>200</v>
      </c>
      <c r="AK24" s="1723">
        <f t="shared" si="3"/>
        <v>21.010493600000007</v>
      </c>
      <c r="AL24" s="871"/>
      <c r="AM24" s="1546">
        <v>219</v>
      </c>
      <c r="AN24" s="462">
        <v>3</v>
      </c>
      <c r="AO24" s="1529">
        <f t="shared" si="4"/>
        <v>213</v>
      </c>
      <c r="AP24" s="462">
        <v>61</v>
      </c>
      <c r="AQ24" s="1723">
        <f t="shared" si="5"/>
        <v>35.614665000000002</v>
      </c>
      <c r="AR24" s="871"/>
      <c r="AS24" s="871"/>
      <c r="AT24" s="871"/>
      <c r="AU24" s="1520"/>
      <c r="AV24" s="1547">
        <v>125</v>
      </c>
      <c r="AW24" s="462">
        <v>11.4</v>
      </c>
      <c r="AX24" s="1528">
        <f t="shared" si="10"/>
        <v>102.19999999999999</v>
      </c>
      <c r="AY24" s="1541">
        <v>8.2029999999999994</v>
      </c>
      <c r="AZ24" s="1537"/>
      <c r="BA24" s="871"/>
      <c r="BB24" s="871"/>
      <c r="BC24" s="1520"/>
    </row>
    <row r="25" spans="1:55" ht="15.75" thickBot="1">
      <c r="A25" s="105"/>
      <c r="C25" s="182"/>
      <c r="D25" s="120"/>
      <c r="H25" s="110"/>
      <c r="K25" s="120"/>
      <c r="R25" s="123"/>
      <c r="T25" s="1545" t="s">
        <v>1436</v>
      </c>
      <c r="U25" s="1546">
        <v>450</v>
      </c>
      <c r="V25" s="1527">
        <v>9.5</v>
      </c>
      <c r="W25" s="1528">
        <v>451</v>
      </c>
      <c r="X25" s="1527">
        <f t="shared" si="9"/>
        <v>470</v>
      </c>
      <c r="Y25" s="462"/>
      <c r="Z25" s="462"/>
      <c r="AA25" s="1534">
        <f t="shared" si="6"/>
        <v>159.66978500000002</v>
      </c>
      <c r="AB25" s="1537"/>
      <c r="AC25" s="871"/>
      <c r="AD25" s="871"/>
      <c r="AE25" s="871"/>
      <c r="AF25" s="1520"/>
      <c r="AG25" s="1547">
        <v>225</v>
      </c>
      <c r="AH25" s="1527">
        <v>20.5</v>
      </c>
      <c r="AI25" s="1528">
        <f t="shared" si="2"/>
        <v>184</v>
      </c>
      <c r="AJ25" s="462">
        <v>225</v>
      </c>
      <c r="AK25" s="1723">
        <f t="shared" si="3"/>
        <v>26.57696</v>
      </c>
      <c r="AL25" s="871"/>
      <c r="AM25" s="871"/>
      <c r="AN25" s="871"/>
      <c r="AO25" s="871"/>
      <c r="AP25" s="871"/>
      <c r="AQ25" s="1725"/>
      <c r="AR25" s="871"/>
      <c r="AS25" s="871"/>
      <c r="AT25" s="871"/>
      <c r="AU25" s="1520"/>
      <c r="AV25" s="1537"/>
      <c r="AW25" s="871"/>
      <c r="AX25" s="871"/>
      <c r="AY25" s="1520"/>
      <c r="AZ25" s="1537"/>
      <c r="BA25" s="871"/>
      <c r="BB25" s="871"/>
      <c r="BC25" s="1520"/>
    </row>
    <row r="26" spans="1:55" ht="15.75" thickBot="1">
      <c r="A26" s="105"/>
      <c r="C26" s="182"/>
      <c r="E26" s="112">
        <f>E24*1000</f>
        <v>3600</v>
      </c>
      <c r="F26" s="114" t="s">
        <v>36</v>
      </c>
      <c r="K26" s="120" t="s">
        <v>95</v>
      </c>
      <c r="L26" s="122">
        <f>L24/860</f>
        <v>41.860465116279073</v>
      </c>
      <c r="M26" s="124" t="s">
        <v>77</v>
      </c>
      <c r="R26" s="123"/>
      <c r="T26" s="1521"/>
      <c r="U26" s="1522"/>
      <c r="V26" s="1522"/>
      <c r="W26" s="1522"/>
      <c r="X26" s="1522"/>
      <c r="Y26" s="1522"/>
      <c r="Z26" s="1522"/>
      <c r="AA26" s="1523"/>
      <c r="AB26" s="1521"/>
      <c r="AC26" s="1522"/>
      <c r="AD26" s="1522"/>
      <c r="AE26" s="1522"/>
      <c r="AF26" s="1523"/>
      <c r="AG26" s="1548">
        <v>250</v>
      </c>
      <c r="AH26" s="1538">
        <v>22.7</v>
      </c>
      <c r="AI26" s="1539">
        <f t="shared" si="2"/>
        <v>204.60000000000002</v>
      </c>
      <c r="AJ26" s="1540">
        <v>250</v>
      </c>
      <c r="AK26" s="1728">
        <f t="shared" si="3"/>
        <v>32.861010600000014</v>
      </c>
      <c r="AL26" s="1726"/>
      <c r="AM26" s="1522"/>
      <c r="AN26" s="1522"/>
      <c r="AO26" s="1522"/>
      <c r="AP26" s="1522"/>
      <c r="AQ26" s="1727"/>
      <c r="AR26" s="1522"/>
      <c r="AS26" s="1522"/>
      <c r="AT26" s="1522"/>
      <c r="AU26" s="1523"/>
      <c r="AV26" s="1521"/>
      <c r="AW26" s="1522"/>
      <c r="AX26" s="1522"/>
      <c r="AY26" s="1523"/>
      <c r="AZ26" s="1521"/>
      <c r="BA26" s="1522"/>
      <c r="BB26" s="1522"/>
      <c r="BC26" s="1523"/>
    </row>
    <row r="27" spans="1:55" ht="15.75" thickBot="1">
      <c r="A27" s="105"/>
      <c r="C27" s="11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6"/>
      <c r="T27" s="795"/>
    </row>
    <row r="28" spans="1:55" ht="15.75" thickBot="1">
      <c r="A28" s="105"/>
    </row>
    <row r="29" spans="1:55" ht="21.75" thickBot="1">
      <c r="A29" s="105"/>
      <c r="C29" s="181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9"/>
      <c r="S29" s="3"/>
      <c r="T29" s="3"/>
      <c r="U29" s="1"/>
      <c r="V29" s="1"/>
      <c r="AP29" s="2864" t="s">
        <v>880</v>
      </c>
      <c r="AQ29" s="2865"/>
      <c r="AR29" s="2865"/>
      <c r="AS29" s="2866"/>
      <c r="AU29" s="2894" t="s">
        <v>922</v>
      </c>
      <c r="AV29" s="2895"/>
      <c r="AW29" s="2896"/>
    </row>
    <row r="30" spans="1:55" ht="15.75" thickBot="1">
      <c r="A30" s="105"/>
      <c r="C30" s="108" t="s">
        <v>125</v>
      </c>
      <c r="D30" s="120"/>
      <c r="E30" s="1854"/>
      <c r="H30" s="110" t="s">
        <v>92</v>
      </c>
      <c r="I30" s="111">
        <v>10</v>
      </c>
      <c r="K30" s="120" t="s">
        <v>95</v>
      </c>
      <c r="L30" s="121">
        <f>P32*I30</f>
        <v>21804.51168</v>
      </c>
      <c r="M30" s="124" t="s">
        <v>42</v>
      </c>
      <c r="O30" s="120" t="s">
        <v>91</v>
      </c>
      <c r="P30" s="122">
        <f>(((E31/1000)^2)*(3.14*H3*3600))/4</f>
        <v>2.1804511679999998</v>
      </c>
      <c r="Q30" s="114" t="s">
        <v>2</v>
      </c>
      <c r="R30" s="123"/>
      <c r="S30" s="3"/>
      <c r="T30" s="183"/>
      <c r="U30" s="1"/>
      <c r="V30" s="1"/>
      <c r="AP30" s="799" t="s">
        <v>881</v>
      </c>
      <c r="AQ30" s="799"/>
      <c r="AR30" s="799" t="s">
        <v>882</v>
      </c>
      <c r="AS30" s="799" t="s">
        <v>883</v>
      </c>
      <c r="AU30" s="918" t="s">
        <v>914</v>
      </c>
      <c r="AV30" s="329" t="s">
        <v>363</v>
      </c>
      <c r="AW30" s="1543" t="s">
        <v>1438</v>
      </c>
    </row>
    <row r="31" spans="1:55" ht="15.75" thickBot="1">
      <c r="A31" s="105"/>
      <c r="C31" s="182"/>
      <c r="D31" s="120" t="s">
        <v>99</v>
      </c>
      <c r="E31" s="60">
        <v>33.200000000000003</v>
      </c>
      <c r="F31" s="25" t="s">
        <v>5</v>
      </c>
      <c r="H31" s="110"/>
      <c r="K31" s="120"/>
      <c r="O31" s="120"/>
      <c r="R31" s="123"/>
      <c r="S31" s="2891"/>
      <c r="T31" s="2892"/>
      <c r="U31" s="2892"/>
      <c r="V31" s="2892"/>
      <c r="AP31" s="800" t="s">
        <v>195</v>
      </c>
      <c r="AQ31" s="801">
        <v>15</v>
      </c>
      <c r="AR31" s="802">
        <v>15.75</v>
      </c>
      <c r="AS31" s="803">
        <v>0.32</v>
      </c>
      <c r="AU31" s="919" t="s">
        <v>195</v>
      </c>
      <c r="AV31" s="330" t="s">
        <v>365</v>
      </c>
      <c r="AW31" s="923" t="s">
        <v>916</v>
      </c>
    </row>
    <row r="32" spans="1:55" ht="15.75" thickBot="1">
      <c r="A32" s="105"/>
      <c r="C32" s="182"/>
      <c r="K32" s="120" t="s">
        <v>95</v>
      </c>
      <c r="L32" s="122">
        <f>L30/860</f>
        <v>25.354083348837207</v>
      </c>
      <c r="M32" s="124" t="s">
        <v>77</v>
      </c>
      <c r="O32" s="120" t="s">
        <v>91</v>
      </c>
      <c r="P32" s="121">
        <f>P30*1000</f>
        <v>2180.4511680000001</v>
      </c>
      <c r="Q32" s="114" t="s">
        <v>36</v>
      </c>
      <c r="R32" s="123"/>
      <c r="S32" s="1"/>
      <c r="AP32" s="800" t="s">
        <v>198</v>
      </c>
      <c r="AQ32" s="801">
        <v>20</v>
      </c>
      <c r="AR32" s="802">
        <v>21.25</v>
      </c>
      <c r="AS32" s="803">
        <v>0.4</v>
      </c>
      <c r="AU32" s="920" t="s">
        <v>198</v>
      </c>
      <c r="AV32" s="331" t="s">
        <v>367</v>
      </c>
      <c r="AW32" s="924" t="s">
        <v>917</v>
      </c>
    </row>
    <row r="33" spans="1:62" ht="15.75" thickBot="1">
      <c r="A33" s="105"/>
      <c r="C33" s="182"/>
      <c r="R33" s="123"/>
      <c r="S33" s="1"/>
      <c r="AP33" s="800" t="s">
        <v>201</v>
      </c>
      <c r="AQ33" s="801">
        <v>25</v>
      </c>
      <c r="AR33" s="802">
        <v>27</v>
      </c>
      <c r="AS33" s="803">
        <v>0.48</v>
      </c>
      <c r="AU33" s="920" t="s">
        <v>201</v>
      </c>
      <c r="AV33" s="331" t="s">
        <v>368</v>
      </c>
      <c r="AW33" s="924" t="s">
        <v>918</v>
      </c>
    </row>
    <row r="34" spans="1:62" ht="15.75" thickBot="1">
      <c r="A34" s="105"/>
      <c r="C34" s="182"/>
      <c r="O34" s="120" t="s">
        <v>91</v>
      </c>
      <c r="P34" s="122">
        <f>P32/3600</f>
        <v>0.60568087999999998</v>
      </c>
      <c r="Q34" s="114" t="s">
        <v>1972</v>
      </c>
      <c r="R34" s="123"/>
      <c r="S34" s="1"/>
      <c r="AP34" s="800"/>
      <c r="AQ34" s="801"/>
      <c r="AR34" s="802"/>
      <c r="AS34" s="803"/>
      <c r="AU34" s="920"/>
      <c r="AV34" s="331"/>
      <c r="AW34" s="924"/>
    </row>
    <row r="35" spans="1:62" ht="15.75" thickBot="1">
      <c r="A35" s="105"/>
      <c r="C35" s="11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16"/>
      <c r="P35" s="116"/>
      <c r="Q35" s="116"/>
      <c r="R35" s="126"/>
      <c r="S35" s="1"/>
      <c r="AP35" s="800"/>
      <c r="AQ35" s="801"/>
      <c r="AR35" s="802"/>
      <c r="AS35" s="803"/>
      <c r="AU35" s="920"/>
      <c r="AV35" s="331"/>
      <c r="AW35" s="924"/>
    </row>
    <row r="36" spans="1:62" ht="18.75">
      <c r="A36" s="105"/>
      <c r="J36" s="804" t="s">
        <v>887</v>
      </c>
      <c r="K36" s="804"/>
      <c r="L36" s="804"/>
      <c r="M36" s="804"/>
      <c r="N36" s="804"/>
      <c r="O36" s="804"/>
      <c r="P36" s="805" t="s">
        <v>885</v>
      </c>
      <c r="R36" s="3"/>
      <c r="S36" s="3"/>
      <c r="T36" s="1"/>
      <c r="U36" s="1"/>
      <c r="AP36" s="800" t="s">
        <v>868</v>
      </c>
      <c r="AQ36" s="801">
        <v>40</v>
      </c>
      <c r="AR36" s="802">
        <v>41.25</v>
      </c>
      <c r="AS36" s="803">
        <v>0.65</v>
      </c>
      <c r="AU36" s="920" t="s">
        <v>206</v>
      </c>
      <c r="AV36" s="331" t="s">
        <v>232</v>
      </c>
      <c r="AW36" s="924" t="s">
        <v>920</v>
      </c>
    </row>
    <row r="37" spans="1:62" ht="19.5" thickBot="1">
      <c r="A37" s="105"/>
      <c r="J37" s="804" t="s">
        <v>888</v>
      </c>
      <c r="K37" s="804"/>
      <c r="L37" s="804"/>
      <c r="M37" s="804"/>
      <c r="N37" s="804"/>
      <c r="O37" s="804"/>
      <c r="P37" s="805" t="s">
        <v>886</v>
      </c>
      <c r="R37" s="3"/>
      <c r="S37" s="183"/>
      <c r="T37" s="1"/>
      <c r="U37" s="1"/>
      <c r="AP37" s="800" t="s">
        <v>209</v>
      </c>
      <c r="AQ37" s="801">
        <v>50</v>
      </c>
      <c r="AR37" s="802">
        <v>51.5</v>
      </c>
      <c r="AS37" s="803">
        <v>0.75</v>
      </c>
      <c r="AU37" s="922" t="s">
        <v>209</v>
      </c>
      <c r="AV37" s="332" t="s">
        <v>370</v>
      </c>
      <c r="AW37" s="925" t="s">
        <v>921</v>
      </c>
    </row>
    <row r="38" spans="1:62" ht="18.75">
      <c r="A38" s="105"/>
      <c r="H38" s="804"/>
      <c r="I38" s="804"/>
      <c r="J38" s="804" t="s">
        <v>889</v>
      </c>
      <c r="K38" s="804"/>
      <c r="L38" s="804"/>
      <c r="M38" s="804"/>
      <c r="N38" s="804"/>
      <c r="O38" s="804"/>
      <c r="P38" s="805" t="s">
        <v>890</v>
      </c>
      <c r="R38" s="2891"/>
      <c r="S38" s="2892"/>
      <c r="T38" s="2892"/>
      <c r="U38" s="2892"/>
      <c r="AP38" s="800" t="s">
        <v>869</v>
      </c>
      <c r="AQ38" s="801">
        <v>65</v>
      </c>
      <c r="AR38" s="802">
        <v>70</v>
      </c>
      <c r="AS38" s="803">
        <v>0.9</v>
      </c>
    </row>
    <row r="39" spans="1:62" ht="36.75" thickBot="1">
      <c r="A39" s="105"/>
      <c r="K39" s="1586" t="s">
        <v>1460</v>
      </c>
      <c r="AP39" s="800" t="s">
        <v>225</v>
      </c>
      <c r="AQ39" s="801">
        <v>80</v>
      </c>
      <c r="AR39" s="802">
        <v>82.5</v>
      </c>
      <c r="AS39" s="803">
        <v>1</v>
      </c>
      <c r="BD39" s="2852"/>
      <c r="BE39" s="2852"/>
      <c r="BF39" s="2852"/>
      <c r="BG39" s="2852"/>
      <c r="BH39" s="2852"/>
      <c r="BI39" s="2852"/>
      <c r="BJ39" s="2852"/>
    </row>
    <row r="40" spans="1:62" ht="18.75">
      <c r="A40" s="105"/>
      <c r="K40" s="181"/>
      <c r="L40" s="118"/>
      <c r="M40" s="1585" t="s">
        <v>1414</v>
      </c>
      <c r="N40" s="118"/>
      <c r="O40" s="118"/>
      <c r="P40" s="118"/>
      <c r="Q40" s="118"/>
      <c r="R40" s="119"/>
      <c r="AP40" s="800" t="s">
        <v>870</v>
      </c>
      <c r="AQ40" s="801">
        <v>100</v>
      </c>
      <c r="AR40" s="802">
        <v>100.5</v>
      </c>
      <c r="AS40" s="803">
        <v>1.1000000000000001</v>
      </c>
      <c r="BD40" s="2853"/>
      <c r="BE40" s="2853"/>
      <c r="BF40" s="2853"/>
      <c r="BG40" s="2853"/>
      <c r="BH40" s="2853"/>
      <c r="BI40" s="2853"/>
      <c r="BJ40" s="2853"/>
    </row>
    <row r="41" spans="1:62" ht="15" customHeight="1">
      <c r="A41" s="105"/>
      <c r="K41" s="2905"/>
      <c r="L41" s="2852"/>
      <c r="M41" s="1580">
        <v>102.3</v>
      </c>
      <c r="N41" s="890" t="s">
        <v>5</v>
      </c>
      <c r="O41" s="1581">
        <f>M41/1000</f>
        <v>0.1023</v>
      </c>
      <c r="P41" s="1582" t="s">
        <v>163</v>
      </c>
      <c r="R41" s="123"/>
      <c r="S41" s="3"/>
      <c r="T41" s="1"/>
      <c r="U41" s="1"/>
      <c r="AP41" s="800" t="s">
        <v>871</v>
      </c>
      <c r="AQ41" s="801">
        <v>125</v>
      </c>
      <c r="AR41" s="802">
        <v>125</v>
      </c>
      <c r="AS41" s="803">
        <v>1.3</v>
      </c>
      <c r="BE41" s="2854"/>
      <c r="BF41" s="2854"/>
      <c r="BG41" s="2854"/>
      <c r="BH41" s="2854"/>
      <c r="BI41" s="2854"/>
      <c r="BJ41" s="2854"/>
    </row>
    <row r="42" spans="1:62">
      <c r="A42" s="105"/>
      <c r="K42" s="2905"/>
      <c r="L42" s="2852"/>
      <c r="N42" s="2906"/>
      <c r="O42" s="2906"/>
      <c r="P42" s="2906"/>
      <c r="Q42" s="2906"/>
      <c r="R42" s="2907"/>
      <c r="S42" s="183"/>
      <c r="T42" s="1"/>
      <c r="U42" s="1"/>
      <c r="AP42" s="800" t="s">
        <v>872</v>
      </c>
      <c r="AQ42" s="801">
        <v>150</v>
      </c>
      <c r="AR42" s="802">
        <v>150</v>
      </c>
      <c r="AS42" s="803">
        <v>1.4</v>
      </c>
    </row>
    <row r="43" spans="1:62" ht="17.25">
      <c r="A43" s="105"/>
      <c r="K43" s="2862" t="s">
        <v>1411</v>
      </c>
      <c r="L43" s="2863"/>
      <c r="M43" s="1515">
        <v>0.25</v>
      </c>
      <c r="N43" s="2867" t="s">
        <v>163</v>
      </c>
      <c r="O43" s="2867"/>
      <c r="P43" s="2867"/>
      <c r="Q43" s="2867"/>
      <c r="R43" s="2868"/>
      <c r="S43" s="3"/>
      <c r="T43" s="1"/>
      <c r="U43" s="1"/>
      <c r="AE43" s="2852"/>
      <c r="AF43" s="2852"/>
      <c r="AG43" s="2852"/>
      <c r="AH43" s="2852"/>
      <c r="AI43" s="2852"/>
      <c r="AP43" s="800" t="s">
        <v>873</v>
      </c>
      <c r="AQ43" s="801">
        <v>200</v>
      </c>
      <c r="AR43" s="802">
        <v>204</v>
      </c>
      <c r="AS43" s="803">
        <v>1.7</v>
      </c>
      <c r="AZ43" s="2838"/>
      <c r="BA43" s="2838"/>
      <c r="BB43" s="2838"/>
      <c r="BC43" s="2838"/>
      <c r="BD43" s="2838"/>
      <c r="BE43" s="2838"/>
    </row>
    <row r="44" spans="1:62" ht="15" customHeight="1">
      <c r="A44" s="105"/>
      <c r="K44" s="2862" t="s">
        <v>1412</v>
      </c>
      <c r="L44" s="2863"/>
      <c r="M44" s="1515">
        <v>0.12</v>
      </c>
      <c r="N44" s="2867" t="s">
        <v>163</v>
      </c>
      <c r="O44" s="2867"/>
      <c r="P44" s="2867"/>
      <c r="Q44" s="2867"/>
      <c r="R44" s="2868"/>
      <c r="S44" s="183"/>
      <c r="T44" s="1"/>
      <c r="U44" s="1"/>
      <c r="AE44" s="2852"/>
      <c r="AF44" s="2852"/>
      <c r="AG44" s="2852"/>
      <c r="AH44" s="2852"/>
      <c r="AI44" s="2852"/>
      <c r="AP44" s="800" t="s">
        <v>884</v>
      </c>
      <c r="AQ44" s="801">
        <v>250</v>
      </c>
      <c r="AR44" s="802">
        <v>254</v>
      </c>
      <c r="AS44" s="803">
        <v>2</v>
      </c>
      <c r="BC44" s="794"/>
    </row>
    <row r="45" spans="1:62" ht="26.25">
      <c r="A45" s="105"/>
      <c r="K45" s="2862" t="s">
        <v>1413</v>
      </c>
      <c r="L45" s="2863"/>
      <c r="M45" s="1584">
        <f>3.14*((M43/2)^2)*M44</f>
        <v>5.8875000000000004E-3</v>
      </c>
      <c r="N45" s="2867" t="s">
        <v>133</v>
      </c>
      <c r="O45" s="2867"/>
      <c r="P45" s="2867"/>
      <c r="Q45" s="2867"/>
      <c r="R45" s="2868"/>
      <c r="S45" s="1514"/>
      <c r="T45" s="1514"/>
      <c r="U45" s="1514"/>
      <c r="AH45" s="796"/>
      <c r="AI45" s="794"/>
      <c r="AJ45" s="2838"/>
      <c r="AK45" s="2838"/>
      <c r="AL45" s="2838"/>
      <c r="AM45" s="2838"/>
      <c r="AN45" s="2838"/>
      <c r="AO45" s="2838"/>
      <c r="BE45" s="1550"/>
    </row>
    <row r="46" spans="1:62" ht="18.75" customHeight="1">
      <c r="A46" s="105"/>
      <c r="K46" s="2897" t="s">
        <v>1459</v>
      </c>
      <c r="L46" s="2898"/>
      <c r="M46" s="1583"/>
      <c r="N46" s="2867"/>
      <c r="O46" s="2867"/>
      <c r="P46" s="2867"/>
      <c r="Q46" s="2867"/>
      <c r="R46" s="2868"/>
      <c r="AG46" s="2835" t="s">
        <v>1920</v>
      </c>
      <c r="AH46" s="2835"/>
      <c r="AI46" s="2835"/>
      <c r="AJ46" s="2835"/>
      <c r="AK46" s="2835"/>
      <c r="AL46" s="2835"/>
      <c r="AM46" s="2835"/>
      <c r="AO46" s="794"/>
    </row>
    <row r="47" spans="1:62" ht="26.25">
      <c r="A47" s="105"/>
      <c r="K47" s="2899"/>
      <c r="L47" s="2900"/>
      <c r="M47" s="1587">
        <f>M45*1000</f>
        <v>5.8875000000000002</v>
      </c>
      <c r="N47" s="2867" t="s">
        <v>755</v>
      </c>
      <c r="O47" s="2867"/>
      <c r="P47" s="2867"/>
      <c r="Q47" s="2867"/>
      <c r="R47" s="2868"/>
      <c r="AG47" s="2836" t="s">
        <v>17</v>
      </c>
      <c r="AH47" s="2836"/>
      <c r="AI47" s="2836"/>
      <c r="AJ47" s="2836"/>
      <c r="AK47" s="2836"/>
      <c r="AL47" s="2836"/>
      <c r="AM47" s="2836"/>
      <c r="AP47" s="1550" t="s">
        <v>1439</v>
      </c>
      <c r="BA47" s="1550"/>
      <c r="BC47" s="2845"/>
      <c r="BD47" s="2845"/>
      <c r="BE47" s="2845"/>
      <c r="BF47" s="2845"/>
      <c r="BG47" s="2845"/>
      <c r="BH47" s="2845"/>
      <c r="BI47" s="2845"/>
    </row>
    <row r="48" spans="1:62" ht="15" customHeight="1">
      <c r="A48" s="105"/>
      <c r="K48" s="2899"/>
      <c r="L48" s="2900"/>
      <c r="M48" s="1583"/>
      <c r="N48" s="2867"/>
      <c r="O48" s="2867"/>
      <c r="P48" s="2867"/>
      <c r="Q48" s="2867"/>
      <c r="R48" s="2868"/>
      <c r="AG48" s="1855"/>
      <c r="AH48" s="2837">
        <v>2026</v>
      </c>
      <c r="AI48" s="2837"/>
      <c r="AJ48" s="2837"/>
      <c r="AK48" s="2837"/>
      <c r="AL48" s="2837"/>
      <c r="AM48" s="2837"/>
      <c r="AP48" s="1550"/>
      <c r="BC48" s="2846"/>
      <c r="BD48" s="2846"/>
      <c r="BE48" s="2846"/>
      <c r="BF48" s="2846"/>
      <c r="BG48" s="2846"/>
      <c r="BH48" s="2846"/>
      <c r="BI48" s="2846"/>
    </row>
    <row r="49" spans="1:61" ht="15" customHeight="1" thickBot="1">
      <c r="A49" s="105"/>
      <c r="K49" s="2901"/>
      <c r="L49" s="2902"/>
      <c r="M49" s="125"/>
      <c r="N49" s="125"/>
      <c r="O49" s="125"/>
      <c r="P49" s="125"/>
      <c r="Q49" s="125"/>
      <c r="R49" s="126"/>
      <c r="BC49" s="1702"/>
      <c r="BD49" s="2847"/>
      <c r="BE49" s="2847"/>
      <c r="BF49" s="2847"/>
      <c r="BG49" s="2847"/>
      <c r="BH49" s="2847"/>
      <c r="BI49" s="2847"/>
    </row>
    <row r="50" spans="1:61" ht="26.25">
      <c r="A50" s="105"/>
      <c r="AJ50" s="1550"/>
      <c r="AM50" s="1550"/>
      <c r="AN50" s="1549"/>
      <c r="AO50" s="1549"/>
    </row>
    <row r="51" spans="1:61">
      <c r="A51" s="105"/>
    </row>
    <row r="52" spans="1:61">
      <c r="A52" s="105"/>
    </row>
    <row r="53" spans="1:61">
      <c r="A53" s="105"/>
    </row>
    <row r="54" spans="1:61">
      <c r="A54" s="105"/>
    </row>
    <row r="55" spans="1:61">
      <c r="A55" s="105"/>
    </row>
    <row r="56" spans="1:61">
      <c r="A56" s="105"/>
    </row>
    <row r="57" spans="1:61">
      <c r="A57" s="105"/>
    </row>
    <row r="58" spans="1:61">
      <c r="A58" s="105"/>
    </row>
    <row r="59" spans="1:61">
      <c r="A59" s="105"/>
    </row>
    <row r="60" spans="1:61">
      <c r="A60" s="105"/>
    </row>
    <row r="61" spans="1:61">
      <c r="A61" s="105"/>
    </row>
    <row r="62" spans="1:61">
      <c r="A62" s="105"/>
    </row>
    <row r="63" spans="1:61">
      <c r="A63" s="105"/>
    </row>
    <row r="64" spans="1:61">
      <c r="A64" s="105"/>
    </row>
    <row r="65" spans="1:1">
      <c r="A65" s="105"/>
    </row>
    <row r="66" spans="1:1">
      <c r="A66" s="105"/>
    </row>
    <row r="67" spans="1:1">
      <c r="A67" s="105"/>
    </row>
    <row r="68" spans="1:1">
      <c r="A68" s="105"/>
    </row>
    <row r="69" spans="1:1">
      <c r="A69" s="105"/>
    </row>
    <row r="70" spans="1:1">
      <c r="A70" s="105"/>
    </row>
    <row r="71" spans="1:1">
      <c r="A71" s="105"/>
    </row>
    <row r="72" spans="1:1">
      <c r="A72" s="105"/>
    </row>
    <row r="73" spans="1:1">
      <c r="A73" s="105"/>
    </row>
    <row r="74" spans="1:1">
      <c r="A74" s="105"/>
    </row>
    <row r="75" spans="1:1">
      <c r="A75" s="105"/>
    </row>
    <row r="76" spans="1:1">
      <c r="A76" s="105"/>
    </row>
    <row r="77" spans="1:1">
      <c r="A77" s="105"/>
    </row>
    <row r="78" spans="1:1">
      <c r="A78" s="105"/>
    </row>
    <row r="79" spans="1:1">
      <c r="A79" s="105"/>
    </row>
    <row r="80" spans="1:1">
      <c r="A80" s="105"/>
    </row>
    <row r="81" spans="1:1">
      <c r="A81" s="105"/>
    </row>
    <row r="82" spans="1:1">
      <c r="A82" s="105"/>
    </row>
    <row r="83" spans="1:1">
      <c r="A83" s="105"/>
    </row>
    <row r="84" spans="1:1">
      <c r="A84" s="105"/>
    </row>
    <row r="85" spans="1:1">
      <c r="A85" s="105"/>
    </row>
    <row r="86" spans="1:1">
      <c r="A86" s="105"/>
    </row>
    <row r="87" spans="1:1">
      <c r="A87" s="105"/>
    </row>
    <row r="88" spans="1:1">
      <c r="A88" s="105"/>
    </row>
    <row r="89" spans="1:1">
      <c r="A89" s="105"/>
    </row>
    <row r="90" spans="1:1">
      <c r="A90" s="105"/>
    </row>
    <row r="91" spans="1:1">
      <c r="A91" s="105"/>
    </row>
    <row r="92" spans="1:1">
      <c r="A92" s="105"/>
    </row>
    <row r="93" spans="1:1">
      <c r="A93" s="105"/>
    </row>
    <row r="94" spans="1:1">
      <c r="A94" s="105"/>
    </row>
    <row r="95" spans="1:1">
      <c r="A95" s="105"/>
    </row>
    <row r="96" spans="1:1">
      <c r="A96" s="105"/>
    </row>
    <row r="97" spans="1:1">
      <c r="A97" s="105"/>
    </row>
    <row r="98" spans="1:1">
      <c r="A98" s="105"/>
    </row>
    <row r="99" spans="1:1">
      <c r="A99" s="105"/>
    </row>
    <row r="100" spans="1:1">
      <c r="A100" s="105"/>
    </row>
    <row r="101" spans="1:1">
      <c r="A101" s="105"/>
    </row>
    <row r="102" spans="1:1">
      <c r="A102" s="105"/>
    </row>
    <row r="103" spans="1:1">
      <c r="A103" s="105"/>
    </row>
    <row r="104" spans="1:1">
      <c r="A104" s="105"/>
    </row>
    <row r="105" spans="1:1">
      <c r="A105" s="105"/>
    </row>
    <row r="106" spans="1:1">
      <c r="A106" s="105"/>
    </row>
    <row r="107" spans="1:1">
      <c r="A107" s="105"/>
    </row>
    <row r="108" spans="1:1">
      <c r="A108" s="105"/>
    </row>
    <row r="109" spans="1:1">
      <c r="A109" s="105"/>
    </row>
    <row r="110" spans="1:1">
      <c r="A110" s="105"/>
    </row>
    <row r="111" spans="1:1">
      <c r="A111" s="105"/>
    </row>
    <row r="112" spans="1:1">
      <c r="A112" s="105"/>
    </row>
    <row r="113" spans="1:1">
      <c r="A113" s="105"/>
    </row>
    <row r="114" spans="1:1">
      <c r="A114" s="105"/>
    </row>
    <row r="115" spans="1:1">
      <c r="A115" s="105"/>
    </row>
    <row r="116" spans="1:1">
      <c r="A116" s="105"/>
    </row>
    <row r="117" spans="1:1">
      <c r="A117" s="105"/>
    </row>
    <row r="118" spans="1:1">
      <c r="A118" s="105"/>
    </row>
    <row r="119" spans="1:1">
      <c r="A119" s="105"/>
    </row>
    <row r="120" spans="1:1">
      <c r="A120" s="105"/>
    </row>
    <row r="121" spans="1:1">
      <c r="A121" s="105"/>
    </row>
    <row r="122" spans="1:1">
      <c r="A122" s="105"/>
    </row>
    <row r="123" spans="1:1">
      <c r="A123" s="105"/>
    </row>
    <row r="124" spans="1:1">
      <c r="A124" s="105"/>
    </row>
    <row r="125" spans="1:1">
      <c r="A125" s="105"/>
    </row>
    <row r="126" spans="1:1">
      <c r="A126" s="105"/>
    </row>
    <row r="127" spans="1:1">
      <c r="A127" s="105"/>
    </row>
    <row r="128" spans="1:1">
      <c r="A128" s="105"/>
    </row>
    <row r="129" spans="1:1">
      <c r="A129" s="105"/>
    </row>
    <row r="130" spans="1:1">
      <c r="A130" s="105"/>
    </row>
    <row r="131" spans="1:1">
      <c r="A131" s="105"/>
    </row>
    <row r="132" spans="1:1">
      <c r="A132" s="105"/>
    </row>
    <row r="133" spans="1:1">
      <c r="A133" s="105"/>
    </row>
    <row r="134" spans="1:1">
      <c r="A134" s="105"/>
    </row>
    <row r="135" spans="1:1">
      <c r="A135" s="105"/>
    </row>
    <row r="136" spans="1:1">
      <c r="A136" s="105"/>
    </row>
    <row r="137" spans="1:1">
      <c r="A137" s="105"/>
    </row>
    <row r="138" spans="1:1">
      <c r="A138" s="105"/>
    </row>
    <row r="139" spans="1:1">
      <c r="A139" s="105"/>
    </row>
    <row r="140" spans="1:1">
      <c r="A140" s="105"/>
    </row>
    <row r="141" spans="1:1">
      <c r="A141" s="105"/>
    </row>
    <row r="142" spans="1:1">
      <c r="A142" s="105"/>
    </row>
    <row r="143" spans="1:1">
      <c r="A143" s="105"/>
    </row>
    <row r="144" spans="1:1">
      <c r="A144" s="105"/>
    </row>
    <row r="145" spans="1:1">
      <c r="A145" s="105"/>
    </row>
    <row r="146" spans="1:1">
      <c r="A146" s="105"/>
    </row>
    <row r="147" spans="1:1">
      <c r="A147" s="105"/>
    </row>
    <row r="148" spans="1:1">
      <c r="A148" s="105"/>
    </row>
    <row r="149" spans="1:1">
      <c r="A149" s="105"/>
    </row>
    <row r="150" spans="1:1">
      <c r="A150" s="105"/>
    </row>
    <row r="151" spans="1:1">
      <c r="A151" s="105"/>
    </row>
    <row r="152" spans="1:1">
      <c r="A152" s="105"/>
    </row>
    <row r="153" spans="1:1">
      <c r="A153" s="105"/>
    </row>
    <row r="154" spans="1:1">
      <c r="A154" s="105"/>
    </row>
    <row r="155" spans="1:1">
      <c r="A155" s="105"/>
    </row>
    <row r="156" spans="1:1">
      <c r="A156" s="105"/>
    </row>
    <row r="157" spans="1:1">
      <c r="A157" s="105"/>
    </row>
    <row r="158" spans="1:1">
      <c r="A158" s="105"/>
    </row>
    <row r="159" spans="1:1">
      <c r="A159" s="105"/>
    </row>
    <row r="160" spans="1:1">
      <c r="A160" s="105"/>
    </row>
    <row r="161" spans="1:1">
      <c r="A161" s="105"/>
    </row>
    <row r="162" spans="1:1">
      <c r="A162" s="105"/>
    </row>
    <row r="163" spans="1:1">
      <c r="A163" s="105"/>
    </row>
    <row r="164" spans="1:1">
      <c r="A164" s="105"/>
    </row>
    <row r="165" spans="1:1">
      <c r="A165" s="105"/>
    </row>
    <row r="166" spans="1:1">
      <c r="A166" s="105"/>
    </row>
    <row r="167" spans="1:1">
      <c r="A167" s="105"/>
    </row>
    <row r="168" spans="1:1">
      <c r="A168" s="105"/>
    </row>
    <row r="169" spans="1:1">
      <c r="A169" s="105"/>
    </row>
    <row r="170" spans="1:1">
      <c r="A170" s="105"/>
    </row>
    <row r="171" spans="1:1">
      <c r="A171" s="105"/>
    </row>
    <row r="172" spans="1:1">
      <c r="A172" s="105"/>
    </row>
    <row r="173" spans="1:1">
      <c r="A173" s="105"/>
    </row>
    <row r="174" spans="1:1">
      <c r="A174" s="105"/>
    </row>
    <row r="175" spans="1:1">
      <c r="A175" s="105"/>
    </row>
    <row r="176" spans="1:1">
      <c r="A176" s="105"/>
    </row>
    <row r="177" spans="1:1">
      <c r="A177" s="105"/>
    </row>
    <row r="178" spans="1:1">
      <c r="A178" s="105"/>
    </row>
    <row r="179" spans="1:1">
      <c r="A179" s="105"/>
    </row>
    <row r="180" spans="1:1">
      <c r="A180" s="105"/>
    </row>
    <row r="181" spans="1:1">
      <c r="A181" s="105"/>
    </row>
    <row r="182" spans="1:1">
      <c r="A182" s="105"/>
    </row>
    <row r="183" spans="1:1">
      <c r="A183" s="105"/>
    </row>
    <row r="184" spans="1:1">
      <c r="A184" s="105"/>
    </row>
    <row r="185" spans="1:1">
      <c r="A185" s="105"/>
    </row>
    <row r="186" spans="1:1">
      <c r="A186" s="105"/>
    </row>
    <row r="187" spans="1:1">
      <c r="A187" s="105"/>
    </row>
    <row r="188" spans="1:1">
      <c r="A188" s="105"/>
    </row>
    <row r="189" spans="1:1">
      <c r="A189" s="105"/>
    </row>
    <row r="190" spans="1:1">
      <c r="A190" s="105"/>
    </row>
    <row r="191" spans="1:1">
      <c r="A191" s="105"/>
    </row>
    <row r="192" spans="1:1">
      <c r="A192" s="105"/>
    </row>
    <row r="193" spans="1:1">
      <c r="A193" s="105"/>
    </row>
    <row r="194" spans="1:1">
      <c r="A194" s="105"/>
    </row>
    <row r="195" spans="1:1">
      <c r="A195" s="105"/>
    </row>
    <row r="196" spans="1:1" ht="22.15" customHeight="1">
      <c r="A196" s="105"/>
    </row>
  </sheetData>
  <sheetProtection algorithmName="SHA-512" hashValue="MT2XhB5QtsYt6X5OdOKFqT5R32zDpWTUINYY4/5bp6ubQZKRbYMZM/TjB0OTsAZ13hb1WMRwfTlZV8D0zyllAQ==" saltValue="jtvmRm0ZJdc3GVuNgaZy8g==" spinCount="100000" sheet="1" objects="1" selectLockedCells="1"/>
  <mergeCells count="44">
    <mergeCell ref="N46:R46"/>
    <mergeCell ref="K46:L49"/>
    <mergeCell ref="N47:R47"/>
    <mergeCell ref="N48:R48"/>
    <mergeCell ref="F3:G3"/>
    <mergeCell ref="K41:L41"/>
    <mergeCell ref="K42:L42"/>
    <mergeCell ref="N42:R42"/>
    <mergeCell ref="K43:L43"/>
    <mergeCell ref="K44:L44"/>
    <mergeCell ref="N43:R43"/>
    <mergeCell ref="A2:E3"/>
    <mergeCell ref="AB5:AF6"/>
    <mergeCell ref="AG5:AK6"/>
    <mergeCell ref="AR5:AU6"/>
    <mergeCell ref="AJ45:AO45"/>
    <mergeCell ref="S31:V31"/>
    <mergeCell ref="T7:U7"/>
    <mergeCell ref="AU29:AW29"/>
    <mergeCell ref="R38:U38"/>
    <mergeCell ref="N44:R44"/>
    <mergeCell ref="BD49:BI49"/>
    <mergeCell ref="Y7:Z7"/>
    <mergeCell ref="L3:P3"/>
    <mergeCell ref="BD39:BJ39"/>
    <mergeCell ref="BD40:BJ40"/>
    <mergeCell ref="BE41:BJ41"/>
    <mergeCell ref="AV15:AY15"/>
    <mergeCell ref="AL5:AQ6"/>
    <mergeCell ref="K45:L45"/>
    <mergeCell ref="AE44:AI44"/>
    <mergeCell ref="AE43:AI43"/>
    <mergeCell ref="AP29:AS29"/>
    <mergeCell ref="N45:R45"/>
    <mergeCell ref="AV5:AY5"/>
    <mergeCell ref="AV6:AY6"/>
    <mergeCell ref="T5:AA6"/>
    <mergeCell ref="AG46:AM46"/>
    <mergeCell ref="AG47:AM47"/>
    <mergeCell ref="AH48:AM48"/>
    <mergeCell ref="AZ43:BE43"/>
    <mergeCell ref="AZ5:BC6"/>
    <mergeCell ref="BC47:BI47"/>
    <mergeCell ref="BC48:BI48"/>
  </mergeCells>
  <phoneticPr fontId="327" type="noConversion"/>
  <pageMargins left="0.7" right="0.7" top="0.75" bottom="0.75" header="0.5" footer="0.5"/>
  <pageSetup paperSize="9" orientation="portrait" horizontalDpi="300" verticalDpi="30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98C27-E252-4BAC-A42E-E238EB0F66BF}">
  <dimension ref="C2:Y32"/>
  <sheetViews>
    <sheetView showGridLines="0" showRowColHeaders="0" zoomScale="95" zoomScaleNormal="95" workbookViewId="0">
      <selection activeCell="J12" sqref="J12"/>
    </sheetView>
  </sheetViews>
  <sheetFormatPr defaultColWidth="9.140625" defaultRowHeight="15"/>
  <cols>
    <col min="1" max="4" width="9.140625" style="1736"/>
    <col min="5" max="5" width="8.140625" style="1736" customWidth="1"/>
    <col min="6" max="6" width="10.5703125" style="1736" customWidth="1"/>
    <col min="7" max="7" width="8" style="1736" customWidth="1"/>
    <col min="8" max="8" width="7.42578125" style="1736" customWidth="1"/>
    <col min="9" max="9" width="6.5703125" style="1736" customWidth="1"/>
    <col min="10" max="10" width="8.140625" style="1736" customWidth="1"/>
    <col min="11" max="11" width="7.85546875" style="1736" customWidth="1"/>
    <col min="12" max="12" width="9.28515625" style="1736" customWidth="1"/>
    <col min="13" max="13" width="8.42578125" style="1736" customWidth="1"/>
    <col min="14" max="14" width="8.140625" style="1736" customWidth="1"/>
    <col min="15" max="15" width="9.140625" style="1736" customWidth="1"/>
    <col min="16" max="18" width="9.140625" style="1736"/>
    <col min="19" max="19" width="4.7109375" style="1736" customWidth="1"/>
    <col min="20" max="16384" width="9.140625" style="1736"/>
  </cols>
  <sheetData>
    <row r="2" spans="3:23" ht="28.5">
      <c r="C2" s="1737" t="s">
        <v>1943</v>
      </c>
    </row>
    <row r="12" spans="3:23">
      <c r="H12" s="2909" t="s">
        <v>1939</v>
      </c>
      <c r="I12" s="2910"/>
      <c r="J12" s="470">
        <v>0.7</v>
      </c>
      <c r="K12" s="466" t="s">
        <v>122</v>
      </c>
      <c r="L12" s="2913" t="s">
        <v>1944</v>
      </c>
      <c r="M12" s="2914"/>
      <c r="N12" s="2914"/>
      <c r="O12" s="2914"/>
      <c r="P12" s="2914"/>
      <c r="Q12" s="2914"/>
    </row>
    <row r="13" spans="3:23">
      <c r="H13" s="1758"/>
      <c r="I13" s="1758"/>
      <c r="J13" s="1759"/>
      <c r="K13" s="1760"/>
    </row>
    <row r="14" spans="3:23">
      <c r="C14" s="1742"/>
      <c r="D14" s="1743"/>
      <c r="E14" s="1743"/>
      <c r="F14" s="1743"/>
      <c r="G14" s="1743"/>
      <c r="H14" s="1744"/>
      <c r="I14" s="1744"/>
      <c r="J14" s="1745"/>
      <c r="K14" s="1746"/>
      <c r="L14" s="1743"/>
      <c r="M14" s="1743"/>
      <c r="N14" s="1743"/>
      <c r="O14" s="1743"/>
      <c r="P14" s="1743"/>
      <c r="Q14" s="1747"/>
      <c r="R14" s="2915" t="s">
        <v>818</v>
      </c>
      <c r="S14" s="2908"/>
      <c r="T14" s="2908"/>
      <c r="U14" s="2908"/>
      <c r="V14" s="2908"/>
      <c r="W14" s="2908"/>
    </row>
    <row r="15" spans="3:23" ht="21">
      <c r="C15" s="2911" t="s">
        <v>1941</v>
      </c>
      <c r="D15" s="2912"/>
      <c r="E15" s="2912"/>
      <c r="F15" s="2912"/>
      <c r="G15" s="2912"/>
      <c r="H15" s="2912"/>
      <c r="I15" s="2912"/>
      <c r="J15" s="2912"/>
      <c r="K15" s="2912"/>
      <c r="M15" s="1764" t="s">
        <v>1940</v>
      </c>
      <c r="Q15" s="1750"/>
      <c r="S15" s="2916" t="s">
        <v>17</v>
      </c>
      <c r="T15" s="2916"/>
      <c r="U15" s="2916"/>
      <c r="V15" s="2916"/>
      <c r="W15" s="2916"/>
    </row>
    <row r="16" spans="3:23" ht="9.75" customHeight="1">
      <c r="C16" s="1748"/>
      <c r="Q16" s="1750"/>
      <c r="S16" s="1769"/>
      <c r="T16" s="1769"/>
      <c r="U16" s="2908">
        <v>2026</v>
      </c>
      <c r="V16" s="2908"/>
      <c r="W16" s="2908"/>
    </row>
    <row r="17" spans="3:25" ht="23.25">
      <c r="C17" s="1765" t="s">
        <v>1934</v>
      </c>
      <c r="D17" s="376">
        <v>1.35</v>
      </c>
      <c r="E17" s="466" t="s">
        <v>1937</v>
      </c>
      <c r="F17" s="1740">
        <f>D17*1000</f>
        <v>1350</v>
      </c>
      <c r="G17" s="390" t="s">
        <v>1936</v>
      </c>
      <c r="H17" s="1739">
        <f>F17/60</f>
        <v>22.5</v>
      </c>
      <c r="I17" s="1738" t="s">
        <v>1935</v>
      </c>
      <c r="J17" s="1741">
        <f>H17/60</f>
        <v>0.375</v>
      </c>
      <c r="K17" s="390" t="s">
        <v>352</v>
      </c>
      <c r="L17" s="1751" t="s">
        <v>1938</v>
      </c>
      <c r="M17" s="1752">
        <f>(((D17*4)/(3600*3.14*J12))^(1/2))</f>
        <v>2.6123525423031108E-2</v>
      </c>
      <c r="N17" s="1732" t="s">
        <v>156</v>
      </c>
      <c r="O17" s="1753">
        <f>M17*1000</f>
        <v>26.123525423031108</v>
      </c>
      <c r="P17" s="1754" t="s">
        <v>5</v>
      </c>
      <c r="Q17" s="1750"/>
    </row>
    <row r="18" spans="3:25">
      <c r="C18" s="1748"/>
      <c r="Q18" s="1750"/>
    </row>
    <row r="19" spans="3:25" ht="23.25">
      <c r="C19" s="1765" t="s">
        <v>1934</v>
      </c>
      <c r="D19" s="376">
        <v>1350</v>
      </c>
      <c r="E19" s="466" t="s">
        <v>1936</v>
      </c>
      <c r="F19" s="1740">
        <f>D19/1000</f>
        <v>1.35</v>
      </c>
      <c r="G19" s="390" t="s">
        <v>1937</v>
      </c>
      <c r="H19" s="1739">
        <f>D19/60</f>
        <v>22.5</v>
      </c>
      <c r="I19" s="1738" t="s">
        <v>1935</v>
      </c>
      <c r="J19" s="1741">
        <f>H19/60</f>
        <v>0.375</v>
      </c>
      <c r="K19" s="390" t="s">
        <v>352</v>
      </c>
      <c r="L19" s="1751" t="s">
        <v>1938</v>
      </c>
      <c r="M19" s="1752">
        <f>(((F19*4)/(3600*3.14*J12))^(1/2))</f>
        <v>2.6123525423031108E-2</v>
      </c>
      <c r="N19" s="1732" t="s">
        <v>156</v>
      </c>
      <c r="O19" s="1753">
        <f>M19*1000</f>
        <v>26.123525423031108</v>
      </c>
      <c r="P19" s="1754" t="s">
        <v>5</v>
      </c>
      <c r="Q19" s="1750"/>
    </row>
    <row r="20" spans="3:25">
      <c r="C20" s="1748"/>
      <c r="Q20" s="1750"/>
    </row>
    <row r="21" spans="3:25" ht="23.25">
      <c r="C21" s="1765" t="s">
        <v>1934</v>
      </c>
      <c r="D21" s="376">
        <v>22.5</v>
      </c>
      <c r="E21" s="466" t="s">
        <v>1935</v>
      </c>
      <c r="F21" s="1740">
        <f>(D21*60)/1000</f>
        <v>1.35</v>
      </c>
      <c r="G21" s="390" t="s">
        <v>1937</v>
      </c>
      <c r="H21" s="380">
        <f>F21*1000</f>
        <v>1350</v>
      </c>
      <c r="I21" s="381" t="s">
        <v>1936</v>
      </c>
      <c r="J21" s="1741">
        <f>D21/60</f>
        <v>0.375</v>
      </c>
      <c r="K21" s="390" t="s">
        <v>352</v>
      </c>
      <c r="L21" s="1751" t="s">
        <v>1938</v>
      </c>
      <c r="M21" s="1752">
        <f>(((F21*4)/(3600*3.14*J12))^(1/2))</f>
        <v>2.6123525423031108E-2</v>
      </c>
      <c r="N21" s="1732" t="s">
        <v>156</v>
      </c>
      <c r="O21" s="1753">
        <f>M21*1000</f>
        <v>26.123525423031108</v>
      </c>
      <c r="P21" s="1754" t="s">
        <v>5</v>
      </c>
      <c r="Q21" s="1750"/>
    </row>
    <row r="22" spans="3:25">
      <c r="C22" s="1748"/>
      <c r="Q22" s="1750"/>
    </row>
    <row r="23" spans="3:25" ht="23.25">
      <c r="C23" s="1765" t="s">
        <v>1934</v>
      </c>
      <c r="D23" s="376">
        <v>0.375</v>
      </c>
      <c r="E23" s="466" t="s">
        <v>352</v>
      </c>
      <c r="F23" s="1740">
        <f>H23/1000</f>
        <v>1.35</v>
      </c>
      <c r="G23" s="390" t="s">
        <v>1937</v>
      </c>
      <c r="H23" s="380">
        <f>J23*60</f>
        <v>1350</v>
      </c>
      <c r="I23" s="381" t="s">
        <v>1936</v>
      </c>
      <c r="J23" s="1740">
        <f>D23*60</f>
        <v>22.5</v>
      </c>
      <c r="K23" s="390" t="s">
        <v>1935</v>
      </c>
      <c r="L23" s="1751" t="s">
        <v>1938</v>
      </c>
      <c r="M23" s="1752">
        <f>(((F23*4)/(3600*3.14*J12))^(1/2))</f>
        <v>2.6123525423031108E-2</v>
      </c>
      <c r="N23" s="1732" t="s">
        <v>156</v>
      </c>
      <c r="O23" s="1753">
        <f>M23*1000</f>
        <v>26.123525423031108</v>
      </c>
      <c r="P23" s="1754" t="s">
        <v>5</v>
      </c>
      <c r="Q23" s="1750"/>
    </row>
    <row r="24" spans="3:25">
      <c r="C24" s="1755"/>
      <c r="D24" s="1756"/>
      <c r="E24" s="1756"/>
      <c r="F24" s="1756"/>
      <c r="G24" s="1756"/>
      <c r="H24" s="1756"/>
      <c r="I24" s="1756"/>
      <c r="J24" s="1756"/>
      <c r="K24" s="1756"/>
      <c r="L24" s="1756"/>
      <c r="M24" s="1756"/>
      <c r="N24" s="1756"/>
      <c r="O24" s="1756"/>
      <c r="P24" s="1756"/>
      <c r="Q24" s="1757"/>
    </row>
    <row r="26" spans="3:25">
      <c r="C26" s="1742"/>
      <c r="D26" s="1743"/>
      <c r="E26" s="1743"/>
      <c r="F26" s="1743"/>
      <c r="G26" s="1743"/>
      <c r="H26" s="1743"/>
      <c r="I26" s="1743"/>
      <c r="J26" s="1743"/>
      <c r="K26" s="1743"/>
      <c r="L26" s="1743"/>
      <c r="M26" s="1743"/>
      <c r="N26" s="1743"/>
      <c r="O26" s="1743"/>
      <c r="P26" s="1743"/>
      <c r="Q26" s="1743"/>
      <c r="R26" s="1747"/>
    </row>
    <row r="27" spans="3:25" ht="21">
      <c r="C27" s="1748"/>
      <c r="D27" s="1767" t="s">
        <v>1942</v>
      </c>
      <c r="J27" s="1749"/>
      <c r="R27" s="1750"/>
    </row>
    <row r="28" spans="3:25">
      <c r="C28" s="1748"/>
      <c r="R28" s="1750"/>
    </row>
    <row r="29" spans="3:25" ht="23.25">
      <c r="C29" s="1765" t="s">
        <v>1938</v>
      </c>
      <c r="D29" s="1763">
        <v>26.12</v>
      </c>
      <c r="E29" s="466" t="s">
        <v>5</v>
      </c>
      <c r="F29" s="1766">
        <f>D29/1000</f>
        <v>2.6120000000000001E-2</v>
      </c>
      <c r="G29" s="1754" t="s">
        <v>156</v>
      </c>
      <c r="I29" s="1751" t="s">
        <v>1934</v>
      </c>
      <c r="J29" s="1761">
        <f>((F29/2)^2)*J12*3.14*3600</f>
        <v>1.3496356540800001</v>
      </c>
      <c r="K29" s="1762" t="s">
        <v>1937</v>
      </c>
      <c r="L29" s="1740">
        <f>J29*1000</f>
        <v>1349.63565408</v>
      </c>
      <c r="M29" s="390" t="s">
        <v>1936</v>
      </c>
      <c r="N29" s="1739">
        <f>L29/60</f>
        <v>22.493927568</v>
      </c>
      <c r="O29" s="1738" t="s">
        <v>1935</v>
      </c>
      <c r="P29" s="1741">
        <f>N29/60</f>
        <v>0.37489879279999999</v>
      </c>
      <c r="Q29" s="390" t="s">
        <v>352</v>
      </c>
      <c r="R29" s="1750"/>
    </row>
    <row r="30" spans="3:25">
      <c r="C30" s="1748"/>
      <c r="R30" s="1750"/>
      <c r="S30" s="1768"/>
      <c r="Y30" s="1770"/>
    </row>
    <row r="31" spans="3:25">
      <c r="C31" s="1748"/>
      <c r="R31" s="1750"/>
      <c r="S31" s="1768"/>
      <c r="Y31" s="1770"/>
    </row>
    <row r="32" spans="3:25">
      <c r="C32" s="1755"/>
      <c r="D32" s="1756"/>
      <c r="E32" s="1756"/>
      <c r="F32" s="1756"/>
      <c r="G32" s="1756"/>
      <c r="H32" s="1756"/>
      <c r="I32" s="1756"/>
      <c r="J32" s="1756"/>
      <c r="K32" s="1756"/>
      <c r="L32" s="1756"/>
      <c r="M32" s="1756"/>
      <c r="N32" s="1756"/>
      <c r="O32" s="1756"/>
      <c r="P32" s="1756"/>
      <c r="Q32" s="1756"/>
      <c r="R32" s="1757"/>
      <c r="S32" s="1768"/>
      <c r="Y32" s="1770"/>
    </row>
  </sheetData>
  <sheetProtection algorithmName="SHA-512" hashValue="rK42pHL/a/PsQPdKid5rk7mpL5asM6TqeBtEX/gPOtr64z8Tkay0lc+jbuW6WTZWdJXu9/tKzKbJ2EWm2pnWiQ==" saltValue="HtXWuGpMHJLzehrMa27LuQ==" spinCount="100000" sheet="1" objects="1" selectLockedCells="1"/>
  <mergeCells count="6">
    <mergeCell ref="U16:W16"/>
    <mergeCell ref="H12:I12"/>
    <mergeCell ref="C15:K15"/>
    <mergeCell ref="L12:Q12"/>
    <mergeCell ref="R14:W14"/>
    <mergeCell ref="S15:W15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10C1-18E6-493F-A6A0-1CE7771D03A7}">
  <dimension ref="B1:S49"/>
  <sheetViews>
    <sheetView showGridLines="0" showRowColHeaders="0" zoomScale="75" zoomScaleNormal="75" workbookViewId="0">
      <selection activeCell="U44" sqref="U44"/>
    </sheetView>
  </sheetViews>
  <sheetFormatPr defaultColWidth="8.85546875" defaultRowHeight="15"/>
  <cols>
    <col min="1" max="1" width="8.85546875" style="672"/>
    <col min="2" max="2" width="11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4" width="12.7109375" style="672" bestFit="1" customWidth="1"/>
    <col min="15" max="16384" width="8.85546875" style="672"/>
  </cols>
  <sheetData>
    <row r="1" spans="2:5">
      <c r="B1" s="673"/>
    </row>
    <row r="2" spans="2:5" ht="26.25">
      <c r="E2" s="1714" t="s">
        <v>1599</v>
      </c>
    </row>
    <row r="10" spans="2:5">
      <c r="B10" s="1678" t="s">
        <v>1513</v>
      </c>
      <c r="C10" s="1678" t="s">
        <v>1514</v>
      </c>
      <c r="D10" s="1678" t="s">
        <v>1515</v>
      </c>
    </row>
    <row r="11" spans="2:5">
      <c r="B11" s="1675" t="s">
        <v>1516</v>
      </c>
      <c r="C11" s="1675">
        <v>3.9</v>
      </c>
      <c r="D11" s="1675">
        <v>1.3</v>
      </c>
    </row>
    <row r="12" spans="2:5">
      <c r="B12" s="1675" t="s">
        <v>1517</v>
      </c>
      <c r="C12" s="1675">
        <v>4.8</v>
      </c>
      <c r="D12" s="1675">
        <v>1.6</v>
      </c>
    </row>
    <row r="13" spans="2:5">
      <c r="B13" s="1675" t="s">
        <v>1518</v>
      </c>
      <c r="C13" s="1675">
        <v>6.9</v>
      </c>
      <c r="D13" s="1675">
        <v>2.2999999999999998</v>
      </c>
    </row>
    <row r="14" spans="2:5">
      <c r="B14" s="1675" t="s">
        <v>1519</v>
      </c>
      <c r="C14" s="1675">
        <v>7.8</v>
      </c>
      <c r="D14" s="1675">
        <v>2.6</v>
      </c>
    </row>
    <row r="23" spans="5:14">
      <c r="E23" s="1675" t="s">
        <v>1520</v>
      </c>
      <c r="F23" s="1675" t="s">
        <v>1513</v>
      </c>
      <c r="G23" s="1675" t="s">
        <v>1521</v>
      </c>
      <c r="H23" s="1675" t="s">
        <v>1078</v>
      </c>
      <c r="I23" s="1675" t="s">
        <v>1522</v>
      </c>
      <c r="J23" s="1675" t="s">
        <v>1523</v>
      </c>
      <c r="K23" s="1675" t="s">
        <v>1524</v>
      </c>
      <c r="L23" s="1675" t="s">
        <v>1375</v>
      </c>
      <c r="M23" s="1675" t="s">
        <v>1525</v>
      </c>
      <c r="N23" s="1675" t="s">
        <v>1526</v>
      </c>
    </row>
    <row r="24" spans="5:14">
      <c r="E24" s="1675"/>
      <c r="F24" s="1675"/>
      <c r="G24" s="1675" t="s">
        <v>1527</v>
      </c>
      <c r="H24" s="1675" t="s">
        <v>1527</v>
      </c>
      <c r="I24" s="1675" t="s">
        <v>1527</v>
      </c>
      <c r="J24" s="1675"/>
      <c r="K24" s="1675" t="s">
        <v>1527</v>
      </c>
      <c r="L24" s="1675"/>
      <c r="M24" s="1675"/>
      <c r="N24" s="1675" t="s">
        <v>1528</v>
      </c>
    </row>
    <row r="26" spans="5:14">
      <c r="E26" s="1676" t="s">
        <v>1596</v>
      </c>
      <c r="F26" s="929" t="s">
        <v>1529</v>
      </c>
      <c r="G26" s="1677" t="s">
        <v>1598</v>
      </c>
      <c r="H26" s="929">
        <v>52.1</v>
      </c>
      <c r="I26" s="929">
        <v>32</v>
      </c>
      <c r="J26" s="929" t="s">
        <v>1530</v>
      </c>
      <c r="K26" s="929" t="s">
        <v>1531</v>
      </c>
      <c r="L26" s="929" t="s">
        <v>1597</v>
      </c>
      <c r="M26" s="929">
        <v>250</v>
      </c>
      <c r="N26" s="929">
        <v>10.27</v>
      </c>
    </row>
    <row r="27" spans="5:14">
      <c r="E27" s="929" t="s">
        <v>1533</v>
      </c>
      <c r="F27" s="929" t="s">
        <v>1534</v>
      </c>
      <c r="G27" s="929" t="s">
        <v>1535</v>
      </c>
      <c r="H27" s="929">
        <v>54.5</v>
      </c>
      <c r="I27" s="929">
        <v>24</v>
      </c>
      <c r="J27" s="929" t="s">
        <v>1530</v>
      </c>
      <c r="K27" s="929" t="s">
        <v>1531</v>
      </c>
      <c r="L27" s="929" t="s">
        <v>1532</v>
      </c>
      <c r="M27" s="929">
        <v>250</v>
      </c>
      <c r="N27" s="929">
        <v>9.4700000000000006</v>
      </c>
    </row>
    <row r="28" spans="5:14">
      <c r="E28" s="929" t="s">
        <v>1536</v>
      </c>
      <c r="F28" s="929" t="s">
        <v>1537</v>
      </c>
      <c r="G28" s="929" t="s">
        <v>1538</v>
      </c>
      <c r="H28" s="929">
        <v>58.5</v>
      </c>
      <c r="I28" s="929">
        <v>26</v>
      </c>
      <c r="J28" s="929" t="s">
        <v>1530</v>
      </c>
      <c r="K28" s="929" t="s">
        <v>1531</v>
      </c>
      <c r="L28" s="929" t="s">
        <v>1532</v>
      </c>
      <c r="M28" s="929">
        <v>250</v>
      </c>
      <c r="N28" s="929">
        <v>10.35</v>
      </c>
    </row>
    <row r="29" spans="5:14">
      <c r="E29" s="929" t="s">
        <v>1539</v>
      </c>
      <c r="F29" s="929" t="s">
        <v>195</v>
      </c>
      <c r="G29" s="929" t="s">
        <v>1540</v>
      </c>
      <c r="H29" s="929">
        <v>62.5</v>
      </c>
      <c r="I29" s="929">
        <v>28</v>
      </c>
      <c r="J29" s="929" t="s">
        <v>1530</v>
      </c>
      <c r="K29" s="929" t="s">
        <v>1531</v>
      </c>
      <c r="L29" s="929" t="s">
        <v>1532</v>
      </c>
      <c r="M29" s="929">
        <v>200</v>
      </c>
      <c r="N29" s="929">
        <v>8.56</v>
      </c>
    </row>
    <row r="30" spans="5:14">
      <c r="E30" s="929" t="s">
        <v>1541</v>
      </c>
      <c r="F30" s="929" t="s">
        <v>198</v>
      </c>
      <c r="G30" s="929" t="s">
        <v>1542</v>
      </c>
      <c r="H30" s="929">
        <v>68.5</v>
      </c>
      <c r="I30" s="929">
        <v>31</v>
      </c>
      <c r="J30" s="929" t="s">
        <v>1530</v>
      </c>
      <c r="K30" s="929" t="s">
        <v>1531</v>
      </c>
      <c r="L30" s="929" t="s">
        <v>1532</v>
      </c>
      <c r="M30" s="929">
        <v>150</v>
      </c>
      <c r="N30" s="929">
        <v>7.2</v>
      </c>
    </row>
    <row r="31" spans="5:14">
      <c r="E31" s="929" t="s">
        <v>1543</v>
      </c>
      <c r="F31" s="929" t="s">
        <v>201</v>
      </c>
      <c r="G31" s="929" t="s">
        <v>1544</v>
      </c>
      <c r="H31" s="929">
        <v>76</v>
      </c>
      <c r="I31" s="929">
        <v>34.5</v>
      </c>
      <c r="J31" s="929" t="s">
        <v>1530</v>
      </c>
      <c r="K31" s="929" t="s">
        <v>1531</v>
      </c>
      <c r="L31" s="929" t="s">
        <v>1532</v>
      </c>
      <c r="M31" s="929">
        <v>150</v>
      </c>
      <c r="N31" s="929">
        <v>8.02</v>
      </c>
    </row>
    <row r="32" spans="5:14">
      <c r="E32" s="929" t="s">
        <v>1545</v>
      </c>
      <c r="F32" s="929" t="s">
        <v>204</v>
      </c>
      <c r="G32" s="929" t="s">
        <v>1546</v>
      </c>
      <c r="H32" s="929">
        <v>91.5</v>
      </c>
      <c r="I32" s="929">
        <v>39</v>
      </c>
      <c r="J32" s="929" t="s">
        <v>1530</v>
      </c>
      <c r="K32" s="929" t="s">
        <v>1547</v>
      </c>
      <c r="L32" s="929" t="s">
        <v>1532</v>
      </c>
      <c r="M32" s="929">
        <v>100</v>
      </c>
      <c r="N32" s="929">
        <v>6.68</v>
      </c>
    </row>
    <row r="33" spans="5:19">
      <c r="E33" s="929" t="s">
        <v>1548</v>
      </c>
      <c r="F33" s="929" t="s">
        <v>206</v>
      </c>
      <c r="G33" s="929" t="s">
        <v>1549</v>
      </c>
      <c r="H33" s="929">
        <v>99</v>
      </c>
      <c r="I33" s="929">
        <v>42.5</v>
      </c>
      <c r="J33" s="929" t="s">
        <v>1530</v>
      </c>
      <c r="K33" s="929" t="s">
        <v>1547</v>
      </c>
      <c r="L33" s="929" t="s">
        <v>1532</v>
      </c>
      <c r="M33" s="929">
        <v>75</v>
      </c>
      <c r="N33" s="929">
        <v>5.61</v>
      </c>
    </row>
    <row r="34" spans="5:19">
      <c r="E34" s="672" t="s">
        <v>1550</v>
      </c>
      <c r="F34" s="672" t="s">
        <v>1551</v>
      </c>
      <c r="G34" s="672" t="s">
        <v>1552</v>
      </c>
      <c r="H34" s="672">
        <v>105</v>
      </c>
      <c r="I34" s="672">
        <v>45.5</v>
      </c>
      <c r="J34" s="672" t="s">
        <v>1530</v>
      </c>
      <c r="K34" s="672" t="s">
        <v>1547</v>
      </c>
      <c r="L34" s="672" t="s">
        <v>1532</v>
      </c>
      <c r="M34" s="672">
        <v>75</v>
      </c>
      <c r="N34" s="672">
        <v>5.86</v>
      </c>
    </row>
    <row r="35" spans="5:19">
      <c r="E35" s="929" t="s">
        <v>1553</v>
      </c>
      <c r="F35" s="929" t="s">
        <v>209</v>
      </c>
      <c r="G35" s="929" t="s">
        <v>1554</v>
      </c>
      <c r="H35" s="929">
        <v>112</v>
      </c>
      <c r="I35" s="929">
        <v>49</v>
      </c>
      <c r="J35" s="929" t="s">
        <v>1530</v>
      </c>
      <c r="K35" s="929" t="s">
        <v>1547</v>
      </c>
      <c r="L35" s="929" t="s">
        <v>1532</v>
      </c>
      <c r="M35" s="929">
        <v>50</v>
      </c>
      <c r="N35" s="929">
        <v>4.29</v>
      </c>
    </row>
    <row r="36" spans="5:19">
      <c r="E36" s="672" t="s">
        <v>1555</v>
      </c>
      <c r="F36" s="672" t="s">
        <v>1556</v>
      </c>
      <c r="G36" s="672" t="s">
        <v>1557</v>
      </c>
      <c r="H36" s="672">
        <v>126</v>
      </c>
      <c r="I36" s="672">
        <v>56</v>
      </c>
      <c r="J36" s="672" t="s">
        <v>1558</v>
      </c>
      <c r="K36" s="672" t="s">
        <v>1559</v>
      </c>
      <c r="L36" s="672" t="s">
        <v>1560</v>
      </c>
      <c r="M36" s="672">
        <v>40</v>
      </c>
      <c r="N36" s="672">
        <v>5.68</v>
      </c>
    </row>
    <row r="37" spans="5:19">
      <c r="E37" s="929" t="s">
        <v>1561</v>
      </c>
      <c r="F37" s="929" t="s">
        <v>212</v>
      </c>
      <c r="G37" s="929" t="s">
        <v>1562</v>
      </c>
      <c r="H37" s="929">
        <v>134</v>
      </c>
      <c r="I37" s="929">
        <v>60</v>
      </c>
      <c r="J37" s="929" t="s">
        <v>1558</v>
      </c>
      <c r="K37" s="929" t="s">
        <v>1559</v>
      </c>
      <c r="L37" s="929" t="s">
        <v>1560</v>
      </c>
      <c r="M37" s="929">
        <v>40</v>
      </c>
      <c r="N37" s="929">
        <v>6.03</v>
      </c>
    </row>
    <row r="38" spans="5:19">
      <c r="E38" s="672" t="s">
        <v>1563</v>
      </c>
      <c r="F38" s="672" t="s">
        <v>1564</v>
      </c>
      <c r="G38" s="672" t="s">
        <v>1565</v>
      </c>
      <c r="H38" s="672">
        <v>142</v>
      </c>
      <c r="I38" s="672">
        <v>64</v>
      </c>
      <c r="J38" s="672" t="s">
        <v>1558</v>
      </c>
      <c r="K38" s="672" t="s">
        <v>1559</v>
      </c>
      <c r="L38" s="672" t="s">
        <v>1560</v>
      </c>
      <c r="M38" s="672">
        <v>40</v>
      </c>
      <c r="N38" s="672">
        <v>6.44</v>
      </c>
    </row>
    <row r="39" spans="5:19">
      <c r="E39" s="929" t="s">
        <v>1566</v>
      </c>
      <c r="F39" s="929" t="s">
        <v>225</v>
      </c>
      <c r="G39" s="929" t="s">
        <v>1567</v>
      </c>
      <c r="H39" s="929">
        <v>145</v>
      </c>
      <c r="I39" s="929">
        <v>65.5</v>
      </c>
      <c r="J39" s="929" t="s">
        <v>1558</v>
      </c>
      <c r="K39" s="929" t="s">
        <v>1559</v>
      </c>
      <c r="L39" s="929" t="s">
        <v>1560</v>
      </c>
      <c r="M39" s="929">
        <v>40</v>
      </c>
      <c r="N39" s="929">
        <v>6.61</v>
      </c>
    </row>
    <row r="40" spans="5:19">
      <c r="E40" s="672" t="s">
        <v>1568</v>
      </c>
      <c r="F40" s="672" t="s">
        <v>1569</v>
      </c>
      <c r="G40" s="672" t="s">
        <v>1570</v>
      </c>
      <c r="H40" s="672">
        <v>153</v>
      </c>
      <c r="I40" s="672">
        <v>69.5</v>
      </c>
      <c r="J40" s="672" t="s">
        <v>1558</v>
      </c>
      <c r="K40" s="672" t="s">
        <v>1559</v>
      </c>
      <c r="L40" s="672" t="s">
        <v>1560</v>
      </c>
      <c r="M40" s="672">
        <v>30</v>
      </c>
      <c r="N40" s="672">
        <v>5.3</v>
      </c>
    </row>
    <row r="41" spans="5:19">
      <c r="E41" s="672" t="s">
        <v>1571</v>
      </c>
      <c r="F41" s="672" t="s">
        <v>1572</v>
      </c>
      <c r="G41" s="672" t="s">
        <v>1573</v>
      </c>
      <c r="H41" s="672">
        <v>161</v>
      </c>
      <c r="I41" s="672">
        <v>73.5</v>
      </c>
      <c r="J41" s="672" t="s">
        <v>1558</v>
      </c>
      <c r="K41" s="672" t="s">
        <v>1559</v>
      </c>
      <c r="L41" s="672" t="s">
        <v>1560</v>
      </c>
      <c r="M41" s="672">
        <v>40</v>
      </c>
      <c r="N41" s="672">
        <v>7.5</v>
      </c>
    </row>
    <row r="42" spans="5:19">
      <c r="E42" s="929" t="s">
        <v>1574</v>
      </c>
      <c r="F42" s="929" t="s">
        <v>870</v>
      </c>
      <c r="G42" s="929" t="s">
        <v>1575</v>
      </c>
      <c r="H42" s="929">
        <v>170</v>
      </c>
      <c r="I42" s="929">
        <v>78</v>
      </c>
      <c r="J42" s="929" t="s">
        <v>1558</v>
      </c>
      <c r="K42" s="929" t="s">
        <v>1559</v>
      </c>
      <c r="L42" s="929" t="s">
        <v>1560</v>
      </c>
      <c r="M42" s="929">
        <v>30</v>
      </c>
      <c r="N42" s="929">
        <v>5.88</v>
      </c>
    </row>
    <row r="43" spans="5:19">
      <c r="E43" s="672" t="s">
        <v>1576</v>
      </c>
      <c r="F43" s="672" t="s">
        <v>1577</v>
      </c>
      <c r="G43" s="672" t="s">
        <v>1578</v>
      </c>
      <c r="H43" s="672">
        <v>184</v>
      </c>
      <c r="I43" s="672">
        <v>84.5</v>
      </c>
      <c r="J43" s="672" t="s">
        <v>1558</v>
      </c>
      <c r="K43" s="672" t="s">
        <v>1579</v>
      </c>
      <c r="L43" s="672" t="s">
        <v>1560</v>
      </c>
      <c r="M43" s="672">
        <v>30</v>
      </c>
      <c r="N43" s="672">
        <v>7.8</v>
      </c>
    </row>
    <row r="44" spans="5:19">
      <c r="E44" s="672" t="s">
        <v>1580</v>
      </c>
      <c r="F44" s="672" t="s">
        <v>1581</v>
      </c>
      <c r="G44" s="672" t="s">
        <v>1582</v>
      </c>
      <c r="H44" s="672">
        <v>190</v>
      </c>
      <c r="I44" s="672">
        <v>87.5</v>
      </c>
      <c r="J44" s="672" t="s">
        <v>1558</v>
      </c>
      <c r="K44" s="672" t="s">
        <v>1579</v>
      </c>
      <c r="L44" s="672" t="s">
        <v>1560</v>
      </c>
      <c r="M44" s="672">
        <v>30</v>
      </c>
      <c r="N44" s="672">
        <v>7.93</v>
      </c>
    </row>
    <row r="45" spans="5:19">
      <c r="E45" s="929" t="s">
        <v>1583</v>
      </c>
      <c r="F45" s="929" t="s">
        <v>871</v>
      </c>
      <c r="G45" s="929" t="s">
        <v>1584</v>
      </c>
      <c r="H45" s="929">
        <v>197</v>
      </c>
      <c r="I45" s="929">
        <v>91</v>
      </c>
      <c r="J45" s="929" t="s">
        <v>1558</v>
      </c>
      <c r="K45" s="929" t="s">
        <v>1579</v>
      </c>
      <c r="L45" s="929" t="s">
        <v>1560</v>
      </c>
      <c r="M45" s="929">
        <v>25</v>
      </c>
      <c r="N45" s="929">
        <v>6.98</v>
      </c>
    </row>
    <row r="46" spans="5:19">
      <c r="E46" s="672" t="s">
        <v>1585</v>
      </c>
      <c r="F46" s="672" t="s">
        <v>1586</v>
      </c>
      <c r="G46" s="672" t="s">
        <v>1587</v>
      </c>
      <c r="H46" s="672">
        <v>213</v>
      </c>
      <c r="I46" s="672">
        <v>99</v>
      </c>
      <c r="J46" s="672" t="s">
        <v>1558</v>
      </c>
      <c r="K46" s="672" t="s">
        <v>1579</v>
      </c>
      <c r="L46" s="672" t="s">
        <v>1560</v>
      </c>
      <c r="M46" s="672">
        <v>25</v>
      </c>
      <c r="N46" s="672">
        <v>7.55</v>
      </c>
      <c r="O46" s="1442"/>
      <c r="P46" s="681"/>
      <c r="Q46" s="681"/>
      <c r="R46" s="681"/>
      <c r="S46" s="699"/>
    </row>
    <row r="47" spans="5:19">
      <c r="E47" s="929" t="s">
        <v>1588</v>
      </c>
      <c r="F47" s="929" t="s">
        <v>872</v>
      </c>
      <c r="G47" s="929" t="s">
        <v>1589</v>
      </c>
      <c r="H47" s="929">
        <v>222</v>
      </c>
      <c r="I47" s="929">
        <v>103.5</v>
      </c>
      <c r="J47" s="929" t="s">
        <v>1558</v>
      </c>
      <c r="K47" s="929" t="s">
        <v>1579</v>
      </c>
      <c r="L47" s="929" t="s">
        <v>1560</v>
      </c>
      <c r="M47" s="929">
        <v>20</v>
      </c>
      <c r="N47" s="929">
        <v>6.3</v>
      </c>
      <c r="O47" s="1442"/>
      <c r="P47" s="681"/>
      <c r="Q47" s="681"/>
      <c r="R47" s="681"/>
      <c r="S47" s="699" t="s">
        <v>818</v>
      </c>
    </row>
    <row r="48" spans="5:19">
      <c r="E48" s="672" t="s">
        <v>1590</v>
      </c>
      <c r="F48" s="672" t="s">
        <v>1591</v>
      </c>
      <c r="G48" s="672" t="s">
        <v>1592</v>
      </c>
      <c r="H48" s="672">
        <v>257</v>
      </c>
      <c r="I48" s="672">
        <v>121</v>
      </c>
      <c r="J48" s="672" t="s">
        <v>1558</v>
      </c>
      <c r="K48" s="672" t="s">
        <v>1579</v>
      </c>
      <c r="L48" s="672" t="s">
        <v>1593</v>
      </c>
      <c r="M48" s="672">
        <v>15</v>
      </c>
      <c r="N48" s="672">
        <v>5.65</v>
      </c>
      <c r="O48" s="1442"/>
      <c r="P48" s="681"/>
      <c r="Q48" s="681"/>
      <c r="R48" s="681"/>
      <c r="S48" s="700" t="s">
        <v>17</v>
      </c>
    </row>
    <row r="49" spans="5:19">
      <c r="E49" s="929" t="s">
        <v>1594</v>
      </c>
      <c r="F49" s="929" t="s">
        <v>873</v>
      </c>
      <c r="G49" s="929" t="s">
        <v>1595</v>
      </c>
      <c r="H49" s="929">
        <v>272</v>
      </c>
      <c r="I49" s="929">
        <v>130</v>
      </c>
      <c r="J49" s="929" t="s">
        <v>1558</v>
      </c>
      <c r="K49" s="929" t="s">
        <v>1579</v>
      </c>
      <c r="L49" s="929" t="s">
        <v>1593</v>
      </c>
      <c r="M49" s="929">
        <v>15</v>
      </c>
      <c r="N49" s="929">
        <v>6</v>
      </c>
      <c r="O49" s="1679"/>
      <c r="P49" s="681"/>
      <c r="Q49" s="2917">
        <v>2026</v>
      </c>
      <c r="R49" s="2917"/>
      <c r="S49" s="2917"/>
    </row>
  </sheetData>
  <sheetProtection algorithmName="SHA-512" hashValue="391YABy6CK7HLfJUsFeccAPGcAFueyeLY7CW7b2BNxxkh0LuecRh94d9diV4dA/2U8NhtE/Y4BX2Mq/rK+jb5w==" saltValue="yfLc1LrQRAo9F3ACqnnObg==" spinCount="100000" sheet="1" objects="1" selectLockedCells="1"/>
  <mergeCells count="1">
    <mergeCell ref="Q49:S49"/>
  </mergeCells>
  <phoneticPr fontId="274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45DB-C430-4C02-835A-F3730E90AA66}">
  <dimension ref="B2:L23"/>
  <sheetViews>
    <sheetView showGridLines="0" showRowColHeaders="0" zoomScale="112" zoomScaleNormal="112" workbookViewId="0">
      <selection activeCell="E6" sqref="E6"/>
    </sheetView>
  </sheetViews>
  <sheetFormatPr defaultColWidth="9.140625" defaultRowHeight="15"/>
  <cols>
    <col min="1" max="3" width="9.140625" style="1822"/>
    <col min="4" max="4" width="11.42578125" style="1822" customWidth="1"/>
    <col min="5" max="6" width="9.140625" style="1822"/>
    <col min="7" max="7" width="18.85546875" style="1822" customWidth="1"/>
    <col min="8" max="8" width="4.28515625" style="1822" customWidth="1"/>
    <col min="9" max="9" width="4.140625" style="1824" customWidth="1"/>
    <col min="10" max="10" width="11.140625" style="1822" customWidth="1"/>
    <col min="11" max="11" width="9.140625" style="1822" customWidth="1"/>
    <col min="12" max="16384" width="9.140625" style="1822"/>
  </cols>
  <sheetData>
    <row r="2" spans="2:12" ht="32.25">
      <c r="C2" s="1823" t="s">
        <v>1956</v>
      </c>
    </row>
    <row r="3" spans="2:12" ht="16.5">
      <c r="B3" s="1830"/>
      <c r="C3" s="1825"/>
    </row>
    <row r="4" spans="2:12" ht="18.75">
      <c r="B4" s="1830"/>
      <c r="C4" s="2918" t="s">
        <v>1963</v>
      </c>
      <c r="D4" s="2918"/>
      <c r="E4" s="2918"/>
    </row>
    <row r="5" spans="2:12" ht="17.25" thickBot="1">
      <c r="B5" s="1830"/>
      <c r="C5" s="1825"/>
    </row>
    <row r="6" spans="2:12" ht="18.75" thickBot="1">
      <c r="C6" s="2923" t="s">
        <v>1202</v>
      </c>
      <c r="D6" s="2924"/>
      <c r="E6" s="1834">
        <v>2</v>
      </c>
      <c r="F6" s="1826" t="s">
        <v>156</v>
      </c>
    </row>
    <row r="7" spans="2:12" ht="15.75" thickBot="1"/>
    <row r="8" spans="2:12" ht="18.75" thickBot="1">
      <c r="C8" s="2923" t="s">
        <v>896</v>
      </c>
      <c r="D8" s="2924"/>
      <c r="E8" s="1834">
        <v>2</v>
      </c>
      <c r="F8" s="1826" t="s">
        <v>156</v>
      </c>
    </row>
    <row r="9" spans="2:12" ht="18.75" thickBot="1">
      <c r="C9" s="1827"/>
      <c r="D9" s="1827"/>
      <c r="E9" s="1829"/>
      <c r="F9" s="1826"/>
    </row>
    <row r="10" spans="2:12" ht="18.75" thickBot="1">
      <c r="C10" s="2919" t="s">
        <v>1957</v>
      </c>
      <c r="D10" s="2920"/>
      <c r="E10" s="1834">
        <v>2</v>
      </c>
      <c r="F10" s="1826" t="s">
        <v>156</v>
      </c>
    </row>
    <row r="11" spans="2:12" ht="15.75" thickBot="1"/>
    <row r="12" spans="2:12" ht="18.75" thickBot="1">
      <c r="B12" s="2919" t="s">
        <v>1965</v>
      </c>
      <c r="C12" s="2919"/>
      <c r="D12" s="2920"/>
      <c r="E12" s="1832">
        <f>E6*E8*E10</f>
        <v>8</v>
      </c>
      <c r="F12" s="1826" t="s">
        <v>133</v>
      </c>
      <c r="G12" s="2919"/>
      <c r="H12" s="2919"/>
      <c r="I12" s="2919"/>
      <c r="J12" s="1833"/>
      <c r="K12" s="1826"/>
    </row>
    <row r="14" spans="2:12" ht="15.75" thickBot="1"/>
    <row r="15" spans="2:12" ht="18.75" thickBot="1">
      <c r="B15" s="2919" t="s">
        <v>1962</v>
      </c>
      <c r="C15" s="2919"/>
      <c r="D15" s="2920"/>
      <c r="E15" s="1832">
        <f>E12*1.2</f>
        <v>9.6</v>
      </c>
      <c r="F15" s="1826" t="s">
        <v>1043</v>
      </c>
      <c r="K15" s="1835"/>
      <c r="L15" s="1831"/>
    </row>
    <row r="16" spans="2:12" ht="15.75" thickBot="1">
      <c r="G16" s="2922"/>
      <c r="H16" s="2922"/>
      <c r="K16" s="1835" t="s">
        <v>1968</v>
      </c>
      <c r="L16" s="1831"/>
    </row>
    <row r="17" spans="3:12" ht="18.75" thickBot="1">
      <c r="C17" s="2919" t="s">
        <v>1964</v>
      </c>
      <c r="D17" s="2920"/>
      <c r="E17" s="1837">
        <f>ROUNDUP(E15*0.75,0)</f>
        <v>8</v>
      </c>
      <c r="F17" s="1826" t="s">
        <v>77</v>
      </c>
      <c r="G17" s="2921" t="s">
        <v>1966</v>
      </c>
      <c r="H17" s="2921"/>
      <c r="I17" s="2921"/>
      <c r="J17" s="2921"/>
      <c r="K17" s="1836">
        <f>E12</f>
        <v>8</v>
      </c>
      <c r="L17" s="1826" t="s">
        <v>1967</v>
      </c>
    </row>
    <row r="18" spans="3:12" ht="18.75" thickBot="1">
      <c r="G18" s="2921" t="s">
        <v>1969</v>
      </c>
      <c r="H18" s="2921"/>
      <c r="I18" s="2921"/>
      <c r="J18" s="2921"/>
      <c r="K18" s="1832">
        <f>K17/1.25</f>
        <v>6.4</v>
      </c>
      <c r="L18" s="1826" t="s">
        <v>1967</v>
      </c>
    </row>
    <row r="19" spans="3:12">
      <c r="G19" s="1828"/>
      <c r="H19" s="1828"/>
    </row>
    <row r="21" spans="3:12">
      <c r="E21" s="2922" t="s">
        <v>47</v>
      </c>
      <c r="F21" s="2922"/>
      <c r="G21" s="2922"/>
      <c r="H21" s="2922"/>
    </row>
    <row r="22" spans="3:12">
      <c r="D22" s="2922" t="s">
        <v>17</v>
      </c>
      <c r="E22" s="2922"/>
      <c r="F22" s="2922"/>
      <c r="G22" s="2922"/>
      <c r="H22" s="2922"/>
    </row>
    <row r="23" spans="3:12">
      <c r="G23" s="2922">
        <v>2026</v>
      </c>
      <c r="H23" s="2922"/>
    </row>
  </sheetData>
  <sheetProtection algorithmName="SHA-512" hashValue="1WYxnNtS2RWX1DXGn/AZ8AFLwhHb2WguEcG959Vs84goq08E9jqCSMSnys2/4dmO2QzRCEGYSYocxMdwcBoXSA==" saltValue="dApbFUb4t5tN6Bi2FQ7qnQ==" spinCount="100000" sheet="1" objects="1" selectLockedCells="1"/>
  <dataConsolidate/>
  <mergeCells count="14">
    <mergeCell ref="C4:E4"/>
    <mergeCell ref="B12:D12"/>
    <mergeCell ref="G12:I12"/>
    <mergeCell ref="G17:J17"/>
    <mergeCell ref="G23:H23"/>
    <mergeCell ref="C8:D8"/>
    <mergeCell ref="C6:D6"/>
    <mergeCell ref="C10:D10"/>
    <mergeCell ref="G16:H16"/>
    <mergeCell ref="E21:H21"/>
    <mergeCell ref="D22:H22"/>
    <mergeCell ref="C17:D17"/>
    <mergeCell ref="B15:D15"/>
    <mergeCell ref="G18:J18"/>
  </mergeCells>
  <pageMargins left="0.7" right="0.7" top="0.75" bottom="0.75" header="0.3" footer="0.3"/>
  <pageSetup paperSize="9" orientation="portrait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2987F-BA0A-4608-B102-95B3647E9635}">
  <dimension ref="B1:S53"/>
  <sheetViews>
    <sheetView showGridLines="0" showRowColHeaders="0" zoomScale="68" zoomScaleNormal="68" workbookViewId="0">
      <selection activeCell="S38" sqref="S38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4" width="12.7109375" style="672" bestFit="1" customWidth="1"/>
    <col min="15" max="16384" width="8.85546875" style="672"/>
  </cols>
  <sheetData>
    <row r="1" spans="2:5">
      <c r="B1" s="673"/>
    </row>
    <row r="2" spans="2:5" ht="26.25">
      <c r="E2" s="1714" t="s">
        <v>1669</v>
      </c>
    </row>
    <row r="10" spans="2:5">
      <c r="B10" s="1681" t="s">
        <v>1513</v>
      </c>
      <c r="C10" s="1681" t="s">
        <v>1601</v>
      </c>
      <c r="D10" s="1681" t="s">
        <v>1603</v>
      </c>
    </row>
    <row r="11" spans="2:5">
      <c r="B11" s="1682"/>
      <c r="C11" s="1682" t="s">
        <v>1602</v>
      </c>
      <c r="D11" s="1682" t="s">
        <v>1602</v>
      </c>
    </row>
    <row r="12" spans="2:5">
      <c r="B12" s="1675" t="s">
        <v>1670</v>
      </c>
      <c r="C12" s="1675">
        <v>10</v>
      </c>
      <c r="D12" s="1675">
        <v>2.75</v>
      </c>
    </row>
    <row r="13" spans="2:5">
      <c r="B13" s="1675" t="s">
        <v>1671</v>
      </c>
      <c r="C13" s="1675">
        <v>14</v>
      </c>
      <c r="D13" s="1675">
        <v>3.75</v>
      </c>
    </row>
    <row r="14" spans="2:5">
      <c r="B14" s="1675" t="s">
        <v>1672</v>
      </c>
      <c r="C14" s="1675">
        <v>20</v>
      </c>
      <c r="D14" s="1675">
        <v>6</v>
      </c>
    </row>
    <row r="15" spans="2:5">
      <c r="B15" s="1675" t="s">
        <v>1673</v>
      </c>
      <c r="C15" s="1675">
        <v>35</v>
      </c>
      <c r="D15" s="1675">
        <v>11.7</v>
      </c>
    </row>
    <row r="22" spans="5:14" ht="9" customHeight="1"/>
    <row r="23" spans="5:14">
      <c r="E23" s="1675" t="s">
        <v>1520</v>
      </c>
      <c r="F23" s="1675" t="s">
        <v>1513</v>
      </c>
      <c r="G23" s="1675" t="s">
        <v>1521</v>
      </c>
      <c r="H23" s="1675" t="s">
        <v>1078</v>
      </c>
      <c r="I23" s="1675" t="s">
        <v>1522</v>
      </c>
      <c r="J23" s="1675" t="s">
        <v>1523</v>
      </c>
      <c r="K23" s="1675" t="s">
        <v>1524</v>
      </c>
      <c r="L23" s="1675" t="s">
        <v>1375</v>
      </c>
      <c r="M23" s="1675" t="s">
        <v>1525</v>
      </c>
      <c r="N23" s="1675" t="s">
        <v>1526</v>
      </c>
    </row>
    <row r="24" spans="5:14">
      <c r="E24" s="1675"/>
      <c r="F24" s="1675"/>
      <c r="G24" s="1675" t="s">
        <v>1527</v>
      </c>
      <c r="H24" s="1675" t="s">
        <v>1527</v>
      </c>
      <c r="I24" s="1675" t="s">
        <v>1527</v>
      </c>
      <c r="J24" s="1675"/>
      <c r="K24" s="1675" t="s">
        <v>1527</v>
      </c>
      <c r="L24" s="1675"/>
      <c r="M24" s="1675"/>
      <c r="N24" s="1675" t="s">
        <v>1528</v>
      </c>
    </row>
    <row r="25" spans="5:14" ht="9" customHeight="1"/>
    <row r="26" spans="5:14">
      <c r="E26" s="1676" t="s">
        <v>1674</v>
      </c>
      <c r="F26" s="929" t="s">
        <v>1534</v>
      </c>
      <c r="G26" s="1677" t="s">
        <v>1746</v>
      </c>
      <c r="H26" s="929">
        <v>75</v>
      </c>
      <c r="I26" s="929">
        <v>26</v>
      </c>
      <c r="J26" s="929" t="s">
        <v>1675</v>
      </c>
      <c r="K26" s="929" t="s">
        <v>1579</v>
      </c>
      <c r="L26" s="929" t="s">
        <v>1593</v>
      </c>
      <c r="M26" s="929">
        <v>50</v>
      </c>
      <c r="N26" s="929">
        <v>5.9939999999999998</v>
      </c>
    </row>
    <row r="27" spans="5:14">
      <c r="E27" s="929" t="s">
        <v>1676</v>
      </c>
      <c r="F27" s="929" t="s">
        <v>195</v>
      </c>
      <c r="G27" s="929" t="s">
        <v>1677</v>
      </c>
      <c r="H27" s="929">
        <v>81</v>
      </c>
      <c r="I27" s="929">
        <v>30</v>
      </c>
      <c r="J27" s="929" t="s">
        <v>1675</v>
      </c>
      <c r="K27" s="929" t="s">
        <v>1579</v>
      </c>
      <c r="L27" s="929" t="s">
        <v>1593</v>
      </c>
      <c r="M27" s="929">
        <v>50</v>
      </c>
      <c r="N27" s="929">
        <v>6.6</v>
      </c>
    </row>
    <row r="28" spans="5:14">
      <c r="E28" s="929" t="s">
        <v>1678</v>
      </c>
      <c r="F28" s="929" t="s">
        <v>198</v>
      </c>
      <c r="G28" s="929" t="s">
        <v>1679</v>
      </c>
      <c r="H28" s="929">
        <v>87</v>
      </c>
      <c r="I28" s="929">
        <v>33</v>
      </c>
      <c r="J28" s="929" t="s">
        <v>1675</v>
      </c>
      <c r="K28" s="929" t="s">
        <v>1579</v>
      </c>
      <c r="L28" s="929" t="s">
        <v>1593</v>
      </c>
      <c r="M28" s="929">
        <v>50</v>
      </c>
      <c r="N28" s="929">
        <v>7.01</v>
      </c>
    </row>
    <row r="29" spans="5:14">
      <c r="E29" s="929" t="s">
        <v>1680</v>
      </c>
      <c r="F29" s="929" t="s">
        <v>201</v>
      </c>
      <c r="G29" s="929" t="s">
        <v>1681</v>
      </c>
      <c r="H29" s="929">
        <v>94</v>
      </c>
      <c r="I29" s="929">
        <v>36.5</v>
      </c>
      <c r="J29" s="929" t="s">
        <v>1675</v>
      </c>
      <c r="K29" s="929" t="s">
        <v>1579</v>
      </c>
      <c r="L29" s="929" t="s">
        <v>1593</v>
      </c>
      <c r="M29" s="929">
        <v>50</v>
      </c>
      <c r="N29" s="929">
        <v>7.3</v>
      </c>
    </row>
    <row r="30" spans="5:14">
      <c r="E30" s="929" t="s">
        <v>1682</v>
      </c>
      <c r="F30" s="929" t="s">
        <v>204</v>
      </c>
      <c r="G30" s="929" t="s">
        <v>1683</v>
      </c>
      <c r="H30" s="929">
        <v>103</v>
      </c>
      <c r="I30" s="929">
        <v>41</v>
      </c>
      <c r="J30" s="929" t="s">
        <v>1675</v>
      </c>
      <c r="K30" s="929" t="s">
        <v>1579</v>
      </c>
      <c r="L30" s="929" t="s">
        <v>1593</v>
      </c>
      <c r="M30" s="929">
        <v>50</v>
      </c>
      <c r="N30" s="929">
        <v>9.0299999999999994</v>
      </c>
    </row>
    <row r="31" spans="5:14">
      <c r="E31" s="929" t="s">
        <v>1684</v>
      </c>
      <c r="F31" s="929" t="s">
        <v>206</v>
      </c>
      <c r="G31" s="929" t="s">
        <v>1685</v>
      </c>
      <c r="H31" s="929">
        <v>111</v>
      </c>
      <c r="I31" s="929">
        <v>44.5</v>
      </c>
      <c r="J31" s="929" t="s">
        <v>1675</v>
      </c>
      <c r="K31" s="929" t="s">
        <v>1579</v>
      </c>
      <c r="L31" s="929" t="s">
        <v>1593</v>
      </c>
      <c r="M31" s="929">
        <v>50</v>
      </c>
      <c r="N31" s="929">
        <v>8.65</v>
      </c>
    </row>
    <row r="32" spans="5:14">
      <c r="E32" s="929" t="s">
        <v>1686</v>
      </c>
      <c r="F32" s="929" t="s">
        <v>1551</v>
      </c>
      <c r="G32" s="929" t="s">
        <v>1552</v>
      </c>
      <c r="H32" s="929">
        <v>120</v>
      </c>
      <c r="I32" s="929">
        <v>48.5</v>
      </c>
      <c r="J32" s="929" t="s">
        <v>1675</v>
      </c>
      <c r="K32" s="929" t="s">
        <v>1579</v>
      </c>
      <c r="L32" s="929" t="s">
        <v>1593</v>
      </c>
      <c r="M32" s="929">
        <v>40</v>
      </c>
      <c r="N32" s="929">
        <v>7.585</v>
      </c>
    </row>
    <row r="33" spans="5:19">
      <c r="E33" s="929" t="s">
        <v>1687</v>
      </c>
      <c r="F33" s="929" t="s">
        <v>209</v>
      </c>
      <c r="G33" s="929" t="s">
        <v>1688</v>
      </c>
      <c r="H33" s="929">
        <v>125</v>
      </c>
      <c r="I33" s="929">
        <v>51</v>
      </c>
      <c r="J33" s="929" t="s">
        <v>1675</v>
      </c>
      <c r="K33" s="929" t="s">
        <v>1579</v>
      </c>
      <c r="L33" s="929" t="s">
        <v>1593</v>
      </c>
      <c r="M33" s="929">
        <v>40</v>
      </c>
      <c r="N33" s="929">
        <v>7.46</v>
      </c>
    </row>
    <row r="34" spans="5:19">
      <c r="E34" s="672" t="s">
        <v>1689</v>
      </c>
      <c r="F34" s="672" t="s">
        <v>1690</v>
      </c>
      <c r="G34" s="672" t="s">
        <v>1691</v>
      </c>
      <c r="H34" s="672">
        <v>134</v>
      </c>
      <c r="I34" s="672">
        <v>55</v>
      </c>
      <c r="J34" s="672" t="s">
        <v>1675</v>
      </c>
      <c r="K34" s="672" t="s">
        <v>1579</v>
      </c>
      <c r="L34" s="672" t="s">
        <v>1593</v>
      </c>
      <c r="M34" s="672">
        <v>40</v>
      </c>
      <c r="N34" s="672">
        <v>8.57</v>
      </c>
    </row>
    <row r="35" spans="5:19">
      <c r="E35" s="929" t="s">
        <v>1692</v>
      </c>
      <c r="F35" s="929" t="s">
        <v>212</v>
      </c>
      <c r="G35" s="929" t="s">
        <v>1693</v>
      </c>
      <c r="H35" s="929">
        <v>141</v>
      </c>
      <c r="I35" s="929">
        <v>59</v>
      </c>
      <c r="J35" s="929" t="s">
        <v>1675</v>
      </c>
      <c r="K35" s="929" t="s">
        <v>1579</v>
      </c>
      <c r="L35" s="929" t="s">
        <v>1593</v>
      </c>
      <c r="M35" s="929">
        <v>30</v>
      </c>
      <c r="N35" s="929">
        <v>6.41</v>
      </c>
    </row>
    <row r="36" spans="5:19">
      <c r="E36" s="672" t="s">
        <v>1694</v>
      </c>
      <c r="F36" s="672" t="s">
        <v>1695</v>
      </c>
      <c r="G36" s="672" t="s">
        <v>1696</v>
      </c>
      <c r="H36" s="672">
        <v>149</v>
      </c>
      <c r="I36" s="672">
        <v>63</v>
      </c>
      <c r="J36" s="672" t="s">
        <v>1675</v>
      </c>
      <c r="K36" s="672" t="s">
        <v>1579</v>
      </c>
      <c r="L36" s="672" t="s">
        <v>1593</v>
      </c>
      <c r="M36" s="672">
        <v>30</v>
      </c>
      <c r="N36" s="672">
        <v>7.2110000000000003</v>
      </c>
    </row>
    <row r="37" spans="5:19">
      <c r="E37" s="929" t="s">
        <v>1697</v>
      </c>
      <c r="F37" s="929" t="s">
        <v>225</v>
      </c>
      <c r="G37" s="929" t="s">
        <v>1698</v>
      </c>
      <c r="H37" s="929">
        <v>154</v>
      </c>
      <c r="I37" s="929">
        <v>65</v>
      </c>
      <c r="J37" s="929" t="s">
        <v>1675</v>
      </c>
      <c r="K37" s="929" t="s">
        <v>1579</v>
      </c>
      <c r="L37" s="929" t="s">
        <v>1593</v>
      </c>
      <c r="M37" s="929">
        <v>30</v>
      </c>
      <c r="N37" s="929">
        <v>6.84</v>
      </c>
    </row>
    <row r="38" spans="5:19">
      <c r="E38" s="672" t="s">
        <v>1699</v>
      </c>
      <c r="F38" s="672" t="s">
        <v>1700</v>
      </c>
      <c r="G38" s="672" t="s">
        <v>1701</v>
      </c>
      <c r="H38" s="672">
        <v>161</v>
      </c>
      <c r="I38" s="672">
        <v>69</v>
      </c>
      <c r="J38" s="672" t="s">
        <v>1675</v>
      </c>
      <c r="K38" s="672" t="s">
        <v>1579</v>
      </c>
      <c r="L38" s="672" t="s">
        <v>1593</v>
      </c>
      <c r="M38" s="672">
        <v>30</v>
      </c>
      <c r="N38" s="672">
        <v>7.7809999999999997</v>
      </c>
    </row>
    <row r="39" spans="5:19">
      <c r="E39" s="672" t="s">
        <v>1702</v>
      </c>
      <c r="F39" s="672" t="s">
        <v>1703</v>
      </c>
      <c r="G39" s="672" t="s">
        <v>1704</v>
      </c>
      <c r="H39" s="672">
        <v>169</v>
      </c>
      <c r="I39" s="672">
        <v>73</v>
      </c>
      <c r="J39" s="672" t="s">
        <v>1675</v>
      </c>
      <c r="K39" s="672" t="s">
        <v>1705</v>
      </c>
      <c r="L39" s="672" t="s">
        <v>1593</v>
      </c>
      <c r="M39" s="672">
        <v>30</v>
      </c>
      <c r="N39" s="672">
        <v>10.696</v>
      </c>
    </row>
    <row r="40" spans="5:19">
      <c r="E40" s="929" t="s">
        <v>1706</v>
      </c>
      <c r="F40" s="929" t="s">
        <v>870</v>
      </c>
      <c r="G40" s="929" t="s">
        <v>1575</v>
      </c>
      <c r="H40" s="929">
        <v>178</v>
      </c>
      <c r="I40" s="929">
        <v>78.599999999999994</v>
      </c>
      <c r="J40" s="929" t="s">
        <v>1675</v>
      </c>
      <c r="K40" s="929" t="s">
        <v>1705</v>
      </c>
      <c r="L40" s="929" t="s">
        <v>1593</v>
      </c>
      <c r="M40" s="929">
        <v>30</v>
      </c>
      <c r="N40" s="929">
        <v>11.1</v>
      </c>
    </row>
    <row r="41" spans="5:19">
      <c r="E41" s="672" t="s">
        <v>1707</v>
      </c>
      <c r="F41" s="672" t="s">
        <v>1708</v>
      </c>
      <c r="G41" s="672" t="s">
        <v>1709</v>
      </c>
      <c r="H41" s="672">
        <v>192</v>
      </c>
      <c r="I41" s="672">
        <v>90.1</v>
      </c>
      <c r="J41" s="672" t="s">
        <v>1710</v>
      </c>
      <c r="K41" s="672" t="s">
        <v>1711</v>
      </c>
      <c r="L41" s="672" t="s">
        <v>1712</v>
      </c>
      <c r="M41" s="672">
        <v>20</v>
      </c>
      <c r="N41" s="672">
        <v>10.18</v>
      </c>
    </row>
    <row r="42" spans="5:19">
      <c r="E42" s="672" t="s">
        <v>1713</v>
      </c>
      <c r="F42" s="672" t="s">
        <v>1714</v>
      </c>
      <c r="G42" s="672" t="s">
        <v>1715</v>
      </c>
      <c r="H42" s="672">
        <v>197</v>
      </c>
      <c r="I42" s="672">
        <v>92.6</v>
      </c>
      <c r="J42" s="672" t="s">
        <v>1710</v>
      </c>
      <c r="K42" s="672" t="s">
        <v>1711</v>
      </c>
      <c r="L42" s="672" t="s">
        <v>1712</v>
      </c>
      <c r="M42" s="672">
        <v>10</v>
      </c>
      <c r="N42" s="672">
        <v>5.5510000000000002</v>
      </c>
    </row>
    <row r="43" spans="5:19">
      <c r="E43" s="929" t="s">
        <v>1716</v>
      </c>
      <c r="F43" s="929" t="s">
        <v>871</v>
      </c>
      <c r="G43" s="929" t="s">
        <v>1717</v>
      </c>
      <c r="H43" s="929">
        <v>204</v>
      </c>
      <c r="I43" s="929">
        <v>96.1</v>
      </c>
      <c r="J43" s="929" t="s">
        <v>1710</v>
      </c>
      <c r="K43" s="929" t="s">
        <v>1711</v>
      </c>
      <c r="L43" s="929" t="s">
        <v>1712</v>
      </c>
      <c r="M43" s="929">
        <v>10</v>
      </c>
      <c r="N43" s="929">
        <v>5.61</v>
      </c>
    </row>
    <row r="44" spans="5:19">
      <c r="E44" s="672" t="s">
        <v>1718</v>
      </c>
      <c r="F44" s="672" t="s">
        <v>1719</v>
      </c>
      <c r="G44" s="672" t="s">
        <v>1720</v>
      </c>
      <c r="H44" s="672">
        <v>220</v>
      </c>
      <c r="I44" s="672">
        <v>104.1</v>
      </c>
      <c r="J44" s="672" t="s">
        <v>1710</v>
      </c>
      <c r="K44" s="672" t="s">
        <v>1711</v>
      </c>
      <c r="L44" s="672" t="s">
        <v>1712</v>
      </c>
      <c r="M44" s="672">
        <v>10</v>
      </c>
      <c r="N44" s="672">
        <v>6.15</v>
      </c>
    </row>
    <row r="45" spans="5:19">
      <c r="E45" s="929" t="s">
        <v>1721</v>
      </c>
      <c r="F45" s="929" t="s">
        <v>872</v>
      </c>
      <c r="G45" s="929" t="s">
        <v>1722</v>
      </c>
      <c r="H45" s="929">
        <v>229</v>
      </c>
      <c r="I45" s="929">
        <v>108.6</v>
      </c>
      <c r="J45" s="929" t="s">
        <v>1710</v>
      </c>
      <c r="K45" s="929" t="s">
        <v>1711</v>
      </c>
      <c r="L45" s="929" t="s">
        <v>1712</v>
      </c>
      <c r="M45" s="929">
        <v>10</v>
      </c>
      <c r="N45" s="929">
        <v>6.32</v>
      </c>
    </row>
    <row r="46" spans="5:19">
      <c r="E46" s="672" t="s">
        <v>1723</v>
      </c>
      <c r="F46" s="672" t="s">
        <v>1724</v>
      </c>
      <c r="G46" s="672" t="s">
        <v>1725</v>
      </c>
      <c r="H46" s="672">
        <v>264</v>
      </c>
      <c r="I46" s="672">
        <v>126.1</v>
      </c>
      <c r="J46" s="672" t="s">
        <v>1710</v>
      </c>
      <c r="K46" s="672" t="s">
        <v>1711</v>
      </c>
      <c r="L46" s="672" t="s">
        <v>1712</v>
      </c>
      <c r="M46" s="672">
        <v>20</v>
      </c>
      <c r="N46" s="672">
        <v>14.4</v>
      </c>
      <c r="O46" s="1442"/>
      <c r="P46" s="681"/>
      <c r="Q46" s="681"/>
      <c r="R46" s="681"/>
      <c r="S46" s="699"/>
    </row>
    <row r="47" spans="5:19">
      <c r="E47" s="929" t="s">
        <v>1726</v>
      </c>
      <c r="F47" s="929" t="s">
        <v>873</v>
      </c>
      <c r="G47" s="929" t="s">
        <v>1727</v>
      </c>
      <c r="H47" s="929">
        <v>279</v>
      </c>
      <c r="I47" s="929">
        <v>133.6</v>
      </c>
      <c r="J47" s="929" t="s">
        <v>1710</v>
      </c>
      <c r="K47" s="929" t="s">
        <v>1728</v>
      </c>
      <c r="L47" s="929" t="s">
        <v>1712</v>
      </c>
      <c r="M47" s="929">
        <v>15</v>
      </c>
      <c r="N47" s="929">
        <v>14.35</v>
      </c>
      <c r="O47" s="1442"/>
      <c r="P47" s="681"/>
      <c r="Q47" s="681"/>
      <c r="R47" s="681"/>
      <c r="S47" s="700"/>
    </row>
    <row r="48" spans="5:19">
      <c r="E48" s="929" t="s">
        <v>1729</v>
      </c>
      <c r="F48" s="929" t="s">
        <v>884</v>
      </c>
      <c r="G48" s="929" t="s">
        <v>1730</v>
      </c>
      <c r="H48" s="929">
        <v>335</v>
      </c>
      <c r="I48" s="929">
        <v>161.6</v>
      </c>
      <c r="J48" s="929" t="s">
        <v>1710</v>
      </c>
      <c r="K48" s="929" t="s">
        <v>1728</v>
      </c>
      <c r="L48" s="929" t="s">
        <v>1712</v>
      </c>
      <c r="M48" s="929">
        <v>15</v>
      </c>
      <c r="N48" s="929">
        <v>17.13</v>
      </c>
      <c r="O48" s="1442"/>
      <c r="P48" s="681"/>
      <c r="Q48" s="681"/>
      <c r="R48" s="2917"/>
      <c r="S48" s="2917"/>
    </row>
    <row r="49" spans="5:19">
      <c r="E49" s="929" t="s">
        <v>1731</v>
      </c>
      <c r="F49" s="929" t="s">
        <v>1434</v>
      </c>
      <c r="G49" s="929" t="s">
        <v>1732</v>
      </c>
      <c r="H49" s="929">
        <v>400</v>
      </c>
      <c r="I49" s="929">
        <v>184.8</v>
      </c>
      <c r="J49" s="929" t="s">
        <v>1733</v>
      </c>
      <c r="K49" s="929" t="s">
        <v>1734</v>
      </c>
      <c r="L49" s="929" t="s">
        <v>1712</v>
      </c>
      <c r="M49" s="929">
        <v>10</v>
      </c>
      <c r="N49" s="929">
        <v>18.2</v>
      </c>
      <c r="O49" s="1679"/>
      <c r="P49" s="1442"/>
      <c r="Q49" s="1442"/>
      <c r="R49" s="1680"/>
      <c r="S49" s="1442"/>
    </row>
    <row r="50" spans="5:19">
      <c r="E50" s="929" t="s">
        <v>1735</v>
      </c>
      <c r="F50" s="929" t="s">
        <v>1736</v>
      </c>
      <c r="G50" s="929" t="s">
        <v>1737</v>
      </c>
      <c r="H50" s="929">
        <v>432</v>
      </c>
      <c r="I50" s="929">
        <v>200.8</v>
      </c>
      <c r="J50" s="929" t="s">
        <v>1733</v>
      </c>
      <c r="K50" s="929" t="s">
        <v>1734</v>
      </c>
      <c r="L50" s="929" t="s">
        <v>1712</v>
      </c>
      <c r="M50" s="929">
        <v>10</v>
      </c>
      <c r="N50" s="929">
        <v>19.399999999999999</v>
      </c>
    </row>
    <row r="51" spans="5:19">
      <c r="E51" s="929" t="s">
        <v>1738</v>
      </c>
      <c r="F51" s="929" t="s">
        <v>1435</v>
      </c>
      <c r="G51" s="929" t="s">
        <v>1739</v>
      </c>
      <c r="H51" s="929">
        <v>485</v>
      </c>
      <c r="I51" s="929">
        <v>228.8</v>
      </c>
      <c r="J51" s="929" t="s">
        <v>1733</v>
      </c>
      <c r="K51" s="929" t="s">
        <v>1734</v>
      </c>
      <c r="L51" s="929" t="s">
        <v>1712</v>
      </c>
      <c r="M51" s="929">
        <v>8</v>
      </c>
      <c r="N51" s="929">
        <v>18.3</v>
      </c>
      <c r="P51" s="681"/>
      <c r="Q51" s="681"/>
      <c r="R51" s="681"/>
      <c r="S51" s="699" t="s">
        <v>818</v>
      </c>
    </row>
    <row r="52" spans="5:19">
      <c r="E52" s="929" t="s">
        <v>1740</v>
      </c>
      <c r="F52" s="929" t="s">
        <v>1436</v>
      </c>
      <c r="G52" s="929" t="s">
        <v>1741</v>
      </c>
      <c r="H52" s="929">
        <v>572</v>
      </c>
      <c r="I52" s="929">
        <v>259</v>
      </c>
      <c r="J52" s="929" t="s">
        <v>1742</v>
      </c>
      <c r="K52" s="929" t="s">
        <v>1734</v>
      </c>
      <c r="L52" s="929" t="s">
        <v>1712</v>
      </c>
      <c r="M52" s="929">
        <v>5</v>
      </c>
      <c r="N52" s="929">
        <v>12.75</v>
      </c>
      <c r="P52" s="681"/>
      <c r="Q52" s="681"/>
      <c r="R52" s="681"/>
      <c r="S52" s="700" t="s">
        <v>17</v>
      </c>
    </row>
    <row r="53" spans="5:19">
      <c r="E53" s="929" t="s">
        <v>1743</v>
      </c>
      <c r="F53" s="929" t="s">
        <v>1744</v>
      </c>
      <c r="G53" s="929" t="s">
        <v>1745</v>
      </c>
      <c r="H53" s="929">
        <v>624</v>
      </c>
      <c r="I53" s="929">
        <v>285</v>
      </c>
      <c r="J53" s="929" t="s">
        <v>1742</v>
      </c>
      <c r="K53" s="929" t="s">
        <v>1734</v>
      </c>
      <c r="L53" s="929" t="s">
        <v>1712</v>
      </c>
      <c r="M53" s="929">
        <v>5</v>
      </c>
      <c r="N53" s="929">
        <v>14.4</v>
      </c>
      <c r="P53" s="681"/>
      <c r="Q53" s="681"/>
      <c r="R53" s="2917">
        <v>2026</v>
      </c>
      <c r="S53" s="2917"/>
    </row>
  </sheetData>
  <sheetProtection algorithmName="SHA-512" hashValue="n5pTh4Y++YOmvomLfWk3TO+OxrK2uj5pqfvKJPOIxEOU66/PF0xcnVc1kfOXovATVHIyjiYUrCgHxDI9n5G4WA==" saltValue="D0p3rmQ6ZH9e6Fl10pbJ9g==" spinCount="100000" sheet="1" objects="1" scenarios="1" selectLockedCells="1"/>
  <mergeCells count="2">
    <mergeCell ref="R48:S48"/>
    <mergeCell ref="R53:S5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A60C-DB15-4F37-9228-17328E121A81}">
  <dimension ref="B1:T52"/>
  <sheetViews>
    <sheetView showGridLines="0" showRowColHeaders="0" zoomScale="69" zoomScaleNormal="69" workbookViewId="0">
      <selection activeCell="S41" sqref="S41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5" width="12.7109375" style="672" bestFit="1" customWidth="1"/>
    <col min="16" max="16384" width="8.85546875" style="672"/>
  </cols>
  <sheetData>
    <row r="1" spans="2:5">
      <c r="B1" s="673"/>
    </row>
    <row r="2" spans="2:5" ht="26.25">
      <c r="E2" s="1714" t="s">
        <v>1747</v>
      </c>
    </row>
    <row r="10" spans="2:5">
      <c r="B10" s="1681" t="s">
        <v>1513</v>
      </c>
      <c r="C10" s="1681" t="s">
        <v>1601</v>
      </c>
      <c r="D10" s="1681" t="s">
        <v>1603</v>
      </c>
    </row>
    <row r="11" spans="2:5">
      <c r="B11" s="1682"/>
      <c r="C11" s="1682" t="s">
        <v>1602</v>
      </c>
      <c r="D11" s="1682" t="s">
        <v>1602</v>
      </c>
    </row>
    <row r="12" spans="2:5">
      <c r="B12" s="1675" t="s">
        <v>1670</v>
      </c>
      <c r="C12" s="1675">
        <v>10</v>
      </c>
      <c r="D12" s="1675">
        <v>2.75</v>
      </c>
    </row>
    <row r="13" spans="2:5">
      <c r="B13" s="1675" t="s">
        <v>1671</v>
      </c>
      <c r="C13" s="1675">
        <v>14</v>
      </c>
      <c r="D13" s="1675">
        <v>3.75</v>
      </c>
    </row>
    <row r="14" spans="2:5">
      <c r="B14" s="1675" t="s">
        <v>1672</v>
      </c>
      <c r="C14" s="1675">
        <v>20</v>
      </c>
      <c r="D14" s="1675">
        <v>6</v>
      </c>
    </row>
    <row r="15" spans="2:5">
      <c r="B15" s="1675" t="s">
        <v>1673</v>
      </c>
      <c r="C15" s="1675">
        <v>35</v>
      </c>
      <c r="D15" s="1675">
        <v>11.7</v>
      </c>
    </row>
    <row r="21" spans="5:15">
      <c r="E21" s="1675" t="s">
        <v>1520</v>
      </c>
      <c r="F21" s="1675" t="s">
        <v>1513</v>
      </c>
      <c r="G21" s="1675" t="s">
        <v>1521</v>
      </c>
      <c r="H21" s="1675" t="s">
        <v>1078</v>
      </c>
      <c r="I21" s="1675" t="s">
        <v>1522</v>
      </c>
      <c r="J21" s="1675" t="s">
        <v>1523</v>
      </c>
      <c r="K21" s="1675" t="s">
        <v>1524</v>
      </c>
      <c r="L21" s="1675" t="s">
        <v>1784</v>
      </c>
      <c r="M21" s="1675" t="s">
        <v>1384</v>
      </c>
      <c r="N21" s="1675" t="s">
        <v>1525</v>
      </c>
      <c r="O21" s="1675" t="s">
        <v>1526</v>
      </c>
    </row>
    <row r="22" spans="5:15">
      <c r="E22" s="1675"/>
      <c r="F22" s="1675"/>
      <c r="G22" s="1675" t="s">
        <v>1527</v>
      </c>
      <c r="H22" s="1675" t="s">
        <v>1527</v>
      </c>
      <c r="I22" s="1675" t="s">
        <v>1527</v>
      </c>
      <c r="J22" s="1675"/>
      <c r="K22" s="1675" t="s">
        <v>1527</v>
      </c>
      <c r="L22" s="1675" t="s">
        <v>1527</v>
      </c>
      <c r="M22" s="1675" t="s">
        <v>1785</v>
      </c>
      <c r="N22" s="1675"/>
      <c r="O22" s="1675" t="s">
        <v>1528</v>
      </c>
    </row>
    <row r="24" spans="5:15">
      <c r="E24" s="1676" t="s">
        <v>1748</v>
      </c>
      <c r="F24" s="929" t="s">
        <v>1534</v>
      </c>
      <c r="G24" s="1677" t="s">
        <v>1746</v>
      </c>
      <c r="H24" s="929">
        <v>75</v>
      </c>
      <c r="I24" s="929">
        <v>40</v>
      </c>
      <c r="J24" s="929" t="s">
        <v>1675</v>
      </c>
      <c r="K24" s="929" t="s">
        <v>1579</v>
      </c>
      <c r="L24" s="929" t="s">
        <v>1749</v>
      </c>
      <c r="M24" s="929" t="s">
        <v>1750</v>
      </c>
      <c r="N24" s="929">
        <v>50</v>
      </c>
      <c r="O24" s="929">
        <v>7.3380000000000001</v>
      </c>
    </row>
    <row r="25" spans="5:15">
      <c r="E25" s="929" t="s">
        <v>1751</v>
      </c>
      <c r="F25" s="929" t="s">
        <v>195</v>
      </c>
      <c r="G25" s="929" t="s">
        <v>1677</v>
      </c>
      <c r="H25" s="929">
        <v>81</v>
      </c>
      <c r="I25" s="929">
        <v>41</v>
      </c>
      <c r="J25" s="929" t="s">
        <v>1675</v>
      </c>
      <c r="K25" s="929" t="s">
        <v>1579</v>
      </c>
      <c r="L25" s="929" t="s">
        <v>1749</v>
      </c>
      <c r="M25" s="929" t="s">
        <v>1750</v>
      </c>
      <c r="N25" s="929">
        <v>50</v>
      </c>
      <c r="O25" s="929">
        <v>7.77</v>
      </c>
    </row>
    <row r="26" spans="5:15">
      <c r="E26" s="929" t="s">
        <v>1752</v>
      </c>
      <c r="F26" s="929" t="s">
        <v>198</v>
      </c>
      <c r="G26" s="929" t="s">
        <v>1679</v>
      </c>
      <c r="H26" s="929">
        <v>87</v>
      </c>
      <c r="I26" s="929">
        <v>42.5</v>
      </c>
      <c r="J26" s="929" t="s">
        <v>1675</v>
      </c>
      <c r="K26" s="929" t="s">
        <v>1579</v>
      </c>
      <c r="L26" s="929" t="s">
        <v>1749</v>
      </c>
      <c r="M26" s="929" t="s">
        <v>1750</v>
      </c>
      <c r="N26" s="929">
        <v>50</v>
      </c>
      <c r="O26" s="929">
        <v>8.1999999999999993</v>
      </c>
    </row>
    <row r="27" spans="5:15">
      <c r="E27" s="929" t="s">
        <v>1753</v>
      </c>
      <c r="F27" s="929" t="s">
        <v>201</v>
      </c>
      <c r="G27" s="929" t="s">
        <v>1681</v>
      </c>
      <c r="H27" s="929">
        <v>94</v>
      </c>
      <c r="I27" s="929">
        <v>49.5</v>
      </c>
      <c r="J27" s="929" t="s">
        <v>1675</v>
      </c>
      <c r="K27" s="929" t="s">
        <v>1579</v>
      </c>
      <c r="L27" s="929" t="s">
        <v>1749</v>
      </c>
      <c r="M27" s="929" t="s">
        <v>1750</v>
      </c>
      <c r="N27" s="929">
        <v>50</v>
      </c>
      <c r="O27" s="929">
        <v>8.65</v>
      </c>
    </row>
    <row r="28" spans="5:15">
      <c r="E28" s="929" t="s">
        <v>1754</v>
      </c>
      <c r="F28" s="929" t="s">
        <v>204</v>
      </c>
      <c r="G28" s="929" t="s">
        <v>1683</v>
      </c>
      <c r="H28" s="929">
        <v>103</v>
      </c>
      <c r="I28" s="929">
        <v>55</v>
      </c>
      <c r="J28" s="929" t="s">
        <v>1675</v>
      </c>
      <c r="K28" s="929" t="s">
        <v>1579</v>
      </c>
      <c r="L28" s="929" t="s">
        <v>1749</v>
      </c>
      <c r="M28" s="929" t="s">
        <v>1750</v>
      </c>
      <c r="N28" s="929">
        <v>40</v>
      </c>
      <c r="O28" s="929">
        <v>7.25</v>
      </c>
    </row>
    <row r="29" spans="5:15">
      <c r="E29" s="929" t="s">
        <v>1755</v>
      </c>
      <c r="F29" s="929" t="s">
        <v>206</v>
      </c>
      <c r="G29" s="929" t="s">
        <v>1685</v>
      </c>
      <c r="H29" s="929">
        <v>111</v>
      </c>
      <c r="I29" s="929">
        <v>59</v>
      </c>
      <c r="J29" s="929" t="s">
        <v>1675</v>
      </c>
      <c r="K29" s="929" t="s">
        <v>1579</v>
      </c>
      <c r="L29" s="929" t="s">
        <v>1749</v>
      </c>
      <c r="M29" s="929" t="s">
        <v>1750</v>
      </c>
      <c r="N29" s="929">
        <v>40</v>
      </c>
      <c r="O29" s="929">
        <v>7.69</v>
      </c>
    </row>
    <row r="30" spans="5:15">
      <c r="E30" s="672" t="s">
        <v>1756</v>
      </c>
      <c r="F30" s="672" t="s">
        <v>1551</v>
      </c>
      <c r="G30" s="672" t="s">
        <v>1552</v>
      </c>
      <c r="H30" s="672">
        <v>120</v>
      </c>
      <c r="I30" s="672">
        <v>63</v>
      </c>
      <c r="J30" s="672" t="s">
        <v>1675</v>
      </c>
      <c r="K30" s="672" t="s">
        <v>1579</v>
      </c>
      <c r="L30" s="672" t="s">
        <v>1749</v>
      </c>
      <c r="M30" s="672" t="s">
        <v>1750</v>
      </c>
      <c r="N30" s="672">
        <v>30</v>
      </c>
      <c r="O30" s="672">
        <v>6.5620000000000003</v>
      </c>
    </row>
    <row r="31" spans="5:15">
      <c r="E31" s="929" t="s">
        <v>1757</v>
      </c>
      <c r="F31" s="929" t="s">
        <v>209</v>
      </c>
      <c r="G31" s="929" t="s">
        <v>1688</v>
      </c>
      <c r="H31" s="929">
        <v>125</v>
      </c>
      <c r="I31" s="929">
        <v>66</v>
      </c>
      <c r="J31" s="929" t="s">
        <v>1675</v>
      </c>
      <c r="K31" s="929" t="s">
        <v>1579</v>
      </c>
      <c r="L31" s="929" t="s">
        <v>1749</v>
      </c>
      <c r="M31" s="929" t="s">
        <v>1750</v>
      </c>
      <c r="N31" s="929">
        <v>30</v>
      </c>
      <c r="O31" s="929">
        <v>6.33</v>
      </c>
    </row>
    <row r="32" spans="5:15">
      <c r="E32" s="672" t="s">
        <v>1758</v>
      </c>
      <c r="F32" s="672" t="s">
        <v>1690</v>
      </c>
      <c r="G32" s="672" t="s">
        <v>1691</v>
      </c>
      <c r="H32" s="672">
        <v>134</v>
      </c>
      <c r="I32" s="672">
        <v>70</v>
      </c>
      <c r="J32" s="672" t="s">
        <v>1675</v>
      </c>
      <c r="K32" s="672" t="s">
        <v>1579</v>
      </c>
      <c r="L32" s="672" t="s">
        <v>1749</v>
      </c>
      <c r="M32" s="672" t="s">
        <v>1750</v>
      </c>
      <c r="N32" s="672">
        <v>25</v>
      </c>
      <c r="O32" s="672">
        <v>7</v>
      </c>
    </row>
    <row r="33" spans="5:20">
      <c r="E33" s="929" t="s">
        <v>1759</v>
      </c>
      <c r="F33" s="929" t="s">
        <v>212</v>
      </c>
      <c r="G33" s="929" t="s">
        <v>1693</v>
      </c>
      <c r="H33" s="929">
        <v>141</v>
      </c>
      <c r="I33" s="929">
        <v>74</v>
      </c>
      <c r="J33" s="929" t="s">
        <v>1675</v>
      </c>
      <c r="K33" s="929" t="s">
        <v>1579</v>
      </c>
      <c r="L33" s="929" t="s">
        <v>1749</v>
      </c>
      <c r="M33" s="929" t="s">
        <v>1750</v>
      </c>
      <c r="N33" s="929">
        <v>25</v>
      </c>
      <c r="O33" s="929">
        <v>5.92</v>
      </c>
    </row>
    <row r="34" spans="5:20">
      <c r="E34" s="672" t="s">
        <v>1760</v>
      </c>
      <c r="F34" s="672" t="s">
        <v>1695</v>
      </c>
      <c r="G34" s="672" t="s">
        <v>1696</v>
      </c>
      <c r="H34" s="672">
        <v>149</v>
      </c>
      <c r="I34" s="672">
        <v>78</v>
      </c>
      <c r="J34" s="672" t="s">
        <v>1675</v>
      </c>
      <c r="K34" s="672" t="s">
        <v>1579</v>
      </c>
      <c r="L34" s="672" t="s">
        <v>1749</v>
      </c>
      <c r="M34" s="672" t="s">
        <v>1750</v>
      </c>
      <c r="N34" s="672">
        <v>30</v>
      </c>
      <c r="O34" s="672">
        <v>7.62</v>
      </c>
    </row>
    <row r="35" spans="5:20">
      <c r="E35" s="929" t="s">
        <v>1761</v>
      </c>
      <c r="F35" s="929" t="s">
        <v>225</v>
      </c>
      <c r="G35" s="929" t="s">
        <v>1698</v>
      </c>
      <c r="H35" s="929">
        <v>154</v>
      </c>
      <c r="I35" s="929">
        <v>80</v>
      </c>
      <c r="J35" s="929" t="s">
        <v>1675</v>
      </c>
      <c r="K35" s="929" t="s">
        <v>1579</v>
      </c>
      <c r="L35" s="929" t="s">
        <v>1749</v>
      </c>
      <c r="M35" s="929" t="s">
        <v>1750</v>
      </c>
      <c r="N35" s="929">
        <v>30</v>
      </c>
      <c r="O35" s="929">
        <v>7.56</v>
      </c>
    </row>
    <row r="36" spans="5:20">
      <c r="E36" s="672" t="s">
        <v>1762</v>
      </c>
      <c r="F36" s="672" t="s">
        <v>1700</v>
      </c>
      <c r="G36" s="672" t="s">
        <v>1701</v>
      </c>
      <c r="H36" s="672">
        <v>161</v>
      </c>
      <c r="I36" s="672">
        <v>84.5</v>
      </c>
      <c r="J36" s="672" t="s">
        <v>1675</v>
      </c>
      <c r="K36" s="672" t="s">
        <v>1579</v>
      </c>
      <c r="L36" s="672" t="s">
        <v>1749</v>
      </c>
      <c r="M36" s="672" t="s">
        <v>1750</v>
      </c>
      <c r="N36" s="672">
        <v>25</v>
      </c>
      <c r="O36" s="672">
        <v>7.2009999999999996</v>
      </c>
    </row>
    <row r="37" spans="5:20">
      <c r="E37" s="672" t="s">
        <v>1763</v>
      </c>
      <c r="F37" s="672" t="s">
        <v>1703</v>
      </c>
      <c r="G37" s="672" t="s">
        <v>1704</v>
      </c>
      <c r="H37" s="672">
        <v>169</v>
      </c>
      <c r="I37" s="672">
        <v>88.5</v>
      </c>
      <c r="J37" s="672" t="s">
        <v>1675</v>
      </c>
      <c r="K37" s="672" t="s">
        <v>1705</v>
      </c>
      <c r="L37" s="672" t="s">
        <v>1764</v>
      </c>
      <c r="M37" s="672" t="s">
        <v>1765</v>
      </c>
      <c r="N37" s="672">
        <v>25</v>
      </c>
      <c r="O37" s="672">
        <v>10.141</v>
      </c>
    </row>
    <row r="38" spans="5:20">
      <c r="E38" s="929" t="s">
        <v>1766</v>
      </c>
      <c r="F38" s="929" t="s">
        <v>870</v>
      </c>
      <c r="G38" s="929" t="s">
        <v>1575</v>
      </c>
      <c r="H38" s="929">
        <v>178</v>
      </c>
      <c r="I38" s="929">
        <v>93</v>
      </c>
      <c r="J38" s="929" t="s">
        <v>1675</v>
      </c>
      <c r="K38" s="929" t="s">
        <v>1705</v>
      </c>
      <c r="L38" s="929" t="s">
        <v>1764</v>
      </c>
      <c r="M38" s="929" t="s">
        <v>1765</v>
      </c>
      <c r="N38" s="929">
        <v>25</v>
      </c>
      <c r="O38" s="929">
        <v>10.72</v>
      </c>
    </row>
    <row r="39" spans="5:20">
      <c r="E39" s="672" t="s">
        <v>1767</v>
      </c>
      <c r="F39" s="672" t="s">
        <v>1708</v>
      </c>
      <c r="G39" s="672" t="s">
        <v>1709</v>
      </c>
      <c r="H39" s="672">
        <v>192</v>
      </c>
      <c r="I39" s="672">
        <v>101</v>
      </c>
      <c r="J39" s="672" t="s">
        <v>1710</v>
      </c>
      <c r="K39" s="672" t="s">
        <v>1711</v>
      </c>
      <c r="L39" s="672" t="s">
        <v>1764</v>
      </c>
      <c r="M39" s="672" t="s">
        <v>1768</v>
      </c>
      <c r="N39" s="672">
        <v>20</v>
      </c>
      <c r="O39" s="672">
        <v>5.7</v>
      </c>
    </row>
    <row r="40" spans="5:20">
      <c r="E40" s="672" t="s">
        <v>1769</v>
      </c>
      <c r="F40" s="672" t="s">
        <v>1714</v>
      </c>
      <c r="G40" s="672" t="s">
        <v>1715</v>
      </c>
      <c r="H40" s="672">
        <v>197</v>
      </c>
      <c r="I40" s="672">
        <v>103.5</v>
      </c>
      <c r="J40" s="672" t="s">
        <v>1710</v>
      </c>
      <c r="K40" s="672" t="s">
        <v>1711</v>
      </c>
      <c r="L40" s="672" t="s">
        <v>1764</v>
      </c>
      <c r="M40" s="672" t="s">
        <v>1768</v>
      </c>
      <c r="N40" s="672">
        <v>10</v>
      </c>
      <c r="O40" s="672">
        <v>5.99</v>
      </c>
    </row>
    <row r="41" spans="5:20">
      <c r="E41" s="929" t="s">
        <v>1770</v>
      </c>
      <c r="F41" s="929" t="s">
        <v>871</v>
      </c>
      <c r="G41" s="929" t="s">
        <v>1717</v>
      </c>
      <c r="H41" s="929">
        <v>204</v>
      </c>
      <c r="I41" s="929">
        <v>107</v>
      </c>
      <c r="J41" s="929" t="s">
        <v>1710</v>
      </c>
      <c r="K41" s="929" t="s">
        <v>1711</v>
      </c>
      <c r="L41" s="929" t="s">
        <v>1764</v>
      </c>
      <c r="M41" s="929" t="s">
        <v>1768</v>
      </c>
      <c r="N41" s="929">
        <v>10</v>
      </c>
      <c r="O41" s="929">
        <v>6.02</v>
      </c>
    </row>
    <row r="42" spans="5:20">
      <c r="E42" s="672" t="s">
        <v>1771</v>
      </c>
      <c r="F42" s="672" t="s">
        <v>1719</v>
      </c>
      <c r="G42" s="672" t="s">
        <v>1720</v>
      </c>
      <c r="H42" s="672">
        <v>220</v>
      </c>
      <c r="I42" s="672">
        <v>115</v>
      </c>
      <c r="J42" s="672" t="s">
        <v>1710</v>
      </c>
      <c r="K42" s="672" t="s">
        <v>1711</v>
      </c>
      <c r="L42" s="672" t="s">
        <v>1764</v>
      </c>
      <c r="M42" s="672" t="s">
        <v>1768</v>
      </c>
      <c r="N42" s="672">
        <v>10</v>
      </c>
      <c r="O42" s="672">
        <v>6.45</v>
      </c>
    </row>
    <row r="43" spans="5:20">
      <c r="E43" s="929" t="s">
        <v>1772</v>
      </c>
      <c r="F43" s="929" t="s">
        <v>872</v>
      </c>
      <c r="G43" s="929" t="s">
        <v>1722</v>
      </c>
      <c r="H43" s="929">
        <v>229</v>
      </c>
      <c r="I43" s="929">
        <v>120</v>
      </c>
      <c r="J43" s="929" t="s">
        <v>1710</v>
      </c>
      <c r="K43" s="929" t="s">
        <v>1711</v>
      </c>
      <c r="L43" s="929" t="s">
        <v>1764</v>
      </c>
      <c r="M43" s="929" t="s">
        <v>1768</v>
      </c>
      <c r="N43" s="929">
        <v>10</v>
      </c>
      <c r="O43" s="929">
        <v>6.79</v>
      </c>
      <c r="Q43" s="681"/>
      <c r="R43" s="681"/>
      <c r="S43" s="681"/>
      <c r="T43" s="699"/>
    </row>
    <row r="44" spans="5:20">
      <c r="E44" s="672" t="s">
        <v>1773</v>
      </c>
      <c r="F44" s="672" t="s">
        <v>1724</v>
      </c>
      <c r="G44" s="672" t="s">
        <v>1725</v>
      </c>
      <c r="H44" s="672">
        <v>264</v>
      </c>
      <c r="I44" s="672">
        <v>137</v>
      </c>
      <c r="J44" s="672" t="s">
        <v>1710</v>
      </c>
      <c r="K44" s="672" t="s">
        <v>1711</v>
      </c>
      <c r="L44" s="672" t="s">
        <v>1764</v>
      </c>
      <c r="M44" s="672" t="s">
        <v>1768</v>
      </c>
      <c r="N44" s="672">
        <v>20</v>
      </c>
      <c r="O44" s="1442">
        <v>15.2</v>
      </c>
      <c r="P44" s="681"/>
      <c r="Q44" s="681"/>
      <c r="R44" s="681"/>
      <c r="S44" s="681"/>
      <c r="T44" s="700"/>
    </row>
    <row r="45" spans="5:20">
      <c r="E45" s="929" t="s">
        <v>1774</v>
      </c>
      <c r="F45" s="929" t="s">
        <v>873</v>
      </c>
      <c r="G45" s="929" t="s">
        <v>1727</v>
      </c>
      <c r="H45" s="929">
        <v>279</v>
      </c>
      <c r="I45" s="929">
        <v>145</v>
      </c>
      <c r="J45" s="929" t="s">
        <v>1710</v>
      </c>
      <c r="K45" s="929" t="s">
        <v>1728</v>
      </c>
      <c r="L45" s="929" t="s">
        <v>1764</v>
      </c>
      <c r="M45" s="929" t="s">
        <v>1775</v>
      </c>
      <c r="N45" s="929">
        <v>15</v>
      </c>
      <c r="O45" s="185">
        <v>15.23</v>
      </c>
      <c r="P45" s="681"/>
      <c r="Q45" s="681"/>
      <c r="R45" s="681"/>
      <c r="S45" s="2917"/>
      <c r="T45" s="2917"/>
    </row>
    <row r="46" spans="5:20">
      <c r="E46" s="929" t="s">
        <v>1776</v>
      </c>
      <c r="F46" s="929" t="s">
        <v>884</v>
      </c>
      <c r="G46" s="929" t="s">
        <v>1730</v>
      </c>
      <c r="H46" s="929">
        <v>335</v>
      </c>
      <c r="I46" s="929">
        <v>173</v>
      </c>
      <c r="J46" s="929" t="s">
        <v>1710</v>
      </c>
      <c r="K46" s="929" t="s">
        <v>1728</v>
      </c>
      <c r="L46" s="929" t="s">
        <v>1764</v>
      </c>
      <c r="M46" s="929" t="s">
        <v>1775</v>
      </c>
      <c r="N46" s="929">
        <v>15</v>
      </c>
      <c r="O46" s="185">
        <v>18.454999999999998</v>
      </c>
      <c r="P46" s="681"/>
      <c r="Q46" s="681"/>
      <c r="R46" s="2917"/>
      <c r="S46" s="2917"/>
    </row>
    <row r="47" spans="5:20">
      <c r="E47" s="929" t="s">
        <v>1777</v>
      </c>
      <c r="F47" s="929" t="s">
        <v>1434</v>
      </c>
      <c r="G47" s="929" t="s">
        <v>1732</v>
      </c>
      <c r="H47" s="929">
        <v>400</v>
      </c>
      <c r="I47" s="929">
        <v>184</v>
      </c>
      <c r="J47" s="929" t="s">
        <v>1733</v>
      </c>
      <c r="K47" s="929" t="s">
        <v>1734</v>
      </c>
      <c r="L47" s="929" t="s">
        <v>1778</v>
      </c>
      <c r="M47" s="929" t="s">
        <v>1779</v>
      </c>
      <c r="N47" s="929">
        <v>10</v>
      </c>
      <c r="O47" s="1683">
        <v>19.100000000000001</v>
      </c>
      <c r="P47" s="1442"/>
      <c r="Q47" s="1442"/>
      <c r="R47" s="1680"/>
      <c r="S47" s="1442"/>
    </row>
    <row r="48" spans="5:20">
      <c r="E48" s="929" t="s">
        <v>1780</v>
      </c>
      <c r="F48" s="929" t="s">
        <v>1736</v>
      </c>
      <c r="G48" s="929" t="s">
        <v>1737</v>
      </c>
      <c r="H48" s="929">
        <v>432</v>
      </c>
      <c r="I48" s="929">
        <v>221</v>
      </c>
      <c r="J48" s="929" t="s">
        <v>1733</v>
      </c>
      <c r="K48" s="929" t="s">
        <v>1734</v>
      </c>
      <c r="L48" s="929" t="s">
        <v>1778</v>
      </c>
      <c r="M48" s="929" t="s">
        <v>1779</v>
      </c>
      <c r="N48" s="929">
        <v>8</v>
      </c>
      <c r="O48" s="929">
        <v>16.78</v>
      </c>
    </row>
    <row r="49" spans="5:20">
      <c r="E49" s="929" t="s">
        <v>1781</v>
      </c>
      <c r="F49" s="929" t="s">
        <v>1435</v>
      </c>
      <c r="G49" s="929" t="s">
        <v>1739</v>
      </c>
      <c r="H49" s="929">
        <v>485</v>
      </c>
      <c r="I49" s="929">
        <v>254</v>
      </c>
      <c r="J49" s="929" t="s">
        <v>1733</v>
      </c>
      <c r="K49" s="929" t="s">
        <v>1734</v>
      </c>
      <c r="L49" s="929" t="s">
        <v>1778</v>
      </c>
      <c r="M49" s="929" t="s">
        <v>1779</v>
      </c>
      <c r="N49" s="929">
        <v>8</v>
      </c>
      <c r="O49" s="929">
        <v>19</v>
      </c>
      <c r="Q49" s="681"/>
      <c r="R49" s="681"/>
      <c r="S49" s="681"/>
      <c r="T49" s="699" t="s">
        <v>818</v>
      </c>
    </row>
    <row r="50" spans="5:20">
      <c r="E50" s="929" t="s">
        <v>1782</v>
      </c>
      <c r="F50" s="929" t="s">
        <v>1436</v>
      </c>
      <c r="G50" s="929" t="s">
        <v>1741</v>
      </c>
      <c r="H50" s="929">
        <v>572</v>
      </c>
      <c r="I50" s="929">
        <v>290</v>
      </c>
      <c r="J50" s="929" t="s">
        <v>1742</v>
      </c>
      <c r="K50" s="929" t="s">
        <v>1734</v>
      </c>
      <c r="L50" s="929" t="s">
        <v>1778</v>
      </c>
      <c r="M50" s="929" t="s">
        <v>1779</v>
      </c>
      <c r="N50" s="929">
        <v>5</v>
      </c>
      <c r="O50" s="929">
        <v>13.2</v>
      </c>
      <c r="P50" s="681"/>
      <c r="Q50" s="681"/>
      <c r="R50" s="681"/>
      <c r="S50" s="681"/>
      <c r="T50" s="700" t="s">
        <v>17</v>
      </c>
    </row>
    <row r="51" spans="5:20">
      <c r="E51" s="929" t="s">
        <v>1783</v>
      </c>
      <c r="F51" s="929" t="s">
        <v>1744</v>
      </c>
      <c r="G51" s="929" t="s">
        <v>1745</v>
      </c>
      <c r="H51" s="929">
        <v>624</v>
      </c>
      <c r="I51" s="929">
        <v>316</v>
      </c>
      <c r="J51" s="929" t="s">
        <v>1742</v>
      </c>
      <c r="K51" s="929" t="s">
        <v>1734</v>
      </c>
      <c r="L51" s="929" t="s">
        <v>1778</v>
      </c>
      <c r="M51" s="929" t="s">
        <v>1779</v>
      </c>
      <c r="N51" s="929">
        <v>5</v>
      </c>
      <c r="O51" s="929">
        <v>14.78</v>
      </c>
      <c r="P51" s="681"/>
      <c r="Q51" s="681"/>
      <c r="R51" s="681"/>
      <c r="S51" s="2917">
        <v>2025</v>
      </c>
      <c r="T51" s="2917"/>
    </row>
    <row r="52" spans="5:20">
      <c r="P52" s="681"/>
      <c r="Q52" s="681"/>
      <c r="R52" s="681"/>
      <c r="S52" s="2917"/>
      <c r="T52" s="2917"/>
    </row>
  </sheetData>
  <sheetProtection algorithmName="SHA-512" hashValue="YxsXXfzhgBom/8vCmTBCOAxz55S3kq39zKexd1Rhb4bV6yffRJbhReWrtrCrU1Y+suxSdHZ6hrOGx/IpRgspBg==" saltValue="uxTVESmi4wh39RcpmLz2HQ==" spinCount="100000" sheet="1" objects="1" selectLockedCells="1"/>
  <mergeCells count="4">
    <mergeCell ref="R46:S46"/>
    <mergeCell ref="S45:T45"/>
    <mergeCell ref="S52:T52"/>
    <mergeCell ref="S51:T5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879AD-1E1E-4CA8-8542-EBE146CA55A4}">
  <dimension ref="B1:R47"/>
  <sheetViews>
    <sheetView showGridLines="0" showRowColHeaders="0" zoomScale="86" zoomScaleNormal="86" workbookViewId="0">
      <selection activeCell="R30" sqref="R30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5.85546875" style="672" customWidth="1"/>
    <col min="5" max="5" width="11.42578125" style="672" bestFit="1" customWidth="1"/>
    <col min="6" max="6" width="8.85546875" style="672"/>
    <col min="7" max="7" width="13" style="672" customWidth="1"/>
    <col min="8" max="11" width="8.85546875" style="672"/>
    <col min="12" max="13" width="12.7109375" style="672" bestFit="1" customWidth="1"/>
    <col min="14" max="16384" width="8.85546875" style="672"/>
  </cols>
  <sheetData>
    <row r="1" spans="2:5">
      <c r="B1" s="673"/>
    </row>
    <row r="2" spans="2:5" ht="26.25">
      <c r="E2" s="1714" t="s">
        <v>1786</v>
      </c>
    </row>
    <row r="10" spans="2:5">
      <c r="B10" s="1681" t="s">
        <v>1513</v>
      </c>
      <c r="C10" s="1681" t="s">
        <v>1603</v>
      </c>
    </row>
    <row r="11" spans="2:5" ht="15.75" thickBot="1">
      <c r="B11" s="1682"/>
      <c r="C11" s="1682" t="s">
        <v>1602</v>
      </c>
    </row>
    <row r="12" spans="2:5" ht="15.75" thickBot="1">
      <c r="B12" s="1685" t="s">
        <v>1787</v>
      </c>
      <c r="C12" s="1686">
        <v>1.5</v>
      </c>
    </row>
    <row r="13" spans="2:5" ht="15.75" thickBot="1">
      <c r="B13" s="1685" t="s">
        <v>1788</v>
      </c>
      <c r="C13" s="1686">
        <v>3.9</v>
      </c>
    </row>
    <row r="14" spans="2:5" ht="15.75" thickBot="1">
      <c r="B14" s="1685" t="s">
        <v>1789</v>
      </c>
      <c r="C14" s="1686">
        <v>7.5</v>
      </c>
    </row>
    <row r="15" spans="2:5" ht="15.75" thickBot="1">
      <c r="B15" s="1685" t="s">
        <v>1790</v>
      </c>
      <c r="C15" s="1686">
        <v>13</v>
      </c>
    </row>
    <row r="16" spans="2:5">
      <c r="B16" s="1681" t="s">
        <v>1513</v>
      </c>
      <c r="C16" s="1681" t="s">
        <v>1601</v>
      </c>
    </row>
    <row r="17" spans="2:13" ht="15.75" thickBot="1">
      <c r="B17" s="1682"/>
      <c r="C17" s="1682" t="s">
        <v>1602</v>
      </c>
    </row>
    <row r="18" spans="2:13" ht="15.75" thickBot="1">
      <c r="B18" s="1685" t="s">
        <v>1791</v>
      </c>
      <c r="C18" s="1686">
        <v>6</v>
      </c>
    </row>
    <row r="19" spans="2:13" ht="15.75" thickBot="1">
      <c r="B19" s="1685" t="s">
        <v>1792</v>
      </c>
      <c r="C19" s="1686">
        <v>11</v>
      </c>
    </row>
    <row r="20" spans="2:13" ht="15.75" thickBot="1">
      <c r="B20" s="1685" t="s">
        <v>1793</v>
      </c>
      <c r="C20" s="1686">
        <v>16</v>
      </c>
    </row>
    <row r="21" spans="2:13" ht="15.75" thickBot="1">
      <c r="B21" s="1685" t="s">
        <v>1794</v>
      </c>
      <c r="C21" s="1686">
        <v>19</v>
      </c>
      <c r="E21" s="1675" t="s">
        <v>1520</v>
      </c>
      <c r="F21" s="1675" t="s">
        <v>1513</v>
      </c>
      <c r="G21" s="1675" t="s">
        <v>1797</v>
      </c>
      <c r="H21" s="1675" t="s">
        <v>1078</v>
      </c>
      <c r="I21" s="1675" t="s">
        <v>1522</v>
      </c>
      <c r="J21" s="1675" t="s">
        <v>1524</v>
      </c>
      <c r="K21" s="1675" t="s">
        <v>1798</v>
      </c>
      <c r="L21" s="1675" t="s">
        <v>1525</v>
      </c>
      <c r="M21" s="1675" t="s">
        <v>1526</v>
      </c>
    </row>
    <row r="22" spans="2:13" ht="15.75" thickBot="1">
      <c r="B22" s="1685" t="s">
        <v>1795</v>
      </c>
      <c r="C22" s="1686">
        <v>22</v>
      </c>
      <c r="E22" s="1675"/>
      <c r="F22" s="1675"/>
      <c r="G22" s="1675" t="s">
        <v>1527</v>
      </c>
      <c r="H22" s="1675" t="s">
        <v>1527</v>
      </c>
      <c r="I22" s="1675" t="s">
        <v>1527</v>
      </c>
      <c r="J22" s="1675" t="s">
        <v>1527</v>
      </c>
      <c r="K22" s="1675" t="s">
        <v>1527</v>
      </c>
      <c r="L22" s="1675"/>
      <c r="M22" s="1675" t="s">
        <v>1528</v>
      </c>
    </row>
    <row r="23" spans="2:13">
      <c r="B23" s="1687" t="s">
        <v>1796</v>
      </c>
      <c r="C23" s="1688">
        <v>30</v>
      </c>
    </row>
    <row r="24" spans="2:13">
      <c r="E24" s="1676" t="s">
        <v>1799</v>
      </c>
      <c r="F24" s="929" t="s">
        <v>195</v>
      </c>
      <c r="G24" s="1690" t="s">
        <v>1816</v>
      </c>
      <c r="H24" s="929">
        <v>51.5</v>
      </c>
      <c r="I24" s="929">
        <v>36.5</v>
      </c>
      <c r="J24" s="929" t="s">
        <v>1800</v>
      </c>
      <c r="K24" s="929">
        <v>10.5</v>
      </c>
      <c r="L24" s="929">
        <v>150</v>
      </c>
      <c r="M24" s="929">
        <v>5</v>
      </c>
    </row>
    <row r="25" spans="2:13">
      <c r="E25" s="672" t="s">
        <v>1801</v>
      </c>
      <c r="F25" s="672" t="s">
        <v>198</v>
      </c>
      <c r="G25" s="1423">
        <v>30</v>
      </c>
      <c r="H25" s="672">
        <v>53.5</v>
      </c>
      <c r="I25" s="672">
        <v>37.5</v>
      </c>
      <c r="J25" s="672" t="s">
        <v>1800</v>
      </c>
      <c r="K25" s="672">
        <v>10.5</v>
      </c>
      <c r="L25" s="672">
        <v>125</v>
      </c>
      <c r="M25" s="672">
        <v>4.45</v>
      </c>
    </row>
    <row r="26" spans="2:13">
      <c r="E26" s="929" t="s">
        <v>1802</v>
      </c>
      <c r="F26" s="929" t="s">
        <v>201</v>
      </c>
      <c r="G26" s="1691">
        <v>36</v>
      </c>
      <c r="H26" s="929">
        <v>65.5</v>
      </c>
      <c r="I26" s="929">
        <v>46.5</v>
      </c>
      <c r="J26" s="929" t="s">
        <v>1800</v>
      </c>
      <c r="K26" s="929">
        <v>10.5</v>
      </c>
      <c r="L26" s="929">
        <v>100</v>
      </c>
      <c r="M26" s="929">
        <v>4.07</v>
      </c>
    </row>
    <row r="27" spans="2:13">
      <c r="E27" s="672" t="s">
        <v>1803</v>
      </c>
      <c r="F27" s="672" t="s">
        <v>204</v>
      </c>
      <c r="G27" s="1423">
        <v>46</v>
      </c>
      <c r="H27" s="672">
        <v>79.900000000000006</v>
      </c>
      <c r="I27" s="672">
        <v>55.7</v>
      </c>
      <c r="J27" s="672" t="s">
        <v>1804</v>
      </c>
      <c r="K27" s="672">
        <v>10.5</v>
      </c>
      <c r="L27" s="672">
        <v>75</v>
      </c>
      <c r="M27" s="672">
        <v>4.3099999999999996</v>
      </c>
    </row>
    <row r="28" spans="2:13">
      <c r="E28" s="929" t="s">
        <v>1805</v>
      </c>
      <c r="F28" s="929" t="s">
        <v>206</v>
      </c>
      <c r="G28" s="1691">
        <v>52</v>
      </c>
      <c r="H28" s="929">
        <v>85.9</v>
      </c>
      <c r="I28" s="929">
        <v>58.7</v>
      </c>
      <c r="J28" s="929" t="s">
        <v>1804</v>
      </c>
      <c r="K28" s="929">
        <v>10.5</v>
      </c>
      <c r="L28" s="929">
        <v>60</v>
      </c>
      <c r="M28" s="929">
        <v>3.74</v>
      </c>
    </row>
    <row r="29" spans="2:13">
      <c r="E29" s="672" t="s">
        <v>1806</v>
      </c>
      <c r="F29" s="672" t="s">
        <v>209</v>
      </c>
      <c r="G29" s="1423">
        <v>66</v>
      </c>
      <c r="H29" s="672">
        <v>99.9</v>
      </c>
      <c r="I29" s="672">
        <v>65.7</v>
      </c>
      <c r="J29" s="672" t="s">
        <v>1804</v>
      </c>
      <c r="K29" s="672">
        <v>10.5</v>
      </c>
      <c r="L29" s="672">
        <v>50</v>
      </c>
      <c r="M29" s="672">
        <v>3.7</v>
      </c>
    </row>
    <row r="30" spans="2:13">
      <c r="E30" s="929" t="s">
        <v>1807</v>
      </c>
      <c r="F30" s="929" t="s">
        <v>212</v>
      </c>
      <c r="G30" s="1691">
        <v>78</v>
      </c>
      <c r="H30" s="929">
        <v>116</v>
      </c>
      <c r="I30" s="929">
        <v>75.5</v>
      </c>
      <c r="J30" s="929" t="s">
        <v>1559</v>
      </c>
      <c r="K30" s="929">
        <v>10.5</v>
      </c>
      <c r="L30" s="929">
        <v>35</v>
      </c>
      <c r="M30" s="929">
        <v>3.62</v>
      </c>
    </row>
    <row r="31" spans="2:13">
      <c r="E31" s="672" t="s">
        <v>1808</v>
      </c>
      <c r="F31" s="672" t="s">
        <v>225</v>
      </c>
      <c r="G31" s="1423">
        <v>92</v>
      </c>
      <c r="H31" s="672">
        <v>132</v>
      </c>
      <c r="I31" s="672">
        <v>84.5</v>
      </c>
      <c r="J31" s="672" t="s">
        <v>1559</v>
      </c>
      <c r="K31" s="672">
        <v>10.5</v>
      </c>
      <c r="L31" s="672">
        <v>25</v>
      </c>
      <c r="M31" s="672">
        <v>2.89</v>
      </c>
    </row>
    <row r="32" spans="2:13">
      <c r="E32" s="929" t="s">
        <v>1809</v>
      </c>
      <c r="F32" s="929" t="s">
        <v>870</v>
      </c>
      <c r="G32" s="1691">
        <v>116</v>
      </c>
      <c r="H32" s="929">
        <v>167.5</v>
      </c>
      <c r="I32" s="929">
        <v>107.5</v>
      </c>
      <c r="J32" s="929" t="s">
        <v>1579</v>
      </c>
      <c r="K32" s="929">
        <v>10.5</v>
      </c>
      <c r="L32" s="929">
        <v>30</v>
      </c>
      <c r="M32" s="929">
        <v>5.83</v>
      </c>
    </row>
    <row r="33" spans="5:18">
      <c r="E33" s="672" t="s">
        <v>1810</v>
      </c>
      <c r="F33" s="672" t="s">
        <v>871</v>
      </c>
      <c r="G33" s="1423">
        <v>142</v>
      </c>
      <c r="H33" s="672">
        <v>200</v>
      </c>
      <c r="I33" s="672">
        <v>126.5</v>
      </c>
      <c r="J33" s="672" t="s">
        <v>1811</v>
      </c>
      <c r="K33" s="672">
        <v>13</v>
      </c>
      <c r="L33" s="672">
        <v>30</v>
      </c>
      <c r="M33" s="672">
        <v>8.65</v>
      </c>
    </row>
    <row r="34" spans="5:18">
      <c r="E34" s="929" t="s">
        <v>1812</v>
      </c>
      <c r="F34" s="929" t="s">
        <v>872</v>
      </c>
      <c r="G34" s="1691">
        <v>170</v>
      </c>
      <c r="H34" s="929">
        <v>238</v>
      </c>
      <c r="I34" s="929">
        <v>150.5</v>
      </c>
      <c r="J34" s="929" t="s">
        <v>1811</v>
      </c>
      <c r="K34" s="929">
        <v>13</v>
      </c>
      <c r="L34" s="929">
        <v>30</v>
      </c>
      <c r="M34" s="929">
        <v>10.199999999999999</v>
      </c>
    </row>
    <row r="35" spans="5:18">
      <c r="E35" s="672" t="s">
        <v>1813</v>
      </c>
      <c r="F35" s="672" t="s">
        <v>873</v>
      </c>
      <c r="G35" s="1423">
        <v>222</v>
      </c>
      <c r="H35" s="672">
        <v>311.5</v>
      </c>
      <c r="I35" s="672">
        <v>197.5</v>
      </c>
      <c r="J35" s="672" t="s">
        <v>1711</v>
      </c>
      <c r="K35" s="672">
        <v>17</v>
      </c>
      <c r="L35" s="672">
        <v>10</v>
      </c>
      <c r="M35" s="672">
        <v>6.44</v>
      </c>
      <c r="Q35" s="681"/>
      <c r="R35" s="699" t="s">
        <v>818</v>
      </c>
    </row>
    <row r="36" spans="5:18">
      <c r="E36" s="929" t="s">
        <v>1814</v>
      </c>
      <c r="F36" s="929" t="s">
        <v>884</v>
      </c>
      <c r="G36" s="1691">
        <v>275</v>
      </c>
      <c r="H36" s="929">
        <v>384.5</v>
      </c>
      <c r="I36" s="929">
        <v>244</v>
      </c>
      <c r="J36" s="929" t="s">
        <v>1711</v>
      </c>
      <c r="K36" s="929">
        <v>17</v>
      </c>
      <c r="L36" s="929">
        <v>15</v>
      </c>
      <c r="M36" s="929">
        <v>11.82</v>
      </c>
      <c r="Q36" s="681"/>
      <c r="R36" s="700" t="s">
        <v>17</v>
      </c>
    </row>
    <row r="37" spans="5:18">
      <c r="E37" s="672" t="s">
        <v>1815</v>
      </c>
      <c r="F37" s="672" t="s">
        <v>1434</v>
      </c>
      <c r="G37" s="1423">
        <v>324</v>
      </c>
      <c r="H37" s="672">
        <v>470</v>
      </c>
      <c r="I37" s="672">
        <v>310</v>
      </c>
      <c r="J37" s="672" t="s">
        <v>1711</v>
      </c>
      <c r="K37" s="672">
        <v>17</v>
      </c>
      <c r="L37" s="672">
        <v>10</v>
      </c>
      <c r="M37" s="672">
        <v>9.4</v>
      </c>
      <c r="Q37" s="2917">
        <v>2026</v>
      </c>
      <c r="R37" s="2917"/>
    </row>
    <row r="43" spans="5:18">
      <c r="O43" s="681"/>
      <c r="P43" s="681"/>
      <c r="Q43" s="681"/>
      <c r="R43" s="699"/>
    </row>
    <row r="44" spans="5:18">
      <c r="M44" s="1442"/>
      <c r="N44" s="681"/>
      <c r="O44" s="681"/>
      <c r="P44" s="681"/>
      <c r="Q44" s="681"/>
      <c r="R44" s="700"/>
    </row>
    <row r="45" spans="5:18">
      <c r="M45" s="1442"/>
      <c r="N45" s="681"/>
      <c r="O45" s="681"/>
      <c r="P45" s="681"/>
      <c r="Q45" s="2917"/>
      <c r="R45" s="2917"/>
    </row>
    <row r="46" spans="5:18">
      <c r="M46" s="1442"/>
      <c r="N46" s="681"/>
      <c r="O46" s="681"/>
      <c r="P46" s="2917"/>
      <c r="Q46" s="2917"/>
    </row>
    <row r="47" spans="5:18">
      <c r="M47" s="1689"/>
      <c r="N47" s="1442"/>
      <c r="O47" s="1442"/>
      <c r="P47" s="1680"/>
      <c r="Q47" s="1442"/>
    </row>
  </sheetData>
  <sheetProtection algorithmName="SHA-512" hashValue="evVekYcLVQOfEC/oo2v0TQ983KvEQ+M5eO50magsT9302XfEDnwDqZk8VXfECl3OHsxjxc6/UxHeoMFvPf6WxA==" saltValue="Yz/I8bSUNGGe82xvlYBPAw==" spinCount="100000" sheet="1" objects="1" selectLockedCells="1"/>
  <mergeCells count="3">
    <mergeCell ref="Q45:R45"/>
    <mergeCell ref="P46:Q46"/>
    <mergeCell ref="Q37:R37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2FB7-627D-44A1-9571-C538E19D6CA8}">
  <dimension ref="B1:O47"/>
  <sheetViews>
    <sheetView showGridLines="0" showRowColHeaders="0" topLeftCell="A16" zoomScale="75" zoomScaleNormal="75" workbookViewId="0">
      <selection activeCell="E22" sqref="E22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5.85546875" style="672" customWidth="1"/>
    <col min="5" max="5" width="11.42578125" style="672" bestFit="1" customWidth="1"/>
    <col min="6" max="8" width="8.85546875" style="672"/>
    <col min="9" max="10" width="12.7109375" style="672" bestFit="1" customWidth="1"/>
    <col min="11" max="16384" width="8.85546875" style="672"/>
  </cols>
  <sheetData>
    <row r="1" spans="2:5">
      <c r="B1" s="673"/>
    </row>
    <row r="2" spans="2:5" ht="26.25">
      <c r="E2" s="1714" t="s">
        <v>1834</v>
      </c>
    </row>
    <row r="8" spans="2:5">
      <c r="B8" s="1675" t="s">
        <v>1513</v>
      </c>
      <c r="C8" s="1675" t="s">
        <v>1603</v>
      </c>
    </row>
    <row r="9" spans="2:5" ht="15.75" thickBot="1">
      <c r="B9" s="1675"/>
      <c r="C9" s="1675" t="s">
        <v>1602</v>
      </c>
    </row>
    <row r="10" spans="2:5" ht="15.75" thickBot="1">
      <c r="B10" s="1684" t="s">
        <v>1532</v>
      </c>
      <c r="C10" s="1684">
        <v>3</v>
      </c>
    </row>
    <row r="11" spans="2:5" ht="15.75" thickBot="1">
      <c r="B11" s="1684" t="s">
        <v>1560</v>
      </c>
      <c r="C11" s="1684">
        <v>4.5999999999999996</v>
      </c>
    </row>
    <row r="12" spans="2:5" ht="15.75" thickBot="1">
      <c r="B12" s="1684" t="s">
        <v>1593</v>
      </c>
      <c r="C12" s="1684">
        <v>6.7</v>
      </c>
    </row>
    <row r="13" spans="2:5" ht="15.75" thickBot="1">
      <c r="B13" s="1684" t="s">
        <v>1835</v>
      </c>
      <c r="C13" s="1684">
        <v>9</v>
      </c>
    </row>
    <row r="14" spans="2:5" ht="15.75" thickBot="1">
      <c r="B14" s="1684" t="s">
        <v>1712</v>
      </c>
      <c r="C14" s="1684">
        <v>12.5</v>
      </c>
    </row>
    <row r="15" spans="2:5" ht="15.75" thickBot="1">
      <c r="B15" s="1684" t="s">
        <v>1836</v>
      </c>
      <c r="C15" s="1684">
        <v>18</v>
      </c>
    </row>
    <row r="16" spans="2:5" ht="15.75" thickBot="1">
      <c r="B16" s="1684" t="s">
        <v>1837</v>
      </c>
      <c r="C16" s="1684">
        <v>19.600000000000001</v>
      </c>
    </row>
    <row r="17" spans="2:10" ht="15.75" thickBot="1">
      <c r="B17" s="1684" t="s">
        <v>1838</v>
      </c>
      <c r="C17" s="1684">
        <v>28.2</v>
      </c>
    </row>
    <row r="18" spans="2:10" ht="15.75" thickBot="1">
      <c r="B18" s="1684" t="s">
        <v>1839</v>
      </c>
      <c r="C18" s="1684">
        <v>40.4</v>
      </c>
    </row>
    <row r="19" spans="2:10">
      <c r="B19" s="1692"/>
      <c r="C19" s="1692"/>
    </row>
    <row r="20" spans="2:10">
      <c r="B20" s="1692"/>
      <c r="C20" s="1692"/>
    </row>
    <row r="21" spans="2:10">
      <c r="B21" s="1692"/>
      <c r="C21" s="1692"/>
      <c r="E21" s="1675" t="s">
        <v>1520</v>
      </c>
      <c r="F21" s="1675" t="s">
        <v>1513</v>
      </c>
      <c r="G21" s="1675" t="s">
        <v>1078</v>
      </c>
      <c r="H21" s="1255" t="s">
        <v>1523</v>
      </c>
      <c r="I21" s="1675" t="s">
        <v>1525</v>
      </c>
      <c r="J21" s="1675" t="s">
        <v>1526</v>
      </c>
    </row>
    <row r="22" spans="2:10">
      <c r="B22" s="1692"/>
      <c r="C22" s="1692"/>
      <c r="E22" s="1675"/>
      <c r="F22" s="1675"/>
      <c r="G22" s="1675" t="s">
        <v>1527</v>
      </c>
      <c r="H22" s="1675" t="s">
        <v>1527</v>
      </c>
      <c r="I22" s="1675"/>
      <c r="J22" s="1675" t="s">
        <v>1528</v>
      </c>
    </row>
    <row r="23" spans="2:10">
      <c r="B23" s="1692"/>
      <c r="C23" s="1692"/>
    </row>
    <row r="24" spans="2:10">
      <c r="E24" s="1676" t="s">
        <v>1840</v>
      </c>
      <c r="F24" s="929" t="s">
        <v>1841</v>
      </c>
      <c r="G24" s="929">
        <v>1000</v>
      </c>
      <c r="H24" s="929" t="s">
        <v>1558</v>
      </c>
      <c r="I24" s="929">
        <v>100</v>
      </c>
      <c r="J24" s="929">
        <v>17</v>
      </c>
    </row>
    <row r="25" spans="2:10">
      <c r="E25" s="672" t="s">
        <v>1842</v>
      </c>
      <c r="F25" s="672" t="s">
        <v>1843</v>
      </c>
      <c r="G25" s="672">
        <v>2000</v>
      </c>
      <c r="H25" s="672" t="s">
        <v>1558</v>
      </c>
      <c r="I25" s="672">
        <v>50</v>
      </c>
      <c r="J25" s="672">
        <v>17</v>
      </c>
    </row>
    <row r="26" spans="2:10">
      <c r="E26" s="929" t="s">
        <v>1844</v>
      </c>
      <c r="F26" s="929" t="s">
        <v>1845</v>
      </c>
      <c r="G26" s="929">
        <v>1000</v>
      </c>
      <c r="H26" s="929" t="s">
        <v>1532</v>
      </c>
      <c r="I26" s="929">
        <v>50</v>
      </c>
      <c r="J26" s="929">
        <v>15</v>
      </c>
    </row>
    <row r="27" spans="2:10">
      <c r="E27" s="672" t="s">
        <v>1846</v>
      </c>
      <c r="F27" s="672" t="s">
        <v>1847</v>
      </c>
      <c r="G27" s="672">
        <v>2000</v>
      </c>
      <c r="H27" s="672" t="s">
        <v>1532</v>
      </c>
      <c r="I27" s="672">
        <v>25</v>
      </c>
      <c r="J27" s="672">
        <v>15</v>
      </c>
    </row>
    <row r="28" spans="2:10">
      <c r="E28" s="929" t="s">
        <v>1848</v>
      </c>
      <c r="F28" s="929" t="s">
        <v>1849</v>
      </c>
      <c r="G28" s="929">
        <v>1000</v>
      </c>
      <c r="H28" s="929" t="s">
        <v>1560</v>
      </c>
      <c r="I28" s="929">
        <v>30</v>
      </c>
      <c r="J28" s="929">
        <v>14.4</v>
      </c>
    </row>
    <row r="29" spans="2:10">
      <c r="E29" s="672" t="s">
        <v>1850</v>
      </c>
      <c r="F29" s="672" t="s">
        <v>1851</v>
      </c>
      <c r="G29" s="672">
        <v>2000</v>
      </c>
      <c r="H29" s="672" t="s">
        <v>1560</v>
      </c>
      <c r="I29" s="672">
        <v>20</v>
      </c>
      <c r="J29" s="672">
        <v>19.2</v>
      </c>
    </row>
    <row r="30" spans="2:10">
      <c r="E30" s="929" t="s">
        <v>1852</v>
      </c>
      <c r="F30" s="929" t="s">
        <v>1853</v>
      </c>
      <c r="G30" s="929">
        <v>1000</v>
      </c>
      <c r="H30" s="929" t="s">
        <v>1593</v>
      </c>
      <c r="I30" s="929">
        <v>25</v>
      </c>
      <c r="J30" s="929">
        <v>17.5</v>
      </c>
    </row>
    <row r="31" spans="2:10">
      <c r="E31" s="672" t="s">
        <v>1854</v>
      </c>
      <c r="F31" s="672" t="s">
        <v>1855</v>
      </c>
      <c r="G31" s="672">
        <v>2000</v>
      </c>
      <c r="H31" s="672" t="s">
        <v>1593</v>
      </c>
      <c r="I31" s="672">
        <v>15</v>
      </c>
      <c r="J31" s="672">
        <v>21</v>
      </c>
    </row>
    <row r="32" spans="2:10">
      <c r="E32" s="929" t="s">
        <v>1856</v>
      </c>
      <c r="F32" s="929" t="s">
        <v>1857</v>
      </c>
      <c r="G32" s="929">
        <v>1000</v>
      </c>
      <c r="H32" s="929" t="s">
        <v>1835</v>
      </c>
      <c r="I32" s="929">
        <v>20</v>
      </c>
      <c r="J32" s="929">
        <v>19.600000000000001</v>
      </c>
    </row>
    <row r="33" spans="5:15">
      <c r="E33" s="672" t="s">
        <v>1858</v>
      </c>
      <c r="F33" s="672" t="s">
        <v>1859</v>
      </c>
      <c r="G33" s="672">
        <v>2000</v>
      </c>
      <c r="H33" s="672" t="s">
        <v>1835</v>
      </c>
      <c r="I33" s="672">
        <v>10</v>
      </c>
      <c r="J33" s="672">
        <v>19.600000000000001</v>
      </c>
    </row>
    <row r="34" spans="5:15">
      <c r="E34" s="929" t="s">
        <v>1860</v>
      </c>
      <c r="F34" s="929" t="s">
        <v>1861</v>
      </c>
      <c r="G34" s="929">
        <v>1000</v>
      </c>
      <c r="H34" s="929" t="s">
        <v>1712</v>
      </c>
      <c r="I34" s="929">
        <v>15</v>
      </c>
      <c r="J34" s="929">
        <v>19.5</v>
      </c>
      <c r="N34" s="681"/>
      <c r="O34" s="699"/>
    </row>
    <row r="35" spans="5:15">
      <c r="E35" s="672" t="s">
        <v>1862</v>
      </c>
      <c r="F35" s="672" t="s">
        <v>1863</v>
      </c>
      <c r="G35" s="672">
        <v>2000</v>
      </c>
      <c r="H35" s="672" t="s">
        <v>1712</v>
      </c>
      <c r="I35" s="672">
        <v>10</v>
      </c>
      <c r="J35" s="672">
        <v>26</v>
      </c>
      <c r="N35" s="681"/>
      <c r="O35" s="700"/>
    </row>
    <row r="36" spans="5:15">
      <c r="E36" s="929" t="s">
        <v>1864</v>
      </c>
      <c r="F36" s="929" t="s">
        <v>1865</v>
      </c>
      <c r="G36" s="929">
        <v>1000</v>
      </c>
      <c r="H36" s="929" t="s">
        <v>1836</v>
      </c>
      <c r="I36" s="929">
        <v>8</v>
      </c>
      <c r="J36" s="929">
        <v>12.8</v>
      </c>
      <c r="N36" s="2917"/>
      <c r="O36" s="2917"/>
    </row>
    <row r="37" spans="5:15">
      <c r="E37" s="672" t="s">
        <v>1866</v>
      </c>
      <c r="F37" s="672" t="s">
        <v>1867</v>
      </c>
      <c r="G37" s="672">
        <v>2000</v>
      </c>
      <c r="H37" s="672" t="s">
        <v>1836</v>
      </c>
      <c r="I37" s="672">
        <v>8</v>
      </c>
      <c r="J37" s="672">
        <v>25.6</v>
      </c>
    </row>
    <row r="38" spans="5:15">
      <c r="E38" s="929" t="s">
        <v>1868</v>
      </c>
      <c r="F38" s="929" t="s">
        <v>1869</v>
      </c>
      <c r="G38" s="929">
        <v>1000</v>
      </c>
      <c r="H38" s="929" t="s">
        <v>1837</v>
      </c>
      <c r="I38" s="929">
        <v>5</v>
      </c>
      <c r="J38" s="929">
        <v>12</v>
      </c>
    </row>
    <row r="39" spans="5:15">
      <c r="E39" s="672" t="s">
        <v>1870</v>
      </c>
      <c r="F39" s="672" t="s">
        <v>1871</v>
      </c>
      <c r="G39" s="672">
        <v>2000</v>
      </c>
      <c r="H39" s="672" t="s">
        <v>1837</v>
      </c>
      <c r="I39" s="672">
        <v>5</v>
      </c>
      <c r="J39" s="672">
        <v>24</v>
      </c>
    </row>
    <row r="40" spans="5:15">
      <c r="E40" s="929" t="s">
        <v>1872</v>
      </c>
      <c r="F40" s="929" t="s">
        <v>1873</v>
      </c>
      <c r="G40" s="929">
        <v>1000</v>
      </c>
      <c r="H40" s="929" t="s">
        <v>1874</v>
      </c>
      <c r="I40" s="929">
        <v>5</v>
      </c>
      <c r="J40" s="929">
        <v>12.4</v>
      </c>
    </row>
    <row r="41" spans="5:15">
      <c r="E41" s="672" t="s">
        <v>1875</v>
      </c>
      <c r="F41" s="672" t="s">
        <v>1876</v>
      </c>
      <c r="G41" s="672">
        <v>2000</v>
      </c>
      <c r="H41" s="672" t="s">
        <v>1874</v>
      </c>
      <c r="I41" s="672">
        <v>5</v>
      </c>
      <c r="J41" s="672">
        <v>24.8</v>
      </c>
    </row>
    <row r="42" spans="5:15">
      <c r="E42" s="929" t="s">
        <v>1877</v>
      </c>
      <c r="F42" s="929" t="s">
        <v>1878</v>
      </c>
      <c r="G42" s="929">
        <v>1000</v>
      </c>
      <c r="H42" s="929" t="s">
        <v>1838</v>
      </c>
      <c r="I42" s="929">
        <v>5</v>
      </c>
      <c r="J42" s="929">
        <v>14.25</v>
      </c>
    </row>
    <row r="43" spans="5:15">
      <c r="E43" s="672" t="s">
        <v>1879</v>
      </c>
      <c r="F43" s="672" t="s">
        <v>1880</v>
      </c>
      <c r="G43" s="672">
        <v>2000</v>
      </c>
      <c r="H43" s="672" t="s">
        <v>1838</v>
      </c>
      <c r="I43" s="672">
        <v>5</v>
      </c>
      <c r="J43" s="672">
        <v>28.5</v>
      </c>
      <c r="L43" s="681"/>
      <c r="M43" s="681"/>
      <c r="N43" s="681"/>
      <c r="O43" s="699"/>
    </row>
    <row r="44" spans="5:15">
      <c r="E44" s="929" t="s">
        <v>1881</v>
      </c>
      <c r="F44" s="929" t="s">
        <v>1882</v>
      </c>
      <c r="G44" s="929">
        <v>1000</v>
      </c>
      <c r="H44" s="929" t="s">
        <v>1883</v>
      </c>
      <c r="I44" s="929">
        <v>5</v>
      </c>
      <c r="J44" s="185">
        <v>19</v>
      </c>
      <c r="K44" s="681"/>
      <c r="L44" s="681"/>
      <c r="M44" s="681"/>
      <c r="N44" s="681"/>
      <c r="O44" s="700"/>
    </row>
    <row r="45" spans="5:15">
      <c r="E45" s="672" t="s">
        <v>1884</v>
      </c>
      <c r="F45" s="672" t="s">
        <v>1885</v>
      </c>
      <c r="G45" s="672">
        <v>2000</v>
      </c>
      <c r="H45" s="672" t="s">
        <v>1883</v>
      </c>
      <c r="I45" s="672">
        <v>5</v>
      </c>
      <c r="J45" s="1442">
        <v>38</v>
      </c>
      <c r="K45" s="681"/>
      <c r="N45" s="681"/>
      <c r="O45" s="699" t="s">
        <v>818</v>
      </c>
    </row>
    <row r="46" spans="5:15">
      <c r="E46" s="929" t="s">
        <v>1886</v>
      </c>
      <c r="F46" s="929" t="s">
        <v>1887</v>
      </c>
      <c r="G46" s="929">
        <v>1000</v>
      </c>
      <c r="H46" s="929" t="s">
        <v>1839</v>
      </c>
      <c r="I46" s="929">
        <v>5</v>
      </c>
      <c r="J46" s="185">
        <v>23</v>
      </c>
      <c r="K46" s="681"/>
      <c r="N46" s="681"/>
      <c r="O46" s="700" t="s">
        <v>17</v>
      </c>
    </row>
    <row r="47" spans="5:15">
      <c r="E47" s="672" t="s">
        <v>1888</v>
      </c>
      <c r="F47" s="672" t="s">
        <v>1889</v>
      </c>
      <c r="G47" s="672">
        <v>2000</v>
      </c>
      <c r="H47" s="672" t="s">
        <v>1839</v>
      </c>
      <c r="I47" s="672">
        <v>5</v>
      </c>
      <c r="J47" s="1689">
        <v>46</v>
      </c>
      <c r="K47" s="1442"/>
      <c r="N47" s="2917">
        <v>2026</v>
      </c>
      <c r="O47" s="2917"/>
    </row>
  </sheetData>
  <sheetProtection algorithmName="SHA-512" hashValue="qifZKciDvhJ0YwkPIrtgx6GBw3Ek6t6ZrthQSWYSp0s25udSchh4LWkwykD70TIgcMx18d2onWW4Taw3qR2Q9Q==" saltValue="y7TAAcisIZqb8Oo4P33iNg==" spinCount="100000" sheet="1" objects="1" selectLockedCells="1"/>
  <mergeCells count="2">
    <mergeCell ref="N36:O36"/>
    <mergeCell ref="N47:O47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5879F-3FF7-4E17-8736-0F462CFC9FF7}">
  <dimension ref="B1:AA48"/>
  <sheetViews>
    <sheetView showGridLines="0" showRowColHeaders="0" zoomScale="84" zoomScaleNormal="84" workbookViewId="0">
      <selection activeCell="V23" sqref="V23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5.85546875" style="672" customWidth="1"/>
    <col min="5" max="5" width="11.42578125" style="672" bestFit="1" customWidth="1"/>
    <col min="6" max="8" width="8.85546875" style="672"/>
    <col min="9" max="10" width="12.7109375" style="672" bestFit="1" customWidth="1"/>
    <col min="11" max="11" width="5.5703125" style="672" customWidth="1"/>
    <col min="12" max="12" width="13.28515625" style="672" customWidth="1"/>
    <col min="13" max="16384" width="8.85546875" style="672"/>
  </cols>
  <sheetData>
    <row r="1" spans="2:5">
      <c r="B1" s="673"/>
    </row>
    <row r="2" spans="2:5" ht="26.25">
      <c r="E2" s="1714" t="s">
        <v>1910</v>
      </c>
    </row>
    <row r="10" spans="2:5">
      <c r="B10" s="1692"/>
      <c r="C10" s="1692"/>
    </row>
    <row r="11" spans="2:5">
      <c r="B11" s="1692"/>
      <c r="C11" s="1692"/>
    </row>
    <row r="12" spans="2:5">
      <c r="B12" s="1692"/>
      <c r="C12" s="1692"/>
    </row>
    <row r="13" spans="2:5">
      <c r="B13" s="1692"/>
      <c r="C13" s="1692"/>
    </row>
    <row r="14" spans="2:5">
      <c r="B14" s="1692"/>
      <c r="C14" s="1692"/>
    </row>
    <row r="15" spans="2:5">
      <c r="B15" s="1692"/>
      <c r="C15" s="1692"/>
    </row>
    <row r="16" spans="2:5">
      <c r="B16" s="1692"/>
      <c r="C16" s="1692"/>
    </row>
    <row r="17" spans="2:14">
      <c r="B17" s="1692"/>
      <c r="C17" s="1692"/>
    </row>
    <row r="18" spans="2:14">
      <c r="B18" s="1692"/>
      <c r="C18" s="1692"/>
    </row>
    <row r="19" spans="2:14">
      <c r="B19" s="1692"/>
      <c r="C19" s="1692"/>
    </row>
    <row r="20" spans="2:14">
      <c r="B20" s="1692"/>
      <c r="C20" s="1692"/>
    </row>
    <row r="21" spans="2:14">
      <c r="B21" s="1692"/>
      <c r="C21" s="1692"/>
    </row>
    <row r="22" spans="2:14">
      <c r="B22" s="1692"/>
      <c r="C22" s="1692"/>
      <c r="E22" s="1675" t="s">
        <v>1520</v>
      </c>
      <c r="F22" s="1675" t="s">
        <v>1513</v>
      </c>
      <c r="G22" s="1675" t="s">
        <v>1797</v>
      </c>
      <c r="H22" s="1255" t="s">
        <v>1078</v>
      </c>
      <c r="I22" s="1675" t="s">
        <v>1073</v>
      </c>
      <c r="J22" s="1675" t="s">
        <v>1074</v>
      </c>
      <c r="K22" s="1675" t="s">
        <v>1523</v>
      </c>
      <c r="L22" s="1675" t="s">
        <v>1525</v>
      </c>
      <c r="M22" s="1675" t="s">
        <v>1526</v>
      </c>
      <c r="N22" s="1675"/>
    </row>
    <row r="23" spans="2:14">
      <c r="B23" s="1692"/>
      <c r="C23" s="1692"/>
      <c r="E23" s="1675"/>
      <c r="F23" s="1675"/>
      <c r="G23" s="1675" t="s">
        <v>1527</v>
      </c>
      <c r="H23" s="1675"/>
      <c r="I23" s="1675"/>
      <c r="J23" s="1675"/>
      <c r="K23" s="1675"/>
      <c r="L23" s="1675"/>
      <c r="M23" s="1675" t="s">
        <v>1528</v>
      </c>
      <c r="N23" s="1675"/>
    </row>
    <row r="24" spans="2:14">
      <c r="B24" s="1692"/>
      <c r="C24" s="1692"/>
    </row>
    <row r="25" spans="2:14">
      <c r="E25" s="1676" t="s">
        <v>1890</v>
      </c>
      <c r="F25" s="929" t="s">
        <v>195</v>
      </c>
      <c r="G25" s="929">
        <v>21.3</v>
      </c>
      <c r="H25" s="929">
        <v>50</v>
      </c>
      <c r="I25" s="929">
        <v>24</v>
      </c>
      <c r="J25" s="929">
        <v>30</v>
      </c>
      <c r="K25" s="929" t="s">
        <v>1558</v>
      </c>
      <c r="L25" s="1691">
        <v>500</v>
      </c>
      <c r="M25" s="1693">
        <v>9</v>
      </c>
      <c r="N25" s="929"/>
    </row>
    <row r="26" spans="2:14">
      <c r="E26" s="672" t="s">
        <v>1891</v>
      </c>
      <c r="F26" s="672" t="s">
        <v>198</v>
      </c>
      <c r="G26" s="672">
        <v>26.9</v>
      </c>
      <c r="H26" s="672">
        <v>60</v>
      </c>
      <c r="I26" s="672">
        <v>30</v>
      </c>
      <c r="J26" s="672">
        <v>30</v>
      </c>
      <c r="K26" s="672" t="s">
        <v>1558</v>
      </c>
      <c r="L26" s="1423">
        <v>500</v>
      </c>
      <c r="M26" s="674">
        <v>11</v>
      </c>
    </row>
    <row r="27" spans="2:14">
      <c r="E27" s="929" t="s">
        <v>1892</v>
      </c>
      <c r="F27" s="929" t="s">
        <v>201</v>
      </c>
      <c r="G27" s="929">
        <v>33.700000000000003</v>
      </c>
      <c r="H27" s="929">
        <v>70</v>
      </c>
      <c r="I27" s="929">
        <v>36</v>
      </c>
      <c r="J27" s="929">
        <v>30</v>
      </c>
      <c r="K27" s="929" t="s">
        <v>1532</v>
      </c>
      <c r="L27" s="1691">
        <v>500</v>
      </c>
      <c r="M27" s="1693">
        <v>23.5</v>
      </c>
      <c r="N27" s="929"/>
    </row>
    <row r="28" spans="2:14">
      <c r="E28" s="672" t="s">
        <v>1893</v>
      </c>
      <c r="F28" s="672" t="s">
        <v>204</v>
      </c>
      <c r="G28" s="672">
        <v>42.4</v>
      </c>
      <c r="H28" s="672">
        <v>80</v>
      </c>
      <c r="I28" s="672">
        <v>46</v>
      </c>
      <c r="J28" s="672">
        <v>40</v>
      </c>
      <c r="K28" s="672" t="s">
        <v>1532</v>
      </c>
      <c r="L28" s="1423">
        <v>250</v>
      </c>
      <c r="M28" s="674">
        <v>13.5</v>
      </c>
    </row>
    <row r="29" spans="2:14">
      <c r="E29" s="929" t="s">
        <v>1894</v>
      </c>
      <c r="F29" s="929" t="s">
        <v>206</v>
      </c>
      <c r="G29" s="929">
        <v>48.3</v>
      </c>
      <c r="H29" s="929">
        <v>90</v>
      </c>
      <c r="I29" s="929">
        <v>52</v>
      </c>
      <c r="J29" s="929">
        <v>50</v>
      </c>
      <c r="K29" s="929" t="s">
        <v>1532</v>
      </c>
      <c r="L29" s="1691">
        <v>200</v>
      </c>
      <c r="M29" s="1693">
        <v>12.4</v>
      </c>
      <c r="N29" s="929"/>
    </row>
    <row r="30" spans="2:14">
      <c r="E30" s="672" t="s">
        <v>1895</v>
      </c>
      <c r="F30" s="672" t="s">
        <v>209</v>
      </c>
      <c r="G30" s="672">
        <v>60.3</v>
      </c>
      <c r="H30" s="672">
        <v>100</v>
      </c>
      <c r="I30" s="672">
        <v>64</v>
      </c>
      <c r="J30" s="672">
        <v>50</v>
      </c>
      <c r="K30" s="672" t="s">
        <v>1560</v>
      </c>
      <c r="L30" s="1423">
        <v>150</v>
      </c>
      <c r="M30" s="674">
        <v>16.5</v>
      </c>
    </row>
    <row r="31" spans="2:14">
      <c r="E31" s="929" t="s">
        <v>1896</v>
      </c>
      <c r="F31" s="929" t="s">
        <v>212</v>
      </c>
      <c r="G31" s="929">
        <v>76.099999999999994</v>
      </c>
      <c r="H31" s="929">
        <v>120</v>
      </c>
      <c r="I31" s="929">
        <v>78</v>
      </c>
      <c r="J31" s="929">
        <v>50</v>
      </c>
      <c r="K31" s="929" t="s">
        <v>1560</v>
      </c>
      <c r="L31" s="1691">
        <v>75</v>
      </c>
      <c r="M31" s="1693">
        <v>10.050000000000001</v>
      </c>
      <c r="N31" s="929"/>
    </row>
    <row r="32" spans="2:14">
      <c r="E32" s="672" t="s">
        <v>1897</v>
      </c>
      <c r="F32" s="672" t="s">
        <v>225</v>
      </c>
      <c r="G32" s="672">
        <v>88.9</v>
      </c>
      <c r="H32" s="672">
        <v>140</v>
      </c>
      <c r="I32" s="672">
        <v>94</v>
      </c>
      <c r="J32" s="672">
        <v>60</v>
      </c>
      <c r="K32" s="672" t="s">
        <v>1593</v>
      </c>
      <c r="L32" s="1423">
        <v>50</v>
      </c>
      <c r="M32" s="674">
        <v>11.45</v>
      </c>
    </row>
    <row r="33" spans="5:27">
      <c r="E33" s="929" t="s">
        <v>1898</v>
      </c>
      <c r="F33" s="929" t="s">
        <v>1899</v>
      </c>
      <c r="G33" s="929">
        <v>101.6</v>
      </c>
      <c r="H33" s="929">
        <v>150</v>
      </c>
      <c r="I33" s="929">
        <v>106</v>
      </c>
      <c r="J33" s="929">
        <v>65</v>
      </c>
      <c r="K33" s="929" t="s">
        <v>1593</v>
      </c>
      <c r="L33" s="1691">
        <v>25</v>
      </c>
      <c r="M33" s="1693">
        <v>6.45</v>
      </c>
      <c r="N33" s="929"/>
    </row>
    <row r="34" spans="5:27">
      <c r="E34" s="672" t="s">
        <v>1900</v>
      </c>
      <c r="F34" s="672" t="s">
        <v>870</v>
      </c>
      <c r="G34" s="672">
        <v>114.3</v>
      </c>
      <c r="H34" s="672">
        <v>160</v>
      </c>
      <c r="I34" s="672">
        <v>118</v>
      </c>
      <c r="J34" s="672">
        <v>65</v>
      </c>
      <c r="K34" s="672" t="s">
        <v>1593</v>
      </c>
      <c r="L34" s="1423">
        <v>25</v>
      </c>
      <c r="M34" s="674">
        <v>6.6749999999999998</v>
      </c>
    </row>
    <row r="35" spans="5:27">
      <c r="E35" s="929" t="s">
        <v>1901</v>
      </c>
      <c r="F35" s="929" t="s">
        <v>871</v>
      </c>
      <c r="G35" s="929">
        <v>139.69999999999999</v>
      </c>
      <c r="H35" s="929">
        <v>200</v>
      </c>
      <c r="I35" s="929">
        <v>146</v>
      </c>
      <c r="J35" s="929">
        <v>65</v>
      </c>
      <c r="K35" s="929" t="s">
        <v>1593</v>
      </c>
      <c r="L35" s="1691">
        <v>25</v>
      </c>
      <c r="M35" s="1693">
        <v>8.35</v>
      </c>
      <c r="N35" s="723"/>
      <c r="O35" s="699"/>
      <c r="Z35" s="681"/>
      <c r="AA35" s="699"/>
    </row>
    <row r="36" spans="5:27">
      <c r="E36" s="672" t="s">
        <v>1902</v>
      </c>
      <c r="F36" s="672" t="s">
        <v>872</v>
      </c>
      <c r="G36" s="672">
        <v>165.3</v>
      </c>
      <c r="H36" s="672">
        <v>220</v>
      </c>
      <c r="I36" s="672">
        <v>172</v>
      </c>
      <c r="J36" s="672">
        <v>90</v>
      </c>
      <c r="K36" s="672" t="s">
        <v>1712</v>
      </c>
      <c r="L36" s="1423">
        <v>20</v>
      </c>
      <c r="M36" s="674">
        <v>13.78</v>
      </c>
      <c r="N36" s="681"/>
      <c r="O36" s="700"/>
      <c r="Z36" s="681"/>
      <c r="AA36" s="700"/>
    </row>
    <row r="37" spans="5:27">
      <c r="E37" s="929" t="s">
        <v>1903</v>
      </c>
      <c r="F37" s="929" t="s">
        <v>873</v>
      </c>
      <c r="G37" s="929">
        <v>219.1</v>
      </c>
      <c r="H37" s="929">
        <v>270</v>
      </c>
      <c r="I37" s="929">
        <v>224</v>
      </c>
      <c r="J37" s="929">
        <v>90</v>
      </c>
      <c r="K37" s="929" t="s">
        <v>1712</v>
      </c>
      <c r="L37" s="1691">
        <v>20</v>
      </c>
      <c r="M37" s="1693">
        <v>17.16</v>
      </c>
      <c r="N37" s="723"/>
      <c r="O37" s="700"/>
      <c r="Z37" s="2917"/>
      <c r="AA37" s="2917"/>
    </row>
    <row r="38" spans="5:27">
      <c r="E38" s="672" t="s">
        <v>1904</v>
      </c>
      <c r="F38" s="672" t="s">
        <v>884</v>
      </c>
      <c r="G38" s="672">
        <v>273</v>
      </c>
      <c r="H38" s="672">
        <v>334</v>
      </c>
      <c r="I38" s="672">
        <v>278</v>
      </c>
      <c r="J38" s="672">
        <v>100</v>
      </c>
      <c r="K38" s="672" t="s">
        <v>1712</v>
      </c>
      <c r="L38" s="1423">
        <v>10</v>
      </c>
      <c r="M38" s="674">
        <v>10.4</v>
      </c>
    </row>
    <row r="39" spans="5:27">
      <c r="E39" s="929" t="s">
        <v>1905</v>
      </c>
      <c r="F39" s="929" t="s">
        <v>1434</v>
      </c>
      <c r="G39" s="929">
        <v>324</v>
      </c>
      <c r="H39" s="929">
        <v>380</v>
      </c>
      <c r="I39" s="929">
        <v>328</v>
      </c>
      <c r="J39" s="929">
        <v>100</v>
      </c>
      <c r="K39" s="929" t="s">
        <v>1712</v>
      </c>
      <c r="L39" s="1691">
        <v>10</v>
      </c>
      <c r="M39" s="1693">
        <v>12.2</v>
      </c>
      <c r="N39" s="929"/>
    </row>
    <row r="40" spans="5:27">
      <c r="E40" s="672" t="s">
        <v>1906</v>
      </c>
      <c r="F40" s="672" t="s">
        <v>1736</v>
      </c>
      <c r="G40" s="672">
        <v>355.6</v>
      </c>
      <c r="H40" s="672">
        <v>413</v>
      </c>
      <c r="I40" s="672">
        <v>360</v>
      </c>
      <c r="J40" s="672">
        <v>100</v>
      </c>
      <c r="K40" s="672" t="s">
        <v>1836</v>
      </c>
      <c r="L40" s="1423">
        <v>5</v>
      </c>
      <c r="M40" s="674">
        <v>8.15</v>
      </c>
    </row>
    <row r="41" spans="5:27">
      <c r="E41" s="929" t="s">
        <v>1907</v>
      </c>
      <c r="F41" s="929" t="s">
        <v>1435</v>
      </c>
      <c r="G41" s="929">
        <v>406.4</v>
      </c>
      <c r="H41" s="929">
        <v>470</v>
      </c>
      <c r="I41" s="929">
        <v>412</v>
      </c>
      <c r="J41" s="929">
        <v>120</v>
      </c>
      <c r="K41" s="929" t="s">
        <v>1837</v>
      </c>
      <c r="L41" s="1691">
        <v>5</v>
      </c>
      <c r="M41" s="1693">
        <v>11.65</v>
      </c>
      <c r="N41" s="929"/>
      <c r="R41" s="681"/>
      <c r="S41" s="699" t="s">
        <v>818</v>
      </c>
    </row>
    <row r="42" spans="5:27">
      <c r="E42" s="672" t="s">
        <v>1908</v>
      </c>
      <c r="F42" s="672" t="s">
        <v>1436</v>
      </c>
      <c r="G42" s="672">
        <v>457</v>
      </c>
      <c r="H42" s="672">
        <v>520</v>
      </c>
      <c r="I42" s="672">
        <v>464</v>
      </c>
      <c r="J42" s="672">
        <v>120</v>
      </c>
      <c r="K42" s="672" t="s">
        <v>1837</v>
      </c>
      <c r="L42" s="1423">
        <v>2</v>
      </c>
      <c r="M42" s="674">
        <v>5.2</v>
      </c>
      <c r="R42" s="681"/>
      <c r="S42" s="700" t="s">
        <v>17</v>
      </c>
    </row>
    <row r="43" spans="5:27">
      <c r="E43" s="929" t="s">
        <v>1909</v>
      </c>
      <c r="F43" s="929" t="s">
        <v>1744</v>
      </c>
      <c r="G43" s="929">
        <v>508</v>
      </c>
      <c r="H43" s="929">
        <v>582</v>
      </c>
      <c r="I43" s="929">
        <v>514</v>
      </c>
      <c r="J43" s="929">
        <v>120</v>
      </c>
      <c r="K43" s="929" t="s">
        <v>1838</v>
      </c>
      <c r="L43" s="1691">
        <v>2</v>
      </c>
      <c r="M43" s="1693">
        <v>8.6</v>
      </c>
      <c r="N43" s="929"/>
      <c r="R43" s="2917">
        <v>2026</v>
      </c>
      <c r="S43" s="2917"/>
    </row>
    <row r="44" spans="5:27">
      <c r="L44" s="681"/>
      <c r="M44" s="681"/>
      <c r="N44" s="681"/>
      <c r="O44" s="699"/>
    </row>
    <row r="45" spans="5:27">
      <c r="J45" s="1442"/>
      <c r="K45" s="681"/>
      <c r="L45" s="681"/>
      <c r="M45" s="681"/>
      <c r="N45" s="681"/>
      <c r="O45" s="700"/>
    </row>
    <row r="46" spans="5:27">
      <c r="J46" s="1442"/>
      <c r="K46" s="681"/>
      <c r="N46" s="681"/>
      <c r="O46" s="699"/>
    </row>
    <row r="47" spans="5:27">
      <c r="J47" s="1442"/>
      <c r="K47" s="681"/>
      <c r="N47" s="681"/>
      <c r="O47" s="700"/>
    </row>
    <row r="48" spans="5:27">
      <c r="J48" s="1689"/>
      <c r="K48" s="1442"/>
      <c r="N48" s="2917"/>
      <c r="O48" s="2917"/>
    </row>
  </sheetData>
  <sheetProtection algorithmName="SHA-512" hashValue="CRo7N3gLO11wlu1VTDDJeDiy7ykOdqnxCio2em0JoIjVfBDqmC35RF5l4bh5lqJsQ1O87agIdhTJprHqNTkNxA==" saltValue="5MZSH4jL/CYw13+3+dXyEQ==" spinCount="100000" sheet="1" objects="1" selectLockedCells="1"/>
  <mergeCells count="3">
    <mergeCell ref="N48:O48"/>
    <mergeCell ref="Z37:AA37"/>
    <mergeCell ref="R43:S43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21EE-DA32-4366-B2E6-8C4B41B04F9E}">
  <dimension ref="B1:S47"/>
  <sheetViews>
    <sheetView showGridLines="0" showRowColHeaders="0" zoomScale="87" zoomScaleNormal="87" workbookViewId="0">
      <selection activeCell="V30" sqref="V30"/>
    </sheetView>
  </sheetViews>
  <sheetFormatPr defaultColWidth="8.85546875" defaultRowHeight="15"/>
  <cols>
    <col min="1" max="1" width="8.85546875" style="672"/>
    <col min="2" max="2" width="12.28515625" style="672" bestFit="1" customWidth="1"/>
    <col min="3" max="3" width="17.140625" style="672" bestFit="1" customWidth="1"/>
    <col min="4" max="4" width="17.140625" style="672" customWidth="1"/>
    <col min="5" max="5" width="5.85546875" style="672" customWidth="1"/>
    <col min="6" max="6" width="11.42578125" style="672" bestFit="1" customWidth="1"/>
    <col min="7" max="7" width="8.85546875" style="672"/>
    <col min="8" max="8" width="13" style="672" customWidth="1"/>
    <col min="9" max="12" width="8.85546875" style="672"/>
    <col min="13" max="14" width="12.7109375" style="672" bestFit="1" customWidth="1"/>
    <col min="15" max="16384" width="8.85546875" style="672"/>
  </cols>
  <sheetData>
    <row r="1" spans="2:6">
      <c r="B1" s="673"/>
    </row>
    <row r="2" spans="2:6" ht="26.25">
      <c r="F2" s="1714" t="s">
        <v>1833</v>
      </c>
    </row>
    <row r="8" spans="2:6">
      <c r="B8" s="1675" t="s">
        <v>1513</v>
      </c>
      <c r="C8" s="1675" t="s">
        <v>1603</v>
      </c>
      <c r="D8" s="1675" t="s">
        <v>1601</v>
      </c>
    </row>
    <row r="9" spans="2:6" ht="15.75" thickBot="1">
      <c r="B9" s="1675"/>
      <c r="C9" s="1675" t="s">
        <v>1602</v>
      </c>
      <c r="D9" s="1675" t="s">
        <v>1602</v>
      </c>
    </row>
    <row r="10" spans="2:6" ht="15.75" thickBot="1">
      <c r="B10" s="1684" t="s">
        <v>1787</v>
      </c>
      <c r="C10" s="1684">
        <v>1.5</v>
      </c>
      <c r="D10" s="1684">
        <v>14</v>
      </c>
    </row>
    <row r="11" spans="2:6" ht="15.75" thickBot="1">
      <c r="B11" s="1684" t="s">
        <v>1788</v>
      </c>
      <c r="C11" s="1684">
        <v>3.9</v>
      </c>
      <c r="D11" s="1684">
        <v>21</v>
      </c>
    </row>
    <row r="12" spans="2:6" ht="15.75" thickBot="1">
      <c r="B12" s="1684" t="s">
        <v>1789</v>
      </c>
      <c r="C12" s="1684">
        <v>7.5</v>
      </c>
      <c r="D12" s="1684">
        <v>25</v>
      </c>
    </row>
    <row r="13" spans="2:6" ht="15.75" thickBot="1">
      <c r="B13" s="1684" t="s">
        <v>1832</v>
      </c>
      <c r="C13" s="1684">
        <v>13</v>
      </c>
      <c r="D13" s="1684">
        <v>40</v>
      </c>
    </row>
    <row r="14" spans="2:6">
      <c r="B14" s="1692"/>
      <c r="C14" s="1692"/>
      <c r="D14" s="1692"/>
    </row>
    <row r="15" spans="2:6">
      <c r="B15" s="1692"/>
      <c r="C15" s="1692"/>
      <c r="D15" s="1692"/>
    </row>
    <row r="18" spans="2:14">
      <c r="B18" s="1692"/>
      <c r="C18" s="1692"/>
      <c r="D18" s="1692"/>
    </row>
    <row r="19" spans="2:14">
      <c r="B19" s="1692"/>
      <c r="C19" s="1692"/>
      <c r="D19" s="1692"/>
    </row>
    <row r="20" spans="2:14">
      <c r="B20" s="1692"/>
      <c r="C20" s="1692"/>
      <c r="D20" s="1692"/>
    </row>
    <row r="21" spans="2:14">
      <c r="B21" s="1692"/>
      <c r="C21" s="1692"/>
      <c r="D21" s="1692"/>
      <c r="F21" s="1675" t="s">
        <v>1520</v>
      </c>
      <c r="G21" s="1675" t="s">
        <v>1513</v>
      </c>
      <c r="H21" s="1675" t="s">
        <v>1797</v>
      </c>
      <c r="I21" s="1675" t="s">
        <v>1078</v>
      </c>
      <c r="J21" s="1675" t="s">
        <v>1522</v>
      </c>
      <c r="K21" s="1675" t="s">
        <v>1524</v>
      </c>
      <c r="L21" s="1675" t="s">
        <v>1798</v>
      </c>
      <c r="M21" s="1675" t="s">
        <v>1525</v>
      </c>
      <c r="N21" s="1675" t="s">
        <v>1526</v>
      </c>
    </row>
    <row r="22" spans="2:14">
      <c r="B22" s="1692"/>
      <c r="C22" s="1692"/>
      <c r="D22" s="1692"/>
      <c r="F22" s="1675"/>
      <c r="G22" s="1675"/>
      <c r="H22" s="1675" t="s">
        <v>1527</v>
      </c>
      <c r="I22" s="1675" t="s">
        <v>1527</v>
      </c>
      <c r="J22" s="1675" t="s">
        <v>1527</v>
      </c>
      <c r="K22" s="1675" t="s">
        <v>1527</v>
      </c>
      <c r="L22" s="1675" t="s">
        <v>1527</v>
      </c>
      <c r="M22" s="1675"/>
      <c r="N22" s="1675" t="s">
        <v>1528</v>
      </c>
    </row>
    <row r="23" spans="2:14">
      <c r="B23" s="1692"/>
      <c r="C23" s="1692"/>
      <c r="D23" s="1692"/>
    </row>
    <row r="24" spans="2:14">
      <c r="F24" s="1676" t="s">
        <v>1817</v>
      </c>
      <c r="G24" s="929" t="s">
        <v>195</v>
      </c>
      <c r="H24" s="1690" t="s">
        <v>1816</v>
      </c>
      <c r="I24" s="929">
        <v>63.5</v>
      </c>
      <c r="J24" s="929">
        <v>48</v>
      </c>
      <c r="K24" s="929" t="s">
        <v>1559</v>
      </c>
      <c r="L24" s="929">
        <v>10.5</v>
      </c>
      <c r="M24" s="929">
        <v>100</v>
      </c>
      <c r="N24" s="929">
        <v>5.97</v>
      </c>
    </row>
    <row r="25" spans="2:14">
      <c r="F25" s="672" t="s">
        <v>1818</v>
      </c>
      <c r="G25" s="672" t="s">
        <v>198</v>
      </c>
      <c r="H25" s="1423">
        <v>30</v>
      </c>
      <c r="I25" s="672">
        <v>66.5</v>
      </c>
      <c r="J25" s="672">
        <v>50</v>
      </c>
      <c r="K25" s="672" t="s">
        <v>1559</v>
      </c>
      <c r="L25" s="672">
        <v>10.5</v>
      </c>
      <c r="M25" s="672">
        <v>100</v>
      </c>
      <c r="N25" s="672">
        <v>6.42</v>
      </c>
    </row>
    <row r="26" spans="2:14">
      <c r="F26" s="929" t="s">
        <v>1819</v>
      </c>
      <c r="G26" s="929" t="s">
        <v>201</v>
      </c>
      <c r="H26" s="1691">
        <v>36</v>
      </c>
      <c r="I26" s="929">
        <v>78.5</v>
      </c>
      <c r="J26" s="929">
        <v>59</v>
      </c>
      <c r="K26" s="929" t="s">
        <v>1559</v>
      </c>
      <c r="L26" s="929">
        <v>10.5</v>
      </c>
      <c r="M26" s="929">
        <v>75</v>
      </c>
      <c r="N26" s="929">
        <v>5.32</v>
      </c>
    </row>
    <row r="27" spans="2:14">
      <c r="F27" s="672" t="s">
        <v>1820</v>
      </c>
      <c r="G27" s="672" t="s">
        <v>204</v>
      </c>
      <c r="H27" s="1423">
        <v>46</v>
      </c>
      <c r="I27" s="672">
        <v>87.5</v>
      </c>
      <c r="J27" s="672">
        <v>63</v>
      </c>
      <c r="K27" s="672" t="s">
        <v>1559</v>
      </c>
      <c r="L27" s="672">
        <v>10.5</v>
      </c>
      <c r="M27" s="672">
        <v>50</v>
      </c>
      <c r="N27" s="672">
        <v>4.1500000000000004</v>
      </c>
    </row>
    <row r="28" spans="2:14">
      <c r="F28" s="929" t="s">
        <v>1821</v>
      </c>
      <c r="G28" s="929" t="s">
        <v>206</v>
      </c>
      <c r="H28" s="1691">
        <v>52</v>
      </c>
      <c r="I28" s="929">
        <v>93.5</v>
      </c>
      <c r="J28" s="929">
        <v>66</v>
      </c>
      <c r="K28" s="929" t="s">
        <v>1559</v>
      </c>
      <c r="L28" s="929">
        <v>10.5</v>
      </c>
      <c r="M28" s="929">
        <v>50</v>
      </c>
      <c r="N28" s="929">
        <v>4.38</v>
      </c>
    </row>
    <row r="29" spans="2:14">
      <c r="F29" s="672" t="s">
        <v>1822</v>
      </c>
      <c r="G29" s="672" t="s">
        <v>209</v>
      </c>
      <c r="H29" s="1423">
        <v>66</v>
      </c>
      <c r="I29" s="672">
        <v>106.5</v>
      </c>
      <c r="J29" s="672">
        <v>72</v>
      </c>
      <c r="K29" s="672" t="s">
        <v>1559</v>
      </c>
      <c r="L29" s="672">
        <v>10.5</v>
      </c>
      <c r="M29" s="672">
        <v>40</v>
      </c>
      <c r="N29" s="672">
        <v>4.05</v>
      </c>
    </row>
    <row r="30" spans="2:14">
      <c r="F30" s="929" t="s">
        <v>1823</v>
      </c>
      <c r="G30" s="929" t="s">
        <v>212</v>
      </c>
      <c r="H30" s="1691">
        <v>78</v>
      </c>
      <c r="I30" s="929">
        <v>135.5</v>
      </c>
      <c r="J30" s="929">
        <v>94</v>
      </c>
      <c r="K30" s="929" t="s">
        <v>1811</v>
      </c>
      <c r="L30" s="929">
        <v>10.5</v>
      </c>
      <c r="M30" s="929">
        <v>30</v>
      </c>
      <c r="N30" s="929">
        <v>5.92</v>
      </c>
    </row>
    <row r="31" spans="2:14">
      <c r="F31" s="672" t="s">
        <v>1824</v>
      </c>
      <c r="G31" s="672" t="s">
        <v>225</v>
      </c>
      <c r="H31" s="1423">
        <v>92</v>
      </c>
      <c r="I31" s="672">
        <v>149.5</v>
      </c>
      <c r="J31" s="672">
        <v>101</v>
      </c>
      <c r="K31" s="672" t="s">
        <v>1811</v>
      </c>
      <c r="L31" s="672">
        <v>10.5</v>
      </c>
      <c r="M31" s="672">
        <v>25</v>
      </c>
      <c r="N31" s="672">
        <v>5.59</v>
      </c>
    </row>
    <row r="32" spans="2:14">
      <c r="F32" s="929" t="s">
        <v>1825</v>
      </c>
      <c r="G32" s="929" t="s">
        <v>870</v>
      </c>
      <c r="H32" s="1691">
        <v>116</v>
      </c>
      <c r="I32" s="929">
        <v>182.5</v>
      </c>
      <c r="J32" s="929">
        <v>122</v>
      </c>
      <c r="K32" s="929" t="s">
        <v>1811</v>
      </c>
      <c r="L32" s="929">
        <v>10.5</v>
      </c>
      <c r="M32" s="929">
        <v>30</v>
      </c>
      <c r="N32" s="929">
        <v>8.0500000000000007</v>
      </c>
    </row>
    <row r="33" spans="6:19">
      <c r="F33" s="672" t="s">
        <v>1826</v>
      </c>
      <c r="G33" s="672" t="s">
        <v>871</v>
      </c>
      <c r="H33" s="1423">
        <v>142</v>
      </c>
      <c r="I33" s="672">
        <v>225.5</v>
      </c>
      <c r="J33" s="672">
        <v>151.5</v>
      </c>
      <c r="K33" s="672" t="s">
        <v>1827</v>
      </c>
      <c r="L33" s="672">
        <v>13</v>
      </c>
      <c r="M33" s="672">
        <v>25</v>
      </c>
      <c r="N33" s="672">
        <v>9.68</v>
      </c>
    </row>
    <row r="34" spans="6:19">
      <c r="F34" s="929" t="s">
        <v>1828</v>
      </c>
      <c r="G34" s="929" t="s">
        <v>872</v>
      </c>
      <c r="H34" s="1691">
        <v>170</v>
      </c>
      <c r="I34" s="929">
        <v>264.5</v>
      </c>
      <c r="J34" s="929">
        <v>176.5</v>
      </c>
      <c r="K34" s="929" t="s">
        <v>1827</v>
      </c>
      <c r="L34" s="929">
        <v>13</v>
      </c>
      <c r="M34" s="929">
        <v>20</v>
      </c>
      <c r="N34" s="929">
        <v>8.94</v>
      </c>
      <c r="R34" s="681"/>
      <c r="S34" s="699" t="s">
        <v>818</v>
      </c>
    </row>
    <row r="35" spans="6:19">
      <c r="F35" s="672" t="s">
        <v>1829</v>
      </c>
      <c r="G35" s="672" t="s">
        <v>873</v>
      </c>
      <c r="H35" s="1423">
        <v>222</v>
      </c>
      <c r="I35" s="672">
        <v>340.5</v>
      </c>
      <c r="J35" s="672">
        <v>226.5</v>
      </c>
      <c r="K35" s="672" t="s">
        <v>1830</v>
      </c>
      <c r="L35" s="672">
        <v>17</v>
      </c>
      <c r="M35" s="672">
        <v>10</v>
      </c>
      <c r="N35" s="672">
        <v>14.3</v>
      </c>
      <c r="R35" s="681"/>
      <c r="S35" s="700" t="s">
        <v>17</v>
      </c>
    </row>
    <row r="36" spans="6:19">
      <c r="F36" s="929" t="s">
        <v>1831</v>
      </c>
      <c r="G36" s="929" t="s">
        <v>884</v>
      </c>
      <c r="H36" s="1691">
        <v>275</v>
      </c>
      <c r="I36" s="929">
        <v>426</v>
      </c>
      <c r="J36" s="929">
        <v>285.5</v>
      </c>
      <c r="K36" s="929" t="s">
        <v>1830</v>
      </c>
      <c r="L36" s="929">
        <v>17</v>
      </c>
      <c r="M36" s="929">
        <v>10</v>
      </c>
      <c r="N36" s="929">
        <v>12.25</v>
      </c>
      <c r="R36" s="2917">
        <v>2026</v>
      </c>
      <c r="S36" s="2917"/>
    </row>
    <row r="37" spans="6:19">
      <c r="H37" s="1423"/>
    </row>
    <row r="43" spans="6:19">
      <c r="P43" s="681"/>
      <c r="Q43" s="681"/>
      <c r="R43" s="681"/>
      <c r="S43" s="699"/>
    </row>
    <row r="44" spans="6:19">
      <c r="N44" s="1442"/>
      <c r="O44" s="681"/>
      <c r="P44" s="681"/>
      <c r="Q44" s="681"/>
      <c r="R44" s="681"/>
      <c r="S44" s="700"/>
    </row>
    <row r="45" spans="6:19">
      <c r="N45" s="1442"/>
      <c r="O45" s="681"/>
      <c r="P45" s="681"/>
      <c r="Q45" s="681"/>
      <c r="R45" s="2917"/>
      <c r="S45" s="2917"/>
    </row>
    <row r="46" spans="6:19">
      <c r="N46" s="1442"/>
      <c r="O46" s="681"/>
      <c r="P46" s="681"/>
      <c r="Q46" s="2917"/>
      <c r="R46" s="2917"/>
    </row>
    <row r="47" spans="6:19">
      <c r="N47" s="1689"/>
      <c r="O47" s="1442"/>
      <c r="P47" s="1442"/>
      <c r="Q47" s="1680"/>
      <c r="R47" s="1442"/>
    </row>
  </sheetData>
  <sheetProtection algorithmName="SHA-512" hashValue="DNoRQOUUha+sRZFHHz9u35OO+DcpB/vTKNBwuSNr6xahENMxv8xz4iMO/Ds5u8Hs65HrMy6W04FU+WYrSiPFOA==" saltValue="xjlPYKfEoZhFI+lqqV1Amw==" spinCount="100000" sheet="1" objects="1" selectLockedCells="1"/>
  <mergeCells count="3">
    <mergeCell ref="R45:S45"/>
    <mergeCell ref="Q46:R46"/>
    <mergeCell ref="R36:S36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AEBEC-040E-4E1A-BAD2-3E339C76D820}">
  <dimension ref="B1:S49"/>
  <sheetViews>
    <sheetView showGridLines="0" showRowColHeaders="0" topLeftCell="A19" zoomScale="86" zoomScaleNormal="86" workbookViewId="0">
      <selection activeCell="E24" sqref="E24"/>
    </sheetView>
  </sheetViews>
  <sheetFormatPr defaultColWidth="8.85546875" defaultRowHeight="15"/>
  <cols>
    <col min="1" max="1" width="8.85546875" style="672"/>
    <col min="2" max="2" width="11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4" width="12.7109375" style="672" bestFit="1" customWidth="1"/>
    <col min="15" max="16384" width="8.85546875" style="672"/>
  </cols>
  <sheetData>
    <row r="1" spans="2:5">
      <c r="B1" s="673"/>
    </row>
    <row r="2" spans="2:5" ht="26.25">
      <c r="E2" s="1714" t="s">
        <v>1648</v>
      </c>
    </row>
    <row r="10" spans="2:5">
      <c r="B10" s="1681" t="s">
        <v>1513</v>
      </c>
      <c r="C10" s="1681" t="s">
        <v>1601</v>
      </c>
      <c r="D10" s="1681" t="s">
        <v>1603</v>
      </c>
    </row>
    <row r="11" spans="2:5">
      <c r="B11" s="1682"/>
      <c r="C11" s="1682" t="s">
        <v>1602</v>
      </c>
      <c r="D11" s="1682" t="s">
        <v>1602</v>
      </c>
    </row>
    <row r="12" spans="2:5">
      <c r="B12" s="1675" t="s">
        <v>1516</v>
      </c>
      <c r="C12" s="1675">
        <v>3.9</v>
      </c>
      <c r="D12" s="1675">
        <v>1.3</v>
      </c>
    </row>
    <row r="13" spans="2:5">
      <c r="B13" s="1675" t="s">
        <v>1517</v>
      </c>
      <c r="C13" s="1675">
        <v>4.8</v>
      </c>
      <c r="D13" s="1675">
        <v>1.6</v>
      </c>
    </row>
    <row r="14" spans="2:5">
      <c r="B14" s="1675" t="s">
        <v>1518</v>
      </c>
      <c r="C14" s="1675">
        <v>6.9</v>
      </c>
      <c r="D14" s="1675">
        <v>2.2999999999999998</v>
      </c>
    </row>
    <row r="15" spans="2:5">
      <c r="B15" s="1675" t="s">
        <v>1577</v>
      </c>
      <c r="C15" s="1675">
        <v>7.8</v>
      </c>
      <c r="D15" s="1675">
        <v>2.6</v>
      </c>
    </row>
    <row r="23" spans="5:14">
      <c r="E23" s="1675" t="s">
        <v>1520</v>
      </c>
      <c r="F23" s="1675" t="s">
        <v>1513</v>
      </c>
      <c r="G23" s="1675" t="s">
        <v>1521</v>
      </c>
      <c r="H23" s="1675" t="s">
        <v>1078</v>
      </c>
      <c r="I23" s="1675" t="s">
        <v>1522</v>
      </c>
      <c r="J23" s="1675" t="s">
        <v>1523</v>
      </c>
      <c r="K23" s="1675" t="s">
        <v>1524</v>
      </c>
      <c r="L23" s="1675" t="s">
        <v>1375</v>
      </c>
      <c r="M23" s="1675" t="s">
        <v>1525</v>
      </c>
      <c r="N23" s="1675" t="s">
        <v>1526</v>
      </c>
    </row>
    <row r="24" spans="5:14">
      <c r="E24" s="1675"/>
      <c r="F24" s="1675"/>
      <c r="G24" s="1675" t="s">
        <v>1527</v>
      </c>
      <c r="H24" s="1675" t="s">
        <v>1527</v>
      </c>
      <c r="I24" s="1675" t="s">
        <v>1527</v>
      </c>
      <c r="J24" s="1675"/>
      <c r="K24" s="1675" t="s">
        <v>1527</v>
      </c>
      <c r="L24" s="1675"/>
      <c r="M24" s="1675"/>
      <c r="N24" s="1675" t="s">
        <v>1528</v>
      </c>
    </row>
    <row r="26" spans="5:14">
      <c r="E26" s="1676" t="s">
        <v>1628</v>
      </c>
      <c r="F26" s="929" t="s">
        <v>1629</v>
      </c>
      <c r="G26" s="1677" t="s">
        <v>1627</v>
      </c>
      <c r="H26" s="929">
        <v>52.1</v>
      </c>
      <c r="I26" s="929">
        <v>82</v>
      </c>
      <c r="J26" s="929" t="s">
        <v>1530</v>
      </c>
      <c r="K26" s="929" t="s">
        <v>1531</v>
      </c>
      <c r="L26" s="929" t="s">
        <v>1630</v>
      </c>
      <c r="M26" s="929">
        <v>200</v>
      </c>
      <c r="N26" s="929">
        <v>8.9700000000000006</v>
      </c>
    </row>
    <row r="27" spans="5:14">
      <c r="E27" s="929" t="s">
        <v>1631</v>
      </c>
      <c r="F27" s="929" t="s">
        <v>1534</v>
      </c>
      <c r="G27" s="929" t="s">
        <v>1535</v>
      </c>
      <c r="H27" s="929">
        <v>54.5</v>
      </c>
      <c r="I27" s="929">
        <v>84</v>
      </c>
      <c r="J27" s="929" t="s">
        <v>1530</v>
      </c>
      <c r="K27" s="929" t="s">
        <v>1531</v>
      </c>
      <c r="L27" s="929" t="s">
        <v>1630</v>
      </c>
      <c r="M27" s="929">
        <v>200</v>
      </c>
      <c r="N27" s="929">
        <v>9.4499999999999993</v>
      </c>
    </row>
    <row r="28" spans="5:14">
      <c r="E28" s="929" t="s">
        <v>1632</v>
      </c>
      <c r="F28" s="929" t="s">
        <v>1537</v>
      </c>
      <c r="G28" s="929" t="s">
        <v>1538</v>
      </c>
      <c r="H28" s="929">
        <v>58.5</v>
      </c>
      <c r="I28" s="929">
        <v>86</v>
      </c>
      <c r="J28" s="929" t="s">
        <v>1530</v>
      </c>
      <c r="K28" s="929" t="s">
        <v>1531</v>
      </c>
      <c r="L28" s="929" t="s">
        <v>1630</v>
      </c>
      <c r="M28" s="929">
        <v>150</v>
      </c>
      <c r="N28" s="929">
        <v>7.24</v>
      </c>
    </row>
    <row r="29" spans="5:14">
      <c r="E29" s="929" t="s">
        <v>1633</v>
      </c>
      <c r="F29" s="929" t="s">
        <v>195</v>
      </c>
      <c r="G29" s="929" t="s">
        <v>1540</v>
      </c>
      <c r="H29" s="929">
        <v>62.5</v>
      </c>
      <c r="I29" s="929">
        <v>88</v>
      </c>
      <c r="J29" s="929" t="s">
        <v>1530</v>
      </c>
      <c r="K29" s="929" t="s">
        <v>1531</v>
      </c>
      <c r="L29" s="929" t="s">
        <v>1630</v>
      </c>
      <c r="M29" s="929">
        <v>150</v>
      </c>
      <c r="N29" s="929">
        <v>7.71</v>
      </c>
    </row>
    <row r="30" spans="5:14">
      <c r="E30" s="929" t="s">
        <v>1634</v>
      </c>
      <c r="F30" s="929" t="s">
        <v>198</v>
      </c>
      <c r="G30" s="929" t="s">
        <v>1542</v>
      </c>
      <c r="H30" s="929">
        <v>68.5</v>
      </c>
      <c r="I30" s="929">
        <v>91</v>
      </c>
      <c r="J30" s="929" t="s">
        <v>1530</v>
      </c>
      <c r="K30" s="929" t="s">
        <v>1531</v>
      </c>
      <c r="L30" s="929" t="s">
        <v>1630</v>
      </c>
      <c r="M30" s="929">
        <v>125</v>
      </c>
      <c r="N30" s="929">
        <v>7</v>
      </c>
    </row>
    <row r="31" spans="5:14">
      <c r="E31" s="929" t="s">
        <v>1635</v>
      </c>
      <c r="F31" s="929" t="s">
        <v>201</v>
      </c>
      <c r="G31" s="929" t="s">
        <v>1544</v>
      </c>
      <c r="H31" s="929">
        <v>76</v>
      </c>
      <c r="I31" s="929">
        <v>94.5</v>
      </c>
      <c r="J31" s="929" t="s">
        <v>1530</v>
      </c>
      <c r="K31" s="929" t="s">
        <v>1531</v>
      </c>
      <c r="L31" s="929" t="s">
        <v>1630</v>
      </c>
      <c r="M31" s="929">
        <v>100</v>
      </c>
      <c r="N31" s="929">
        <v>6.2</v>
      </c>
    </row>
    <row r="32" spans="5:14">
      <c r="E32" s="929" t="s">
        <v>1636</v>
      </c>
      <c r="F32" s="929" t="s">
        <v>204</v>
      </c>
      <c r="G32" s="929" t="s">
        <v>1546</v>
      </c>
      <c r="H32" s="929">
        <v>91.5</v>
      </c>
      <c r="I32" s="929">
        <v>99</v>
      </c>
      <c r="J32" s="929" t="s">
        <v>1530</v>
      </c>
      <c r="K32" s="929" t="s">
        <v>1547</v>
      </c>
      <c r="L32" s="929" t="s">
        <v>1630</v>
      </c>
      <c r="M32" s="929">
        <v>75</v>
      </c>
      <c r="N32" s="929">
        <v>5.53</v>
      </c>
    </row>
    <row r="33" spans="5:19">
      <c r="E33" s="929" t="s">
        <v>1637</v>
      </c>
      <c r="F33" s="929" t="s">
        <v>206</v>
      </c>
      <c r="G33" s="929" t="s">
        <v>1549</v>
      </c>
      <c r="H33" s="929">
        <v>99</v>
      </c>
      <c r="I33" s="929">
        <v>102.5</v>
      </c>
      <c r="J33" s="929" t="s">
        <v>1530</v>
      </c>
      <c r="K33" s="929" t="s">
        <v>1547</v>
      </c>
      <c r="L33" s="929" t="s">
        <v>1630</v>
      </c>
      <c r="M33" s="929">
        <v>50</v>
      </c>
      <c r="N33" s="929">
        <v>4.2</v>
      </c>
    </row>
    <row r="34" spans="5:19">
      <c r="E34" s="672" t="s">
        <v>1638</v>
      </c>
      <c r="F34" s="672" t="s">
        <v>1551</v>
      </c>
      <c r="G34" s="672" t="s">
        <v>1552</v>
      </c>
      <c r="H34" s="672">
        <v>105</v>
      </c>
      <c r="I34" s="672">
        <v>105.5</v>
      </c>
      <c r="J34" s="672" t="s">
        <v>1530</v>
      </c>
      <c r="K34" s="672" t="s">
        <v>1547</v>
      </c>
      <c r="L34" s="672" t="s">
        <v>1630</v>
      </c>
      <c r="M34" s="672">
        <v>50</v>
      </c>
      <c r="N34" s="672">
        <v>4.46</v>
      </c>
    </row>
    <row r="35" spans="5:19">
      <c r="E35" s="929" t="s">
        <v>1639</v>
      </c>
      <c r="F35" s="929" t="s">
        <v>209</v>
      </c>
      <c r="G35" s="929" t="s">
        <v>1554</v>
      </c>
      <c r="H35" s="929">
        <v>112</v>
      </c>
      <c r="I35" s="929">
        <v>109</v>
      </c>
      <c r="J35" s="929" t="s">
        <v>1530</v>
      </c>
      <c r="K35" s="929" t="s">
        <v>1547</v>
      </c>
      <c r="L35" s="929" t="s">
        <v>1630</v>
      </c>
      <c r="M35" s="929">
        <v>50</v>
      </c>
      <c r="N35" s="929">
        <v>4.66</v>
      </c>
    </row>
    <row r="36" spans="5:19">
      <c r="E36" s="672" t="s">
        <v>1640</v>
      </c>
      <c r="F36" s="672" t="s">
        <v>1556</v>
      </c>
      <c r="G36" s="672" t="s">
        <v>1557</v>
      </c>
      <c r="H36" s="672">
        <v>126</v>
      </c>
      <c r="I36" s="672">
        <v>114</v>
      </c>
      <c r="J36" s="672" t="s">
        <v>1558</v>
      </c>
      <c r="K36" s="672" t="s">
        <v>1559</v>
      </c>
      <c r="L36" s="672" t="s">
        <v>1630</v>
      </c>
      <c r="M36" s="672">
        <v>20</v>
      </c>
      <c r="N36" s="672">
        <v>3.21</v>
      </c>
    </row>
    <row r="37" spans="5:19">
      <c r="E37" s="929" t="s">
        <v>1641</v>
      </c>
      <c r="F37" s="929" t="s">
        <v>212</v>
      </c>
      <c r="G37" s="929" t="s">
        <v>1562</v>
      </c>
      <c r="H37" s="929">
        <v>134</v>
      </c>
      <c r="I37" s="929">
        <v>118</v>
      </c>
      <c r="J37" s="929" t="s">
        <v>1558</v>
      </c>
      <c r="K37" s="929" t="s">
        <v>1559</v>
      </c>
      <c r="L37" s="929" t="s">
        <v>1630</v>
      </c>
      <c r="M37" s="929">
        <v>25</v>
      </c>
      <c r="N37" s="929">
        <v>3.87</v>
      </c>
    </row>
    <row r="38" spans="5:19">
      <c r="E38" s="672" t="s">
        <v>1642</v>
      </c>
      <c r="F38" s="672" t="s">
        <v>1564</v>
      </c>
      <c r="G38" s="672" t="s">
        <v>1565</v>
      </c>
      <c r="H38" s="672">
        <v>142</v>
      </c>
      <c r="I38" s="672">
        <v>122</v>
      </c>
      <c r="J38" s="672" t="s">
        <v>1558</v>
      </c>
      <c r="K38" s="672" t="s">
        <v>1559</v>
      </c>
      <c r="L38" s="672" t="s">
        <v>1630</v>
      </c>
      <c r="M38" s="672">
        <v>20</v>
      </c>
      <c r="N38" s="672">
        <v>3.6309999999999998</v>
      </c>
    </row>
    <row r="39" spans="5:19">
      <c r="E39" s="929" t="s">
        <v>1643</v>
      </c>
      <c r="F39" s="929" t="s">
        <v>225</v>
      </c>
      <c r="G39" s="929" t="s">
        <v>1567</v>
      </c>
      <c r="H39" s="929">
        <v>145</v>
      </c>
      <c r="I39" s="929">
        <v>123.5</v>
      </c>
      <c r="J39" s="929" t="s">
        <v>1558</v>
      </c>
      <c r="K39" s="929" t="s">
        <v>1559</v>
      </c>
      <c r="L39" s="929" t="s">
        <v>1630</v>
      </c>
      <c r="M39" s="929">
        <v>20</v>
      </c>
      <c r="N39" s="929">
        <v>3.37</v>
      </c>
    </row>
    <row r="40" spans="5:19">
      <c r="E40" s="672" t="s">
        <v>1644</v>
      </c>
      <c r="F40" s="672" t="s">
        <v>1569</v>
      </c>
      <c r="G40" s="672" t="s">
        <v>1570</v>
      </c>
      <c r="H40" s="672">
        <v>153</v>
      </c>
      <c r="I40" s="672">
        <v>127.5</v>
      </c>
      <c r="J40" s="672" t="s">
        <v>1558</v>
      </c>
      <c r="K40" s="672" t="s">
        <v>1559</v>
      </c>
      <c r="L40" s="672" t="s">
        <v>1630</v>
      </c>
      <c r="M40" s="672">
        <v>20</v>
      </c>
      <c r="N40" s="672">
        <v>3.927</v>
      </c>
    </row>
    <row r="41" spans="5:19">
      <c r="E41" s="672" t="s">
        <v>1645</v>
      </c>
      <c r="F41" s="672" t="s">
        <v>1572</v>
      </c>
      <c r="G41" s="672" t="s">
        <v>1573</v>
      </c>
      <c r="H41" s="672">
        <v>161</v>
      </c>
      <c r="I41" s="672">
        <v>131.5</v>
      </c>
      <c r="J41" s="672" t="s">
        <v>1558</v>
      </c>
      <c r="K41" s="672" t="s">
        <v>1559</v>
      </c>
      <c r="L41" s="672" t="s">
        <v>1630</v>
      </c>
      <c r="M41" s="672">
        <v>15</v>
      </c>
      <c r="N41" s="672">
        <v>2.94</v>
      </c>
      <c r="P41" s="681"/>
      <c r="Q41" s="681"/>
      <c r="R41" s="681"/>
      <c r="S41" s="699" t="s">
        <v>818</v>
      </c>
    </row>
    <row r="42" spans="5:19">
      <c r="E42" s="929" t="s">
        <v>1646</v>
      </c>
      <c r="F42" s="929" t="s">
        <v>870</v>
      </c>
      <c r="G42" s="929" t="s">
        <v>1575</v>
      </c>
      <c r="H42" s="929">
        <v>170</v>
      </c>
      <c r="I42" s="929">
        <v>136</v>
      </c>
      <c r="J42" s="929" t="s">
        <v>1558</v>
      </c>
      <c r="K42" s="929" t="s">
        <v>1559</v>
      </c>
      <c r="L42" s="929" t="s">
        <v>1630</v>
      </c>
      <c r="M42" s="929">
        <v>15</v>
      </c>
      <c r="N42" s="929">
        <v>3.05</v>
      </c>
      <c r="P42" s="681"/>
      <c r="Q42" s="681"/>
      <c r="R42" s="681"/>
      <c r="S42" s="700" t="s">
        <v>17</v>
      </c>
    </row>
    <row r="43" spans="5:19">
      <c r="E43" s="672" t="s">
        <v>1647</v>
      </c>
      <c r="F43" s="672" t="s">
        <v>1577</v>
      </c>
      <c r="G43" s="672" t="s">
        <v>1578</v>
      </c>
      <c r="H43" s="672">
        <v>184</v>
      </c>
      <c r="I43" s="672">
        <v>142.5</v>
      </c>
      <c r="J43" s="672" t="s">
        <v>1558</v>
      </c>
      <c r="K43" s="672" t="s">
        <v>1579</v>
      </c>
      <c r="L43" s="672" t="s">
        <v>1630</v>
      </c>
      <c r="M43" s="672">
        <v>15</v>
      </c>
      <c r="N43" s="672">
        <v>3.94</v>
      </c>
      <c r="P43" s="681"/>
      <c r="Q43" s="681"/>
      <c r="R43" s="2917">
        <v>2026</v>
      </c>
      <c r="S43" s="2917"/>
    </row>
    <row r="46" spans="5:19">
      <c r="O46" s="1442"/>
      <c r="P46" s="681"/>
      <c r="Q46" s="681"/>
      <c r="R46" s="681"/>
      <c r="S46" s="699"/>
    </row>
    <row r="47" spans="5:19">
      <c r="O47" s="1442"/>
      <c r="P47" s="681"/>
      <c r="Q47" s="681"/>
      <c r="R47" s="681"/>
      <c r="S47" s="700"/>
    </row>
    <row r="48" spans="5:19">
      <c r="O48" s="1442"/>
      <c r="P48" s="681"/>
      <c r="Q48" s="681"/>
      <c r="R48" s="2917"/>
      <c r="S48" s="2917"/>
    </row>
    <row r="49" spans="15:19">
      <c r="O49" s="1679"/>
      <c r="P49" s="1442"/>
      <c r="Q49" s="1442"/>
      <c r="R49" s="1680"/>
      <c r="S49" s="1442"/>
    </row>
  </sheetData>
  <sheetProtection algorithmName="SHA-512" hashValue="2nQ/Addi9SzAVFXXFOWnOuFbOKfEj8fxtvaUY7RExCF5AtTNapb6+oU/smVKc4iRc3MdxwZ1j93DQUbPGG9JJw==" saltValue="kNd+7TnRF14Loi17lnt4bg==" spinCount="100000" sheet="1" objects="1" selectLockedCells="1"/>
  <mergeCells count="2">
    <mergeCell ref="R48:S48"/>
    <mergeCell ref="R43:S4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B523-B989-44CC-924F-E05E33796BE8}">
  <dimension ref="B1:S49"/>
  <sheetViews>
    <sheetView showGridLines="0" showRowColHeaders="0" zoomScale="87" zoomScaleNormal="87" workbookViewId="0">
      <selection activeCell="V38" sqref="V38"/>
    </sheetView>
  </sheetViews>
  <sheetFormatPr defaultColWidth="8.85546875" defaultRowHeight="15"/>
  <cols>
    <col min="1" max="1" width="8.85546875" style="672"/>
    <col min="2" max="2" width="11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4" width="12.7109375" style="672" bestFit="1" customWidth="1"/>
    <col min="15" max="16384" width="8.85546875" style="672"/>
  </cols>
  <sheetData>
    <row r="1" spans="2:5">
      <c r="B1" s="673"/>
    </row>
    <row r="2" spans="2:5" ht="26.25">
      <c r="E2" s="1714" t="s">
        <v>1649</v>
      </c>
    </row>
    <row r="10" spans="2:5">
      <c r="B10" s="1681" t="s">
        <v>1513</v>
      </c>
      <c r="C10" s="1681" t="s">
        <v>1601</v>
      </c>
      <c r="D10" s="1681" t="s">
        <v>1603</v>
      </c>
    </row>
    <row r="11" spans="2:5">
      <c r="B11" s="1682"/>
      <c r="C11" s="1682" t="s">
        <v>1602</v>
      </c>
      <c r="D11" s="1682" t="s">
        <v>1602</v>
      </c>
    </row>
    <row r="12" spans="2:5">
      <c r="B12" s="1675" t="s">
        <v>1516</v>
      </c>
      <c r="C12" s="1675">
        <v>3.9</v>
      </c>
      <c r="D12" s="1675">
        <v>1.3</v>
      </c>
    </row>
    <row r="13" spans="2:5">
      <c r="B13" s="1675" t="s">
        <v>1517</v>
      </c>
      <c r="C13" s="1675">
        <v>4.8</v>
      </c>
      <c r="D13" s="1675">
        <v>1.6</v>
      </c>
    </row>
    <row r="14" spans="2:5">
      <c r="B14" s="1675" t="s">
        <v>1518</v>
      </c>
      <c r="C14" s="1675">
        <v>6.9</v>
      </c>
      <c r="D14" s="1675">
        <v>2.2999999999999998</v>
      </c>
    </row>
    <row r="15" spans="2:5">
      <c r="B15" s="1675" t="s">
        <v>1577</v>
      </c>
      <c r="C15" s="1675">
        <v>7.8</v>
      </c>
      <c r="D15" s="1675">
        <v>2.6</v>
      </c>
    </row>
    <row r="23" spans="5:14">
      <c r="E23" s="1675" t="s">
        <v>1520</v>
      </c>
      <c r="F23" s="1675" t="s">
        <v>1513</v>
      </c>
      <c r="G23" s="1675" t="s">
        <v>1521</v>
      </c>
      <c r="H23" s="1675" t="s">
        <v>1078</v>
      </c>
      <c r="I23" s="1675" t="s">
        <v>1522</v>
      </c>
      <c r="J23" s="1675" t="s">
        <v>1523</v>
      </c>
      <c r="K23" s="1675" t="s">
        <v>1524</v>
      </c>
      <c r="L23" s="1675" t="s">
        <v>1375</v>
      </c>
      <c r="M23" s="1675" t="s">
        <v>1525</v>
      </c>
      <c r="N23" s="1675" t="s">
        <v>1526</v>
      </c>
    </row>
    <row r="24" spans="5:14">
      <c r="E24" s="1675"/>
      <c r="F24" s="1675"/>
      <c r="G24" s="1675" t="s">
        <v>1527</v>
      </c>
      <c r="H24" s="1675" t="s">
        <v>1527</v>
      </c>
      <c r="I24" s="1675" t="s">
        <v>1527</v>
      </c>
      <c r="J24" s="1675"/>
      <c r="K24" s="1675" t="s">
        <v>1527</v>
      </c>
      <c r="L24" s="1675"/>
      <c r="M24" s="1675"/>
      <c r="N24" s="1675" t="s">
        <v>1528</v>
      </c>
    </row>
    <row r="26" spans="5:14">
      <c r="E26" s="1676" t="s">
        <v>1650</v>
      </c>
      <c r="F26" s="929" t="s">
        <v>1629</v>
      </c>
      <c r="G26" s="1677" t="s">
        <v>1627</v>
      </c>
      <c r="H26" s="929">
        <v>52.1</v>
      </c>
      <c r="I26" s="929">
        <v>114</v>
      </c>
      <c r="J26" s="929" t="s">
        <v>1530</v>
      </c>
      <c r="K26" s="929" t="s">
        <v>1531</v>
      </c>
      <c r="L26" s="929" t="s">
        <v>1651</v>
      </c>
      <c r="M26" s="929">
        <v>150</v>
      </c>
      <c r="N26" s="929">
        <v>7.8</v>
      </c>
    </row>
    <row r="27" spans="5:14">
      <c r="E27" s="929" t="s">
        <v>1652</v>
      </c>
      <c r="F27" s="929" t="s">
        <v>1534</v>
      </c>
      <c r="G27" s="929" t="s">
        <v>1535</v>
      </c>
      <c r="H27" s="929">
        <v>54.5</v>
      </c>
      <c r="I27" s="929">
        <v>114</v>
      </c>
      <c r="J27" s="929" t="s">
        <v>1530</v>
      </c>
      <c r="K27" s="929" t="s">
        <v>1531</v>
      </c>
      <c r="L27" s="929" t="s">
        <v>1651</v>
      </c>
      <c r="M27" s="929">
        <v>150</v>
      </c>
      <c r="N27" s="929">
        <v>7.7069999999999999</v>
      </c>
    </row>
    <row r="28" spans="5:14">
      <c r="E28" s="929" t="s">
        <v>1653</v>
      </c>
      <c r="F28" s="929" t="s">
        <v>1537</v>
      </c>
      <c r="G28" s="929" t="s">
        <v>1538</v>
      </c>
      <c r="H28" s="929">
        <v>58.5</v>
      </c>
      <c r="I28" s="929">
        <v>116</v>
      </c>
      <c r="J28" s="929" t="s">
        <v>1530</v>
      </c>
      <c r="K28" s="929" t="s">
        <v>1531</v>
      </c>
      <c r="L28" s="929" t="s">
        <v>1651</v>
      </c>
      <c r="M28" s="929">
        <v>150</v>
      </c>
      <c r="N28" s="929">
        <v>8.1690000000000005</v>
      </c>
    </row>
    <row r="29" spans="5:14">
      <c r="E29" s="929" t="s">
        <v>1654</v>
      </c>
      <c r="F29" s="929" t="s">
        <v>195</v>
      </c>
      <c r="G29" s="929" t="s">
        <v>1540</v>
      </c>
      <c r="H29" s="929">
        <v>62.5</v>
      </c>
      <c r="I29" s="929">
        <v>118</v>
      </c>
      <c r="J29" s="929" t="s">
        <v>1530</v>
      </c>
      <c r="K29" s="929" t="s">
        <v>1531</v>
      </c>
      <c r="L29" s="929" t="s">
        <v>1651</v>
      </c>
      <c r="M29" s="929">
        <v>150</v>
      </c>
      <c r="N29" s="929">
        <v>8.65</v>
      </c>
    </row>
    <row r="30" spans="5:14">
      <c r="E30" s="929" t="s">
        <v>1655</v>
      </c>
      <c r="F30" s="929" t="s">
        <v>198</v>
      </c>
      <c r="G30" s="929" t="s">
        <v>1542</v>
      </c>
      <c r="H30" s="929">
        <v>68.5</v>
      </c>
      <c r="I30" s="929">
        <v>121</v>
      </c>
      <c r="J30" s="929" t="s">
        <v>1530</v>
      </c>
      <c r="K30" s="929" t="s">
        <v>1531</v>
      </c>
      <c r="L30" s="929" t="s">
        <v>1651</v>
      </c>
      <c r="M30" s="929">
        <v>100</v>
      </c>
      <c r="N30" s="929">
        <v>6.4</v>
      </c>
    </row>
    <row r="31" spans="5:14">
      <c r="E31" s="929" t="s">
        <v>1656</v>
      </c>
      <c r="F31" s="929" t="s">
        <v>201</v>
      </c>
      <c r="G31" s="929" t="s">
        <v>1544</v>
      </c>
      <c r="H31" s="929">
        <v>76</v>
      </c>
      <c r="I31" s="929">
        <v>124.5</v>
      </c>
      <c r="J31" s="929" t="s">
        <v>1530</v>
      </c>
      <c r="K31" s="929" t="s">
        <v>1531</v>
      </c>
      <c r="L31" s="929" t="s">
        <v>1651</v>
      </c>
      <c r="M31" s="929">
        <v>75</v>
      </c>
      <c r="N31" s="929">
        <v>5.21</v>
      </c>
    </row>
    <row r="32" spans="5:14">
      <c r="E32" s="929" t="s">
        <v>1657</v>
      </c>
      <c r="F32" s="929" t="s">
        <v>204</v>
      </c>
      <c r="G32" s="929" t="s">
        <v>1546</v>
      </c>
      <c r="H32" s="929">
        <v>91.5</v>
      </c>
      <c r="I32" s="929">
        <v>129</v>
      </c>
      <c r="J32" s="929" t="s">
        <v>1530</v>
      </c>
      <c r="K32" s="929" t="s">
        <v>1547</v>
      </c>
      <c r="L32" s="929" t="s">
        <v>1651</v>
      </c>
      <c r="M32" s="929">
        <v>50</v>
      </c>
      <c r="N32" s="929">
        <v>4.1500000000000004</v>
      </c>
    </row>
    <row r="33" spans="5:19">
      <c r="E33" s="929" t="s">
        <v>1658</v>
      </c>
      <c r="F33" s="929" t="s">
        <v>206</v>
      </c>
      <c r="G33" s="929" t="s">
        <v>1549</v>
      </c>
      <c r="H33" s="929">
        <v>99</v>
      </c>
      <c r="I33" s="929">
        <v>132.5</v>
      </c>
      <c r="J33" s="929" t="s">
        <v>1530</v>
      </c>
      <c r="K33" s="929" t="s">
        <v>1547</v>
      </c>
      <c r="L33" s="929" t="s">
        <v>1651</v>
      </c>
      <c r="M33" s="929">
        <v>50</v>
      </c>
      <c r="N33" s="929">
        <v>4.58</v>
      </c>
    </row>
    <row r="34" spans="5:19">
      <c r="E34" s="672" t="s">
        <v>1659</v>
      </c>
      <c r="F34" s="672" t="s">
        <v>1551</v>
      </c>
      <c r="G34" s="672" t="s">
        <v>1552</v>
      </c>
      <c r="H34" s="672">
        <v>105</v>
      </c>
      <c r="I34" s="672">
        <v>135.5</v>
      </c>
      <c r="J34" s="672" t="s">
        <v>1530</v>
      </c>
      <c r="K34" s="672" t="s">
        <v>1547</v>
      </c>
      <c r="L34" s="672" t="s">
        <v>1651</v>
      </c>
      <c r="M34" s="672">
        <v>50</v>
      </c>
      <c r="N34" s="672">
        <v>4.96</v>
      </c>
    </row>
    <row r="35" spans="5:19">
      <c r="E35" s="929" t="s">
        <v>1660</v>
      </c>
      <c r="F35" s="929" t="s">
        <v>209</v>
      </c>
      <c r="G35" s="929" t="s">
        <v>1554</v>
      </c>
      <c r="H35" s="929">
        <v>112</v>
      </c>
      <c r="I35" s="929">
        <v>139</v>
      </c>
      <c r="J35" s="929" t="s">
        <v>1530</v>
      </c>
      <c r="K35" s="929" t="s">
        <v>1547</v>
      </c>
      <c r="L35" s="929" t="s">
        <v>1651</v>
      </c>
      <c r="M35" s="929">
        <v>40</v>
      </c>
      <c r="N35" s="929">
        <v>4.0999999999999996</v>
      </c>
    </row>
    <row r="36" spans="5:19">
      <c r="E36" s="672" t="s">
        <v>1661</v>
      </c>
      <c r="F36" s="672" t="s">
        <v>1556</v>
      </c>
      <c r="G36" s="672" t="s">
        <v>1557</v>
      </c>
      <c r="H36" s="672">
        <v>126</v>
      </c>
      <c r="I36" s="672">
        <v>144</v>
      </c>
      <c r="J36" s="672" t="s">
        <v>1558</v>
      </c>
      <c r="K36" s="672" t="s">
        <v>1559</v>
      </c>
      <c r="L36" s="672" t="s">
        <v>1651</v>
      </c>
      <c r="M36" s="672">
        <v>25</v>
      </c>
      <c r="N36" s="672">
        <v>4.1020000000000003</v>
      </c>
    </row>
    <row r="37" spans="5:19">
      <c r="E37" s="929" t="s">
        <v>1662</v>
      </c>
      <c r="F37" s="929" t="s">
        <v>212</v>
      </c>
      <c r="G37" s="929" t="s">
        <v>1562</v>
      </c>
      <c r="H37" s="929">
        <v>134</v>
      </c>
      <c r="I37" s="929">
        <v>148</v>
      </c>
      <c r="J37" s="929" t="s">
        <v>1558</v>
      </c>
      <c r="K37" s="929" t="s">
        <v>1559</v>
      </c>
      <c r="L37" s="929" t="s">
        <v>1651</v>
      </c>
      <c r="M37" s="929">
        <v>20</v>
      </c>
      <c r="N37" s="929">
        <v>3.28</v>
      </c>
    </row>
    <row r="38" spans="5:19">
      <c r="E38" s="672" t="s">
        <v>1663</v>
      </c>
      <c r="F38" s="672" t="s">
        <v>1564</v>
      </c>
      <c r="G38" s="672" t="s">
        <v>1565</v>
      </c>
      <c r="H38" s="672">
        <v>142</v>
      </c>
      <c r="I38" s="672">
        <v>152</v>
      </c>
      <c r="J38" s="672" t="s">
        <v>1558</v>
      </c>
      <c r="K38" s="672" t="s">
        <v>1559</v>
      </c>
      <c r="L38" s="672" t="s">
        <v>1651</v>
      </c>
      <c r="M38" s="672">
        <v>20</v>
      </c>
      <c r="N38" s="672">
        <v>3.7650000000000001</v>
      </c>
    </row>
    <row r="39" spans="5:19">
      <c r="E39" s="929" t="s">
        <v>1664</v>
      </c>
      <c r="F39" s="929" t="s">
        <v>225</v>
      </c>
      <c r="G39" s="929" t="s">
        <v>1567</v>
      </c>
      <c r="H39" s="929">
        <v>145</v>
      </c>
      <c r="I39" s="929">
        <v>153.5</v>
      </c>
      <c r="J39" s="929" t="s">
        <v>1558</v>
      </c>
      <c r="K39" s="929" t="s">
        <v>1559</v>
      </c>
      <c r="L39" s="929" t="s">
        <v>1651</v>
      </c>
      <c r="M39" s="929">
        <v>20</v>
      </c>
      <c r="N39" s="929">
        <v>3.6</v>
      </c>
    </row>
    <row r="40" spans="5:19">
      <c r="E40" s="672" t="s">
        <v>1665</v>
      </c>
      <c r="F40" s="672" t="s">
        <v>1569</v>
      </c>
      <c r="G40" s="672" t="s">
        <v>1570</v>
      </c>
      <c r="H40" s="672">
        <v>153</v>
      </c>
      <c r="I40" s="672">
        <v>157.5</v>
      </c>
      <c r="J40" s="672" t="s">
        <v>1558</v>
      </c>
      <c r="K40" s="672" t="s">
        <v>1559</v>
      </c>
      <c r="L40" s="672" t="s">
        <v>1651</v>
      </c>
      <c r="M40" s="672">
        <v>20</v>
      </c>
      <c r="N40" s="672">
        <v>4.0609999999999999</v>
      </c>
    </row>
    <row r="41" spans="5:19">
      <c r="E41" s="672" t="s">
        <v>1666</v>
      </c>
      <c r="F41" s="672" t="s">
        <v>1572</v>
      </c>
      <c r="G41" s="672" t="s">
        <v>1573</v>
      </c>
      <c r="H41" s="672">
        <v>161</v>
      </c>
      <c r="I41" s="672">
        <v>161.5</v>
      </c>
      <c r="J41" s="672" t="s">
        <v>1558</v>
      </c>
      <c r="K41" s="672" t="s">
        <v>1559</v>
      </c>
      <c r="L41" s="672" t="s">
        <v>1651</v>
      </c>
      <c r="M41" s="672">
        <v>15</v>
      </c>
      <c r="N41" s="672">
        <v>3.2749999999999999</v>
      </c>
      <c r="P41" s="681"/>
      <c r="Q41" s="681"/>
      <c r="R41" s="681"/>
      <c r="S41" s="699" t="s">
        <v>818</v>
      </c>
    </row>
    <row r="42" spans="5:19">
      <c r="E42" s="929" t="s">
        <v>1667</v>
      </c>
      <c r="F42" s="929" t="s">
        <v>870</v>
      </c>
      <c r="G42" s="929" t="s">
        <v>1575</v>
      </c>
      <c r="H42" s="929">
        <v>170</v>
      </c>
      <c r="I42" s="929">
        <v>166</v>
      </c>
      <c r="J42" s="929" t="s">
        <v>1558</v>
      </c>
      <c r="K42" s="929" t="s">
        <v>1559</v>
      </c>
      <c r="L42" s="929" t="s">
        <v>1651</v>
      </c>
      <c r="M42" s="929">
        <v>15</v>
      </c>
      <c r="N42" s="929">
        <v>3.15</v>
      </c>
      <c r="P42" s="681"/>
      <c r="Q42" s="681"/>
      <c r="R42" s="681"/>
      <c r="S42" s="700" t="s">
        <v>17</v>
      </c>
    </row>
    <row r="43" spans="5:19">
      <c r="E43" s="672" t="s">
        <v>1668</v>
      </c>
      <c r="F43" s="672" t="s">
        <v>1577</v>
      </c>
      <c r="G43" s="672" t="s">
        <v>1578</v>
      </c>
      <c r="H43" s="672">
        <v>184</v>
      </c>
      <c r="I43" s="672">
        <v>172.5</v>
      </c>
      <c r="J43" s="672" t="s">
        <v>1558</v>
      </c>
      <c r="K43" s="672" t="s">
        <v>1579</v>
      </c>
      <c r="L43" s="672" t="s">
        <v>1651</v>
      </c>
      <c r="M43" s="672">
        <v>15</v>
      </c>
      <c r="N43" s="672">
        <v>4.09</v>
      </c>
      <c r="P43" s="681"/>
      <c r="Q43" s="681"/>
      <c r="R43" s="2917">
        <v>2026</v>
      </c>
      <c r="S43" s="2917"/>
    </row>
    <row r="46" spans="5:19">
      <c r="O46" s="1442"/>
      <c r="P46" s="681"/>
      <c r="Q46" s="681"/>
      <c r="R46" s="681"/>
      <c r="S46" s="699"/>
    </row>
    <row r="47" spans="5:19">
      <c r="O47" s="1442"/>
      <c r="P47" s="681"/>
      <c r="Q47" s="681"/>
      <c r="R47" s="681"/>
      <c r="S47" s="700"/>
    </row>
    <row r="48" spans="5:19">
      <c r="O48" s="1442"/>
      <c r="P48" s="681"/>
      <c r="Q48" s="681"/>
      <c r="R48" s="2917"/>
      <c r="S48" s="2917"/>
    </row>
    <row r="49" spans="15:19">
      <c r="O49" s="1679"/>
      <c r="P49" s="1442"/>
      <c r="Q49" s="1442"/>
      <c r="R49" s="1680"/>
      <c r="S49" s="1442"/>
    </row>
  </sheetData>
  <sheetProtection algorithmName="SHA-512" hashValue="WJi8UJUWPl10+mVvdVA6Ms9A3O881OQAWXV/jlDjnNxoxtqCrneW11qslnscz4tFlfu+OnC7dGgh9kxwS+SP3A==" saltValue="0dsqU1tkVQQ+WDPQIbVOVw==" spinCount="100000" sheet="1" objects="1" selectLockedCells="1"/>
  <mergeCells count="2">
    <mergeCell ref="R48:S48"/>
    <mergeCell ref="R43:S4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B5AE-9375-4FD7-9932-60A7E9C5A1B5}">
  <dimension ref="B1:S49"/>
  <sheetViews>
    <sheetView showGridLines="0" showRowColHeaders="0" zoomScale="73" zoomScaleNormal="73" workbookViewId="0">
      <selection activeCell="V44" sqref="V44"/>
    </sheetView>
  </sheetViews>
  <sheetFormatPr defaultColWidth="8.85546875" defaultRowHeight="15"/>
  <cols>
    <col min="1" max="1" width="8.85546875" style="672"/>
    <col min="2" max="2" width="11" style="672" bestFit="1" customWidth="1"/>
    <col min="3" max="3" width="17.140625" style="672" bestFit="1" customWidth="1"/>
    <col min="4" max="4" width="18.28515625" style="672" bestFit="1" customWidth="1"/>
    <col min="5" max="5" width="11.42578125" style="672" bestFit="1" customWidth="1"/>
    <col min="6" max="6" width="8.85546875" style="672"/>
    <col min="7" max="7" width="13" style="672" customWidth="1"/>
    <col min="8" max="12" width="8.85546875" style="672"/>
    <col min="13" max="13" width="13.5703125" style="672" bestFit="1" customWidth="1"/>
    <col min="14" max="14" width="12.7109375" style="672" bestFit="1" customWidth="1"/>
    <col min="15" max="16384" width="8.85546875" style="672"/>
  </cols>
  <sheetData>
    <row r="1" spans="2:5">
      <c r="B1" s="673"/>
    </row>
    <row r="2" spans="2:5" ht="26.25">
      <c r="E2" s="1714" t="s">
        <v>1600</v>
      </c>
    </row>
    <row r="10" spans="2:5">
      <c r="B10" s="1678" t="s">
        <v>1513</v>
      </c>
      <c r="C10" s="1678" t="s">
        <v>1601</v>
      </c>
      <c r="D10" s="1678" t="s">
        <v>1603</v>
      </c>
    </row>
    <row r="11" spans="2:5">
      <c r="B11" s="1675"/>
      <c r="C11" s="1675" t="s">
        <v>1602</v>
      </c>
      <c r="D11" s="1675" t="s">
        <v>1602</v>
      </c>
    </row>
    <row r="12" spans="2:5">
      <c r="B12" s="1675" t="s">
        <v>1516</v>
      </c>
      <c r="C12" s="1675">
        <v>3.9</v>
      </c>
      <c r="D12" s="1675">
        <v>1.3</v>
      </c>
    </row>
    <row r="13" spans="2:5">
      <c r="B13" s="1675" t="s">
        <v>1517</v>
      </c>
      <c r="C13" s="1675">
        <v>4.8</v>
      </c>
      <c r="D13" s="1675">
        <v>1.6</v>
      </c>
    </row>
    <row r="14" spans="2:5">
      <c r="B14" s="1675" t="s">
        <v>1518</v>
      </c>
      <c r="C14" s="1675">
        <v>6.9</v>
      </c>
      <c r="D14" s="1675">
        <v>2.2999999999999998</v>
      </c>
    </row>
    <row r="15" spans="2:5">
      <c r="B15" s="1675" t="s">
        <v>1519</v>
      </c>
      <c r="C15" s="1675">
        <v>7.8</v>
      </c>
      <c r="D15" s="1675">
        <v>2.6</v>
      </c>
    </row>
    <row r="23" spans="5:19">
      <c r="E23" s="1675" t="s">
        <v>1520</v>
      </c>
      <c r="F23" s="1675" t="s">
        <v>1513</v>
      </c>
      <c r="G23" s="1675" t="s">
        <v>1521</v>
      </c>
      <c r="H23" s="1675" t="s">
        <v>1078</v>
      </c>
      <c r="I23" s="1675" t="s">
        <v>1522</v>
      </c>
      <c r="J23" s="1675" t="s">
        <v>1523</v>
      </c>
      <c r="K23" s="1675" t="s">
        <v>1524</v>
      </c>
      <c r="L23" s="1675" t="s">
        <v>1375</v>
      </c>
      <c r="M23" s="1675" t="s">
        <v>1525</v>
      </c>
      <c r="N23" s="1675" t="s">
        <v>1526</v>
      </c>
    </row>
    <row r="24" spans="5:19">
      <c r="E24" s="1675"/>
      <c r="F24" s="1675"/>
      <c r="G24" s="1675" t="s">
        <v>1527</v>
      </c>
      <c r="H24" s="1675" t="s">
        <v>1527</v>
      </c>
      <c r="I24" s="1675" t="s">
        <v>1527</v>
      </c>
      <c r="J24" s="1675"/>
      <c r="K24" s="1675" t="s">
        <v>1527</v>
      </c>
      <c r="L24" s="1675"/>
      <c r="M24" s="1675"/>
      <c r="N24" s="1675" t="s">
        <v>1528</v>
      </c>
    </row>
    <row r="26" spans="5:19">
      <c r="E26" s="1676" t="s">
        <v>1596</v>
      </c>
      <c r="F26" s="929" t="s">
        <v>1529</v>
      </c>
      <c r="G26" s="1677" t="s">
        <v>1627</v>
      </c>
      <c r="H26" s="929">
        <v>52.1</v>
      </c>
      <c r="I26" s="929">
        <v>32</v>
      </c>
      <c r="J26" s="929" t="s">
        <v>1530</v>
      </c>
      <c r="K26" s="929" t="s">
        <v>1531</v>
      </c>
      <c r="L26" s="929" t="s">
        <v>1597</v>
      </c>
      <c r="M26" s="929">
        <v>250</v>
      </c>
      <c r="N26" s="929">
        <v>10.27</v>
      </c>
    </row>
    <row r="27" spans="5:19">
      <c r="E27" s="929" t="s">
        <v>1604</v>
      </c>
      <c r="F27" s="929" t="s">
        <v>1534</v>
      </c>
      <c r="G27" s="929" t="s">
        <v>1535</v>
      </c>
      <c r="H27" s="929">
        <v>54.5</v>
      </c>
      <c r="I27" s="929">
        <v>32</v>
      </c>
      <c r="J27" s="929" t="s">
        <v>1530</v>
      </c>
      <c r="K27" s="929" t="s">
        <v>1531</v>
      </c>
      <c r="L27" s="929" t="s">
        <v>1597</v>
      </c>
      <c r="M27" s="929">
        <v>250</v>
      </c>
      <c r="N27" s="929">
        <v>10.58</v>
      </c>
    </row>
    <row r="28" spans="5:19" ht="21">
      <c r="E28" s="929" t="s">
        <v>1605</v>
      </c>
      <c r="F28" s="929" t="s">
        <v>1537</v>
      </c>
      <c r="G28" s="929" t="s">
        <v>1538</v>
      </c>
      <c r="H28" s="929">
        <v>58.5</v>
      </c>
      <c r="I28" s="929">
        <v>34</v>
      </c>
      <c r="J28" s="929" t="s">
        <v>1530</v>
      </c>
      <c r="K28" s="929" t="s">
        <v>1531</v>
      </c>
      <c r="L28" s="929" t="s">
        <v>1597</v>
      </c>
      <c r="M28" s="929">
        <v>250</v>
      </c>
      <c r="N28" s="929">
        <v>11.22</v>
      </c>
      <c r="S28" s="1694"/>
    </row>
    <row r="29" spans="5:19" ht="21">
      <c r="E29" s="929" t="s">
        <v>1606</v>
      </c>
      <c r="F29" s="929" t="s">
        <v>195</v>
      </c>
      <c r="G29" s="929" t="s">
        <v>1540</v>
      </c>
      <c r="H29" s="929">
        <v>62.5</v>
      </c>
      <c r="I29" s="929">
        <v>36</v>
      </c>
      <c r="J29" s="929" t="s">
        <v>1530</v>
      </c>
      <c r="K29" s="929" t="s">
        <v>1531</v>
      </c>
      <c r="L29" s="929" t="s">
        <v>1597</v>
      </c>
      <c r="M29" s="929">
        <v>200</v>
      </c>
      <c r="N29" s="929">
        <v>9.5</v>
      </c>
      <c r="S29" s="1694"/>
    </row>
    <row r="30" spans="5:19">
      <c r="E30" s="929" t="s">
        <v>1607</v>
      </c>
      <c r="F30" s="929" t="s">
        <v>198</v>
      </c>
      <c r="G30" s="929" t="s">
        <v>1542</v>
      </c>
      <c r="H30" s="929">
        <v>68.5</v>
      </c>
      <c r="I30" s="929">
        <v>39</v>
      </c>
      <c r="J30" s="929" t="s">
        <v>1530</v>
      </c>
      <c r="K30" s="929" t="s">
        <v>1531</v>
      </c>
      <c r="L30" s="929" t="s">
        <v>1597</v>
      </c>
      <c r="M30" s="929">
        <v>150</v>
      </c>
      <c r="N30" s="929">
        <v>7.87</v>
      </c>
    </row>
    <row r="31" spans="5:19">
      <c r="E31" s="929" t="s">
        <v>1608</v>
      </c>
      <c r="F31" s="929" t="s">
        <v>201</v>
      </c>
      <c r="G31" s="929" t="s">
        <v>1544</v>
      </c>
      <c r="H31" s="929">
        <v>76</v>
      </c>
      <c r="I31" s="929">
        <v>42.5</v>
      </c>
      <c r="J31" s="929" t="s">
        <v>1530</v>
      </c>
      <c r="K31" s="929" t="s">
        <v>1531</v>
      </c>
      <c r="L31" s="929" t="s">
        <v>1597</v>
      </c>
      <c r="M31" s="929">
        <v>150</v>
      </c>
      <c r="N31" s="929">
        <v>8.65</v>
      </c>
    </row>
    <row r="32" spans="5:19">
      <c r="E32" s="929" t="s">
        <v>1609</v>
      </c>
      <c r="F32" s="929" t="s">
        <v>204</v>
      </c>
      <c r="G32" s="929" t="s">
        <v>1546</v>
      </c>
      <c r="H32" s="929">
        <v>91.5</v>
      </c>
      <c r="I32" s="929">
        <v>47</v>
      </c>
      <c r="J32" s="929" t="s">
        <v>1530</v>
      </c>
      <c r="K32" s="929" t="s">
        <v>1547</v>
      </c>
      <c r="L32" s="929" t="s">
        <v>1597</v>
      </c>
      <c r="M32" s="929">
        <v>100</v>
      </c>
      <c r="N32" s="929">
        <v>7.03</v>
      </c>
    </row>
    <row r="33" spans="5:19">
      <c r="E33" s="929" t="s">
        <v>1610</v>
      </c>
      <c r="F33" s="929" t="s">
        <v>206</v>
      </c>
      <c r="G33" s="929" t="s">
        <v>1549</v>
      </c>
      <c r="H33" s="929">
        <v>99</v>
      </c>
      <c r="I33" s="929">
        <v>50.5</v>
      </c>
      <c r="J33" s="929" t="s">
        <v>1530</v>
      </c>
      <c r="K33" s="929" t="s">
        <v>1547</v>
      </c>
      <c r="L33" s="929" t="s">
        <v>1597</v>
      </c>
      <c r="M33" s="929">
        <v>75</v>
      </c>
      <c r="N33" s="929">
        <v>5.82</v>
      </c>
    </row>
    <row r="34" spans="5:19">
      <c r="E34" s="672" t="s">
        <v>1611</v>
      </c>
      <c r="F34" s="672" t="s">
        <v>1551</v>
      </c>
      <c r="G34" s="672" t="s">
        <v>1552</v>
      </c>
      <c r="H34" s="672">
        <v>105</v>
      </c>
      <c r="I34" s="672">
        <v>53.5</v>
      </c>
      <c r="J34" s="672" t="s">
        <v>1530</v>
      </c>
      <c r="K34" s="672" t="s">
        <v>1547</v>
      </c>
      <c r="L34" s="672" t="s">
        <v>1597</v>
      </c>
      <c r="M34" s="672">
        <v>75</v>
      </c>
      <c r="N34" s="672">
        <v>6.34</v>
      </c>
    </row>
    <row r="35" spans="5:19">
      <c r="E35" s="929" t="s">
        <v>1612</v>
      </c>
      <c r="F35" s="929" t="s">
        <v>209</v>
      </c>
      <c r="G35" s="929" t="s">
        <v>1554</v>
      </c>
      <c r="H35" s="929">
        <v>112</v>
      </c>
      <c r="I35" s="929">
        <v>57</v>
      </c>
      <c r="J35" s="929" t="s">
        <v>1530</v>
      </c>
      <c r="K35" s="929" t="s">
        <v>1547</v>
      </c>
      <c r="L35" s="929" t="s">
        <v>1597</v>
      </c>
      <c r="M35" s="929">
        <v>50</v>
      </c>
      <c r="N35" s="929">
        <v>4.46</v>
      </c>
    </row>
    <row r="36" spans="5:19">
      <c r="E36" s="672" t="s">
        <v>1613</v>
      </c>
      <c r="F36" s="672" t="s">
        <v>1556</v>
      </c>
      <c r="G36" s="672" t="s">
        <v>1556</v>
      </c>
      <c r="H36" s="672">
        <v>126</v>
      </c>
      <c r="I36" s="672">
        <v>62</v>
      </c>
      <c r="J36" s="672" t="s">
        <v>1558</v>
      </c>
      <c r="K36" s="672" t="s">
        <v>1559</v>
      </c>
      <c r="L36" s="672" t="s">
        <v>1597</v>
      </c>
      <c r="M36" s="672">
        <v>40</v>
      </c>
      <c r="N36" s="672">
        <v>5.71</v>
      </c>
    </row>
    <row r="37" spans="5:19">
      <c r="E37" s="929" t="s">
        <v>1614</v>
      </c>
      <c r="F37" s="929" t="s">
        <v>212</v>
      </c>
      <c r="G37" s="929" t="s">
        <v>1562</v>
      </c>
      <c r="H37" s="929">
        <v>134</v>
      </c>
      <c r="I37" s="929">
        <v>66</v>
      </c>
      <c r="J37" s="929" t="s">
        <v>1558</v>
      </c>
      <c r="K37" s="929" t="s">
        <v>1559</v>
      </c>
      <c r="L37" s="929" t="s">
        <v>1597</v>
      </c>
      <c r="M37" s="929">
        <v>40</v>
      </c>
      <c r="N37" s="929">
        <v>5.85</v>
      </c>
    </row>
    <row r="38" spans="5:19">
      <c r="E38" s="672" t="s">
        <v>1615</v>
      </c>
      <c r="F38" s="672" t="s">
        <v>1564</v>
      </c>
      <c r="G38" s="672" t="s">
        <v>1565</v>
      </c>
      <c r="H38" s="672">
        <v>142</v>
      </c>
      <c r="I38" s="672">
        <v>70</v>
      </c>
      <c r="J38" s="672" t="s">
        <v>1558</v>
      </c>
      <c r="K38" s="672" t="s">
        <v>1559</v>
      </c>
      <c r="L38" s="672" t="s">
        <v>1597</v>
      </c>
      <c r="M38" s="672">
        <v>40</v>
      </c>
      <c r="N38" s="672">
        <v>6.43</v>
      </c>
    </row>
    <row r="39" spans="5:19">
      <c r="E39" s="929" t="s">
        <v>1616</v>
      </c>
      <c r="F39" s="929" t="s">
        <v>225</v>
      </c>
      <c r="G39" s="929" t="s">
        <v>1567</v>
      </c>
      <c r="H39" s="929">
        <v>145</v>
      </c>
      <c r="I39" s="929">
        <v>71.5</v>
      </c>
      <c r="J39" s="929" t="s">
        <v>1558</v>
      </c>
      <c r="K39" s="929" t="s">
        <v>1559</v>
      </c>
      <c r="L39" s="929" t="s">
        <v>1597</v>
      </c>
      <c r="M39" s="929">
        <v>40</v>
      </c>
      <c r="N39" s="929">
        <v>6.6</v>
      </c>
    </row>
    <row r="40" spans="5:19">
      <c r="E40" s="672" t="s">
        <v>1617</v>
      </c>
      <c r="F40" s="672" t="s">
        <v>1569</v>
      </c>
      <c r="G40" s="672" t="s">
        <v>1569</v>
      </c>
      <c r="H40" s="672">
        <v>153</v>
      </c>
      <c r="I40" s="672">
        <v>75.5</v>
      </c>
      <c r="J40" s="672" t="s">
        <v>1558</v>
      </c>
      <c r="K40" s="672" t="s">
        <v>1559</v>
      </c>
      <c r="L40" s="672" t="s">
        <v>1597</v>
      </c>
      <c r="M40" s="672">
        <v>30</v>
      </c>
      <c r="N40" s="672">
        <v>5.3</v>
      </c>
    </row>
    <row r="41" spans="5:19">
      <c r="E41" s="672" t="s">
        <v>1618</v>
      </c>
      <c r="F41" s="672" t="s">
        <v>1572</v>
      </c>
      <c r="G41" s="672" t="s">
        <v>1572</v>
      </c>
      <c r="H41" s="672">
        <v>161</v>
      </c>
      <c r="I41" s="672">
        <v>79.5</v>
      </c>
      <c r="J41" s="672" t="s">
        <v>1558</v>
      </c>
      <c r="K41" s="672" t="s">
        <v>1559</v>
      </c>
      <c r="L41" s="672" t="s">
        <v>1597</v>
      </c>
      <c r="M41" s="672">
        <v>40</v>
      </c>
      <c r="N41" s="672">
        <v>7.82</v>
      </c>
    </row>
    <row r="42" spans="5:19">
      <c r="E42" s="929" t="s">
        <v>1619</v>
      </c>
      <c r="F42" s="929" t="s">
        <v>870</v>
      </c>
      <c r="G42" s="929" t="s">
        <v>1575</v>
      </c>
      <c r="H42" s="929">
        <v>170</v>
      </c>
      <c r="I42" s="929">
        <v>84</v>
      </c>
      <c r="J42" s="929" t="s">
        <v>1558</v>
      </c>
      <c r="K42" s="929" t="s">
        <v>1559</v>
      </c>
      <c r="L42" s="929" t="s">
        <v>1597</v>
      </c>
      <c r="M42" s="929">
        <v>30</v>
      </c>
      <c r="N42" s="929">
        <v>5.78</v>
      </c>
    </row>
    <row r="43" spans="5:19">
      <c r="E43" s="672" t="s">
        <v>1620</v>
      </c>
      <c r="F43" s="672" t="s">
        <v>1577</v>
      </c>
      <c r="G43" s="672" t="s">
        <v>1577</v>
      </c>
      <c r="H43" s="672">
        <v>184</v>
      </c>
      <c r="I43" s="672">
        <v>90.5</v>
      </c>
      <c r="J43" s="672" t="s">
        <v>1558</v>
      </c>
      <c r="K43" s="672" t="s">
        <v>1579</v>
      </c>
      <c r="L43" s="672" t="s">
        <v>1597</v>
      </c>
      <c r="M43" s="672">
        <v>30</v>
      </c>
      <c r="N43" s="672">
        <v>8.3000000000000007</v>
      </c>
    </row>
    <row r="44" spans="5:19">
      <c r="E44" s="672" t="s">
        <v>1621</v>
      </c>
      <c r="F44" s="672" t="s">
        <v>1581</v>
      </c>
      <c r="G44" s="672" t="s">
        <v>1581</v>
      </c>
      <c r="H44" s="672">
        <v>190</v>
      </c>
      <c r="I44" s="672">
        <v>93.5</v>
      </c>
      <c r="J44" s="672" t="s">
        <v>1558</v>
      </c>
      <c r="K44" s="672" t="s">
        <v>1579</v>
      </c>
      <c r="L44" s="672" t="s">
        <v>1597</v>
      </c>
      <c r="M44" s="672">
        <v>30</v>
      </c>
      <c r="N44" s="672">
        <v>8.5229999999999997</v>
      </c>
    </row>
    <row r="45" spans="5:19">
      <c r="E45" s="929" t="s">
        <v>1622</v>
      </c>
      <c r="F45" s="929" t="s">
        <v>871</v>
      </c>
      <c r="G45" s="929" t="s">
        <v>1584</v>
      </c>
      <c r="H45" s="929">
        <v>197</v>
      </c>
      <c r="I45" s="929">
        <v>97</v>
      </c>
      <c r="J45" s="929" t="s">
        <v>1558</v>
      </c>
      <c r="K45" s="929" t="s">
        <v>1579</v>
      </c>
      <c r="L45" s="929" t="s">
        <v>1597</v>
      </c>
      <c r="M45" s="929">
        <v>25</v>
      </c>
      <c r="N45" s="929">
        <v>6.88</v>
      </c>
    </row>
    <row r="46" spans="5:19">
      <c r="E46" s="672" t="s">
        <v>1623</v>
      </c>
      <c r="F46" s="672" t="s">
        <v>1586</v>
      </c>
      <c r="G46" s="672" t="s">
        <v>1586</v>
      </c>
      <c r="H46" s="672">
        <v>213</v>
      </c>
      <c r="I46" s="672">
        <v>105</v>
      </c>
      <c r="J46" s="672" t="s">
        <v>1558</v>
      </c>
      <c r="K46" s="672" t="s">
        <v>1579</v>
      </c>
      <c r="L46" s="672" t="s">
        <v>1597</v>
      </c>
      <c r="M46" s="672">
        <v>25</v>
      </c>
      <c r="N46" s="672">
        <v>8.0419999999999998</v>
      </c>
      <c r="O46" s="1442"/>
      <c r="P46" s="681"/>
      <c r="Q46" s="681"/>
      <c r="R46" s="681"/>
      <c r="S46" s="699"/>
    </row>
    <row r="47" spans="5:19">
      <c r="E47" s="929" t="s">
        <v>1624</v>
      </c>
      <c r="F47" s="929" t="s">
        <v>872</v>
      </c>
      <c r="G47" s="929" t="s">
        <v>1589</v>
      </c>
      <c r="H47" s="929">
        <v>222</v>
      </c>
      <c r="I47" s="929">
        <v>109.5</v>
      </c>
      <c r="J47" s="929" t="s">
        <v>1558</v>
      </c>
      <c r="K47" s="929" t="s">
        <v>1579</v>
      </c>
      <c r="L47" s="929" t="s">
        <v>1597</v>
      </c>
      <c r="M47" s="929">
        <v>20</v>
      </c>
      <c r="N47" s="929">
        <v>6.18</v>
      </c>
      <c r="O47" s="1442"/>
      <c r="P47" s="681"/>
      <c r="Q47" s="681"/>
      <c r="R47" s="681"/>
      <c r="S47" s="699" t="s">
        <v>818</v>
      </c>
    </row>
    <row r="48" spans="5:19">
      <c r="E48" s="672" t="s">
        <v>1625</v>
      </c>
      <c r="F48" s="672" t="s">
        <v>1591</v>
      </c>
      <c r="G48" s="672" t="s">
        <v>1592</v>
      </c>
      <c r="H48" s="672">
        <v>257</v>
      </c>
      <c r="I48" s="672">
        <v>127</v>
      </c>
      <c r="J48" s="672" t="s">
        <v>1558</v>
      </c>
      <c r="K48" s="672" t="s">
        <v>1579</v>
      </c>
      <c r="L48" s="672" t="s">
        <v>1597</v>
      </c>
      <c r="M48" s="672">
        <v>15</v>
      </c>
      <c r="N48" s="672">
        <v>5.5</v>
      </c>
      <c r="O48" s="1442"/>
      <c r="P48" s="681"/>
      <c r="Q48" s="681"/>
      <c r="R48" s="681"/>
      <c r="S48" s="700" t="s">
        <v>17</v>
      </c>
    </row>
    <row r="49" spans="5:19">
      <c r="E49" s="929" t="s">
        <v>1626</v>
      </c>
      <c r="F49" s="929" t="s">
        <v>873</v>
      </c>
      <c r="G49" s="929" t="s">
        <v>1595</v>
      </c>
      <c r="H49" s="929">
        <v>272</v>
      </c>
      <c r="I49" s="929">
        <v>136</v>
      </c>
      <c r="J49" s="929" t="s">
        <v>1558</v>
      </c>
      <c r="K49" s="929" t="s">
        <v>1579</v>
      </c>
      <c r="L49" s="929" t="s">
        <v>1597</v>
      </c>
      <c r="M49" s="929">
        <v>15</v>
      </c>
      <c r="N49" s="929">
        <v>5.94</v>
      </c>
      <c r="O49" s="1679"/>
      <c r="P49" s="681"/>
      <c r="Q49" s="2917">
        <v>2026</v>
      </c>
      <c r="R49" s="2917"/>
      <c r="S49" s="2917"/>
    </row>
  </sheetData>
  <sheetProtection algorithmName="SHA-512" hashValue="xxuHOlQ0f8ZpQ2NXS4q/do9uf1Nww7r/QJTgMGijMDhmLL+qx8RDNa9FtZWqUHFgEjUQXs9r05TcmQ3GjiBqpA==" saltValue="krtoLId9Gw5bN1m0LPg8Ww==" spinCount="100000" sheet="1" objects="1" selectLockedCells="1"/>
  <mergeCells count="1">
    <mergeCell ref="Q49:S49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7C9CB-0E4E-4339-ACFA-33A8433119BC}">
  <dimension ref="B3:AD37"/>
  <sheetViews>
    <sheetView showGridLines="0" showRowColHeaders="0" zoomScale="95" zoomScaleNormal="95" workbookViewId="0">
      <selection activeCell="N3" sqref="N3"/>
    </sheetView>
  </sheetViews>
  <sheetFormatPr defaultColWidth="9.140625" defaultRowHeight="15"/>
  <cols>
    <col min="1" max="16384" width="9.140625" style="929"/>
  </cols>
  <sheetData>
    <row r="3" spans="2:2" ht="27.75">
      <c r="B3" s="1695" t="s">
        <v>1971</v>
      </c>
    </row>
    <row r="4" spans="2:2" ht="26.25">
      <c r="B4" s="1696"/>
    </row>
    <row r="25" spans="10:30">
      <c r="M25" s="723"/>
      <c r="N25" s="724"/>
    </row>
    <row r="26" spans="10:30">
      <c r="M26" s="723"/>
      <c r="N26" s="725"/>
    </row>
    <row r="27" spans="10:30">
      <c r="J27" s="2583"/>
      <c r="K27" s="2583"/>
      <c r="L27" s="2583"/>
      <c r="M27" s="2583"/>
      <c r="N27" s="2583"/>
    </row>
    <row r="28" spans="10:30">
      <c r="M28" s="723"/>
      <c r="N28" s="725"/>
      <c r="Z28" s="2583"/>
      <c r="AA28" s="2583"/>
      <c r="AB28" s="2583"/>
      <c r="AC28" s="2583"/>
      <c r="AD28" s="2583"/>
    </row>
    <row r="29" spans="10:30">
      <c r="K29" s="2583"/>
      <c r="L29" s="2583"/>
      <c r="M29" s="2583"/>
      <c r="N29" s="2583"/>
      <c r="AC29" s="723"/>
      <c r="AD29" s="725"/>
    </row>
    <row r="30" spans="10:30">
      <c r="AA30" s="2583"/>
      <c r="AB30" s="2583"/>
      <c r="AC30" s="2583"/>
      <c r="AD30" s="2583"/>
    </row>
    <row r="35" spans="25:29">
      <c r="Y35" s="2583" t="s">
        <v>818</v>
      </c>
      <c r="Z35" s="2583"/>
      <c r="AA35" s="2583"/>
      <c r="AB35" s="2583"/>
      <c r="AC35" s="2583"/>
    </row>
    <row r="36" spans="25:29">
      <c r="AB36" s="723"/>
      <c r="AC36" s="725" t="s">
        <v>17</v>
      </c>
    </row>
    <row r="37" spans="25:29">
      <c r="Z37" s="2583">
        <v>2026</v>
      </c>
      <c r="AA37" s="2583"/>
      <c r="AB37" s="2583"/>
      <c r="AC37" s="2583"/>
    </row>
  </sheetData>
  <sheetProtection algorithmName="SHA-512" hashValue="+0q816qLctb7AME8Ur/WTWQHrB7BXnRtZ3ZIi2yIao2G/80+f/X2uVzArlnaKjarAyvfq55GXSd3+iPF0L9JbQ==" saltValue="PsYvDWCga0bBnrsfw7zI1w==" spinCount="100000" sheet="1" objects="1" selectLockedCells="1"/>
  <mergeCells count="6">
    <mergeCell ref="Z37:AC37"/>
    <mergeCell ref="J27:N27"/>
    <mergeCell ref="K29:N29"/>
    <mergeCell ref="Z28:AD28"/>
    <mergeCell ref="AA30:AD30"/>
    <mergeCell ref="Y35:AC35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B2ED-CFD9-4EA0-A00C-C91FCCCFBA16}">
  <dimension ref="B3:N29"/>
  <sheetViews>
    <sheetView showGridLines="0" showRowColHeaders="0" zoomScaleNormal="100" workbookViewId="0">
      <selection activeCell="Q5" sqref="Q5"/>
    </sheetView>
  </sheetViews>
  <sheetFormatPr defaultColWidth="9.140625" defaultRowHeight="15"/>
  <cols>
    <col min="1" max="16384" width="9.140625" style="929"/>
  </cols>
  <sheetData>
    <row r="3" spans="2:2" ht="26.25">
      <c r="B3" s="1695" t="s">
        <v>1912</v>
      </c>
    </row>
    <row r="4" spans="2:2" ht="26.25">
      <c r="B4" s="1696" t="s">
        <v>1911</v>
      </c>
    </row>
    <row r="25" spans="10:14">
      <c r="M25" s="723"/>
      <c r="N25" s="724"/>
    </row>
    <row r="26" spans="10:14">
      <c r="M26" s="723"/>
      <c r="N26" s="725"/>
    </row>
    <row r="27" spans="10:14">
      <c r="J27" s="2583" t="s">
        <v>818</v>
      </c>
      <c r="K27" s="2583"/>
      <c r="L27" s="2583"/>
      <c r="M27" s="2583"/>
      <c r="N27" s="2583"/>
    </row>
    <row r="28" spans="10:14">
      <c r="M28" s="723"/>
      <c r="N28" s="725" t="s">
        <v>17</v>
      </c>
    </row>
    <row r="29" spans="10:14">
      <c r="K29" s="2583">
        <v>2026</v>
      </c>
      <c r="L29" s="2583"/>
      <c r="M29" s="2583"/>
      <c r="N29" s="2583"/>
    </row>
  </sheetData>
  <sheetProtection algorithmName="SHA-512" hashValue="t6eJC+I79U155LtAENfifnkBfZa/5zHyLC5EqfARDKVtIGLemPd9e4d0uAm95xICWAbmpwKICiT+8PLzF6gqRA==" saltValue="xf7WhDOM4ikrpGP98TiR9w==" spinCount="100000" sheet="1" objects="1" selectLockedCells="1"/>
  <mergeCells count="2">
    <mergeCell ref="J27:N27"/>
    <mergeCell ref="K29:N2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EB2E-FF4E-4692-BA33-5172E08D2FA4}">
  <dimension ref="B2:AI45"/>
  <sheetViews>
    <sheetView showGridLines="0" showRowColHeaders="0" zoomScale="77" zoomScaleNormal="77" workbookViewId="0">
      <selection activeCell="AC43" sqref="AC43:AG43"/>
    </sheetView>
  </sheetViews>
  <sheetFormatPr defaultColWidth="9.140625" defaultRowHeight="15"/>
  <cols>
    <col min="1" max="35" width="9.140625" style="1604"/>
    <col min="36" max="36" width="1.140625" style="1604" customWidth="1"/>
    <col min="37" max="16384" width="9.140625" style="1604"/>
  </cols>
  <sheetData>
    <row r="2" spans="2:2" ht="48">
      <c r="B2" s="1842" t="s">
        <v>1468</v>
      </c>
    </row>
    <row r="42" spans="29:35">
      <c r="AE42" s="1707"/>
      <c r="AF42" s="1708"/>
      <c r="AG42" s="1708"/>
      <c r="AH42" s="1708"/>
      <c r="AI42" s="1709"/>
    </row>
    <row r="43" spans="29:35">
      <c r="AC43" s="2926" t="s">
        <v>1919</v>
      </c>
      <c r="AD43" s="2926"/>
      <c r="AE43" s="2926"/>
      <c r="AF43" s="2926"/>
      <c r="AG43" s="2926"/>
      <c r="AH43" s="1708"/>
      <c r="AI43" s="1710"/>
    </row>
    <row r="44" spans="29:35">
      <c r="AC44" s="1707"/>
      <c r="AD44" s="1712"/>
      <c r="AE44" s="1712"/>
      <c r="AF44" s="1712"/>
      <c r="AG44" s="1713" t="s">
        <v>17</v>
      </c>
      <c r="AH44" s="2925"/>
      <c r="AI44" s="2925"/>
    </row>
    <row r="45" spans="29:35">
      <c r="AC45" s="1707"/>
      <c r="AD45" s="1712"/>
      <c r="AE45" s="1712"/>
      <c r="AF45" s="2926">
        <v>2026</v>
      </c>
      <c r="AG45" s="2926"/>
      <c r="AH45" s="1711"/>
      <c r="AI45" s="1707"/>
    </row>
  </sheetData>
  <sheetProtection algorithmName="SHA-512" hashValue="1pwMdPv4HNCgL91PL3dBJ0v9f0XT5dl7y5F00PO6DmHW068IJF/iOuI1kvk6jxYkEzLuLLoIt4QoHkNjGVzqcg==" saltValue="wTHGyIOAcppVcd0WsLdNYw==" spinCount="100000" sheet="1" objects="1" selectLockedCells="1"/>
  <mergeCells count="3">
    <mergeCell ref="AH44:AI44"/>
    <mergeCell ref="AF45:AG45"/>
    <mergeCell ref="AC43:AG43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E13B-E334-499E-B43E-0772FC08F09A}">
  <dimension ref="C5:L19"/>
  <sheetViews>
    <sheetView showGridLines="0" showRowColHeaders="0" zoomScale="130" zoomScaleNormal="130" workbookViewId="0">
      <selection activeCell="F11" sqref="F11"/>
    </sheetView>
  </sheetViews>
  <sheetFormatPr defaultColWidth="9.140625" defaultRowHeight="15"/>
  <cols>
    <col min="1" max="2" width="9.140625" style="343"/>
    <col min="3" max="3" width="10.5703125" style="343" customWidth="1"/>
    <col min="4" max="4" width="9.140625" style="343"/>
    <col min="5" max="5" width="2.85546875" style="343" customWidth="1"/>
    <col min="6" max="6" width="9.140625" style="343"/>
    <col min="7" max="7" width="5.140625" style="343" customWidth="1"/>
    <col min="8" max="16384" width="9.140625" style="343"/>
  </cols>
  <sheetData>
    <row r="5" spans="3:12" ht="32.25">
      <c r="C5" s="1840" t="s">
        <v>1458</v>
      </c>
    </row>
    <row r="7" spans="3:12">
      <c r="C7" s="343" t="s">
        <v>59</v>
      </c>
      <c r="F7" s="393">
        <v>2000</v>
      </c>
      <c r="G7" s="343" t="s">
        <v>755</v>
      </c>
    </row>
    <row r="9" spans="3:12">
      <c r="C9" s="343" t="s">
        <v>1454</v>
      </c>
      <c r="F9" s="343">
        <f>0.0217*F7</f>
        <v>43.4</v>
      </c>
      <c r="G9" s="343" t="s">
        <v>755</v>
      </c>
    </row>
    <row r="11" spans="3:12">
      <c r="C11" s="343" t="s">
        <v>1455</v>
      </c>
      <c r="F11" s="393">
        <v>5</v>
      </c>
      <c r="G11" s="343" t="s">
        <v>642</v>
      </c>
    </row>
    <row r="12" spans="3:12">
      <c r="C12" s="343" t="s">
        <v>1456</v>
      </c>
      <c r="F12" s="393">
        <v>8</v>
      </c>
      <c r="G12" s="343" t="s">
        <v>642</v>
      </c>
    </row>
    <row r="14" spans="3:12">
      <c r="C14" s="1554" t="s">
        <v>1457</v>
      </c>
      <c r="D14" s="1265"/>
      <c r="E14" s="1265"/>
      <c r="F14" s="1555">
        <f>F9*(F12+1)/((F12+1)-(F11+1))</f>
        <v>130.19999999999999</v>
      </c>
      <c r="G14" s="1556" t="s">
        <v>755</v>
      </c>
    </row>
    <row r="16" spans="3:12">
      <c r="I16" s="2927" t="s">
        <v>739</v>
      </c>
      <c r="J16" s="2927"/>
      <c r="K16" s="2927"/>
      <c r="L16" s="2927"/>
    </row>
    <row r="17" spans="9:12">
      <c r="I17" s="2927" t="s">
        <v>319</v>
      </c>
      <c r="J17" s="2927"/>
      <c r="K17" s="2927"/>
      <c r="L17" s="2927"/>
    </row>
    <row r="18" spans="9:12">
      <c r="I18" s="2927">
        <v>2026</v>
      </c>
      <c r="J18" s="2927"/>
      <c r="K18" s="2927"/>
      <c r="L18" s="2927"/>
    </row>
    <row r="19" spans="9:12">
      <c r="I19" s="1557"/>
      <c r="J19" s="1557"/>
      <c r="K19" s="1557"/>
      <c r="L19" s="1557"/>
    </row>
  </sheetData>
  <sheetProtection algorithmName="SHA-512" hashValue="HU9h8Vw5QHCK7lPAJE/7JywgtFKDKghSvTjFOvwZYDeN9okl0ZGe4gSN5MPs+Ae2BO1+VtPRj/8PiVR2Y/2TIA==" saltValue="AkWxe693sNz0sb39i55yFQ==" spinCount="100000" sheet="1" objects="1" selectLockedCells="1" autoFilter="0"/>
  <mergeCells count="3">
    <mergeCell ref="I16:L16"/>
    <mergeCell ref="I17:L17"/>
    <mergeCell ref="I18:L1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X36"/>
  <sheetViews>
    <sheetView showGridLines="0" showRowColHeaders="0" zoomScale="95" zoomScaleNormal="95" workbookViewId="0">
      <selection activeCell="U7" sqref="U7"/>
    </sheetView>
  </sheetViews>
  <sheetFormatPr defaultColWidth="8.85546875" defaultRowHeight="15"/>
  <cols>
    <col min="1" max="1" width="10.42578125" style="1488" customWidth="1"/>
    <col min="2" max="2" width="8" style="1488" customWidth="1"/>
    <col min="3" max="3" width="8.85546875" style="1488" customWidth="1"/>
    <col min="4" max="4" width="6.140625" style="1488" customWidth="1"/>
    <col min="5" max="8" width="8.85546875" style="1488"/>
    <col min="9" max="9" width="8.85546875" style="1488" customWidth="1"/>
    <col min="10" max="17" width="8.85546875" style="1488"/>
    <col min="18" max="18" width="7.28515625" style="1488" customWidth="1"/>
    <col min="19" max="19" width="8.85546875" style="1488"/>
    <col min="20" max="20" width="7.7109375" style="1488" customWidth="1"/>
    <col min="21" max="21" width="8.85546875" style="1488"/>
    <col min="22" max="22" width="5.7109375" style="1488" customWidth="1"/>
    <col min="23" max="23" width="6.85546875" style="1488" customWidth="1"/>
    <col min="24" max="16384" width="8.85546875" style="1488"/>
  </cols>
  <sheetData>
    <row r="2" spans="1:24" ht="48">
      <c r="B2" s="1846" t="s">
        <v>1410</v>
      </c>
    </row>
    <row r="5" spans="1:24">
      <c r="C5" s="1491" t="s">
        <v>1400</v>
      </c>
      <c r="D5" s="1499">
        <v>0.1</v>
      </c>
      <c r="E5" s="1489" t="s">
        <v>163</v>
      </c>
      <c r="H5" s="1490" t="s">
        <v>1399</v>
      </c>
      <c r="I5" s="1495" t="s">
        <v>1401</v>
      </c>
      <c r="J5" s="934">
        <v>148</v>
      </c>
      <c r="K5" s="1489" t="s">
        <v>1403</v>
      </c>
    </row>
    <row r="6" spans="1:24">
      <c r="C6" s="1491"/>
      <c r="D6" s="1491"/>
      <c r="E6" s="1489"/>
      <c r="H6" s="1489"/>
    </row>
    <row r="7" spans="1:24" ht="18" customHeight="1">
      <c r="C7" s="1491" t="s">
        <v>1400</v>
      </c>
      <c r="D7" s="1499">
        <v>0.1</v>
      </c>
      <c r="E7" s="1489" t="s">
        <v>163</v>
      </c>
      <c r="H7" s="1490" t="s">
        <v>1398</v>
      </c>
      <c r="S7" s="1490" t="s">
        <v>1399</v>
      </c>
      <c r="T7" s="1494" t="s">
        <v>1401</v>
      </c>
      <c r="U7" s="934">
        <v>145.65</v>
      </c>
      <c r="V7" s="1489" t="s">
        <v>1403</v>
      </c>
    </row>
    <row r="8" spans="1:24">
      <c r="S8" s="1490" t="s">
        <v>1398</v>
      </c>
    </row>
    <row r="9" spans="1:24" ht="20.45" customHeight="1">
      <c r="C9" s="1491" t="s">
        <v>1400</v>
      </c>
      <c r="D9" s="1499">
        <v>0.2</v>
      </c>
      <c r="E9" s="1489" t="s">
        <v>163</v>
      </c>
      <c r="H9" s="1490" t="s">
        <v>1396</v>
      </c>
      <c r="S9" s="1490"/>
    </row>
    <row r="10" spans="1:24" ht="9.6" customHeight="1"/>
    <row r="11" spans="1:24" ht="10.9" customHeight="1">
      <c r="S11" s="1490" t="s">
        <v>1396</v>
      </c>
    </row>
    <row r="12" spans="1:24">
      <c r="C12" s="1491" t="s">
        <v>1400</v>
      </c>
      <c r="D12" s="1499">
        <v>0.5</v>
      </c>
      <c r="E12" s="1489" t="s">
        <v>163</v>
      </c>
      <c r="H12" s="1490" t="s">
        <v>1397</v>
      </c>
      <c r="J12" s="1489"/>
    </row>
    <row r="13" spans="1:24" ht="18.75">
      <c r="A13" s="1508">
        <f>D5+D7+D9+(J15*D12)+D22</f>
        <v>5.4</v>
      </c>
      <c r="B13" s="1505" t="s">
        <v>163</v>
      </c>
      <c r="C13" s="1489"/>
    </row>
    <row r="14" spans="1:24">
      <c r="J14" s="1493" t="s">
        <v>443</v>
      </c>
      <c r="S14" s="1490" t="s">
        <v>1397</v>
      </c>
    </row>
    <row r="15" spans="1:24" ht="18.75">
      <c r="H15" s="1502" t="s">
        <v>1397</v>
      </c>
      <c r="I15" s="1503"/>
      <c r="J15" s="1504">
        <v>9</v>
      </c>
      <c r="U15" s="1492"/>
      <c r="W15" s="1507">
        <f>U7-P27</f>
        <v>3.1356000000000108</v>
      </c>
      <c r="X15" s="1505" t="s">
        <v>163</v>
      </c>
    </row>
    <row r="16" spans="1:24">
      <c r="H16" s="1489"/>
      <c r="U16" s="1493"/>
    </row>
    <row r="17" spans="3:22">
      <c r="S17" s="1502" t="s">
        <v>1397</v>
      </c>
      <c r="T17" s="1503"/>
      <c r="U17" s="1496">
        <f>(W15-D5-D7-D9-D22)/D12</f>
        <v>4.4712000000000209</v>
      </c>
    </row>
    <row r="18" spans="3:22">
      <c r="H18" s="1490" t="s">
        <v>1397</v>
      </c>
      <c r="U18" s="1497" t="s">
        <v>1409</v>
      </c>
    </row>
    <row r="19" spans="3:22">
      <c r="U19" s="1498" t="s">
        <v>443</v>
      </c>
    </row>
    <row r="20" spans="3:22">
      <c r="S20" s="1490" t="s">
        <v>1397</v>
      </c>
    </row>
    <row r="21" spans="3:22">
      <c r="H21" s="1490" t="s">
        <v>1395</v>
      </c>
    </row>
    <row r="22" spans="3:22">
      <c r="C22" s="1491" t="s">
        <v>1400</v>
      </c>
      <c r="D22" s="1499">
        <v>0.5</v>
      </c>
      <c r="E22" s="1489" t="s">
        <v>163</v>
      </c>
      <c r="H22" s="1489"/>
    </row>
    <row r="23" spans="3:22">
      <c r="H23" s="1489"/>
      <c r="K23" s="1491" t="s">
        <v>1406</v>
      </c>
      <c r="L23" s="469">
        <v>1.25</v>
      </c>
      <c r="M23" s="1489" t="s">
        <v>163</v>
      </c>
      <c r="S23" s="1490" t="s">
        <v>1395</v>
      </c>
    </row>
    <row r="25" spans="3:22" ht="15.75">
      <c r="F25" s="2929" t="s">
        <v>1402</v>
      </c>
      <c r="G25" s="2930"/>
      <c r="H25" s="1500">
        <f>(J5-A13)</f>
        <v>142.6</v>
      </c>
      <c r="I25" s="1501" t="s">
        <v>163</v>
      </c>
    </row>
    <row r="26" spans="3:22">
      <c r="F26" s="1491"/>
      <c r="G26" s="1491"/>
      <c r="H26" s="2934"/>
      <c r="I26" s="2934"/>
    </row>
    <row r="27" spans="3:22" ht="15.75">
      <c r="G27" s="1489"/>
      <c r="N27" s="2929" t="s">
        <v>1402</v>
      </c>
      <c r="O27" s="2930"/>
      <c r="P27" s="1500">
        <f>H25-P28</f>
        <v>142.51439999999999</v>
      </c>
      <c r="Q27" s="1501" t="s">
        <v>163</v>
      </c>
    </row>
    <row r="28" spans="3:22">
      <c r="I28" s="2931" t="s">
        <v>1405</v>
      </c>
      <c r="J28" s="2931"/>
      <c r="K28" s="2932"/>
      <c r="L28" s="469">
        <v>8.56</v>
      </c>
      <c r="M28" s="1489" t="s">
        <v>163</v>
      </c>
      <c r="P28" s="1513">
        <f>Q28/100</f>
        <v>8.5600000000000009E-2</v>
      </c>
      <c r="Q28" s="1490">
        <f>L28*L29</f>
        <v>8.56</v>
      </c>
      <c r="R28" s="1490" t="s">
        <v>255</v>
      </c>
    </row>
    <row r="29" spans="3:22">
      <c r="J29" s="2931" t="s">
        <v>1408</v>
      </c>
      <c r="K29" s="2932"/>
      <c r="L29" s="469">
        <v>1</v>
      </c>
      <c r="Q29" s="2931" t="s">
        <v>1407</v>
      </c>
      <c r="R29" s="2931"/>
      <c r="S29" s="1489"/>
    </row>
    <row r="30" spans="3:22">
      <c r="I30" s="2933" t="s">
        <v>1404</v>
      </c>
      <c r="J30" s="2933"/>
      <c r="K30" s="2933"/>
      <c r="L30" s="1506">
        <f>L28/L23</f>
        <v>6.8480000000000008</v>
      </c>
      <c r="M30" s="1490" t="s">
        <v>88</v>
      </c>
      <c r="R30" s="1489"/>
    </row>
    <row r="31" spans="3:22">
      <c r="R31" s="1509"/>
      <c r="S31" s="1510"/>
      <c r="T31" s="1510"/>
      <c r="U31" s="1510"/>
      <c r="V31" s="1511"/>
    </row>
    <row r="32" spans="3:22">
      <c r="R32" s="1509"/>
      <c r="S32" s="1510"/>
      <c r="T32" s="1510"/>
      <c r="U32" s="1510"/>
      <c r="V32" s="1512"/>
    </row>
    <row r="33" spans="17:22">
      <c r="R33" s="1509"/>
      <c r="S33" s="1510"/>
      <c r="T33" s="1510"/>
      <c r="U33" s="2928"/>
      <c r="V33" s="2928"/>
    </row>
    <row r="34" spans="17:22">
      <c r="Q34" s="1509"/>
      <c r="R34" s="1510"/>
      <c r="S34" s="1510"/>
      <c r="T34" s="1510"/>
      <c r="U34" s="1511" t="s">
        <v>818</v>
      </c>
    </row>
    <row r="35" spans="17:22">
      <c r="Q35" s="1509"/>
      <c r="R35" s="1510"/>
      <c r="S35" s="1510"/>
      <c r="T35" s="1510"/>
      <c r="U35" s="1512" t="s">
        <v>17</v>
      </c>
    </row>
    <row r="36" spans="17:22">
      <c r="Q36" s="1509"/>
      <c r="R36" s="1510"/>
      <c r="S36" s="1510"/>
      <c r="T36" s="2928">
        <v>2026</v>
      </c>
      <c r="U36" s="2928"/>
    </row>
  </sheetData>
  <sheetProtection algorithmName="SHA-512" hashValue="Bigdc68tpbByfC6NmgrsPvVVmBtqUfL5ZsMcmxlkdu1pFBPXoRiWnQVcJgjNJs2VF7kLBjpPR9x1a5P3t+Hnaw==" saltValue="vYYnfgPHTNHu/PSIDfah1g==" spinCount="100000" sheet="1" objects="1" selectLockedCells="1"/>
  <mergeCells count="9">
    <mergeCell ref="T36:U36"/>
    <mergeCell ref="U33:V33"/>
    <mergeCell ref="F25:G25"/>
    <mergeCell ref="J29:K29"/>
    <mergeCell ref="I30:K30"/>
    <mergeCell ref="I28:K28"/>
    <mergeCell ref="Q29:R29"/>
    <mergeCell ref="N27:O27"/>
    <mergeCell ref="H26:I26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W38"/>
  <sheetViews>
    <sheetView showGridLines="0" showRowColHeaders="0" zoomScale="93" zoomScaleNormal="93" workbookViewId="0">
      <selection activeCell="D7" sqref="D7"/>
    </sheetView>
  </sheetViews>
  <sheetFormatPr defaultColWidth="9.140625" defaultRowHeight="15"/>
  <cols>
    <col min="1" max="1" width="9.140625" style="672"/>
    <col min="2" max="2" width="5.140625" style="672" customWidth="1"/>
    <col min="3" max="3" width="11.140625" style="672" customWidth="1"/>
    <col min="4" max="4" width="11.42578125" style="672" customWidth="1"/>
    <col min="5" max="5" width="11.85546875" style="672" customWidth="1"/>
    <col min="6" max="6" width="11.28515625" style="672" customWidth="1"/>
    <col min="7" max="7" width="21.5703125" style="672" customWidth="1"/>
    <col min="8" max="9" width="9.140625" style="672"/>
    <col min="10" max="10" width="10.5703125" style="672" customWidth="1"/>
    <col min="11" max="15" width="9.140625" style="672"/>
    <col min="16" max="16" width="4.85546875" style="672" customWidth="1"/>
    <col min="17" max="17" width="6.85546875" style="672" customWidth="1"/>
    <col min="18" max="18" width="3.5703125" style="672" customWidth="1"/>
    <col min="19" max="19" width="2.140625" style="672" customWidth="1"/>
    <col min="20" max="20" width="5.5703125" style="672" customWidth="1"/>
    <col min="21" max="21" width="6.140625" style="672" customWidth="1"/>
    <col min="22" max="22" width="4.7109375" style="672" customWidth="1"/>
    <col min="23" max="23" width="5.140625" style="672" customWidth="1"/>
    <col min="24" max="16384" width="9.140625" style="672"/>
  </cols>
  <sheetData>
    <row r="2" spans="2:23" ht="15.75" thickBot="1"/>
    <row r="3" spans="2:23" ht="27.6" customHeight="1" thickBot="1">
      <c r="B3" s="2941" t="s">
        <v>1362</v>
      </c>
      <c r="C3" s="2942"/>
      <c r="D3" s="2942"/>
      <c r="E3" s="2942"/>
      <c r="F3" s="2943"/>
    </row>
    <row r="4" spans="2:23" ht="19.5" customHeight="1">
      <c r="C4" s="1847"/>
    </row>
    <row r="5" spans="2:23" ht="15.75" thickBot="1">
      <c r="D5" s="1419" t="s">
        <v>1357</v>
      </c>
    </row>
    <row r="6" spans="2:23" ht="15.75" thickBot="1">
      <c r="D6" s="1420" t="s">
        <v>1358</v>
      </c>
      <c r="E6" s="1421" t="s">
        <v>1359</v>
      </c>
      <c r="F6" s="1422" t="s">
        <v>1360</v>
      </c>
      <c r="G6" s="1423"/>
      <c r="Q6" s="1424"/>
    </row>
    <row r="7" spans="2:23" ht="15.75" thickBot="1">
      <c r="D7" s="1457">
        <v>1</v>
      </c>
      <c r="E7" s="1458">
        <v>1</v>
      </c>
      <c r="F7" s="1459">
        <v>1</v>
      </c>
      <c r="G7" s="1423"/>
      <c r="O7" s="1450" t="s">
        <v>1353</v>
      </c>
      <c r="P7" s="1451"/>
      <c r="Q7" s="1451"/>
      <c r="R7" s="1451"/>
      <c r="S7" s="1451"/>
      <c r="T7" s="1451"/>
      <c r="U7" s="1452"/>
    </row>
    <row r="8" spans="2:23" ht="15.75" thickBot="1">
      <c r="O8" s="1453" t="s">
        <v>1327</v>
      </c>
      <c r="P8" s="1454"/>
      <c r="Q8" s="1454"/>
      <c r="R8" s="1454"/>
      <c r="S8" s="1454"/>
      <c r="T8" s="1443">
        <v>1.6</v>
      </c>
      <c r="U8" s="1444" t="s">
        <v>1317</v>
      </c>
    </row>
    <row r="9" spans="2:23" ht="15.75" thickBot="1">
      <c r="C9" s="1425" t="s">
        <v>1361</v>
      </c>
      <c r="D9" s="1418">
        <f>D7*E7*F7</f>
        <v>1</v>
      </c>
    </row>
    <row r="10" spans="2:23">
      <c r="H10" s="1426" t="s">
        <v>1333</v>
      </c>
      <c r="J10" s="2938" t="s">
        <v>358</v>
      </c>
      <c r="K10" s="2939"/>
      <c r="L10" s="2940"/>
      <c r="P10" s="1264"/>
      <c r="Q10" s="728"/>
      <c r="R10" s="728"/>
      <c r="S10" s="728"/>
      <c r="T10" s="728"/>
      <c r="U10" s="728"/>
      <c r="V10" s="730"/>
    </row>
    <row r="11" spans="2:23" ht="15.75" thickBot="1">
      <c r="H11" s="1427" t="s">
        <v>247</v>
      </c>
      <c r="J11" s="1428" t="s">
        <v>1317</v>
      </c>
      <c r="K11" s="1429" t="s">
        <v>357</v>
      </c>
      <c r="L11" s="1430" t="s">
        <v>133</v>
      </c>
      <c r="P11" s="733"/>
      <c r="Q11" s="1431" t="s">
        <v>1352</v>
      </c>
      <c r="R11" s="1431"/>
      <c r="S11" s="673"/>
      <c r="T11" s="673"/>
      <c r="V11" s="1432"/>
    </row>
    <row r="12" spans="2:23">
      <c r="E12" s="1445" t="s">
        <v>1316</v>
      </c>
      <c r="F12" s="1446"/>
      <c r="G12" s="1446"/>
      <c r="H12" s="1447">
        <v>1600</v>
      </c>
      <c r="J12" s="1434">
        <f>K12/1000</f>
        <v>1.6</v>
      </c>
      <c r="K12" s="1434">
        <f>H12*L12</f>
        <v>1600</v>
      </c>
      <c r="L12" s="1435">
        <f>D$9</f>
        <v>1</v>
      </c>
      <c r="P12" s="733"/>
      <c r="Q12" s="1455">
        <v>18</v>
      </c>
      <c r="R12" s="466" t="s">
        <v>133</v>
      </c>
      <c r="S12" s="673"/>
      <c r="T12" s="672">
        <f>Q12*T8</f>
        <v>28.8</v>
      </c>
      <c r="U12" s="673" t="s">
        <v>1317</v>
      </c>
      <c r="V12" s="1432"/>
    </row>
    <row r="13" spans="2:23" ht="15.75" thickBot="1">
      <c r="E13" s="1445" t="s">
        <v>1328</v>
      </c>
      <c r="F13" s="1446"/>
      <c r="G13" s="1446"/>
      <c r="H13" s="1448">
        <v>1420</v>
      </c>
      <c r="J13" s="1436">
        <f t="shared" ref="J13:J38" si="0">K13/1000</f>
        <v>1.42</v>
      </c>
      <c r="K13" s="1436">
        <f>H13*L13</f>
        <v>1420</v>
      </c>
      <c r="L13" s="526">
        <f t="shared" ref="L13:L38" si="1">D$9</f>
        <v>1</v>
      </c>
      <c r="P13" s="734"/>
      <c r="Q13" s="735"/>
      <c r="R13" s="735"/>
      <c r="S13" s="735"/>
      <c r="T13" s="735"/>
      <c r="U13" s="735"/>
      <c r="V13" s="736"/>
    </row>
    <row r="14" spans="2:23" ht="15.75" thickBot="1">
      <c r="E14" s="1445" t="s">
        <v>1329</v>
      </c>
      <c r="F14" s="1446"/>
      <c r="G14" s="1446"/>
      <c r="H14" s="1448">
        <v>1760</v>
      </c>
      <c r="J14" s="1436">
        <f t="shared" si="0"/>
        <v>1.76</v>
      </c>
      <c r="K14" s="1436">
        <f t="shared" ref="K14:K38" si="2">H14*L14</f>
        <v>1760</v>
      </c>
      <c r="L14" s="526">
        <f t="shared" si="1"/>
        <v>1</v>
      </c>
    </row>
    <row r="15" spans="2:23" ht="15.75" customHeight="1">
      <c r="E15" s="1449" t="s">
        <v>1330</v>
      </c>
      <c r="F15" s="1446"/>
      <c r="G15" s="1446"/>
      <c r="H15" s="1448">
        <v>1400</v>
      </c>
      <c r="J15" s="1436">
        <f t="shared" si="0"/>
        <v>1.4</v>
      </c>
      <c r="K15" s="1436">
        <f t="shared" si="2"/>
        <v>1400</v>
      </c>
      <c r="L15" s="526">
        <f t="shared" si="1"/>
        <v>1</v>
      </c>
      <c r="O15" s="2935" t="s">
        <v>1325</v>
      </c>
      <c r="P15" s="2936"/>
      <c r="Q15" s="2936"/>
      <c r="R15" s="2936"/>
      <c r="S15" s="2936"/>
      <c r="T15" s="2936"/>
      <c r="U15" s="2936"/>
      <c r="V15" s="2936"/>
      <c r="W15" s="2937"/>
    </row>
    <row r="16" spans="2:23" ht="15.75" customHeight="1">
      <c r="E16" s="1449" t="s">
        <v>1331</v>
      </c>
      <c r="F16" s="1446"/>
      <c r="G16" s="1446"/>
      <c r="H16" s="1448">
        <v>1600</v>
      </c>
      <c r="J16" s="1436">
        <f t="shared" si="0"/>
        <v>1.6</v>
      </c>
      <c r="K16" s="1436">
        <f t="shared" si="2"/>
        <v>1600</v>
      </c>
      <c r="L16" s="526">
        <f t="shared" si="1"/>
        <v>1</v>
      </c>
      <c r="O16" s="1416"/>
      <c r="P16" s="1437" t="s">
        <v>1324</v>
      </c>
      <c r="U16" s="1438" t="s">
        <v>1326</v>
      </c>
      <c r="W16" s="732"/>
    </row>
    <row r="17" spans="5:23">
      <c r="E17" s="1449" t="s">
        <v>1332</v>
      </c>
      <c r="F17" s="1446"/>
      <c r="G17" s="1446"/>
      <c r="H17" s="1448">
        <v>1800</v>
      </c>
      <c r="J17" s="1436">
        <f t="shared" si="0"/>
        <v>1.8</v>
      </c>
      <c r="K17" s="1436">
        <f t="shared" si="2"/>
        <v>1800</v>
      </c>
      <c r="L17" s="526">
        <f t="shared" si="1"/>
        <v>1</v>
      </c>
      <c r="O17" s="733"/>
      <c r="P17" s="746" t="s">
        <v>1318</v>
      </c>
      <c r="Q17" s="747">
        <v>6</v>
      </c>
      <c r="R17" s="747" t="s">
        <v>133</v>
      </c>
      <c r="S17" s="747"/>
      <c r="T17" s="747"/>
      <c r="U17" s="747"/>
      <c r="V17" s="747">
        <f t="shared" ref="V17:V22" si="3">ROUNDUP(W17/Q17,0)</f>
        <v>3</v>
      </c>
      <c r="W17" s="1456">
        <f t="shared" ref="W17:W22" si="4">Q$12</f>
        <v>18</v>
      </c>
    </row>
    <row r="18" spans="5:23">
      <c r="E18" s="1449" t="s">
        <v>1334</v>
      </c>
      <c r="F18" s="1446"/>
      <c r="G18" s="1446"/>
      <c r="H18" s="1448">
        <v>2000</v>
      </c>
      <c r="J18" s="1436">
        <f t="shared" si="0"/>
        <v>2</v>
      </c>
      <c r="K18" s="1436">
        <f t="shared" si="2"/>
        <v>2000</v>
      </c>
      <c r="L18" s="526">
        <f t="shared" si="1"/>
        <v>1</v>
      </c>
      <c r="M18" s="1424"/>
      <c r="O18" s="1439"/>
      <c r="P18" s="1440" t="s">
        <v>1319</v>
      </c>
      <c r="Q18" s="1433">
        <v>8</v>
      </c>
      <c r="R18" s="1433" t="s">
        <v>133</v>
      </c>
      <c r="S18" s="1433"/>
      <c r="T18" s="1433"/>
      <c r="U18" s="1433"/>
      <c r="V18" s="1433">
        <f t="shared" si="3"/>
        <v>3</v>
      </c>
      <c r="W18" s="1456">
        <f t="shared" si="4"/>
        <v>18</v>
      </c>
    </row>
    <row r="19" spans="5:23">
      <c r="E19" s="1449" t="s">
        <v>1335</v>
      </c>
      <c r="F19" s="1446"/>
      <c r="G19" s="1446"/>
      <c r="H19" s="1448">
        <v>2200</v>
      </c>
      <c r="J19" s="1436">
        <f t="shared" si="0"/>
        <v>2.2000000000000002</v>
      </c>
      <c r="K19" s="1436">
        <f t="shared" si="2"/>
        <v>2200</v>
      </c>
      <c r="L19" s="526">
        <f t="shared" si="1"/>
        <v>1</v>
      </c>
      <c r="O19" s="733"/>
      <c r="P19" s="1440" t="s">
        <v>1320</v>
      </c>
      <c r="Q19" s="1433">
        <v>12</v>
      </c>
      <c r="R19" s="1433" t="s">
        <v>133</v>
      </c>
      <c r="S19" s="1433"/>
      <c r="T19" s="1433"/>
      <c r="U19" s="1433"/>
      <c r="V19" s="1433">
        <f t="shared" si="3"/>
        <v>2</v>
      </c>
      <c r="W19" s="1456">
        <f t="shared" si="4"/>
        <v>18</v>
      </c>
    </row>
    <row r="20" spans="5:23">
      <c r="E20" s="1449" t="s">
        <v>1336</v>
      </c>
      <c r="F20" s="1446"/>
      <c r="G20" s="1446"/>
      <c r="H20" s="1448">
        <v>2400</v>
      </c>
      <c r="J20" s="1436">
        <f t="shared" si="0"/>
        <v>2.4</v>
      </c>
      <c r="K20" s="1436">
        <f t="shared" si="2"/>
        <v>2400</v>
      </c>
      <c r="L20" s="526">
        <f t="shared" si="1"/>
        <v>1</v>
      </c>
      <c r="O20" s="733"/>
      <c r="P20" s="1440" t="s">
        <v>1321</v>
      </c>
      <c r="Q20" s="1433">
        <v>14</v>
      </c>
      <c r="R20" s="1433" t="s">
        <v>133</v>
      </c>
      <c r="S20" s="1433"/>
      <c r="T20" s="1433"/>
      <c r="U20" s="1433"/>
      <c r="V20" s="1433">
        <f t="shared" si="3"/>
        <v>2</v>
      </c>
      <c r="W20" s="1456">
        <f t="shared" si="4"/>
        <v>18</v>
      </c>
    </row>
    <row r="21" spans="5:23">
      <c r="E21" s="1449" t="s">
        <v>1337</v>
      </c>
      <c r="F21" s="1446"/>
      <c r="G21" s="1446"/>
      <c r="H21" s="1448">
        <v>2600</v>
      </c>
      <c r="J21" s="1436">
        <f t="shared" si="0"/>
        <v>2.6</v>
      </c>
      <c r="K21" s="1436">
        <f t="shared" si="2"/>
        <v>2600</v>
      </c>
      <c r="L21" s="526">
        <f t="shared" si="1"/>
        <v>1</v>
      </c>
      <c r="O21" s="733"/>
      <c r="P21" s="1440" t="s">
        <v>1322</v>
      </c>
      <c r="Q21" s="1433">
        <v>16</v>
      </c>
      <c r="R21" s="1433" t="s">
        <v>133</v>
      </c>
      <c r="S21" s="1433"/>
      <c r="T21" s="1433"/>
      <c r="U21" s="1433"/>
      <c r="V21" s="1433">
        <f t="shared" si="3"/>
        <v>2</v>
      </c>
      <c r="W21" s="1456">
        <f t="shared" si="4"/>
        <v>18</v>
      </c>
    </row>
    <row r="22" spans="5:23">
      <c r="E22" s="1449" t="s">
        <v>1338</v>
      </c>
      <c r="F22" s="1446"/>
      <c r="G22" s="1446"/>
      <c r="H22" s="1448">
        <v>2800</v>
      </c>
      <c r="J22" s="1436">
        <f t="shared" si="0"/>
        <v>2.8</v>
      </c>
      <c r="K22" s="1436">
        <f t="shared" si="2"/>
        <v>2800</v>
      </c>
      <c r="L22" s="526">
        <f t="shared" si="1"/>
        <v>1</v>
      </c>
      <c r="O22" s="733"/>
      <c r="P22" s="1440" t="s">
        <v>1323</v>
      </c>
      <c r="Q22" s="1433">
        <v>18</v>
      </c>
      <c r="R22" s="1433" t="s">
        <v>133</v>
      </c>
      <c r="S22" s="1433"/>
      <c r="T22" s="1433"/>
      <c r="U22" s="1433"/>
      <c r="V22" s="1433">
        <f t="shared" si="3"/>
        <v>1</v>
      </c>
      <c r="W22" s="1456">
        <f t="shared" si="4"/>
        <v>18</v>
      </c>
    </row>
    <row r="23" spans="5:23" ht="15.75" thickBot="1">
      <c r="E23" s="1449" t="s">
        <v>1339</v>
      </c>
      <c r="F23" s="1446"/>
      <c r="G23" s="1446"/>
      <c r="H23" s="1448">
        <v>1000</v>
      </c>
      <c r="J23" s="1436">
        <f t="shared" si="0"/>
        <v>1</v>
      </c>
      <c r="K23" s="1436">
        <f t="shared" si="2"/>
        <v>1000</v>
      </c>
      <c r="L23" s="526">
        <f t="shared" si="1"/>
        <v>1</v>
      </c>
      <c r="O23" s="734"/>
      <c r="P23" s="1441"/>
      <c r="Q23" s="735"/>
      <c r="R23" s="735"/>
      <c r="S23" s="735"/>
      <c r="T23" s="735"/>
      <c r="U23" s="735"/>
      <c r="V23" s="735"/>
      <c r="W23" s="736"/>
    </row>
    <row r="24" spans="5:23">
      <c r="E24" s="1449" t="s">
        <v>1340</v>
      </c>
      <c r="F24" s="1446"/>
      <c r="G24" s="1446"/>
      <c r="H24" s="1448">
        <v>600</v>
      </c>
      <c r="J24" s="1436">
        <f t="shared" si="0"/>
        <v>0.6</v>
      </c>
      <c r="K24" s="1436">
        <f t="shared" si="2"/>
        <v>600</v>
      </c>
      <c r="L24" s="526">
        <f t="shared" si="1"/>
        <v>1</v>
      </c>
    </row>
    <row r="25" spans="5:23">
      <c r="E25" s="1449" t="s">
        <v>1341</v>
      </c>
      <c r="F25" s="1446"/>
      <c r="G25" s="1446"/>
      <c r="H25" s="1448">
        <v>1000</v>
      </c>
      <c r="J25" s="1436">
        <f t="shared" si="0"/>
        <v>1</v>
      </c>
      <c r="K25" s="1436">
        <f t="shared" si="2"/>
        <v>1000</v>
      </c>
      <c r="L25" s="526">
        <f t="shared" si="1"/>
        <v>1</v>
      </c>
    </row>
    <row r="26" spans="5:23">
      <c r="E26" s="1449" t="s">
        <v>1342</v>
      </c>
      <c r="F26" s="1446"/>
      <c r="G26" s="1446"/>
      <c r="H26" s="1448">
        <v>1500</v>
      </c>
      <c r="J26" s="1436">
        <f t="shared" si="0"/>
        <v>1.5</v>
      </c>
      <c r="K26" s="1436">
        <f t="shared" si="2"/>
        <v>1500</v>
      </c>
      <c r="L26" s="526">
        <f t="shared" si="1"/>
        <v>1</v>
      </c>
    </row>
    <row r="27" spans="5:23">
      <c r="E27" s="1449" t="s">
        <v>1343</v>
      </c>
      <c r="F27" s="1446"/>
      <c r="G27" s="1446"/>
      <c r="H27" s="1448">
        <v>100</v>
      </c>
      <c r="J27" s="1436">
        <f t="shared" si="0"/>
        <v>0.1</v>
      </c>
      <c r="K27" s="1436">
        <f t="shared" si="2"/>
        <v>100</v>
      </c>
      <c r="L27" s="526">
        <f t="shared" si="1"/>
        <v>1</v>
      </c>
    </row>
    <row r="28" spans="5:23">
      <c r="E28" s="1449" t="s">
        <v>1344</v>
      </c>
      <c r="F28" s="1446"/>
      <c r="G28" s="1446"/>
      <c r="H28" s="1448">
        <v>1400</v>
      </c>
      <c r="J28" s="1436">
        <f t="shared" si="0"/>
        <v>1.4</v>
      </c>
      <c r="K28" s="1436">
        <f t="shared" si="2"/>
        <v>1400</v>
      </c>
      <c r="L28" s="526">
        <f t="shared" si="1"/>
        <v>1</v>
      </c>
      <c r="P28" s="1442"/>
      <c r="Q28" s="681"/>
      <c r="R28" s="681"/>
      <c r="S28" s="681"/>
      <c r="T28" s="699" t="s">
        <v>818</v>
      </c>
    </row>
    <row r="29" spans="5:23">
      <c r="E29" s="1449" t="s">
        <v>1345</v>
      </c>
      <c r="F29" s="1446"/>
      <c r="G29" s="1446"/>
      <c r="H29" s="1448">
        <v>2200</v>
      </c>
      <c r="J29" s="1436">
        <f t="shared" si="0"/>
        <v>2.2000000000000002</v>
      </c>
      <c r="K29" s="1436">
        <f t="shared" si="2"/>
        <v>2200</v>
      </c>
      <c r="L29" s="526">
        <f t="shared" si="1"/>
        <v>1</v>
      </c>
      <c r="P29" s="1442"/>
      <c r="Q29" s="681"/>
      <c r="R29" s="681"/>
      <c r="S29" s="681"/>
      <c r="T29" s="700" t="s">
        <v>17</v>
      </c>
    </row>
    <row r="30" spans="5:23">
      <c r="E30" s="1449" t="s">
        <v>1346</v>
      </c>
      <c r="F30" s="1446"/>
      <c r="G30" s="1446"/>
      <c r="H30" s="1448">
        <v>2400</v>
      </c>
      <c r="J30" s="1436">
        <f t="shared" si="0"/>
        <v>2.4</v>
      </c>
      <c r="K30" s="1436">
        <f t="shared" si="2"/>
        <v>2400</v>
      </c>
      <c r="L30" s="526">
        <f t="shared" si="1"/>
        <v>1</v>
      </c>
      <c r="P30" s="1442"/>
      <c r="Q30" s="681"/>
      <c r="R30" s="681"/>
      <c r="S30" s="2917">
        <v>2026</v>
      </c>
      <c r="T30" s="2917"/>
    </row>
    <row r="31" spans="5:23">
      <c r="E31" s="1449" t="s">
        <v>1347</v>
      </c>
      <c r="F31" s="1446"/>
      <c r="G31" s="1446"/>
      <c r="H31" s="1448">
        <v>2500</v>
      </c>
      <c r="J31" s="1436">
        <f t="shared" si="0"/>
        <v>2.5</v>
      </c>
      <c r="K31" s="1436">
        <f t="shared" si="2"/>
        <v>2500</v>
      </c>
      <c r="L31" s="526">
        <f t="shared" si="1"/>
        <v>1</v>
      </c>
    </row>
    <row r="32" spans="5:23">
      <c r="E32" s="1445" t="s">
        <v>1348</v>
      </c>
      <c r="F32" s="1446"/>
      <c r="G32" s="1446"/>
      <c r="H32" s="1448">
        <v>7850</v>
      </c>
      <c r="J32" s="1436">
        <f t="shared" si="0"/>
        <v>7.85</v>
      </c>
      <c r="K32" s="1436">
        <f t="shared" si="2"/>
        <v>7850</v>
      </c>
      <c r="L32" s="526">
        <f t="shared" si="1"/>
        <v>1</v>
      </c>
    </row>
    <row r="33" spans="5:12">
      <c r="E33" s="1445" t="s">
        <v>1349</v>
      </c>
      <c r="F33" s="1446"/>
      <c r="G33" s="1446"/>
      <c r="H33" s="1448">
        <v>2700</v>
      </c>
      <c r="J33" s="1436">
        <f t="shared" si="0"/>
        <v>2.7</v>
      </c>
      <c r="K33" s="1436">
        <f t="shared" si="2"/>
        <v>2700</v>
      </c>
      <c r="L33" s="526">
        <f t="shared" si="1"/>
        <v>1</v>
      </c>
    </row>
    <row r="34" spans="5:12">
      <c r="E34" s="1445" t="s">
        <v>1350</v>
      </c>
      <c r="F34" s="1446"/>
      <c r="G34" s="1446"/>
      <c r="H34" s="1448">
        <v>2900</v>
      </c>
      <c r="J34" s="1436">
        <f t="shared" si="0"/>
        <v>2.9</v>
      </c>
      <c r="K34" s="1436">
        <f t="shared" si="2"/>
        <v>2900</v>
      </c>
      <c r="L34" s="526">
        <f t="shared" si="1"/>
        <v>1</v>
      </c>
    </row>
    <row r="35" spans="5:12">
      <c r="E35" s="1445" t="s">
        <v>1351</v>
      </c>
      <c r="F35" s="1446"/>
      <c r="G35" s="1446"/>
      <c r="H35" s="1448">
        <v>11400</v>
      </c>
      <c r="J35" s="1436">
        <f t="shared" si="0"/>
        <v>11.4</v>
      </c>
      <c r="K35" s="1436">
        <f t="shared" si="2"/>
        <v>11400</v>
      </c>
      <c r="L35" s="526">
        <f t="shared" si="1"/>
        <v>1</v>
      </c>
    </row>
    <row r="36" spans="5:12">
      <c r="E36" s="1445" t="s">
        <v>1354</v>
      </c>
      <c r="F36" s="1446"/>
      <c r="G36" s="1446"/>
      <c r="H36" s="1448">
        <v>7200</v>
      </c>
      <c r="J36" s="1436">
        <f t="shared" si="0"/>
        <v>7.2</v>
      </c>
      <c r="K36" s="1436">
        <f t="shared" si="2"/>
        <v>7200</v>
      </c>
      <c r="L36" s="526">
        <f t="shared" si="1"/>
        <v>1</v>
      </c>
    </row>
    <row r="37" spans="5:12">
      <c r="E37" s="1445" t="s">
        <v>1355</v>
      </c>
      <c r="F37" s="1446"/>
      <c r="G37" s="1446"/>
      <c r="H37" s="1448">
        <v>7200</v>
      </c>
      <c r="J37" s="1436">
        <f t="shared" si="0"/>
        <v>7.2</v>
      </c>
      <c r="K37" s="1436">
        <f t="shared" si="2"/>
        <v>7200</v>
      </c>
      <c r="L37" s="526">
        <f t="shared" si="1"/>
        <v>1</v>
      </c>
    </row>
    <row r="38" spans="5:12">
      <c r="E38" s="1445" t="s">
        <v>1356</v>
      </c>
      <c r="F38" s="1446"/>
      <c r="G38" s="1446"/>
      <c r="H38" s="1448">
        <v>8900</v>
      </c>
      <c r="J38" s="1436">
        <f t="shared" si="0"/>
        <v>8.9</v>
      </c>
      <c r="K38" s="1436">
        <f t="shared" si="2"/>
        <v>8900</v>
      </c>
      <c r="L38" s="526">
        <f t="shared" si="1"/>
        <v>1</v>
      </c>
    </row>
  </sheetData>
  <sheetProtection algorithmName="SHA-512" hashValue="wE11s1jZ/tpnLMyeba8w3nQgWgOmxlE4UIwKTnWtWSmOT3Vm+usyEw7sdB9rgVYAbCmtDE6pxi+Qga+vREHV2w==" saltValue="ADw21wi6aG8jmjSGm846BQ==" spinCount="100000" sheet="1" objects="1" selectLockedCells="1"/>
  <mergeCells count="4">
    <mergeCell ref="O15:W15"/>
    <mergeCell ref="J10:L10"/>
    <mergeCell ref="S30:T30"/>
    <mergeCell ref="B3:F3"/>
  </mergeCells>
  <phoneticPr fontId="274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C44"/>
  <sheetViews>
    <sheetView showGridLines="0" showRowColHeaders="0" zoomScale="77" zoomScaleNormal="77" workbookViewId="0">
      <selection activeCell="P43" sqref="P43"/>
    </sheetView>
  </sheetViews>
  <sheetFormatPr defaultColWidth="9.140625" defaultRowHeight="15"/>
  <cols>
    <col min="1" max="1" width="4.140625" style="1463" customWidth="1"/>
    <col min="2" max="5" width="9.140625" style="1463"/>
    <col min="6" max="6" width="13" style="1463" bestFit="1" customWidth="1"/>
    <col min="7" max="7" width="8.42578125" style="1463" customWidth="1"/>
    <col min="8" max="8" width="9.140625" style="1463"/>
    <col min="9" max="9" width="12" style="1463" bestFit="1" customWidth="1"/>
    <col min="10" max="13" width="9.140625" style="1463"/>
    <col min="14" max="14" width="4" style="1463" customWidth="1"/>
    <col min="15" max="18" width="9.140625" style="1463"/>
    <col min="19" max="19" width="12" style="1463" bestFit="1" customWidth="1"/>
    <col min="20" max="21" width="9.140625" style="1463"/>
    <col min="22" max="22" width="12" style="1463" bestFit="1" customWidth="1"/>
    <col min="23" max="24" width="9.140625" style="1463"/>
    <col min="25" max="25" width="12" style="1463" bestFit="1" customWidth="1"/>
    <col min="26" max="27" width="9.140625" style="1463"/>
    <col min="28" max="28" width="9.7109375" style="1463" customWidth="1"/>
    <col min="29" max="16384" width="9.140625" style="1463"/>
  </cols>
  <sheetData>
    <row r="2" spans="2:29" ht="36.75" customHeight="1">
      <c r="B2" s="1848" t="s">
        <v>796</v>
      </c>
      <c r="C2" s="1848"/>
      <c r="D2" s="1849"/>
      <c r="E2" s="1849"/>
    </row>
    <row r="3" spans="2:29" ht="8.25" customHeight="1" thickBot="1"/>
    <row r="4" spans="2:29" ht="20.25">
      <c r="B4" s="1464"/>
      <c r="C4" s="1465"/>
      <c r="D4" s="1466"/>
      <c r="E4" s="1466"/>
      <c r="F4" s="1466"/>
      <c r="G4" s="1466"/>
      <c r="H4" s="1466"/>
      <c r="I4" s="1466"/>
      <c r="J4" s="1466"/>
      <c r="K4" s="1466"/>
      <c r="L4" s="1466"/>
      <c r="M4" s="1466"/>
      <c r="N4" s="1467"/>
      <c r="O4" s="1466"/>
      <c r="P4" s="1465"/>
      <c r="Q4" s="1466"/>
      <c r="R4" s="1466"/>
      <c r="S4" s="1466"/>
      <c r="T4" s="1466"/>
      <c r="U4" s="1466"/>
      <c r="V4" s="1466"/>
      <c r="W4" s="1466"/>
      <c r="X4" s="1466"/>
      <c r="Y4" s="1466"/>
      <c r="Z4" s="1466"/>
      <c r="AA4" s="1466"/>
      <c r="AB4" s="1466"/>
      <c r="AC4" s="1467"/>
    </row>
    <row r="5" spans="2:29" ht="20.25">
      <c r="B5" s="1468"/>
      <c r="C5" s="2944" t="s">
        <v>1387</v>
      </c>
      <c r="D5" s="2944"/>
      <c r="N5" s="1469"/>
      <c r="P5" s="2944" t="s">
        <v>1369</v>
      </c>
      <c r="Q5" s="2944"/>
      <c r="AC5" s="1469"/>
    </row>
    <row r="6" spans="2:29">
      <c r="B6" s="1470" t="s">
        <v>93</v>
      </c>
      <c r="C6" s="1477">
        <v>1</v>
      </c>
      <c r="D6" s="338" t="s">
        <v>318</v>
      </c>
      <c r="F6" s="1479">
        <f>C6*0.000293072222222222</f>
        <v>2.9307222222222198E-4</v>
      </c>
      <c r="G6" s="673" t="s">
        <v>77</v>
      </c>
      <c r="I6" s="673">
        <f>C6*1055.06</f>
        <v>1055.06</v>
      </c>
      <c r="J6" s="673" t="s">
        <v>1373</v>
      </c>
      <c r="L6" s="673">
        <f>C6*0.251996751695805</f>
        <v>0.25199675169580499</v>
      </c>
      <c r="M6" s="673" t="s">
        <v>1386</v>
      </c>
      <c r="N6" s="1469"/>
      <c r="O6" s="1476" t="s">
        <v>93</v>
      </c>
      <c r="P6" s="1477">
        <v>10</v>
      </c>
      <c r="Q6" s="338" t="s">
        <v>425</v>
      </c>
      <c r="S6" s="673">
        <f>P6*0.000010204</f>
        <v>1.0203999999999999E-4</v>
      </c>
      <c r="T6" s="673" t="s">
        <v>642</v>
      </c>
      <c r="V6" s="673">
        <f>P6*0.0000098</f>
        <v>9.7999999999999997E-5</v>
      </c>
      <c r="W6" s="673" t="s">
        <v>1371</v>
      </c>
      <c r="Y6" s="673">
        <f>P6*0.000001</f>
        <v>9.9999999999999991E-6</v>
      </c>
      <c r="Z6" s="673" t="s">
        <v>1370</v>
      </c>
      <c r="AB6" s="673">
        <f>P6*0.00750061682704465</f>
        <v>7.5006168270446497E-2</v>
      </c>
      <c r="AC6" s="1432" t="s">
        <v>1372</v>
      </c>
    </row>
    <row r="7" spans="2:29">
      <c r="B7" s="1468"/>
      <c r="N7" s="1469"/>
      <c r="AC7" s="1469"/>
    </row>
    <row r="8" spans="2:29">
      <c r="B8" s="1470" t="s">
        <v>96</v>
      </c>
      <c r="C8" s="1477">
        <v>24</v>
      </c>
      <c r="D8" s="338" t="s">
        <v>77</v>
      </c>
      <c r="F8" s="1480">
        <f>C8*1000</f>
        <v>24000</v>
      </c>
      <c r="G8" s="673" t="s">
        <v>658</v>
      </c>
      <c r="I8" s="673">
        <f>C8*3412.128220196</f>
        <v>81891.077284703992</v>
      </c>
      <c r="J8" s="673" t="s">
        <v>318</v>
      </c>
      <c r="L8" s="1856">
        <f>C8*860</f>
        <v>20640</v>
      </c>
      <c r="M8" s="673" t="s">
        <v>1386</v>
      </c>
      <c r="N8" s="1469"/>
      <c r="O8" s="1476" t="s">
        <v>96</v>
      </c>
      <c r="P8" s="1477">
        <v>1</v>
      </c>
      <c r="Q8" s="338" t="s">
        <v>642</v>
      </c>
      <c r="S8" s="673">
        <f>P8*100000</f>
        <v>100000</v>
      </c>
      <c r="T8" s="673" t="s">
        <v>425</v>
      </c>
      <c r="V8" s="673">
        <f>P8*0.967182187865945</f>
        <v>0.96718218786594501</v>
      </c>
      <c r="W8" s="673" t="s">
        <v>1371</v>
      </c>
      <c r="Y8" s="673">
        <f>P8*0.098</f>
        <v>9.8000000000000004E-2</v>
      </c>
      <c r="Z8" s="673" t="s">
        <v>1370</v>
      </c>
      <c r="AB8" s="673">
        <f>P8*750.060449050376</f>
        <v>750.06044905037595</v>
      </c>
      <c r="AC8" s="1432" t="s">
        <v>1372</v>
      </c>
    </row>
    <row r="9" spans="2:29">
      <c r="B9" s="1468"/>
      <c r="N9" s="1469"/>
      <c r="AC9" s="1469"/>
    </row>
    <row r="10" spans="2:29">
      <c r="B10" s="1470" t="s">
        <v>97</v>
      </c>
      <c r="C10" s="1477">
        <v>1</v>
      </c>
      <c r="D10" s="338" t="s">
        <v>1373</v>
      </c>
      <c r="F10" s="673">
        <f>C10*0.00000027</f>
        <v>2.7000000000000001E-7</v>
      </c>
      <c r="G10" s="673" t="s">
        <v>77</v>
      </c>
      <c r="I10" s="673">
        <f>C10*0.000947813394498891</f>
        <v>9.4781339449889095E-4</v>
      </c>
      <c r="J10" s="673" t="s">
        <v>318</v>
      </c>
      <c r="L10" s="673">
        <f>C10*0.000238845896627495</f>
        <v>2.38845896627495E-4</v>
      </c>
      <c r="M10" s="673" t="s">
        <v>1386</v>
      </c>
      <c r="N10" s="1469"/>
      <c r="O10" s="1476" t="s">
        <v>97</v>
      </c>
      <c r="P10" s="1477">
        <v>1</v>
      </c>
      <c r="Q10" s="338" t="s">
        <v>1371</v>
      </c>
      <c r="S10" s="673">
        <f>P10*101325.2738</f>
        <v>101325.2738</v>
      </c>
      <c r="T10" s="673" t="s">
        <v>425</v>
      </c>
      <c r="V10" s="673">
        <f>P10*1.01325</f>
        <v>1.01325</v>
      </c>
      <c r="W10" s="673" t="s">
        <v>642</v>
      </c>
      <c r="Y10" s="673">
        <f>P10*0.101325273799999</f>
        <v>0.101325273799999</v>
      </c>
      <c r="Z10" s="673" t="s">
        <v>1370</v>
      </c>
      <c r="AB10" s="673">
        <f>P10*760.002053669187</f>
        <v>760.00205366918703</v>
      </c>
      <c r="AC10" s="1432" t="s">
        <v>1372</v>
      </c>
    </row>
    <row r="11" spans="2:29">
      <c r="B11" s="1468"/>
      <c r="N11" s="1469"/>
      <c r="O11" s="1476"/>
      <c r="AC11" s="1469"/>
    </row>
    <row r="12" spans="2:29">
      <c r="B12" s="1470" t="s">
        <v>98</v>
      </c>
      <c r="C12" s="1477">
        <v>20640</v>
      </c>
      <c r="D12" s="338" t="s">
        <v>1386</v>
      </c>
      <c r="F12" s="673">
        <f>C12/860</f>
        <v>24</v>
      </c>
      <c r="G12" s="673" t="s">
        <v>77</v>
      </c>
      <c r="I12" s="673">
        <f>C12*4186.8</f>
        <v>86415552</v>
      </c>
      <c r="J12" s="673" t="s">
        <v>1373</v>
      </c>
      <c r="L12" s="673">
        <f>C12*3.966</f>
        <v>81858.240000000005</v>
      </c>
      <c r="M12" s="673" t="s">
        <v>318</v>
      </c>
      <c r="N12" s="1469"/>
      <c r="O12" s="1476" t="s">
        <v>98</v>
      </c>
      <c r="P12" s="1477">
        <v>1</v>
      </c>
      <c r="Q12" s="338" t="s">
        <v>1370</v>
      </c>
      <c r="S12" s="673">
        <f>P12*9.8692059986321</f>
        <v>9.8692059986321006</v>
      </c>
      <c r="T12" s="673" t="s">
        <v>1371</v>
      </c>
      <c r="V12" s="673">
        <f>P12*1000000</f>
        <v>1000000</v>
      </c>
      <c r="W12" s="673" t="s">
        <v>425</v>
      </c>
      <c r="Y12" s="673">
        <f>P12*10.204081632653</f>
        <v>10.204081632653001</v>
      </c>
      <c r="Z12" s="673" t="s">
        <v>642</v>
      </c>
      <c r="AB12" s="673">
        <f>P12*7500.61682704465</f>
        <v>7500.6168270446497</v>
      </c>
      <c r="AC12" s="1432" t="s">
        <v>1372</v>
      </c>
    </row>
    <row r="13" spans="2:29" ht="15.75" thickBot="1">
      <c r="B13" s="1471"/>
      <c r="C13" s="1472"/>
      <c r="D13" s="1472"/>
      <c r="E13" s="1472"/>
      <c r="F13" s="1472"/>
      <c r="G13" s="1472"/>
      <c r="H13" s="1472"/>
      <c r="I13" s="1472"/>
      <c r="J13" s="1472"/>
      <c r="K13" s="1472"/>
      <c r="L13" s="1472"/>
      <c r="M13" s="1472"/>
      <c r="N13" s="1473"/>
      <c r="O13" s="1476"/>
      <c r="AC13" s="1469"/>
    </row>
    <row r="14" spans="2:29" ht="20.25">
      <c r="B14" s="1468"/>
      <c r="C14" s="1475"/>
      <c r="N14" s="1469"/>
      <c r="O14" s="1476" t="s">
        <v>125</v>
      </c>
      <c r="P14" s="1477">
        <v>1</v>
      </c>
      <c r="Q14" s="338" t="s">
        <v>1372</v>
      </c>
      <c r="S14" s="673">
        <f>P14*0.000133322368421</f>
        <v>1.3332236842099999E-4</v>
      </c>
      <c r="T14" s="673" t="s">
        <v>1370</v>
      </c>
      <c r="V14" s="673">
        <f>P14*133.322368421</f>
        <v>133.32236842099999</v>
      </c>
      <c r="W14" s="673" t="s">
        <v>425</v>
      </c>
      <c r="Y14" s="673">
        <f>P14*0.00136043233082653</f>
        <v>1.36043233082653E-3</v>
      </c>
      <c r="Z14" s="673" t="s">
        <v>642</v>
      </c>
      <c r="AB14" s="673">
        <f>P14*0.00131578591817237</f>
        <v>1.31578591817237E-3</v>
      </c>
      <c r="AC14" s="1432" t="s">
        <v>1371</v>
      </c>
    </row>
    <row r="15" spans="2:29" ht="21" thickBot="1">
      <c r="B15" s="1468"/>
      <c r="C15" s="2944" t="s">
        <v>1364</v>
      </c>
      <c r="D15" s="2944"/>
      <c r="N15" s="1469"/>
      <c r="O15" s="1472"/>
      <c r="P15" s="1478"/>
      <c r="Q15" s="1472"/>
      <c r="R15" s="1472"/>
      <c r="S15" s="1472"/>
      <c r="T15" s="1472"/>
      <c r="U15" s="1472"/>
      <c r="V15" s="1472"/>
      <c r="W15" s="1472"/>
      <c r="X15" s="1472"/>
      <c r="Y15" s="1472"/>
      <c r="Z15" s="1472"/>
      <c r="AA15" s="1472"/>
      <c r="AB15" s="1472"/>
      <c r="AC15" s="1473"/>
    </row>
    <row r="16" spans="2:29" ht="20.25">
      <c r="B16" s="1470" t="s">
        <v>93</v>
      </c>
      <c r="C16" s="1477">
        <v>1</v>
      </c>
      <c r="D16" s="338" t="s">
        <v>1365</v>
      </c>
      <c r="F16" s="673">
        <f>C16*0.73549875</f>
        <v>0.73549874999999998</v>
      </c>
      <c r="G16" s="673" t="s">
        <v>77</v>
      </c>
      <c r="I16" s="673">
        <f>F16*1000</f>
        <v>735.49874999999997</v>
      </c>
      <c r="J16" s="673" t="s">
        <v>658</v>
      </c>
      <c r="N16" s="1469"/>
      <c r="P16" s="2946" t="s">
        <v>1374</v>
      </c>
      <c r="Q16" s="2946"/>
      <c r="AC16" s="1469"/>
    </row>
    <row r="17" spans="2:29">
      <c r="B17" s="1468"/>
      <c r="N17" s="1469"/>
      <c r="O17" s="1476" t="s">
        <v>93</v>
      </c>
      <c r="P17" s="1477">
        <v>1</v>
      </c>
      <c r="Q17" s="338" t="s">
        <v>1375</v>
      </c>
      <c r="S17" s="673">
        <f>P17*0.10204081632653</f>
        <v>0.10204081632653</v>
      </c>
      <c r="T17" s="673" t="s">
        <v>1376</v>
      </c>
      <c r="V17" s="673">
        <f>P17*0.224808943099735</f>
        <v>0.22480894309973501</v>
      </c>
      <c r="W17" s="673" t="s">
        <v>1377</v>
      </c>
      <c r="Y17" s="673">
        <f>P17*99999.9999999999</f>
        <v>99999.999999999898</v>
      </c>
      <c r="Z17" s="673" t="s">
        <v>1378</v>
      </c>
      <c r="AC17" s="1469"/>
    </row>
    <row r="18" spans="2:29">
      <c r="B18" s="1470" t="s">
        <v>96</v>
      </c>
      <c r="C18" s="1477">
        <v>1</v>
      </c>
      <c r="D18" s="338" t="s">
        <v>77</v>
      </c>
      <c r="F18" s="673">
        <f>C18*1000</f>
        <v>1000</v>
      </c>
      <c r="G18" s="673" t="s">
        <v>658</v>
      </c>
      <c r="I18" s="673">
        <f>C18*1.3596216173039</f>
        <v>1.3596216173039</v>
      </c>
      <c r="J18" s="673" t="s">
        <v>1365</v>
      </c>
      <c r="N18" s="1469"/>
      <c r="AC18" s="1469"/>
    </row>
    <row r="19" spans="2:29">
      <c r="B19" s="1468"/>
      <c r="N19" s="1469"/>
      <c r="O19" s="1476" t="s">
        <v>96</v>
      </c>
      <c r="P19" s="1477">
        <v>1</v>
      </c>
      <c r="Q19" s="338" t="s">
        <v>1376</v>
      </c>
      <c r="S19" s="673">
        <f>P19*9.8</f>
        <v>9.8000000000000007</v>
      </c>
      <c r="T19" s="673" t="s">
        <v>1375</v>
      </c>
      <c r="V19" s="673">
        <f>P19*2.20312764237741</f>
        <v>2.2031276423774102</v>
      </c>
      <c r="W19" s="673" t="s">
        <v>1377</v>
      </c>
      <c r="Y19" s="673">
        <f>P19*980000</f>
        <v>980000</v>
      </c>
      <c r="Z19" s="673" t="s">
        <v>1378</v>
      </c>
      <c r="AC19" s="1469"/>
    </row>
    <row r="20" spans="2:29">
      <c r="B20" s="1470" t="s">
        <v>97</v>
      </c>
      <c r="C20" s="1477">
        <v>1</v>
      </c>
      <c r="D20" s="338" t="s">
        <v>658</v>
      </c>
      <c r="F20" s="673">
        <f>C20*0.001</f>
        <v>1E-3</v>
      </c>
      <c r="G20" s="673" t="s">
        <v>77</v>
      </c>
      <c r="I20" s="673">
        <f>C20*0.0013596216173039</f>
        <v>1.3596216173038999E-3</v>
      </c>
      <c r="J20" s="673" t="s">
        <v>1365</v>
      </c>
      <c r="N20" s="1469"/>
      <c r="AC20" s="1469"/>
    </row>
    <row r="21" spans="2:29" ht="15.75" thickBot="1">
      <c r="B21" s="1471"/>
      <c r="C21" s="1472"/>
      <c r="D21" s="1472"/>
      <c r="E21" s="1472"/>
      <c r="F21" s="1472"/>
      <c r="G21" s="1472"/>
      <c r="H21" s="1472"/>
      <c r="I21" s="1472"/>
      <c r="J21" s="1472"/>
      <c r="K21" s="1472"/>
      <c r="L21" s="1472"/>
      <c r="M21" s="1472"/>
      <c r="N21" s="1473"/>
      <c r="O21" s="1476" t="s">
        <v>97</v>
      </c>
      <c r="P21" s="1477">
        <v>1</v>
      </c>
      <c r="Q21" s="338" t="s">
        <v>1377</v>
      </c>
      <c r="S21" s="673">
        <f>P21*4.44822161526</f>
        <v>4.4482216152599996</v>
      </c>
      <c r="T21" s="673" t="s">
        <v>1375</v>
      </c>
      <c r="V21" s="673">
        <f>P21*0.453900164822448</f>
        <v>0.45390016482244799</v>
      </c>
      <c r="W21" s="673" t="s">
        <v>1376</v>
      </c>
      <c r="Y21" s="673">
        <f>P21*444822.161525999</f>
        <v>444822.16152599902</v>
      </c>
      <c r="Z21" s="673" t="s">
        <v>1378</v>
      </c>
      <c r="AC21" s="1469"/>
    </row>
    <row r="22" spans="2:29" ht="20.25">
      <c r="B22" s="1468"/>
      <c r="C22" s="1475"/>
      <c r="N22" s="1469"/>
      <c r="O22" s="1470"/>
      <c r="AC22" s="1469"/>
    </row>
    <row r="23" spans="2:29" ht="20.25">
      <c r="B23" s="1468"/>
      <c r="C23" s="2944" t="s">
        <v>380</v>
      </c>
      <c r="D23" s="2944"/>
      <c r="N23" s="1469"/>
      <c r="O23" s="1470" t="s">
        <v>98</v>
      </c>
      <c r="P23" s="1477">
        <v>1</v>
      </c>
      <c r="Q23" s="338" t="s">
        <v>1378</v>
      </c>
      <c r="S23" s="673">
        <f>P23*0.00001</f>
        <v>1.0000000000000001E-5</v>
      </c>
      <c r="T23" s="673" t="s">
        <v>1375</v>
      </c>
      <c r="V23" s="673">
        <f>P23*0.00000102</f>
        <v>1.02E-6</v>
      </c>
      <c r="W23" s="673" t="s">
        <v>1376</v>
      </c>
      <c r="Y23" s="673">
        <f>P23*0.000002248</f>
        <v>2.2479999999999999E-6</v>
      </c>
      <c r="Z23" s="673" t="s">
        <v>1377</v>
      </c>
      <c r="AC23" s="1469"/>
    </row>
    <row r="24" spans="2:29" ht="15.75" thickBot="1">
      <c r="B24" s="1470" t="s">
        <v>93</v>
      </c>
      <c r="C24" s="1477">
        <v>1</v>
      </c>
      <c r="D24" s="338" t="s">
        <v>2</v>
      </c>
      <c r="F24" s="673">
        <f>C24*999.999999999999</f>
        <v>999.99999999999898</v>
      </c>
      <c r="G24" s="673" t="s">
        <v>716</v>
      </c>
      <c r="I24" s="673">
        <f>C24*16.6666666666666</f>
        <v>16.6666666666666</v>
      </c>
      <c r="J24" s="673" t="s">
        <v>1366</v>
      </c>
      <c r="L24" s="673">
        <f>C24*0.277777777777777</f>
        <v>0.27777777777777701</v>
      </c>
      <c r="M24" s="673" t="s">
        <v>1368</v>
      </c>
      <c r="N24" s="1469"/>
      <c r="O24" s="1470"/>
      <c r="AC24" s="1469"/>
    </row>
    <row r="25" spans="2:29" ht="20.25">
      <c r="B25" s="1468"/>
      <c r="N25" s="1469"/>
      <c r="O25" s="1464"/>
      <c r="P25" s="1465"/>
      <c r="Q25" s="1466"/>
      <c r="R25" s="1466"/>
      <c r="S25" s="1466"/>
      <c r="T25" s="1466"/>
      <c r="U25" s="1466"/>
      <c r="V25" s="1466"/>
      <c r="W25" s="1466"/>
      <c r="X25" s="1466"/>
      <c r="Y25" s="1466"/>
      <c r="Z25" s="1466"/>
      <c r="AA25" s="1466"/>
      <c r="AB25" s="1466"/>
      <c r="AC25" s="1467"/>
    </row>
    <row r="26" spans="2:29" ht="20.25">
      <c r="B26" s="1470" t="s">
        <v>96</v>
      </c>
      <c r="C26" s="1477">
        <v>1</v>
      </c>
      <c r="D26" s="338" t="s">
        <v>1367</v>
      </c>
      <c r="F26" s="673">
        <f>C26*59999.9999999999</f>
        <v>59999.999999999898</v>
      </c>
      <c r="G26" s="673" t="s">
        <v>716</v>
      </c>
      <c r="I26" s="673">
        <f>C26*999.999999999999</f>
        <v>999.99999999999898</v>
      </c>
      <c r="J26" s="673" t="s">
        <v>1366</v>
      </c>
      <c r="L26" s="673">
        <f>C26*16.67</f>
        <v>16.670000000000002</v>
      </c>
      <c r="M26" s="673" t="s">
        <v>1368</v>
      </c>
      <c r="N26" s="1469"/>
      <c r="O26" s="1468"/>
      <c r="P26" s="2944" t="s">
        <v>382</v>
      </c>
      <c r="Q26" s="2944"/>
      <c r="AC26" s="1469"/>
    </row>
    <row r="27" spans="2:29">
      <c r="B27" s="1468"/>
      <c r="N27" s="1469"/>
      <c r="O27" s="1470" t="s">
        <v>93</v>
      </c>
      <c r="P27" s="1477">
        <v>1</v>
      </c>
      <c r="Q27" s="338" t="s">
        <v>122</v>
      </c>
      <c r="S27" s="673">
        <f>P27*3599.9971200023</f>
        <v>3599.9971200023001</v>
      </c>
      <c r="T27" s="673" t="s">
        <v>1379</v>
      </c>
      <c r="V27" s="673">
        <f>P27*59.9999988</f>
        <v>59.9999988</v>
      </c>
      <c r="W27" s="673" t="s">
        <v>1380</v>
      </c>
      <c r="Y27" s="673">
        <f>P27*3.5999999712</f>
        <v>3.5999999711999999</v>
      </c>
      <c r="Z27" s="673" t="s">
        <v>1381</v>
      </c>
      <c r="AC27" s="1469"/>
    </row>
    <row r="28" spans="2:29">
      <c r="B28" s="1470" t="s">
        <v>97</v>
      </c>
      <c r="C28" s="1477">
        <v>1</v>
      </c>
      <c r="D28" s="338" t="s">
        <v>351</v>
      </c>
      <c r="F28" s="673">
        <f>C28*3599999.99999999</f>
        <v>3599999.9999999902</v>
      </c>
      <c r="G28" s="673" t="s">
        <v>716</v>
      </c>
      <c r="I28" s="673">
        <f>C28*60000</f>
        <v>60000</v>
      </c>
      <c r="J28" s="673" t="s">
        <v>1366</v>
      </c>
      <c r="L28" s="673">
        <f>C28*1000</f>
        <v>1000</v>
      </c>
      <c r="M28" s="673" t="s">
        <v>1368</v>
      </c>
      <c r="N28" s="1469"/>
      <c r="O28" s="1468"/>
      <c r="AC28" s="1469"/>
    </row>
    <row r="29" spans="2:29">
      <c r="B29" s="1470"/>
      <c r="N29" s="1469"/>
      <c r="O29" s="1470" t="s">
        <v>96</v>
      </c>
      <c r="P29" s="1477">
        <v>1</v>
      </c>
      <c r="Q29" s="338" t="s">
        <v>1379</v>
      </c>
      <c r="S29" s="673">
        <f>P29*0.000277778</f>
        <v>2.7777800000000001E-4</v>
      </c>
      <c r="T29" s="673" t="s">
        <v>122</v>
      </c>
      <c r="V29" s="673">
        <f>P29*0.0166666796666664</f>
        <v>1.6666679666666399E-2</v>
      </c>
      <c r="W29" s="673" t="s">
        <v>1380</v>
      </c>
      <c r="Y29" s="673">
        <f>P29*0.00100000079199999</f>
        <v>1.0000007919999899E-3</v>
      </c>
      <c r="Z29" s="673" t="s">
        <v>1381</v>
      </c>
      <c r="AC29" s="1469"/>
    </row>
    <row r="30" spans="2:29">
      <c r="B30" s="1470" t="s">
        <v>98</v>
      </c>
      <c r="C30" s="1477">
        <v>1</v>
      </c>
      <c r="D30" s="338" t="s">
        <v>716</v>
      </c>
      <c r="F30" s="673">
        <f>C30*0.001</f>
        <v>1E-3</v>
      </c>
      <c r="G30" s="673" t="s">
        <v>2</v>
      </c>
      <c r="I30" s="673">
        <f>C30*0.01667</f>
        <v>1.6670000000000001E-2</v>
      </c>
      <c r="J30" s="673" t="s">
        <v>1366</v>
      </c>
      <c r="L30" s="673">
        <f>C30*0.000277777777777778</f>
        <v>2.7777777777777799E-4</v>
      </c>
      <c r="M30" s="673" t="s">
        <v>1368</v>
      </c>
      <c r="N30" s="1469"/>
      <c r="O30" s="1468"/>
      <c r="AC30" s="1469"/>
    </row>
    <row r="31" spans="2:29">
      <c r="B31" s="1470"/>
      <c r="N31" s="1469"/>
      <c r="O31" s="1470" t="s">
        <v>97</v>
      </c>
      <c r="P31" s="1477">
        <v>1</v>
      </c>
      <c r="Q31" s="338" t="s">
        <v>1380</v>
      </c>
      <c r="S31" s="673">
        <f>P31*0.016666667</f>
        <v>1.6666667E-2</v>
      </c>
      <c r="T31" s="673" t="s">
        <v>122</v>
      </c>
      <c r="V31" s="1480">
        <f>P31*59.9999532000374</f>
        <v>59.999953200037403</v>
      </c>
      <c r="W31" s="673" t="s">
        <v>1379</v>
      </c>
      <c r="Y31" s="673">
        <f>P31*0.0600000007199999</f>
        <v>6.0000000719999898E-2</v>
      </c>
      <c r="Z31" s="673" t="s">
        <v>1381</v>
      </c>
      <c r="AC31" s="1469"/>
    </row>
    <row r="32" spans="2:29">
      <c r="B32" s="1470" t="s">
        <v>125</v>
      </c>
      <c r="C32" s="1477">
        <v>1</v>
      </c>
      <c r="D32" s="338" t="s">
        <v>1366</v>
      </c>
      <c r="F32" s="673">
        <f>C32*0.06</f>
        <v>0.06</v>
      </c>
      <c r="G32" s="673" t="s">
        <v>2</v>
      </c>
      <c r="I32" s="673">
        <f>C32*59.9999999999999</f>
        <v>59.999999999999901</v>
      </c>
      <c r="J32" s="673" t="s">
        <v>716</v>
      </c>
      <c r="L32" s="673">
        <f>C32*0.0166666666666666</f>
        <v>1.6666666666666601E-2</v>
      </c>
      <c r="M32" s="673" t="s">
        <v>1368</v>
      </c>
      <c r="N32" s="1469"/>
      <c r="O32" s="1470"/>
      <c r="AC32" s="1469"/>
    </row>
    <row r="33" spans="2:29">
      <c r="B33" s="1470"/>
      <c r="N33" s="1469"/>
      <c r="O33" s="1470" t="s">
        <v>98</v>
      </c>
      <c r="P33" s="1477">
        <v>1</v>
      </c>
      <c r="Q33" s="338" t="s">
        <v>1381</v>
      </c>
      <c r="S33" s="1480">
        <f>P33*0.27777778</f>
        <v>0.27777777999999997</v>
      </c>
      <c r="T33" s="673" t="s">
        <v>122</v>
      </c>
      <c r="V33" s="1480">
        <f>P33*999.999208000633</f>
        <v>999.99920800063296</v>
      </c>
      <c r="W33" s="673" t="s">
        <v>1379</v>
      </c>
      <c r="Y33" s="1480">
        <f>P33*16.6666664666666</f>
        <v>16.666666466666602</v>
      </c>
      <c r="Z33" s="673" t="s">
        <v>1380</v>
      </c>
      <c r="AC33" s="1469"/>
    </row>
    <row r="34" spans="2:29" ht="15.75" thickBot="1">
      <c r="B34" s="1470" t="s">
        <v>1309</v>
      </c>
      <c r="C34" s="1477">
        <v>1</v>
      </c>
      <c r="D34" s="338" t="s">
        <v>1368</v>
      </c>
      <c r="F34" s="673">
        <f>C34*3.6</f>
        <v>3.6</v>
      </c>
      <c r="G34" s="673" t="s">
        <v>2</v>
      </c>
      <c r="I34" s="673">
        <f>C34*3599.99999999999</f>
        <v>3599.99999999999</v>
      </c>
      <c r="J34" s="673" t="s">
        <v>716</v>
      </c>
      <c r="L34" s="673">
        <f>C34*60</f>
        <v>60</v>
      </c>
      <c r="M34" s="673" t="s">
        <v>1366</v>
      </c>
      <c r="N34" s="1469"/>
      <c r="O34" s="1470"/>
      <c r="AC34" s="1469"/>
    </row>
    <row r="35" spans="2:29" ht="21" thickBot="1">
      <c r="B35" s="1471"/>
      <c r="C35" s="1472"/>
      <c r="D35" s="1472"/>
      <c r="E35" s="1472"/>
      <c r="F35" s="1472"/>
      <c r="G35" s="1472"/>
      <c r="H35" s="1472"/>
      <c r="I35" s="1472"/>
      <c r="J35" s="1472"/>
      <c r="K35" s="1472"/>
      <c r="L35" s="1472"/>
      <c r="M35" s="1472"/>
      <c r="N35" s="1473"/>
      <c r="O35" s="1464"/>
      <c r="P35" s="1465"/>
      <c r="Q35" s="1466"/>
      <c r="R35" s="1466"/>
      <c r="S35" s="1466"/>
      <c r="T35" s="1466"/>
      <c r="U35" s="1466"/>
      <c r="V35" s="1466"/>
      <c r="W35" s="1466"/>
      <c r="X35" s="1466"/>
      <c r="Y35" s="1466"/>
      <c r="Z35" s="1466"/>
      <c r="AA35" s="1466"/>
      <c r="AB35" s="1466"/>
      <c r="AC35" s="1467"/>
    </row>
    <row r="36" spans="2:29" ht="20.25">
      <c r="O36" s="1468"/>
      <c r="P36" s="2944" t="s">
        <v>1382</v>
      </c>
      <c r="Q36" s="2944"/>
      <c r="AC36" s="1469"/>
    </row>
    <row r="37" spans="2:29">
      <c r="H37" s="1703"/>
      <c r="I37" s="1704"/>
      <c r="J37" s="1704"/>
      <c r="K37" s="1704"/>
      <c r="L37" s="1705"/>
      <c r="O37" s="1470" t="s">
        <v>93</v>
      </c>
      <c r="P37" s="1477">
        <v>1</v>
      </c>
      <c r="Q37" s="338" t="s">
        <v>19</v>
      </c>
      <c r="S37" s="673">
        <f>(P37*1.8)+32</f>
        <v>33.799999999999997</v>
      </c>
      <c r="T37" s="673" t="s">
        <v>1383</v>
      </c>
      <c r="V37" s="1856">
        <f>P37+273.15</f>
        <v>274.14999999999998</v>
      </c>
      <c r="W37" s="673" t="s">
        <v>1384</v>
      </c>
      <c r="Y37" s="1856">
        <f>V37*1.8</f>
        <v>493.46999999999997</v>
      </c>
      <c r="Z37" s="673" t="s">
        <v>1385</v>
      </c>
      <c r="AC37" s="1469"/>
    </row>
    <row r="38" spans="2:29">
      <c r="H38" s="1703"/>
      <c r="I38" s="1704"/>
      <c r="J38" s="1704"/>
      <c r="K38" s="1704"/>
      <c r="L38" s="1706"/>
      <c r="O38" s="1468"/>
      <c r="AC38" s="1469"/>
    </row>
    <row r="39" spans="2:29">
      <c r="H39" s="1703"/>
      <c r="I39" s="1704"/>
      <c r="J39" s="1704"/>
      <c r="K39" s="2945"/>
      <c r="L39" s="2945"/>
      <c r="O39" s="1470" t="s">
        <v>96</v>
      </c>
      <c r="P39" s="1477">
        <v>68</v>
      </c>
      <c r="Q39" s="338" t="s">
        <v>1383</v>
      </c>
      <c r="S39" s="1856">
        <f>((P39-32)*5)/9</f>
        <v>20</v>
      </c>
      <c r="T39" s="673" t="s">
        <v>19</v>
      </c>
      <c r="V39" s="1856">
        <f>(S39+273.15)</f>
        <v>293.14999999999998</v>
      </c>
      <c r="W39" s="673" t="s">
        <v>1384</v>
      </c>
      <c r="Y39" s="1856">
        <f>P39+459.67</f>
        <v>527.67000000000007</v>
      </c>
      <c r="Z39" s="673" t="s">
        <v>1385</v>
      </c>
      <c r="AC39" s="1469"/>
    </row>
    <row r="40" spans="2:29">
      <c r="O40" s="1468"/>
      <c r="AC40" s="1469"/>
    </row>
    <row r="41" spans="2:29">
      <c r="O41" s="1470" t="s">
        <v>97</v>
      </c>
      <c r="P41" s="1857">
        <v>293</v>
      </c>
      <c r="Q41" s="338" t="s">
        <v>1384</v>
      </c>
      <c r="S41" s="1856">
        <f>(V41*1.8)+32</f>
        <v>67.730000000000047</v>
      </c>
      <c r="T41" s="673" t="s">
        <v>1383</v>
      </c>
      <c r="V41" s="1856">
        <f>P41-273.15</f>
        <v>19.850000000000023</v>
      </c>
      <c r="W41" s="673" t="s">
        <v>19</v>
      </c>
      <c r="Y41" s="1856">
        <f>P41*1.80000000000001</f>
        <v>527.40000000000293</v>
      </c>
      <c r="Z41" s="673" t="s">
        <v>1385</v>
      </c>
      <c r="AC41" s="1469"/>
    </row>
    <row r="42" spans="2:29">
      <c r="G42" s="1703"/>
      <c r="H42" s="2945" t="s">
        <v>818</v>
      </c>
      <c r="I42" s="2945"/>
      <c r="J42" s="2945"/>
      <c r="K42" s="2945"/>
      <c r="O42" s="1470"/>
      <c r="AC42" s="1469"/>
    </row>
    <row r="43" spans="2:29">
      <c r="G43" s="1703"/>
      <c r="H43" s="1704"/>
      <c r="I43" s="1704"/>
      <c r="J43" s="1704"/>
      <c r="K43" s="1706" t="s">
        <v>17</v>
      </c>
      <c r="O43" s="1470" t="s">
        <v>98</v>
      </c>
      <c r="P43" s="1857">
        <v>493</v>
      </c>
      <c r="Q43" s="338" t="s">
        <v>1385</v>
      </c>
      <c r="S43" s="1856">
        <f>P43/1.8</f>
        <v>273.88888888888886</v>
      </c>
      <c r="T43" s="673" t="s">
        <v>1384</v>
      </c>
      <c r="V43" s="1856">
        <f>(((P43*0.5556)-273.15)*1.8)+32</f>
        <v>33.369440000000033</v>
      </c>
      <c r="W43" s="673" t="s">
        <v>1383</v>
      </c>
      <c r="Y43" s="1856">
        <f>S43-273.15</f>
        <v>0.73888888888888005</v>
      </c>
      <c r="Z43" s="673" t="s">
        <v>19</v>
      </c>
      <c r="AC43" s="1469"/>
    </row>
    <row r="44" spans="2:29" ht="15.75" thickBot="1">
      <c r="G44" s="1703"/>
      <c r="H44" s="1704"/>
      <c r="I44" s="1704"/>
      <c r="J44" s="2945">
        <v>2026</v>
      </c>
      <c r="K44" s="2945"/>
      <c r="O44" s="1474"/>
      <c r="P44" s="1472"/>
      <c r="Q44" s="1472"/>
      <c r="R44" s="1472"/>
      <c r="S44" s="1472"/>
      <c r="T44" s="1472"/>
      <c r="U44" s="1472"/>
      <c r="V44" s="1472"/>
      <c r="W44" s="1472"/>
      <c r="X44" s="1472"/>
      <c r="Y44" s="1472"/>
      <c r="Z44" s="1472"/>
      <c r="AA44" s="1472"/>
      <c r="AB44" s="1472"/>
      <c r="AC44" s="1473"/>
    </row>
  </sheetData>
  <sheetProtection algorithmName="SHA-512" hashValue="2yt22XeOTtxKTA1J5Ej1ZXACoPGhF48jVo1YzqOnwLz3ldGC9X+zn4xU1r7PHN6jTv0xbWwH7L7s22D0cVtCTQ==" saltValue="eUSdk1gsQ2zc1UxGi1pPbw==" spinCount="100000" sheet="1" objects="1" selectLockedCells="1"/>
  <mergeCells count="10">
    <mergeCell ref="P5:Q5"/>
    <mergeCell ref="P16:Q16"/>
    <mergeCell ref="P26:Q26"/>
    <mergeCell ref="P36:Q36"/>
    <mergeCell ref="J44:K44"/>
    <mergeCell ref="C23:D23"/>
    <mergeCell ref="C5:D5"/>
    <mergeCell ref="C15:D15"/>
    <mergeCell ref="K39:L39"/>
    <mergeCell ref="H42:K4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I63"/>
  <sheetViews>
    <sheetView showGridLines="0" showRowColHeaders="0" zoomScale="44" zoomScaleNormal="44" workbookViewId="0">
      <selection activeCell="K51" sqref="K51"/>
    </sheetView>
  </sheetViews>
  <sheetFormatPr defaultColWidth="9.140625" defaultRowHeight="15"/>
  <cols>
    <col min="1" max="1" width="9.140625" style="1347"/>
    <col min="2" max="2" width="19" style="1347" customWidth="1"/>
    <col min="3" max="4" width="9.140625" style="1347"/>
    <col min="5" max="5" width="10.42578125" style="1347" customWidth="1"/>
    <col min="6" max="8" width="9.140625" style="1347"/>
    <col min="9" max="9" width="10.5703125" style="1347" bestFit="1" customWidth="1"/>
    <col min="10" max="10" width="9.140625" style="1347"/>
    <col min="11" max="11" width="10.28515625" style="1347" customWidth="1"/>
    <col min="12" max="12" width="9.140625" style="1347"/>
    <col min="13" max="13" width="8" style="1347" customWidth="1"/>
    <col min="14" max="14" width="10" style="1347" customWidth="1"/>
    <col min="15" max="15" width="9.140625" style="1347"/>
    <col min="16" max="16" width="14.140625" style="1347" customWidth="1"/>
    <col min="17" max="17" width="12.140625" style="1347" customWidth="1"/>
    <col min="18" max="18" width="9.140625" style="1347"/>
    <col min="19" max="19" width="7.140625" style="1347" customWidth="1"/>
    <col min="20" max="20" width="9.140625" style="1347"/>
    <col min="21" max="21" width="12.28515625" style="1347" customWidth="1"/>
    <col min="22" max="22" width="10.28515625" style="1347" bestFit="1" customWidth="1"/>
    <col min="23" max="23" width="9.140625" style="1347"/>
    <col min="24" max="24" width="7.140625" style="1347" customWidth="1"/>
    <col min="25" max="25" width="9.140625" style="1347"/>
    <col min="26" max="26" width="11.5703125" style="1347" customWidth="1"/>
    <col min="27" max="27" width="9.140625" style="1347" customWidth="1"/>
    <col min="28" max="28" width="9.5703125" style="1347" customWidth="1"/>
    <col min="29" max="29" width="7.140625" style="1347" customWidth="1"/>
    <col min="30" max="30" width="9.140625" style="1347"/>
    <col min="31" max="31" width="14.140625" style="1347" customWidth="1"/>
    <col min="32" max="32" width="14.5703125" style="1347" customWidth="1"/>
    <col min="33" max="33" width="9.140625" style="1347"/>
    <col min="34" max="34" width="7.140625" style="1347" customWidth="1"/>
    <col min="35" max="35" width="9.140625" style="1347"/>
    <col min="36" max="36" width="14.140625" style="1347" customWidth="1"/>
    <col min="37" max="37" width="11.42578125" style="1347" customWidth="1"/>
    <col min="38" max="38" width="9.140625" style="1347"/>
    <col min="39" max="39" width="7.140625" style="1347" customWidth="1"/>
    <col min="40" max="40" width="9.140625" style="1347"/>
    <col min="41" max="41" width="13.28515625" style="1347" customWidth="1"/>
    <col min="42" max="42" width="11.42578125" style="1347" customWidth="1"/>
    <col min="43" max="43" width="9.140625" style="1347"/>
    <col min="44" max="44" width="7.140625" style="1347" customWidth="1"/>
    <col min="45" max="45" width="9.140625" style="1347"/>
    <col min="46" max="46" width="11.5703125" style="1347" customWidth="1"/>
    <col min="47" max="47" width="10.85546875" style="1347" customWidth="1"/>
    <col min="48" max="48" width="9.140625" style="1347"/>
    <col min="49" max="49" width="7.140625" style="1347" customWidth="1"/>
    <col min="50" max="51" width="9.140625" style="1347"/>
    <col min="52" max="52" width="5.140625" style="1347" customWidth="1"/>
    <col min="53" max="53" width="5.28515625" style="1347" customWidth="1"/>
    <col min="54" max="54" width="6" style="1347" customWidth="1"/>
    <col min="55" max="55" width="11.85546875" style="1347" customWidth="1"/>
    <col min="56" max="56" width="20.28515625" style="1347" customWidth="1"/>
    <col min="57" max="57" width="13.140625" style="1347" customWidth="1"/>
    <col min="58" max="59" width="9.140625" style="1347"/>
    <col min="60" max="60" width="17.85546875" style="1347" bestFit="1" customWidth="1"/>
    <col min="61" max="16384" width="9.140625" style="1347"/>
  </cols>
  <sheetData>
    <row r="2" spans="3:59" hidden="1"/>
    <row r="4" spans="3:59" ht="95.25">
      <c r="C4" s="1820" t="s">
        <v>1958</v>
      </c>
      <c r="D4" s="1348"/>
      <c r="E4" s="1348"/>
      <c r="F4" s="1348"/>
      <c r="G4" s="1348"/>
      <c r="H4" s="1348"/>
      <c r="I4" s="1348"/>
      <c r="J4" s="1348"/>
      <c r="K4" s="1348"/>
      <c r="L4" s="1348"/>
      <c r="M4" s="1348"/>
      <c r="N4" s="1348"/>
    </row>
    <row r="5" spans="3:59">
      <c r="Q5" s="2962"/>
      <c r="R5" s="2962"/>
      <c r="S5" s="2962"/>
      <c r="T5" s="2962"/>
    </row>
    <row r="6" spans="3:59" ht="61.5">
      <c r="D6" s="1349"/>
      <c r="Q6" s="1350"/>
      <c r="R6" s="1348" t="s">
        <v>1283</v>
      </c>
      <c r="W6" s="1348" t="s">
        <v>1284</v>
      </c>
      <c r="AB6" s="1348" t="s">
        <v>1285</v>
      </c>
      <c r="AG6" s="1348" t="s">
        <v>1286</v>
      </c>
      <c r="AL6" s="1348" t="s">
        <v>1287</v>
      </c>
      <c r="AQ6" s="1348" t="s">
        <v>1288</v>
      </c>
      <c r="AV6" s="1348" t="s">
        <v>1289</v>
      </c>
    </row>
    <row r="7" spans="3:59" ht="36">
      <c r="Q7" s="2963" t="s">
        <v>1290</v>
      </c>
      <c r="R7" s="2964"/>
      <c r="S7" s="2964"/>
      <c r="T7" s="2965"/>
      <c r="V7" s="2963" t="s">
        <v>1291</v>
      </c>
      <c r="W7" s="2964"/>
      <c r="X7" s="2964"/>
      <c r="Y7" s="2965"/>
      <c r="AA7" s="2963" t="s">
        <v>1292</v>
      </c>
      <c r="AB7" s="2964"/>
      <c r="AC7" s="2964"/>
      <c r="AD7" s="2965"/>
      <c r="AF7" s="2963" t="s">
        <v>1293</v>
      </c>
      <c r="AG7" s="2964"/>
      <c r="AH7" s="2964"/>
      <c r="AI7" s="2965"/>
      <c r="AK7" s="2963" t="s">
        <v>1305</v>
      </c>
      <c r="AL7" s="2964"/>
      <c r="AM7" s="2964"/>
      <c r="AN7" s="2965"/>
      <c r="AP7" s="2963" t="s">
        <v>1294</v>
      </c>
      <c r="AQ7" s="2964"/>
      <c r="AR7" s="2964"/>
      <c r="AS7" s="2965"/>
      <c r="AU7" s="2963" t="s">
        <v>1295</v>
      </c>
      <c r="AV7" s="2964"/>
      <c r="AW7" s="2964"/>
      <c r="AX7" s="2965"/>
    </row>
    <row r="9" spans="3:59" ht="15.75" thickBot="1"/>
    <row r="10" spans="3:59" ht="32.25" thickBot="1">
      <c r="I10" s="2953">
        <f>Q14+V14+AA14+AF14+AK14+AP14+AU14</f>
        <v>97840</v>
      </c>
      <c r="J10" s="2953"/>
      <c r="K10" s="2954" t="s">
        <v>42</v>
      </c>
      <c r="L10" s="2954"/>
      <c r="Q10" s="2966" t="s">
        <v>124</v>
      </c>
      <c r="R10" s="2967"/>
      <c r="S10" s="1351">
        <v>0.7</v>
      </c>
      <c r="T10" s="1352" t="s">
        <v>122</v>
      </c>
      <c r="V10" s="2966" t="s">
        <v>124</v>
      </c>
      <c r="W10" s="2967"/>
      <c r="X10" s="1351">
        <v>0.7</v>
      </c>
      <c r="Y10" s="1352" t="s">
        <v>122</v>
      </c>
      <c r="AA10" s="2966" t="s">
        <v>124</v>
      </c>
      <c r="AB10" s="2967"/>
      <c r="AC10" s="1351">
        <v>0.7</v>
      </c>
      <c r="AD10" s="1352" t="s">
        <v>122</v>
      </c>
      <c r="AF10" s="2966" t="s">
        <v>124</v>
      </c>
      <c r="AG10" s="2967"/>
      <c r="AH10" s="1351">
        <v>0.7</v>
      </c>
      <c r="AI10" s="1352" t="s">
        <v>122</v>
      </c>
      <c r="AK10" s="2966" t="s">
        <v>124</v>
      </c>
      <c r="AL10" s="2967"/>
      <c r="AM10" s="1351">
        <v>0.5</v>
      </c>
      <c r="AN10" s="1352" t="s">
        <v>122</v>
      </c>
      <c r="AP10" s="2966" t="s">
        <v>124</v>
      </c>
      <c r="AQ10" s="2967"/>
      <c r="AR10" s="1351">
        <v>0.7</v>
      </c>
      <c r="AS10" s="1352" t="s">
        <v>122</v>
      </c>
      <c r="AU10" s="2966" t="s">
        <v>124</v>
      </c>
      <c r="AV10" s="2967"/>
      <c r="AW10" s="1351">
        <v>0.5</v>
      </c>
      <c r="AX10" s="1352" t="s">
        <v>122</v>
      </c>
    </row>
    <row r="11" spans="3:59" ht="39.75" thickBot="1">
      <c r="I11" s="1353"/>
      <c r="R11" s="1354"/>
      <c r="T11" s="1355"/>
      <c r="W11" s="1354"/>
      <c r="Y11" s="1355"/>
      <c r="AB11" s="1354"/>
      <c r="AD11" s="1355"/>
      <c r="AG11" s="1354"/>
      <c r="AI11" s="1355"/>
      <c r="AL11" s="1354"/>
      <c r="AN11" s="1355"/>
      <c r="AQ11" s="1354"/>
      <c r="AS11" s="1355"/>
      <c r="AV11" s="1354"/>
      <c r="AX11" s="1355"/>
      <c r="BC11" s="2968" t="s">
        <v>1297</v>
      </c>
      <c r="BD11" s="2968"/>
      <c r="BE11" s="2968"/>
      <c r="BF11" s="2968"/>
      <c r="BG11" s="2968"/>
    </row>
    <row r="12" spans="3:59" ht="39.75" thickBot="1">
      <c r="I12" s="1353" t="s">
        <v>1296</v>
      </c>
      <c r="R12" s="1356" t="s">
        <v>1298</v>
      </c>
      <c r="S12" s="1357">
        <v>15</v>
      </c>
      <c r="T12" s="1358" t="s">
        <v>1299</v>
      </c>
      <c r="W12" s="1356" t="s">
        <v>1298</v>
      </c>
      <c r="X12" s="1357">
        <v>10</v>
      </c>
      <c r="Y12" s="1358" t="s">
        <v>1299</v>
      </c>
      <c r="AB12" s="1356" t="s">
        <v>1298</v>
      </c>
      <c r="AC12" s="1357">
        <v>20</v>
      </c>
      <c r="AD12" s="1358" t="s">
        <v>1299</v>
      </c>
      <c r="AG12" s="1356" t="s">
        <v>1298</v>
      </c>
      <c r="AH12" s="1357">
        <v>20</v>
      </c>
      <c r="AI12" s="1358" t="s">
        <v>1299</v>
      </c>
      <c r="AL12" s="1356" t="s">
        <v>1298</v>
      </c>
      <c r="AM12" s="1357">
        <v>10</v>
      </c>
      <c r="AN12" s="1358" t="s">
        <v>1299</v>
      </c>
      <c r="AQ12" s="1356" t="s">
        <v>1298</v>
      </c>
      <c r="AR12" s="1357">
        <v>15</v>
      </c>
      <c r="AS12" s="1358" t="s">
        <v>1299</v>
      </c>
      <c r="AV12" s="1356" t="s">
        <v>1298</v>
      </c>
      <c r="AW12" s="1357">
        <v>15</v>
      </c>
      <c r="AX12" s="1358" t="s">
        <v>1299</v>
      </c>
      <c r="BB12" s="1359"/>
      <c r="BC12" s="1360" t="s">
        <v>1300</v>
      </c>
      <c r="BD12" s="1402">
        <f>'Kazan Dairesi Genleşme Tankı He'!C21</f>
        <v>391.78542857142861</v>
      </c>
      <c r="BE12" s="1374" t="s">
        <v>766</v>
      </c>
    </row>
    <row r="13" spans="3:59" ht="15.75" thickBot="1"/>
    <row r="14" spans="3:59" ht="32.25" thickBot="1">
      <c r="I14" s="2969">
        <f>ROUNDUP(I10/860,0)</f>
        <v>114</v>
      </c>
      <c r="J14" s="2970"/>
      <c r="K14" s="2957" t="s">
        <v>1301</v>
      </c>
      <c r="L14" s="2958"/>
      <c r="Q14" s="2971"/>
      <c r="R14" s="2972"/>
      <c r="S14" s="2973" t="s">
        <v>42</v>
      </c>
      <c r="T14" s="2974"/>
      <c r="V14" s="2971">
        <v>27520</v>
      </c>
      <c r="W14" s="2972"/>
      <c r="X14" s="2973" t="s">
        <v>42</v>
      </c>
      <c r="Y14" s="2974"/>
      <c r="AA14" s="2971">
        <v>10320</v>
      </c>
      <c r="AB14" s="2972"/>
      <c r="AC14" s="2973" t="s">
        <v>42</v>
      </c>
      <c r="AD14" s="2974"/>
      <c r="AF14" s="2971">
        <v>20000</v>
      </c>
      <c r="AG14" s="2972"/>
      <c r="AH14" s="2973" t="s">
        <v>42</v>
      </c>
      <c r="AI14" s="2974"/>
      <c r="AK14" s="2971">
        <v>40000</v>
      </c>
      <c r="AL14" s="2972"/>
      <c r="AM14" s="2973" t="s">
        <v>42</v>
      </c>
      <c r="AN14" s="2974"/>
      <c r="AP14" s="2971"/>
      <c r="AQ14" s="2972"/>
      <c r="AR14" s="2973" t="s">
        <v>42</v>
      </c>
      <c r="AS14" s="2974"/>
      <c r="AU14" s="2971"/>
      <c r="AV14" s="2972"/>
      <c r="AW14" s="2973" t="s">
        <v>42</v>
      </c>
      <c r="AX14" s="2974"/>
    </row>
    <row r="16" spans="3:59" ht="15.75" thickBot="1"/>
    <row r="17" spans="2:61" ht="32.25" thickBot="1">
      <c r="I17" s="2955">
        <f>I14*860</f>
        <v>98040</v>
      </c>
      <c r="J17" s="2956"/>
      <c r="K17" s="2957" t="s">
        <v>42</v>
      </c>
      <c r="L17" s="2958"/>
    </row>
    <row r="22" spans="2:61" ht="26.25">
      <c r="P22" s="2960" t="s">
        <v>1302</v>
      </c>
      <c r="Q22" s="2960"/>
      <c r="R22" s="2960"/>
      <c r="U22" s="2960" t="s">
        <v>1302</v>
      </c>
      <c r="V22" s="2960"/>
      <c r="W22" s="2960"/>
      <c r="Z22" s="2960" t="s">
        <v>1302</v>
      </c>
      <c r="AA22" s="2960"/>
      <c r="AB22" s="2960"/>
      <c r="AE22" s="2960" t="s">
        <v>1302</v>
      </c>
      <c r="AF22" s="2960"/>
      <c r="AG22" s="2960"/>
      <c r="AJ22" s="2960" t="s">
        <v>1302</v>
      </c>
      <c r="AK22" s="2960"/>
      <c r="AL22" s="2960"/>
      <c r="AO22" s="2960" t="s">
        <v>1302</v>
      </c>
      <c r="AP22" s="2960"/>
      <c r="AQ22" s="2960"/>
      <c r="AT22" s="2960" t="s">
        <v>1302</v>
      </c>
      <c r="AU22" s="2960"/>
      <c r="AV22" s="2960"/>
    </row>
    <row r="23" spans="2:61" ht="26.25">
      <c r="P23" s="1362" t="s">
        <v>337</v>
      </c>
      <c r="Q23" s="1365">
        <f>'Kazan Dairesi Boru Çapı Hesabı'!P6</f>
        <v>0</v>
      </c>
      <c r="R23" s="1364" t="s">
        <v>5</v>
      </c>
      <c r="U23" s="1362" t="s">
        <v>337</v>
      </c>
      <c r="V23" s="1361">
        <f>'Kazan Dairesi Boru Çapı Hesabı'!P12</f>
        <v>37.298306719706659</v>
      </c>
      <c r="W23" s="1364" t="s">
        <v>5</v>
      </c>
      <c r="Z23" s="1362" t="s">
        <v>337</v>
      </c>
      <c r="AA23" s="1365">
        <f>'Kazan Dairesi Boru Çapı Hesabı'!P18</f>
        <v>16.150640568704901</v>
      </c>
      <c r="AB23" s="1364" t="s">
        <v>5</v>
      </c>
      <c r="AE23" s="1362" t="s">
        <v>337</v>
      </c>
      <c r="AF23" s="1365">
        <f>'Kazan Dairesi Boru Çapı Hesabı'!P24</f>
        <v>22.483550868361231</v>
      </c>
      <c r="AG23" s="1390" t="s">
        <v>5</v>
      </c>
      <c r="AJ23" s="1362" t="s">
        <v>337</v>
      </c>
      <c r="AK23" s="1365">
        <f>'Kazan Dairesi Boru Çapı Hesabı'!P30</f>
        <v>53.205792297841477</v>
      </c>
      <c r="AL23" s="1364" t="s">
        <v>5</v>
      </c>
      <c r="AO23" s="1362" t="s">
        <v>337</v>
      </c>
      <c r="AP23" s="1365">
        <f>'Kazan Dairesi Boru Çapı Hesabı'!P36</f>
        <v>0</v>
      </c>
      <c r="AQ23" s="1364" t="s">
        <v>5</v>
      </c>
      <c r="AT23" s="1362" t="s">
        <v>337</v>
      </c>
      <c r="AU23" s="1365">
        <f>'Kazan Dairesi Boru Çapı Hesabı'!P42</f>
        <v>0</v>
      </c>
      <c r="AV23" s="1364" t="s">
        <v>5</v>
      </c>
    </row>
    <row r="27" spans="2:61" ht="28.5">
      <c r="P27" s="1366">
        <f>Q14/(S12*1000)</f>
        <v>0</v>
      </c>
      <c r="Q27" s="2975" t="s">
        <v>2</v>
      </c>
      <c r="R27" s="2975"/>
      <c r="U27" s="1366">
        <f>V14/(X12*1000)</f>
        <v>2.7519999999999998</v>
      </c>
      <c r="V27" s="2975" t="s">
        <v>2</v>
      </c>
      <c r="W27" s="2975"/>
      <c r="Z27" s="1366">
        <f>AA14/(AC12*1000)</f>
        <v>0.51600000000000001</v>
      </c>
      <c r="AA27" s="2975" t="s">
        <v>2</v>
      </c>
      <c r="AB27" s="2975"/>
      <c r="AE27" s="1366">
        <f>AF14/(AH12*1000)</f>
        <v>1</v>
      </c>
      <c r="AF27" s="2975" t="s">
        <v>2</v>
      </c>
      <c r="AG27" s="2975"/>
      <c r="AJ27" s="1366">
        <f>AK14/(AM12*1000)</f>
        <v>4</v>
      </c>
      <c r="AK27" s="2975" t="s">
        <v>2</v>
      </c>
      <c r="AL27" s="2975"/>
      <c r="AO27" s="1366">
        <f>AP14/(AR12*1000)</f>
        <v>0</v>
      </c>
      <c r="AP27" s="2975" t="s">
        <v>2</v>
      </c>
      <c r="AQ27" s="2975"/>
      <c r="AT27" s="1366">
        <f>AU14/(AW12*1000)</f>
        <v>0</v>
      </c>
      <c r="AU27" s="2975" t="s">
        <v>2</v>
      </c>
      <c r="AV27" s="2975"/>
    </row>
    <row r="30" spans="2:61" ht="33.75">
      <c r="AZ30" s="2952"/>
      <c r="BA30" s="2952"/>
      <c r="BB30" s="2952"/>
      <c r="BC30" s="2952"/>
      <c r="BD30" s="2952"/>
      <c r="BE30" s="1399" t="s">
        <v>294</v>
      </c>
      <c r="BF30" s="1399"/>
      <c r="BG30" s="1399"/>
      <c r="BH30" s="1400">
        <f>'Kazan Dairesi Genleşme Tankı He'!F21</f>
        <v>5</v>
      </c>
      <c r="BI30" s="1399" t="s">
        <v>1313</v>
      </c>
    </row>
    <row r="31" spans="2:61" ht="36">
      <c r="H31" s="1367" t="s">
        <v>337</v>
      </c>
      <c r="I31" s="1368">
        <f>'Kazan Dairesi Denge Kabı'!J10</f>
        <v>51.41833016144129</v>
      </c>
      <c r="J31" s="1369" t="s">
        <v>5</v>
      </c>
      <c r="M31" s="1370" t="s">
        <v>337</v>
      </c>
      <c r="N31" s="1368">
        <f>'Kazan Dairesi Denge Kabı'!N11</f>
        <v>51.41833016144129</v>
      </c>
      <c r="O31" s="1369" t="s">
        <v>5</v>
      </c>
      <c r="BB31" s="1371"/>
      <c r="BC31" s="1372"/>
      <c r="BD31" s="1373"/>
      <c r="BF31" s="1399"/>
      <c r="BG31" s="1399"/>
    </row>
    <row r="32" spans="2:61" ht="33.75">
      <c r="B32" s="1461">
        <f>IF(I14&lt;70,25,IF(I14&lt;90,35,IF(I14&lt;120,50,IF(I14&lt;151,80,IF(I14&lt;181,80)))))</f>
        <v>50</v>
      </c>
      <c r="C32" s="1462" t="s">
        <v>755</v>
      </c>
      <c r="D32" s="1460"/>
      <c r="BE32" s="1399" t="s">
        <v>295</v>
      </c>
      <c r="BF32" s="1401"/>
      <c r="BG32" s="1401"/>
      <c r="BH32" s="1400">
        <f>'Kazan Dairesi Genleşme Tankı He'!K21</f>
        <v>5.5</v>
      </c>
      <c r="BI32" s="1399" t="s">
        <v>1313</v>
      </c>
    </row>
    <row r="33" spans="1:58" ht="28.5">
      <c r="A33" s="2961" t="s">
        <v>1363</v>
      </c>
      <c r="B33" s="2961"/>
      <c r="C33" s="2961"/>
      <c r="D33" s="2961"/>
    </row>
    <row r="34" spans="1:58" ht="28.5">
      <c r="A34" s="2961"/>
      <c r="B34" s="2961"/>
      <c r="C34" s="2961"/>
      <c r="D34" s="2961"/>
    </row>
    <row r="39" spans="1:58" ht="36">
      <c r="AC39" s="1781"/>
      <c r="AD39" s="1784" t="s">
        <v>1303</v>
      </c>
      <c r="AE39" s="1784"/>
      <c r="AF39" s="1784"/>
      <c r="AG39" s="1784"/>
      <c r="AH39" s="1784"/>
      <c r="AI39" s="1781"/>
      <c r="AW39" s="2976"/>
      <c r="AX39" s="2976"/>
      <c r="AY39" s="2976"/>
      <c r="AZ39" s="2976"/>
      <c r="BA39" s="2976"/>
    </row>
    <row r="40" spans="1:58" ht="36">
      <c r="J40" s="1375" t="s">
        <v>337</v>
      </c>
      <c r="K40" s="1376">
        <f>'Kazan Dairesi Denge Kabı'!N29</f>
        <v>115.69124286324291</v>
      </c>
      <c r="L40" s="2959" t="s">
        <v>5</v>
      </c>
      <c r="M40" s="2959"/>
      <c r="AE40" s="1375" t="s">
        <v>337</v>
      </c>
      <c r="AF40" s="1377">
        <f>'Kazan Dairesi Boru Çapı Hesabı'!AG6</f>
        <v>64.649494763592287</v>
      </c>
      <c r="AG40" s="1374" t="s">
        <v>5</v>
      </c>
      <c r="AQ40" s="2952"/>
      <c r="AR40" s="2952"/>
      <c r="AS40" s="2952"/>
      <c r="AT40" s="2977"/>
      <c r="AU40" s="2977"/>
      <c r="AV40" s="2977"/>
      <c r="AW40" s="1374"/>
      <c r="AX40" s="1374"/>
      <c r="AY40" s="1375"/>
      <c r="AZ40" s="1377"/>
      <c r="BA40" s="1374"/>
    </row>
    <row r="41" spans="1:58" ht="36" hidden="1">
      <c r="J41" s="1375"/>
      <c r="K41" s="1376"/>
      <c r="L41" s="2959"/>
      <c r="M41" s="2959"/>
      <c r="AT41" s="1362"/>
      <c r="AU41" s="1363"/>
      <c r="AV41" s="1364"/>
      <c r="AZ41" s="1364"/>
    </row>
    <row r="42" spans="1:58" hidden="1">
      <c r="D42" s="1378"/>
      <c r="E42" s="1378"/>
      <c r="F42" s="1378"/>
      <c r="G42" s="1378"/>
      <c r="H42" s="1378"/>
      <c r="I42" s="1378"/>
      <c r="J42" s="1378"/>
      <c r="K42" s="1378"/>
      <c r="L42" s="1378"/>
    </row>
    <row r="43" spans="1:58" hidden="1">
      <c r="D43" s="2978"/>
      <c r="E43" s="2978"/>
      <c r="F43" s="2978"/>
      <c r="G43" s="2978"/>
      <c r="H43" s="2978"/>
      <c r="I43" s="1379"/>
      <c r="J43" s="1379"/>
      <c r="K43" s="1379"/>
      <c r="L43" s="1379"/>
    </row>
    <row r="44" spans="1:58" ht="18.75" hidden="1">
      <c r="D44" s="1378"/>
      <c r="E44" s="1378"/>
      <c r="F44" s="1378"/>
      <c r="G44" s="1380"/>
      <c r="H44" s="1381"/>
      <c r="I44" s="1381"/>
      <c r="J44" s="1381"/>
      <c r="K44" s="1381"/>
      <c r="L44" s="1381"/>
    </row>
    <row r="45" spans="1:58" hidden="1"/>
    <row r="47" spans="1:58" ht="36.75" thickBot="1">
      <c r="B47" s="1354"/>
      <c r="J47" s="2983">
        <f>P27+U27+Z27+AE27+AJ27+AO27+AT27</f>
        <v>8.2680000000000007</v>
      </c>
      <c r="K47" s="2983"/>
      <c r="L47" s="2984" t="s">
        <v>2</v>
      </c>
      <c r="M47" s="2984"/>
      <c r="AV47" s="1382" t="s">
        <v>1304</v>
      </c>
      <c r="AW47" s="1383"/>
      <c r="AX47" s="1383"/>
      <c r="AY47" s="1383"/>
      <c r="AZ47" s="1383"/>
    </row>
    <row r="48" spans="1:58" ht="35.25" thickBot="1">
      <c r="B48" s="1783"/>
      <c r="C48" s="1783" t="s">
        <v>1945</v>
      </c>
      <c r="D48" s="1783"/>
      <c r="E48" s="1783"/>
      <c r="F48" s="1783"/>
      <c r="G48" s="1783"/>
      <c r="H48" s="1783"/>
      <c r="I48" s="1783"/>
      <c r="N48" s="1783"/>
      <c r="O48" s="1783" t="s">
        <v>1946</v>
      </c>
      <c r="P48" s="1783"/>
      <c r="Q48" s="1783"/>
      <c r="R48" s="1783"/>
      <c r="S48" s="1783"/>
      <c r="T48" s="1783"/>
      <c r="U48" s="1783"/>
      <c r="X48" s="1408"/>
      <c r="Y48" s="1409"/>
      <c r="Z48" s="1409"/>
      <c r="AA48" s="1409"/>
      <c r="AB48" s="1409"/>
      <c r="AC48" s="1409"/>
      <c r="AD48" s="1409"/>
      <c r="AE48" s="1409"/>
      <c r="AF48" s="1409"/>
      <c r="AG48" s="1410"/>
      <c r="AV48" s="2985" t="s">
        <v>17</v>
      </c>
      <c r="AW48" s="2985"/>
      <c r="AX48" s="2985"/>
      <c r="AY48" s="2985"/>
      <c r="AZ48" s="2985"/>
      <c r="BA48" s="2985"/>
      <c r="BB48" s="2985"/>
      <c r="BC48" s="2985"/>
      <c r="BD48" s="2985"/>
      <c r="BE48" s="2985"/>
      <c r="BF48" s="2985"/>
    </row>
    <row r="49" spans="2:58" ht="36">
      <c r="B49" s="1771"/>
      <c r="C49" s="1771"/>
      <c r="D49" s="1771"/>
      <c r="E49" s="1771"/>
      <c r="F49" s="1771"/>
      <c r="G49" s="1771"/>
      <c r="H49" s="1771"/>
      <c r="I49" s="1771"/>
      <c r="X49" s="1411"/>
      <c r="AA49" s="1852" t="s">
        <v>1315</v>
      </c>
      <c r="AG49" s="1412"/>
      <c r="AV49" s="2979">
        <v>2026</v>
      </c>
      <c r="AW49" s="2979"/>
      <c r="AX49" s="2979"/>
      <c r="AY49" s="2979"/>
      <c r="AZ49" s="2979"/>
      <c r="BA49" s="2979"/>
      <c r="BB49" s="2979"/>
      <c r="BC49" s="2979"/>
      <c r="BD49" s="2979"/>
      <c r="BE49" s="2979"/>
      <c r="BF49" s="2979"/>
    </row>
    <row r="50" spans="2:58" ht="34.5" thickBot="1">
      <c r="D50" s="1772"/>
      <c r="E50" s="1773"/>
      <c r="F50" s="1773"/>
      <c r="G50" s="1773"/>
      <c r="H50" s="1773"/>
      <c r="I50" s="1773"/>
      <c r="J50" s="1773"/>
      <c r="K50" s="1774" t="s">
        <v>273</v>
      </c>
      <c r="L50" s="1773"/>
      <c r="M50" s="1774" t="s">
        <v>274</v>
      </c>
      <c r="N50" s="1773"/>
      <c r="O50" s="1774" t="s">
        <v>275</v>
      </c>
      <c r="P50" s="1773"/>
      <c r="Q50" s="1775"/>
      <c r="X50" s="1411"/>
      <c r="Z50" s="1373">
        <v>1</v>
      </c>
      <c r="AA50" s="1373" t="s">
        <v>1301</v>
      </c>
      <c r="AB50" s="1373" t="s">
        <v>1314</v>
      </c>
      <c r="AC50" s="2982">
        <v>860</v>
      </c>
      <c r="AD50" s="2982"/>
      <c r="AE50" s="2982"/>
      <c r="AF50" s="1373" t="s">
        <v>42</v>
      </c>
      <c r="AG50" s="1412"/>
    </row>
    <row r="51" spans="2:58" ht="34.5" thickBot="1">
      <c r="D51" s="1776"/>
      <c r="E51" s="1777" t="s">
        <v>278</v>
      </c>
      <c r="F51" s="1778"/>
      <c r="G51" s="1778"/>
      <c r="H51" s="1778"/>
      <c r="I51" s="1778"/>
      <c r="J51" s="1778"/>
      <c r="K51" s="1407">
        <v>28</v>
      </c>
      <c r="M51" s="1407">
        <v>40</v>
      </c>
      <c r="O51" s="1407">
        <v>36</v>
      </c>
      <c r="Q51" s="1779"/>
      <c r="X51" s="1411"/>
      <c r="Y51" s="2947">
        <v>12</v>
      </c>
      <c r="Z51" s="2948"/>
      <c r="AA51" s="2951" t="s">
        <v>1301</v>
      </c>
      <c r="AB51" s="2952"/>
      <c r="AC51" s="2980">
        <f>Y51*860</f>
        <v>10320</v>
      </c>
      <c r="AD51" s="2981"/>
      <c r="AE51" s="2981"/>
      <c r="AF51" s="1853" t="s">
        <v>42</v>
      </c>
      <c r="AG51" s="1412"/>
    </row>
    <row r="52" spans="2:58" ht="15.75" thickBot="1">
      <c r="D52" s="1776"/>
      <c r="Q52" s="1779"/>
      <c r="X52" s="1411"/>
      <c r="AG52" s="1412"/>
    </row>
    <row r="53" spans="2:58" ht="34.5" thickBot="1">
      <c r="D53" s="1780"/>
      <c r="E53" s="1781"/>
      <c r="F53" s="1781"/>
      <c r="G53" s="1781"/>
      <c r="H53" s="1781"/>
      <c r="I53" s="1781"/>
      <c r="J53" s="1781"/>
      <c r="K53" s="1781"/>
      <c r="L53" s="1781"/>
      <c r="M53" s="1781"/>
      <c r="N53" s="1781"/>
      <c r="O53" s="1781"/>
      <c r="P53" s="1781"/>
      <c r="Q53" s="1782"/>
      <c r="X53" s="1411"/>
      <c r="Y53" s="2947">
        <v>13297</v>
      </c>
      <c r="Z53" s="2948"/>
      <c r="AA53" s="2951" t="s">
        <v>42</v>
      </c>
      <c r="AB53" s="2952"/>
      <c r="AC53" s="2949">
        <f>Y53/860</f>
        <v>15.461627906976744</v>
      </c>
      <c r="AD53" s="2950"/>
      <c r="AE53" s="2950"/>
      <c r="AF53" s="1853" t="s">
        <v>1301</v>
      </c>
      <c r="AG53" s="1412"/>
    </row>
    <row r="54" spans="2:58">
      <c r="X54" s="1411"/>
      <c r="AG54" s="1412"/>
    </row>
    <row r="55" spans="2:58" ht="15.75" thickBot="1">
      <c r="X55" s="1413"/>
      <c r="Y55" s="1414"/>
      <c r="Z55" s="1414"/>
      <c r="AA55" s="1414"/>
      <c r="AB55" s="1414"/>
      <c r="AC55" s="1414"/>
      <c r="AD55" s="1414"/>
      <c r="AE55" s="1414"/>
      <c r="AF55" s="1414"/>
      <c r="AG55" s="1415"/>
    </row>
    <row r="56" spans="2:58" ht="33.75">
      <c r="AV56" s="1355"/>
      <c r="AW56" s="2977"/>
      <c r="AX56" s="2977"/>
      <c r="AY56" s="2977"/>
      <c r="AZ56" s="2977"/>
      <c r="BC56" s="1384" t="s">
        <v>1291</v>
      </c>
      <c r="BD56" s="1385"/>
      <c r="BE56" s="1385"/>
      <c r="BF56" s="1385"/>
    </row>
    <row r="57" spans="2:58" ht="33.75">
      <c r="AW57" s="2977"/>
      <c r="AX57" s="2977"/>
      <c r="AY57" s="2977"/>
      <c r="AZ57" s="2977"/>
      <c r="BC57" s="1384" t="s">
        <v>1305</v>
      </c>
      <c r="BD57" s="1385"/>
      <c r="BE57" s="1385"/>
      <c r="BF57" s="1385"/>
    </row>
    <row r="58" spans="2:58" ht="33.75">
      <c r="AW58" s="2977"/>
      <c r="AX58" s="2977"/>
      <c r="AY58" s="2977"/>
      <c r="AZ58" s="2977"/>
      <c r="BC58" s="1384" t="s">
        <v>1293</v>
      </c>
      <c r="BD58" s="1385"/>
      <c r="BE58" s="1385"/>
      <c r="BF58" s="1385"/>
    </row>
    <row r="59" spans="2:58" ht="33.75">
      <c r="AW59" s="2977"/>
      <c r="AX59" s="2977"/>
      <c r="AY59" s="2977"/>
      <c r="AZ59" s="2977"/>
      <c r="BC59" s="1384" t="s">
        <v>1292</v>
      </c>
      <c r="BD59" s="1385"/>
      <c r="BE59" s="1385"/>
      <c r="BF59" s="1385"/>
    </row>
    <row r="60" spans="2:58" ht="33.75">
      <c r="AW60" s="2977"/>
      <c r="AX60" s="2977"/>
      <c r="AY60" s="2977"/>
      <c r="AZ60" s="2977"/>
      <c r="BC60" s="1384" t="s">
        <v>1290</v>
      </c>
      <c r="BD60" s="1385"/>
      <c r="BE60" s="1385"/>
      <c r="BF60" s="1385"/>
    </row>
    <row r="61" spans="2:58" ht="33.75">
      <c r="AW61" s="2977"/>
      <c r="AX61" s="2977"/>
      <c r="AY61" s="2977"/>
      <c r="AZ61" s="2977"/>
      <c r="BC61" s="1384" t="s">
        <v>1294</v>
      </c>
      <c r="BD61" s="1385"/>
      <c r="BE61" s="1385"/>
      <c r="BF61" s="1385"/>
    </row>
    <row r="62" spans="2:58" ht="33.75">
      <c r="AW62" s="2977"/>
      <c r="AX62" s="2977"/>
      <c r="AY62" s="2977"/>
      <c r="AZ62" s="2977"/>
      <c r="BC62" s="1384" t="s">
        <v>1295</v>
      </c>
      <c r="BD62" s="1385"/>
      <c r="BE62" s="1385"/>
      <c r="BF62" s="1385"/>
    </row>
    <row r="63" spans="2:58" ht="33.75">
      <c r="BC63" s="1384" t="s">
        <v>1306</v>
      </c>
      <c r="BD63" s="1385"/>
      <c r="BE63" s="1385"/>
      <c r="BF63" s="1385"/>
    </row>
  </sheetData>
  <sheetProtection algorithmName="SHA-512" hashValue="WiIlsvT4LcyRw82tqWTeJ2JlfMZmmpva+cfVQBS9K59+ilAd/ZVNJIPiBuFy6+BX5BZy5p7h9RefeNf4vx0wbg==" saltValue="/bWnt4+K1iiXsu1eSLacWA==" spinCount="100000" sheet="1" objects="1" selectLockedCells="1"/>
  <mergeCells count="77">
    <mergeCell ref="AW59:AZ59"/>
    <mergeCell ref="AW60:AZ60"/>
    <mergeCell ref="AW61:AZ61"/>
    <mergeCell ref="AW62:AZ62"/>
    <mergeCell ref="D43:H43"/>
    <mergeCell ref="AV49:BF49"/>
    <mergeCell ref="AW56:AZ56"/>
    <mergeCell ref="AW58:AZ58"/>
    <mergeCell ref="AW57:AZ57"/>
    <mergeCell ref="AC51:AE51"/>
    <mergeCell ref="Y51:Z51"/>
    <mergeCell ref="AC50:AE50"/>
    <mergeCell ref="J47:K47"/>
    <mergeCell ref="L47:M47"/>
    <mergeCell ref="AV48:BF48"/>
    <mergeCell ref="AA51:AB51"/>
    <mergeCell ref="AU27:AV27"/>
    <mergeCell ref="Q27:R27"/>
    <mergeCell ref="AZ30:BD30"/>
    <mergeCell ref="AW39:BA39"/>
    <mergeCell ref="L40:M40"/>
    <mergeCell ref="AQ40:AS40"/>
    <mergeCell ref="AT40:AV40"/>
    <mergeCell ref="V27:W27"/>
    <mergeCell ref="AA27:AB27"/>
    <mergeCell ref="AF27:AG27"/>
    <mergeCell ref="AK27:AL27"/>
    <mergeCell ref="AP27:AQ27"/>
    <mergeCell ref="AO22:AQ22"/>
    <mergeCell ref="AT22:AV22"/>
    <mergeCell ref="AC14:AD14"/>
    <mergeCell ref="AF14:AG14"/>
    <mergeCell ref="AH14:AI14"/>
    <mergeCell ref="AK14:AL14"/>
    <mergeCell ref="AM14:AN14"/>
    <mergeCell ref="AP14:AQ14"/>
    <mergeCell ref="AE22:AG22"/>
    <mergeCell ref="AJ22:AL22"/>
    <mergeCell ref="BC11:BG11"/>
    <mergeCell ref="I14:J14"/>
    <mergeCell ref="K14:L14"/>
    <mergeCell ref="Q14:R14"/>
    <mergeCell ref="S14:T14"/>
    <mergeCell ref="V14:W14"/>
    <mergeCell ref="X14:Y14"/>
    <mergeCell ref="AA14:AB14"/>
    <mergeCell ref="AR14:AS14"/>
    <mergeCell ref="AU14:AV14"/>
    <mergeCell ref="AW14:AX14"/>
    <mergeCell ref="AA7:AD7"/>
    <mergeCell ref="AF7:AI7"/>
    <mergeCell ref="AP7:AS7"/>
    <mergeCell ref="AU7:AX7"/>
    <mergeCell ref="Q10:R10"/>
    <mergeCell ref="V10:W10"/>
    <mergeCell ref="AA10:AB10"/>
    <mergeCell ref="AF10:AG10"/>
    <mergeCell ref="AK10:AL10"/>
    <mergeCell ref="AP10:AQ10"/>
    <mergeCell ref="AU10:AV10"/>
    <mergeCell ref="AK7:AN7"/>
    <mergeCell ref="A34:D34"/>
    <mergeCell ref="A33:D33"/>
    <mergeCell ref="Q5:T5"/>
    <mergeCell ref="Q7:T7"/>
    <mergeCell ref="V7:Y7"/>
    <mergeCell ref="Y53:Z53"/>
    <mergeCell ref="AC53:AE53"/>
    <mergeCell ref="AA53:AB53"/>
    <mergeCell ref="I10:J10"/>
    <mergeCell ref="K10:L10"/>
    <mergeCell ref="I17:J17"/>
    <mergeCell ref="K17:L17"/>
    <mergeCell ref="L41:M41"/>
    <mergeCell ref="P22:R22"/>
    <mergeCell ref="U22:W22"/>
    <mergeCell ref="Z22:AB22"/>
  </mergeCells>
  <dataValidations count="1">
    <dataValidation type="list" allowBlank="1" showInputMessage="1" showErrorMessage="1" sqref="Q7:T7 V7:Y7 AA7:AD7 AF7:AI7 AK7:AN7 AP7:AS7 AU7:AX7" xr:uid="{00000000-0002-0000-0400-000000000000}">
      <formula1>$BC$56:$BC$63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P30"/>
  <sheetViews>
    <sheetView showGridLines="0" showRowColHeaders="0" workbookViewId="0">
      <selection activeCell="M11" sqref="M11"/>
    </sheetView>
  </sheetViews>
  <sheetFormatPr defaultRowHeight="15"/>
  <cols>
    <col min="1" max="1" width="5.7109375" style="231" customWidth="1"/>
    <col min="2" max="2" width="44.85546875" style="231" customWidth="1"/>
    <col min="3" max="7" width="9.140625" style="231"/>
    <col min="8" max="8" width="3.7109375" style="231" customWidth="1"/>
    <col min="9" max="9" width="5.140625" style="231" customWidth="1"/>
    <col min="10" max="10" width="6.28515625" style="231" customWidth="1"/>
    <col min="11" max="12" width="9.140625" style="231"/>
    <col min="13" max="13" width="13.5703125" style="231" customWidth="1"/>
    <col min="14" max="14" width="4.42578125" style="231" customWidth="1"/>
    <col min="15" max="255" width="9.140625" style="231"/>
    <col min="256" max="256" width="5.7109375" style="231" customWidth="1"/>
    <col min="257" max="257" width="44.85546875" style="231" customWidth="1"/>
    <col min="258" max="511" width="9.140625" style="231"/>
    <col min="512" max="512" width="5.7109375" style="231" customWidth="1"/>
    <col min="513" max="513" width="44.85546875" style="231" customWidth="1"/>
    <col min="514" max="767" width="9.140625" style="231"/>
    <col min="768" max="768" width="5.7109375" style="231" customWidth="1"/>
    <col min="769" max="769" width="44.85546875" style="231" customWidth="1"/>
    <col min="770" max="1023" width="9.140625" style="231"/>
    <col min="1024" max="1024" width="5.7109375" style="231" customWidth="1"/>
    <col min="1025" max="1025" width="44.85546875" style="231" customWidth="1"/>
    <col min="1026" max="1279" width="9.140625" style="231"/>
    <col min="1280" max="1280" width="5.7109375" style="231" customWidth="1"/>
    <col min="1281" max="1281" width="44.85546875" style="231" customWidth="1"/>
    <col min="1282" max="1535" width="9.140625" style="231"/>
    <col min="1536" max="1536" width="5.7109375" style="231" customWidth="1"/>
    <col min="1537" max="1537" width="44.85546875" style="231" customWidth="1"/>
    <col min="1538" max="1791" width="9.140625" style="231"/>
    <col min="1792" max="1792" width="5.7109375" style="231" customWidth="1"/>
    <col min="1793" max="1793" width="44.85546875" style="231" customWidth="1"/>
    <col min="1794" max="2047" width="9.140625" style="231"/>
    <col min="2048" max="2048" width="5.7109375" style="231" customWidth="1"/>
    <col min="2049" max="2049" width="44.85546875" style="231" customWidth="1"/>
    <col min="2050" max="2303" width="9.140625" style="231"/>
    <col min="2304" max="2304" width="5.7109375" style="231" customWidth="1"/>
    <col min="2305" max="2305" width="44.85546875" style="231" customWidth="1"/>
    <col min="2306" max="2559" width="9.140625" style="231"/>
    <col min="2560" max="2560" width="5.7109375" style="231" customWidth="1"/>
    <col min="2561" max="2561" width="44.85546875" style="231" customWidth="1"/>
    <col min="2562" max="2815" width="9.140625" style="231"/>
    <col min="2816" max="2816" width="5.7109375" style="231" customWidth="1"/>
    <col min="2817" max="2817" width="44.85546875" style="231" customWidth="1"/>
    <col min="2818" max="3071" width="9.140625" style="231"/>
    <col min="3072" max="3072" width="5.7109375" style="231" customWidth="1"/>
    <col min="3073" max="3073" width="44.85546875" style="231" customWidth="1"/>
    <col min="3074" max="3327" width="9.140625" style="231"/>
    <col min="3328" max="3328" width="5.7109375" style="231" customWidth="1"/>
    <col min="3329" max="3329" width="44.85546875" style="231" customWidth="1"/>
    <col min="3330" max="3583" width="9.140625" style="231"/>
    <col min="3584" max="3584" width="5.7109375" style="231" customWidth="1"/>
    <col min="3585" max="3585" width="44.85546875" style="231" customWidth="1"/>
    <col min="3586" max="3839" width="9.140625" style="231"/>
    <col min="3840" max="3840" width="5.7109375" style="231" customWidth="1"/>
    <col min="3841" max="3841" width="44.85546875" style="231" customWidth="1"/>
    <col min="3842" max="4095" width="9.140625" style="231"/>
    <col min="4096" max="4096" width="5.7109375" style="231" customWidth="1"/>
    <col min="4097" max="4097" width="44.85546875" style="231" customWidth="1"/>
    <col min="4098" max="4351" width="9.140625" style="231"/>
    <col min="4352" max="4352" width="5.7109375" style="231" customWidth="1"/>
    <col min="4353" max="4353" width="44.85546875" style="231" customWidth="1"/>
    <col min="4354" max="4607" width="9.140625" style="231"/>
    <col min="4608" max="4608" width="5.7109375" style="231" customWidth="1"/>
    <col min="4609" max="4609" width="44.85546875" style="231" customWidth="1"/>
    <col min="4610" max="4863" width="9.140625" style="231"/>
    <col min="4864" max="4864" width="5.7109375" style="231" customWidth="1"/>
    <col min="4865" max="4865" width="44.85546875" style="231" customWidth="1"/>
    <col min="4866" max="5119" width="9.140625" style="231"/>
    <col min="5120" max="5120" width="5.7109375" style="231" customWidth="1"/>
    <col min="5121" max="5121" width="44.85546875" style="231" customWidth="1"/>
    <col min="5122" max="5375" width="9.140625" style="231"/>
    <col min="5376" max="5376" width="5.7109375" style="231" customWidth="1"/>
    <col min="5377" max="5377" width="44.85546875" style="231" customWidth="1"/>
    <col min="5378" max="5631" width="9.140625" style="231"/>
    <col min="5632" max="5632" width="5.7109375" style="231" customWidth="1"/>
    <col min="5633" max="5633" width="44.85546875" style="231" customWidth="1"/>
    <col min="5634" max="5887" width="9.140625" style="231"/>
    <col min="5888" max="5888" width="5.7109375" style="231" customWidth="1"/>
    <col min="5889" max="5889" width="44.85546875" style="231" customWidth="1"/>
    <col min="5890" max="6143" width="9.140625" style="231"/>
    <col min="6144" max="6144" width="5.7109375" style="231" customWidth="1"/>
    <col min="6145" max="6145" width="44.85546875" style="231" customWidth="1"/>
    <col min="6146" max="6399" width="9.140625" style="231"/>
    <col min="6400" max="6400" width="5.7109375" style="231" customWidth="1"/>
    <col min="6401" max="6401" width="44.85546875" style="231" customWidth="1"/>
    <col min="6402" max="6655" width="9.140625" style="231"/>
    <col min="6656" max="6656" width="5.7109375" style="231" customWidth="1"/>
    <col min="6657" max="6657" width="44.85546875" style="231" customWidth="1"/>
    <col min="6658" max="6911" width="9.140625" style="231"/>
    <col min="6912" max="6912" width="5.7109375" style="231" customWidth="1"/>
    <col min="6913" max="6913" width="44.85546875" style="231" customWidth="1"/>
    <col min="6914" max="7167" width="9.140625" style="231"/>
    <col min="7168" max="7168" width="5.7109375" style="231" customWidth="1"/>
    <col min="7169" max="7169" width="44.85546875" style="231" customWidth="1"/>
    <col min="7170" max="7423" width="9.140625" style="231"/>
    <col min="7424" max="7424" width="5.7109375" style="231" customWidth="1"/>
    <col min="7425" max="7425" width="44.85546875" style="231" customWidth="1"/>
    <col min="7426" max="7679" width="9.140625" style="231"/>
    <col min="7680" max="7680" width="5.7109375" style="231" customWidth="1"/>
    <col min="7681" max="7681" width="44.85546875" style="231" customWidth="1"/>
    <col min="7682" max="7935" width="9.140625" style="231"/>
    <col min="7936" max="7936" width="5.7109375" style="231" customWidth="1"/>
    <col min="7937" max="7937" width="44.85546875" style="231" customWidth="1"/>
    <col min="7938" max="8191" width="9.140625" style="231"/>
    <col min="8192" max="8192" width="5.7109375" style="231" customWidth="1"/>
    <col min="8193" max="8193" width="44.85546875" style="231" customWidth="1"/>
    <col min="8194" max="8447" width="9.140625" style="231"/>
    <col min="8448" max="8448" width="5.7109375" style="231" customWidth="1"/>
    <col min="8449" max="8449" width="44.85546875" style="231" customWidth="1"/>
    <col min="8450" max="8703" width="9.140625" style="231"/>
    <col min="8704" max="8704" width="5.7109375" style="231" customWidth="1"/>
    <col min="8705" max="8705" width="44.85546875" style="231" customWidth="1"/>
    <col min="8706" max="8959" width="9.140625" style="231"/>
    <col min="8960" max="8960" width="5.7109375" style="231" customWidth="1"/>
    <col min="8961" max="8961" width="44.85546875" style="231" customWidth="1"/>
    <col min="8962" max="9215" width="9.140625" style="231"/>
    <col min="9216" max="9216" width="5.7109375" style="231" customWidth="1"/>
    <col min="9217" max="9217" width="44.85546875" style="231" customWidth="1"/>
    <col min="9218" max="9471" width="9.140625" style="231"/>
    <col min="9472" max="9472" width="5.7109375" style="231" customWidth="1"/>
    <col min="9473" max="9473" width="44.85546875" style="231" customWidth="1"/>
    <col min="9474" max="9727" width="9.140625" style="231"/>
    <col min="9728" max="9728" width="5.7109375" style="231" customWidth="1"/>
    <col min="9729" max="9729" width="44.85546875" style="231" customWidth="1"/>
    <col min="9730" max="9983" width="9.140625" style="231"/>
    <col min="9984" max="9984" width="5.7109375" style="231" customWidth="1"/>
    <col min="9985" max="9985" width="44.85546875" style="231" customWidth="1"/>
    <col min="9986" max="10239" width="9.140625" style="231"/>
    <col min="10240" max="10240" width="5.7109375" style="231" customWidth="1"/>
    <col min="10241" max="10241" width="44.85546875" style="231" customWidth="1"/>
    <col min="10242" max="10495" width="9.140625" style="231"/>
    <col min="10496" max="10496" width="5.7109375" style="231" customWidth="1"/>
    <col min="10497" max="10497" width="44.85546875" style="231" customWidth="1"/>
    <col min="10498" max="10751" width="9.140625" style="231"/>
    <col min="10752" max="10752" width="5.7109375" style="231" customWidth="1"/>
    <col min="10753" max="10753" width="44.85546875" style="231" customWidth="1"/>
    <col min="10754" max="11007" width="9.140625" style="231"/>
    <col min="11008" max="11008" width="5.7109375" style="231" customWidth="1"/>
    <col min="11009" max="11009" width="44.85546875" style="231" customWidth="1"/>
    <col min="11010" max="11263" width="9.140625" style="231"/>
    <col min="11264" max="11264" width="5.7109375" style="231" customWidth="1"/>
    <col min="11265" max="11265" width="44.85546875" style="231" customWidth="1"/>
    <col min="11266" max="11519" width="9.140625" style="231"/>
    <col min="11520" max="11520" width="5.7109375" style="231" customWidth="1"/>
    <col min="11521" max="11521" width="44.85546875" style="231" customWidth="1"/>
    <col min="11522" max="11775" width="9.140625" style="231"/>
    <col min="11776" max="11776" width="5.7109375" style="231" customWidth="1"/>
    <col min="11777" max="11777" width="44.85546875" style="231" customWidth="1"/>
    <col min="11778" max="12031" width="9.140625" style="231"/>
    <col min="12032" max="12032" width="5.7109375" style="231" customWidth="1"/>
    <col min="12033" max="12033" width="44.85546875" style="231" customWidth="1"/>
    <col min="12034" max="12287" width="9.140625" style="231"/>
    <col min="12288" max="12288" width="5.7109375" style="231" customWidth="1"/>
    <col min="12289" max="12289" width="44.85546875" style="231" customWidth="1"/>
    <col min="12290" max="12543" width="9.140625" style="231"/>
    <col min="12544" max="12544" width="5.7109375" style="231" customWidth="1"/>
    <col min="12545" max="12545" width="44.85546875" style="231" customWidth="1"/>
    <col min="12546" max="12799" width="9.140625" style="231"/>
    <col min="12800" max="12800" width="5.7109375" style="231" customWidth="1"/>
    <col min="12801" max="12801" width="44.85546875" style="231" customWidth="1"/>
    <col min="12802" max="13055" width="9.140625" style="231"/>
    <col min="13056" max="13056" width="5.7109375" style="231" customWidth="1"/>
    <col min="13057" max="13057" width="44.85546875" style="231" customWidth="1"/>
    <col min="13058" max="13311" width="9.140625" style="231"/>
    <col min="13312" max="13312" width="5.7109375" style="231" customWidth="1"/>
    <col min="13313" max="13313" width="44.85546875" style="231" customWidth="1"/>
    <col min="13314" max="13567" width="9.140625" style="231"/>
    <col min="13568" max="13568" width="5.7109375" style="231" customWidth="1"/>
    <col min="13569" max="13569" width="44.85546875" style="231" customWidth="1"/>
    <col min="13570" max="13823" width="9.140625" style="231"/>
    <col min="13824" max="13824" width="5.7109375" style="231" customWidth="1"/>
    <col min="13825" max="13825" width="44.85546875" style="231" customWidth="1"/>
    <col min="13826" max="14079" width="9.140625" style="231"/>
    <col min="14080" max="14080" width="5.7109375" style="231" customWidth="1"/>
    <col min="14081" max="14081" width="44.85546875" style="231" customWidth="1"/>
    <col min="14082" max="14335" width="9.140625" style="231"/>
    <col min="14336" max="14336" width="5.7109375" style="231" customWidth="1"/>
    <col min="14337" max="14337" width="44.85546875" style="231" customWidth="1"/>
    <col min="14338" max="14591" width="9.140625" style="231"/>
    <col min="14592" max="14592" width="5.7109375" style="231" customWidth="1"/>
    <col min="14593" max="14593" width="44.85546875" style="231" customWidth="1"/>
    <col min="14594" max="14847" width="9.140625" style="231"/>
    <col min="14848" max="14848" width="5.7109375" style="231" customWidth="1"/>
    <col min="14849" max="14849" width="44.85546875" style="231" customWidth="1"/>
    <col min="14850" max="15103" width="9.140625" style="231"/>
    <col min="15104" max="15104" width="5.7109375" style="231" customWidth="1"/>
    <col min="15105" max="15105" width="44.85546875" style="231" customWidth="1"/>
    <col min="15106" max="15359" width="9.140625" style="231"/>
    <col min="15360" max="15360" width="5.7109375" style="231" customWidth="1"/>
    <col min="15361" max="15361" width="44.85546875" style="231" customWidth="1"/>
    <col min="15362" max="15615" width="9.140625" style="231"/>
    <col min="15616" max="15616" width="5.7109375" style="231" customWidth="1"/>
    <col min="15617" max="15617" width="44.85546875" style="231" customWidth="1"/>
    <col min="15618" max="15871" width="9.140625" style="231"/>
    <col min="15872" max="15872" width="5.7109375" style="231" customWidth="1"/>
    <col min="15873" max="15873" width="44.85546875" style="231" customWidth="1"/>
    <col min="15874" max="16127" width="9.140625" style="231"/>
    <col min="16128" max="16128" width="5.7109375" style="231" customWidth="1"/>
    <col min="16129" max="16129" width="44.85546875" style="231" customWidth="1"/>
    <col min="16130" max="16384" width="9.140625" style="231"/>
  </cols>
  <sheetData>
    <row r="1" spans="2:16">
      <c r="B1" s="264" t="s">
        <v>297</v>
      </c>
      <c r="C1" s="265"/>
      <c r="D1" s="265"/>
    </row>
    <row r="2" spans="2:16" ht="16.5" thickBot="1">
      <c r="B2" s="265"/>
      <c r="C2" s="265"/>
      <c r="D2" s="265"/>
      <c r="F2" s="2998" t="s">
        <v>309</v>
      </c>
      <c r="G2" s="2998"/>
      <c r="H2" s="2998"/>
      <c r="I2" s="2998"/>
      <c r="J2" s="2998"/>
      <c r="K2" s="2998"/>
      <c r="L2" s="2998"/>
      <c r="M2" s="2998"/>
      <c r="N2" s="2998"/>
      <c r="O2" s="2998"/>
      <c r="P2" s="2998"/>
    </row>
    <row r="3" spans="2:16" ht="15.75" thickBot="1">
      <c r="B3" s="265" t="s">
        <v>298</v>
      </c>
      <c r="C3" s="1406">
        <f>'Kazan dairesi hesabı YNS-2023'!I14</f>
        <v>114</v>
      </c>
      <c r="D3" s="265" t="s">
        <v>299</v>
      </c>
      <c r="K3" s="2999"/>
      <c r="L3" s="3000"/>
      <c r="M3" s="253"/>
      <c r="N3" s="253"/>
    </row>
    <row r="4" spans="2:16" ht="15.75" thickBot="1">
      <c r="B4" s="266" t="s">
        <v>300</v>
      </c>
      <c r="C4" s="1403">
        <v>18</v>
      </c>
      <c r="D4" s="265" t="s">
        <v>19</v>
      </c>
      <c r="K4" s="2999"/>
      <c r="L4" s="2999"/>
      <c r="M4" s="253"/>
      <c r="N4" s="253"/>
    </row>
    <row r="5" spans="2:16">
      <c r="B5" s="265" t="s">
        <v>301</v>
      </c>
      <c r="C5" s="267">
        <v>4.1859999999999999</v>
      </c>
      <c r="D5" s="265" t="s">
        <v>302</v>
      </c>
      <c r="M5" s="253"/>
      <c r="N5" s="253"/>
    </row>
    <row r="6" spans="2:16">
      <c r="B6" s="265" t="s">
        <v>303</v>
      </c>
      <c r="C6" s="268">
        <f xml:space="preserve"> (C3 / (C4*C5))</f>
        <v>1.5129797738493391</v>
      </c>
      <c r="D6" s="265" t="s">
        <v>304</v>
      </c>
      <c r="G6" s="254"/>
      <c r="H6" s="254"/>
      <c r="I6" s="254"/>
      <c r="J6" s="254"/>
      <c r="M6" s="253"/>
      <c r="N6" s="253"/>
    </row>
    <row r="7" spans="2:16" ht="15.75" thickBot="1">
      <c r="B7" s="265"/>
      <c r="C7" s="268"/>
      <c r="D7" s="265"/>
      <c r="M7" s="253"/>
      <c r="N7" s="253"/>
    </row>
    <row r="8" spans="2:16" ht="15.75" thickBot="1">
      <c r="B8" s="265" t="s">
        <v>305</v>
      </c>
      <c r="C8" s="1403">
        <v>0.9</v>
      </c>
      <c r="D8" s="265" t="s">
        <v>306</v>
      </c>
      <c r="M8" s="253"/>
      <c r="N8" s="253"/>
    </row>
    <row r="9" spans="2:16">
      <c r="B9" s="265" t="s">
        <v>307</v>
      </c>
      <c r="C9" s="269">
        <f>((C6*1000)/C8)</f>
        <v>1681.0886376103767</v>
      </c>
      <c r="D9" s="265" t="s">
        <v>308</v>
      </c>
      <c r="M9" s="253"/>
      <c r="N9" s="253"/>
    </row>
    <row r="10" spans="2:16">
      <c r="B10" s="265"/>
      <c r="C10" s="269"/>
      <c r="D10" s="265"/>
      <c r="I10" s="864" t="s">
        <v>337</v>
      </c>
      <c r="J10" s="256">
        <f>C11</f>
        <v>51.41833016144129</v>
      </c>
      <c r="K10" s="258"/>
      <c r="M10" s="253"/>
      <c r="N10" s="253"/>
    </row>
    <row r="11" spans="2:16">
      <c r="B11" s="270" t="s">
        <v>314</v>
      </c>
      <c r="C11" s="263">
        <f>(SQRT(C9/0.785))/C8</f>
        <v>51.41833016144129</v>
      </c>
      <c r="D11" s="265" t="s">
        <v>5</v>
      </c>
      <c r="M11" s="260" t="s">
        <v>337</v>
      </c>
      <c r="N11" s="258">
        <f>J10</f>
        <v>51.41833016144129</v>
      </c>
      <c r="O11" s="254"/>
    </row>
    <row r="12" spans="2:16">
      <c r="B12" s="265"/>
      <c r="C12" s="269"/>
      <c r="D12" s="265"/>
      <c r="M12" s="253"/>
      <c r="N12" s="253"/>
    </row>
    <row r="13" spans="2:16">
      <c r="B13" s="270" t="s">
        <v>313</v>
      </c>
      <c r="C13" s="263">
        <f>2.25*C11</f>
        <v>115.69124286324291</v>
      </c>
      <c r="D13" s="265" t="s">
        <v>5</v>
      </c>
      <c r="M13" s="253"/>
      <c r="N13" s="253"/>
    </row>
    <row r="14" spans="2:16">
      <c r="B14" s="265"/>
      <c r="C14" s="269"/>
      <c r="D14" s="265"/>
      <c r="E14" s="259" t="s">
        <v>311</v>
      </c>
      <c r="M14" s="253"/>
      <c r="N14" s="253"/>
      <c r="P14" s="259" t="s">
        <v>312</v>
      </c>
    </row>
    <row r="15" spans="2:16" ht="15.75">
      <c r="B15" s="270" t="s">
        <v>316</v>
      </c>
      <c r="C15" s="263">
        <f>(3.5*C13)/10</f>
        <v>40.491935002135016</v>
      </c>
      <c r="D15" s="265" t="s">
        <v>255</v>
      </c>
      <c r="F15" s="262">
        <f>C19</f>
        <v>57.845621431621453</v>
      </c>
      <c r="G15" s="231" t="s">
        <v>255</v>
      </c>
      <c r="H15" s="261">
        <f>C17</f>
        <v>46.276497145297164</v>
      </c>
      <c r="I15" s="231" t="s">
        <v>255</v>
      </c>
      <c r="M15" s="253"/>
      <c r="N15" s="253"/>
      <c r="O15" s="257">
        <f>C15</f>
        <v>40.491935002135016</v>
      </c>
      <c r="P15" s="231" t="s">
        <v>255</v>
      </c>
    </row>
    <row r="16" spans="2:16">
      <c r="B16" s="265"/>
      <c r="C16" s="269"/>
      <c r="D16" s="265"/>
      <c r="M16" s="253"/>
      <c r="N16" s="253"/>
    </row>
    <row r="17" spans="2:15">
      <c r="B17" s="270" t="s">
        <v>315</v>
      </c>
      <c r="C17" s="263">
        <f>(4*C13)/10</f>
        <v>46.276497145297164</v>
      </c>
      <c r="D17" s="265" t="s">
        <v>255</v>
      </c>
      <c r="M17" s="253"/>
      <c r="N17" s="253"/>
    </row>
    <row r="18" spans="2:15">
      <c r="B18" s="265"/>
      <c r="C18" s="269"/>
      <c r="D18" s="265"/>
      <c r="M18" s="253"/>
      <c r="N18" s="253"/>
    </row>
    <row r="19" spans="2:15">
      <c r="B19" s="271" t="s">
        <v>310</v>
      </c>
      <c r="C19" s="263">
        <f>(5*C13)/10</f>
        <v>57.845621431621453</v>
      </c>
      <c r="D19" s="265" t="s">
        <v>255</v>
      </c>
      <c r="M19" s="260" t="s">
        <v>337</v>
      </c>
      <c r="N19" s="258">
        <f>J10</f>
        <v>51.41833016144129</v>
      </c>
      <c r="O19" s="254"/>
    </row>
    <row r="20" spans="2:15">
      <c r="B20" s="265"/>
      <c r="C20" s="269"/>
      <c r="D20" s="265"/>
      <c r="M20" s="253"/>
      <c r="N20" s="253"/>
    </row>
    <row r="21" spans="2:15">
      <c r="I21" s="254"/>
      <c r="J21" s="254"/>
      <c r="M21" s="253"/>
      <c r="N21" s="253"/>
    </row>
    <row r="22" spans="2:15" ht="15.75" thickBot="1">
      <c r="I22" s="260" t="s">
        <v>337</v>
      </c>
      <c r="J22" s="258">
        <f>J10</f>
        <v>51.41833016144129</v>
      </c>
      <c r="K22" s="258"/>
      <c r="M22" s="253"/>
      <c r="N22" s="253"/>
    </row>
    <row r="23" spans="2:15">
      <c r="B23" s="2986" t="s">
        <v>266</v>
      </c>
      <c r="C23" s="2987"/>
      <c r="D23" s="2988"/>
      <c r="M23" s="253"/>
      <c r="N23" s="253"/>
    </row>
    <row r="24" spans="2:15">
      <c r="B24" s="2989" t="s">
        <v>267</v>
      </c>
      <c r="C24" s="2990"/>
      <c r="D24" s="2991"/>
      <c r="G24" s="254"/>
      <c r="H24" s="254"/>
      <c r="I24" s="254"/>
      <c r="J24" s="254"/>
      <c r="M24" s="253"/>
      <c r="N24" s="253"/>
    </row>
    <row r="25" spans="2:15" ht="15.75" thickBot="1">
      <c r="B25" s="2992">
        <v>2018</v>
      </c>
      <c r="C25" s="2993"/>
      <c r="D25" s="2994"/>
      <c r="M25" s="253"/>
      <c r="N25" s="253"/>
    </row>
    <row r="26" spans="2:15">
      <c r="K26" s="2995"/>
      <c r="L26" s="2996"/>
      <c r="M26" s="253"/>
      <c r="N26" s="253"/>
    </row>
    <row r="27" spans="2:15">
      <c r="K27" s="2995"/>
      <c r="L27" s="2997"/>
      <c r="M27" s="253"/>
      <c r="N27" s="253"/>
    </row>
    <row r="28" spans="2:15">
      <c r="K28" s="260"/>
      <c r="L28" s="255"/>
    </row>
    <row r="29" spans="2:15">
      <c r="K29" s="2995"/>
      <c r="L29" s="2996"/>
      <c r="M29" s="1404" t="s">
        <v>899</v>
      </c>
      <c r="N29" s="1405">
        <f>C13</f>
        <v>115.69124286324291</v>
      </c>
    </row>
    <row r="30" spans="2:15">
      <c r="K30" s="2995"/>
      <c r="L30" s="2997"/>
    </row>
  </sheetData>
  <sheetProtection algorithmName="SHA-512" hashValue="7n3YsDe18KwkrW7UJkIekg2MBt7tx0snGH8gRmceQPaEsQtogI08mpgewpjLXjd42nq/ZIOD8iiVZ9lGI90uPA==" saltValue="c1vd5R2ZxXKxk6mFXKTt7Q==" spinCount="100000" sheet="1" objects="1" scenarios="1" selectLockedCells="1"/>
  <mergeCells count="10">
    <mergeCell ref="K29:K30"/>
    <mergeCell ref="L29:L30"/>
    <mergeCell ref="F2:P2"/>
    <mergeCell ref="K3:K4"/>
    <mergeCell ref="L3:L4"/>
    <mergeCell ref="B23:D23"/>
    <mergeCell ref="B24:D24"/>
    <mergeCell ref="B25:D25"/>
    <mergeCell ref="K26:K27"/>
    <mergeCell ref="L26:L27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55"/>
  <sheetViews>
    <sheetView showGridLines="0" showRowColHeaders="0" topLeftCell="B1" workbookViewId="0">
      <selection activeCell="G6" sqref="G6:H6"/>
    </sheetView>
  </sheetViews>
  <sheetFormatPr defaultRowHeight="15"/>
  <cols>
    <col min="1" max="1" width="0" style="243" hidden="1" customWidth="1"/>
    <col min="2" max="3" width="9.140625" style="243"/>
    <col min="4" max="4" width="10.42578125" style="243" customWidth="1"/>
    <col min="5" max="6" width="9.140625" style="243"/>
    <col min="7" max="17" width="5.7109375" style="243" customWidth="1"/>
    <col min="18" max="18" width="29.140625" style="243" hidden="1" customWidth="1"/>
    <col min="19" max="22" width="9.140625" style="243" hidden="1" customWidth="1"/>
    <col min="23" max="23" width="5" style="243" hidden="1" customWidth="1"/>
    <col min="24" max="30" width="9.140625" style="243"/>
    <col min="31" max="31" width="25.5703125" style="243" bestFit="1" customWidth="1"/>
    <col min="32" max="32" width="7.7109375" style="243" customWidth="1"/>
    <col min="33" max="33" width="11.5703125" style="243" customWidth="1"/>
    <col min="34" max="34" width="14.28515625" style="243" customWidth="1"/>
    <col min="35" max="35" width="6.42578125" style="243" bestFit="1" customWidth="1"/>
    <col min="36" max="36" width="4.5703125" style="243" customWidth="1"/>
    <col min="37" max="40" width="9.140625" style="243"/>
    <col min="41" max="41" width="21.7109375" style="243" customWidth="1"/>
    <col min="42" max="268" width="9.140625" style="243"/>
    <col min="269" max="278" width="5.7109375" style="243" customWidth="1"/>
    <col min="279" max="285" width="0" style="243" hidden="1" customWidth="1"/>
    <col min="286" max="524" width="9.140625" style="243"/>
    <col min="525" max="534" width="5.7109375" style="243" customWidth="1"/>
    <col min="535" max="541" width="0" style="243" hidden="1" customWidth="1"/>
    <col min="542" max="780" width="9.140625" style="243"/>
    <col min="781" max="790" width="5.7109375" style="243" customWidth="1"/>
    <col min="791" max="797" width="0" style="243" hidden="1" customWidth="1"/>
    <col min="798" max="1036" width="9.140625" style="243"/>
    <col min="1037" max="1046" width="5.7109375" style="243" customWidth="1"/>
    <col min="1047" max="1053" width="0" style="243" hidden="1" customWidth="1"/>
    <col min="1054" max="1292" width="9.140625" style="243"/>
    <col min="1293" max="1302" width="5.7109375" style="243" customWidth="1"/>
    <col min="1303" max="1309" width="0" style="243" hidden="1" customWidth="1"/>
    <col min="1310" max="1548" width="9.140625" style="243"/>
    <col min="1549" max="1558" width="5.7109375" style="243" customWidth="1"/>
    <col min="1559" max="1565" width="0" style="243" hidden="1" customWidth="1"/>
    <col min="1566" max="1804" width="9.140625" style="243"/>
    <col min="1805" max="1814" width="5.7109375" style="243" customWidth="1"/>
    <col min="1815" max="1821" width="0" style="243" hidden="1" customWidth="1"/>
    <col min="1822" max="2060" width="9.140625" style="243"/>
    <col min="2061" max="2070" width="5.7109375" style="243" customWidth="1"/>
    <col min="2071" max="2077" width="0" style="243" hidden="1" customWidth="1"/>
    <col min="2078" max="2316" width="9.140625" style="243"/>
    <col min="2317" max="2326" width="5.7109375" style="243" customWidth="1"/>
    <col min="2327" max="2333" width="0" style="243" hidden="1" customWidth="1"/>
    <col min="2334" max="2572" width="9.140625" style="243"/>
    <col min="2573" max="2582" width="5.7109375" style="243" customWidth="1"/>
    <col min="2583" max="2589" width="0" style="243" hidden="1" customWidth="1"/>
    <col min="2590" max="2828" width="9.140625" style="243"/>
    <col min="2829" max="2838" width="5.7109375" style="243" customWidth="1"/>
    <col min="2839" max="2845" width="0" style="243" hidden="1" customWidth="1"/>
    <col min="2846" max="3084" width="9.140625" style="243"/>
    <col min="3085" max="3094" width="5.7109375" style="243" customWidth="1"/>
    <col min="3095" max="3101" width="0" style="243" hidden="1" customWidth="1"/>
    <col min="3102" max="3340" width="9.140625" style="243"/>
    <col min="3341" max="3350" width="5.7109375" style="243" customWidth="1"/>
    <col min="3351" max="3357" width="0" style="243" hidden="1" customWidth="1"/>
    <col min="3358" max="3596" width="9.140625" style="243"/>
    <col min="3597" max="3606" width="5.7109375" style="243" customWidth="1"/>
    <col min="3607" max="3613" width="0" style="243" hidden="1" customWidth="1"/>
    <col min="3614" max="3852" width="9.140625" style="243"/>
    <col min="3853" max="3862" width="5.7109375" style="243" customWidth="1"/>
    <col min="3863" max="3869" width="0" style="243" hidden="1" customWidth="1"/>
    <col min="3870" max="4108" width="9.140625" style="243"/>
    <col min="4109" max="4118" width="5.7109375" style="243" customWidth="1"/>
    <col min="4119" max="4125" width="0" style="243" hidden="1" customWidth="1"/>
    <col min="4126" max="4364" width="9.140625" style="243"/>
    <col min="4365" max="4374" width="5.7109375" style="243" customWidth="1"/>
    <col min="4375" max="4381" width="0" style="243" hidden="1" customWidth="1"/>
    <col min="4382" max="4620" width="9.140625" style="243"/>
    <col min="4621" max="4630" width="5.7109375" style="243" customWidth="1"/>
    <col min="4631" max="4637" width="0" style="243" hidden="1" customWidth="1"/>
    <col min="4638" max="4876" width="9.140625" style="243"/>
    <col min="4877" max="4886" width="5.7109375" style="243" customWidth="1"/>
    <col min="4887" max="4893" width="0" style="243" hidden="1" customWidth="1"/>
    <col min="4894" max="5132" width="9.140625" style="243"/>
    <col min="5133" max="5142" width="5.7109375" style="243" customWidth="1"/>
    <col min="5143" max="5149" width="0" style="243" hidden="1" customWidth="1"/>
    <col min="5150" max="5388" width="9.140625" style="243"/>
    <col min="5389" max="5398" width="5.7109375" style="243" customWidth="1"/>
    <col min="5399" max="5405" width="0" style="243" hidden="1" customWidth="1"/>
    <col min="5406" max="5644" width="9.140625" style="243"/>
    <col min="5645" max="5654" width="5.7109375" style="243" customWidth="1"/>
    <col min="5655" max="5661" width="0" style="243" hidden="1" customWidth="1"/>
    <col min="5662" max="5900" width="9.140625" style="243"/>
    <col min="5901" max="5910" width="5.7109375" style="243" customWidth="1"/>
    <col min="5911" max="5917" width="0" style="243" hidden="1" customWidth="1"/>
    <col min="5918" max="6156" width="9.140625" style="243"/>
    <col min="6157" max="6166" width="5.7109375" style="243" customWidth="1"/>
    <col min="6167" max="6173" width="0" style="243" hidden="1" customWidth="1"/>
    <col min="6174" max="6412" width="9.140625" style="243"/>
    <col min="6413" max="6422" width="5.7109375" style="243" customWidth="1"/>
    <col min="6423" max="6429" width="0" style="243" hidden="1" customWidth="1"/>
    <col min="6430" max="6668" width="9.140625" style="243"/>
    <col min="6669" max="6678" width="5.7109375" style="243" customWidth="1"/>
    <col min="6679" max="6685" width="0" style="243" hidden="1" customWidth="1"/>
    <col min="6686" max="6924" width="9.140625" style="243"/>
    <col min="6925" max="6934" width="5.7109375" style="243" customWidth="1"/>
    <col min="6935" max="6941" width="0" style="243" hidden="1" customWidth="1"/>
    <col min="6942" max="7180" width="9.140625" style="243"/>
    <col min="7181" max="7190" width="5.7109375" style="243" customWidth="1"/>
    <col min="7191" max="7197" width="0" style="243" hidden="1" customWidth="1"/>
    <col min="7198" max="7436" width="9.140625" style="243"/>
    <col min="7437" max="7446" width="5.7109375" style="243" customWidth="1"/>
    <col min="7447" max="7453" width="0" style="243" hidden="1" customWidth="1"/>
    <col min="7454" max="7692" width="9.140625" style="243"/>
    <col min="7693" max="7702" width="5.7109375" style="243" customWidth="1"/>
    <col min="7703" max="7709" width="0" style="243" hidden="1" customWidth="1"/>
    <col min="7710" max="7948" width="9.140625" style="243"/>
    <col min="7949" max="7958" width="5.7109375" style="243" customWidth="1"/>
    <col min="7959" max="7965" width="0" style="243" hidden="1" customWidth="1"/>
    <col min="7966" max="8204" width="9.140625" style="243"/>
    <col min="8205" max="8214" width="5.7109375" style="243" customWidth="1"/>
    <col min="8215" max="8221" width="0" style="243" hidden="1" customWidth="1"/>
    <col min="8222" max="8460" width="9.140625" style="243"/>
    <col min="8461" max="8470" width="5.7109375" style="243" customWidth="1"/>
    <col min="8471" max="8477" width="0" style="243" hidden="1" customWidth="1"/>
    <col min="8478" max="8716" width="9.140625" style="243"/>
    <col min="8717" max="8726" width="5.7109375" style="243" customWidth="1"/>
    <col min="8727" max="8733" width="0" style="243" hidden="1" customWidth="1"/>
    <col min="8734" max="8972" width="9.140625" style="243"/>
    <col min="8973" max="8982" width="5.7109375" style="243" customWidth="1"/>
    <col min="8983" max="8989" width="0" style="243" hidden="1" customWidth="1"/>
    <col min="8990" max="9228" width="9.140625" style="243"/>
    <col min="9229" max="9238" width="5.7109375" style="243" customWidth="1"/>
    <col min="9239" max="9245" width="0" style="243" hidden="1" customWidth="1"/>
    <col min="9246" max="9484" width="9.140625" style="243"/>
    <col min="9485" max="9494" width="5.7109375" style="243" customWidth="1"/>
    <col min="9495" max="9501" width="0" style="243" hidden="1" customWidth="1"/>
    <col min="9502" max="9740" width="9.140625" style="243"/>
    <col min="9741" max="9750" width="5.7109375" style="243" customWidth="1"/>
    <col min="9751" max="9757" width="0" style="243" hidden="1" customWidth="1"/>
    <col min="9758" max="9996" width="9.140625" style="243"/>
    <col min="9997" max="10006" width="5.7109375" style="243" customWidth="1"/>
    <col min="10007" max="10013" width="0" style="243" hidden="1" customWidth="1"/>
    <col min="10014" max="10252" width="9.140625" style="243"/>
    <col min="10253" max="10262" width="5.7109375" style="243" customWidth="1"/>
    <col min="10263" max="10269" width="0" style="243" hidden="1" customWidth="1"/>
    <col min="10270" max="10508" width="9.140625" style="243"/>
    <col min="10509" max="10518" width="5.7109375" style="243" customWidth="1"/>
    <col min="10519" max="10525" width="0" style="243" hidden="1" customWidth="1"/>
    <col min="10526" max="10764" width="9.140625" style="243"/>
    <col min="10765" max="10774" width="5.7109375" style="243" customWidth="1"/>
    <col min="10775" max="10781" width="0" style="243" hidden="1" customWidth="1"/>
    <col min="10782" max="11020" width="9.140625" style="243"/>
    <col min="11021" max="11030" width="5.7109375" style="243" customWidth="1"/>
    <col min="11031" max="11037" width="0" style="243" hidden="1" customWidth="1"/>
    <col min="11038" max="11276" width="9.140625" style="243"/>
    <col min="11277" max="11286" width="5.7109375" style="243" customWidth="1"/>
    <col min="11287" max="11293" width="0" style="243" hidden="1" customWidth="1"/>
    <col min="11294" max="11532" width="9.140625" style="243"/>
    <col min="11533" max="11542" width="5.7109375" style="243" customWidth="1"/>
    <col min="11543" max="11549" width="0" style="243" hidden="1" customWidth="1"/>
    <col min="11550" max="11788" width="9.140625" style="243"/>
    <col min="11789" max="11798" width="5.7109375" style="243" customWidth="1"/>
    <col min="11799" max="11805" width="0" style="243" hidden="1" customWidth="1"/>
    <col min="11806" max="12044" width="9.140625" style="243"/>
    <col min="12045" max="12054" width="5.7109375" style="243" customWidth="1"/>
    <col min="12055" max="12061" width="0" style="243" hidden="1" customWidth="1"/>
    <col min="12062" max="12300" width="9.140625" style="243"/>
    <col min="12301" max="12310" width="5.7109375" style="243" customWidth="1"/>
    <col min="12311" max="12317" width="0" style="243" hidden="1" customWidth="1"/>
    <col min="12318" max="12556" width="9.140625" style="243"/>
    <col min="12557" max="12566" width="5.7109375" style="243" customWidth="1"/>
    <col min="12567" max="12573" width="0" style="243" hidden="1" customWidth="1"/>
    <col min="12574" max="12812" width="9.140625" style="243"/>
    <col min="12813" max="12822" width="5.7109375" style="243" customWidth="1"/>
    <col min="12823" max="12829" width="0" style="243" hidden="1" customWidth="1"/>
    <col min="12830" max="13068" width="9.140625" style="243"/>
    <col min="13069" max="13078" width="5.7109375" style="243" customWidth="1"/>
    <col min="13079" max="13085" width="0" style="243" hidden="1" customWidth="1"/>
    <col min="13086" max="13324" width="9.140625" style="243"/>
    <col min="13325" max="13334" width="5.7109375" style="243" customWidth="1"/>
    <col min="13335" max="13341" width="0" style="243" hidden="1" customWidth="1"/>
    <col min="13342" max="13580" width="9.140625" style="243"/>
    <col min="13581" max="13590" width="5.7109375" style="243" customWidth="1"/>
    <col min="13591" max="13597" width="0" style="243" hidden="1" customWidth="1"/>
    <col min="13598" max="13836" width="9.140625" style="243"/>
    <col min="13837" max="13846" width="5.7109375" style="243" customWidth="1"/>
    <col min="13847" max="13853" width="0" style="243" hidden="1" customWidth="1"/>
    <col min="13854" max="14092" width="9.140625" style="243"/>
    <col min="14093" max="14102" width="5.7109375" style="243" customWidth="1"/>
    <col min="14103" max="14109" width="0" style="243" hidden="1" customWidth="1"/>
    <col min="14110" max="14348" width="9.140625" style="243"/>
    <col min="14349" max="14358" width="5.7109375" style="243" customWidth="1"/>
    <col min="14359" max="14365" width="0" style="243" hidden="1" customWidth="1"/>
    <col min="14366" max="14604" width="9.140625" style="243"/>
    <col min="14605" max="14614" width="5.7109375" style="243" customWidth="1"/>
    <col min="14615" max="14621" width="0" style="243" hidden="1" customWidth="1"/>
    <col min="14622" max="14860" width="9.140625" style="243"/>
    <col min="14861" max="14870" width="5.7109375" style="243" customWidth="1"/>
    <col min="14871" max="14877" width="0" style="243" hidden="1" customWidth="1"/>
    <col min="14878" max="15116" width="9.140625" style="243"/>
    <col min="15117" max="15126" width="5.7109375" style="243" customWidth="1"/>
    <col min="15127" max="15133" width="0" style="243" hidden="1" customWidth="1"/>
    <col min="15134" max="15372" width="9.140625" style="243"/>
    <col min="15373" max="15382" width="5.7109375" style="243" customWidth="1"/>
    <col min="15383" max="15389" width="0" style="243" hidden="1" customWidth="1"/>
    <col min="15390" max="15628" width="9.140625" style="243"/>
    <col min="15629" max="15638" width="5.7109375" style="243" customWidth="1"/>
    <col min="15639" max="15645" width="0" style="243" hidden="1" customWidth="1"/>
    <col min="15646" max="15884" width="9.140625" style="243"/>
    <col min="15885" max="15894" width="5.7109375" style="243" customWidth="1"/>
    <col min="15895" max="15901" width="0" style="243" hidden="1" customWidth="1"/>
    <col min="15902" max="16140" width="9.140625" style="243"/>
    <col min="16141" max="16150" width="5.7109375" style="243" customWidth="1"/>
    <col min="16151" max="16157" width="0" style="243" hidden="1" customWidth="1"/>
    <col min="16158" max="16384" width="9.140625" style="243"/>
  </cols>
  <sheetData>
    <row r="1" spans="1:52" s="245" customFormat="1">
      <c r="A1" s="493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M1" s="493"/>
      <c r="N1" s="493"/>
      <c r="O1" s="493"/>
      <c r="P1" s="493"/>
      <c r="Q1" s="493"/>
      <c r="R1" s="493"/>
      <c r="S1" s="493"/>
      <c r="T1" s="493"/>
      <c r="U1" s="493"/>
      <c r="V1" s="493"/>
      <c r="W1" s="493"/>
      <c r="X1" s="493"/>
      <c r="Y1" s="493"/>
      <c r="Z1" s="493"/>
      <c r="AA1" s="493"/>
      <c r="AB1" s="493"/>
      <c r="AC1" s="493"/>
      <c r="AD1" s="493"/>
      <c r="AE1" s="493"/>
      <c r="AF1" s="493"/>
      <c r="AG1" s="493"/>
      <c r="AH1" s="493"/>
      <c r="AI1" s="493"/>
      <c r="AJ1" s="493"/>
      <c r="AK1" s="493"/>
      <c r="AL1" s="493"/>
      <c r="AM1" s="493"/>
      <c r="AN1" s="493"/>
      <c r="AO1" s="493"/>
      <c r="AP1" s="493"/>
      <c r="AQ1" s="493"/>
      <c r="AR1" s="493"/>
      <c r="AS1" s="493"/>
      <c r="AT1" s="493"/>
      <c r="AU1" s="493"/>
      <c r="AV1" s="493"/>
      <c r="AW1" s="493"/>
      <c r="AX1" s="493"/>
      <c r="AY1" s="493"/>
      <c r="AZ1" s="493"/>
    </row>
    <row r="2" spans="1:52" s="245" customFormat="1" ht="15.75" thickBot="1">
      <c r="A2" s="493"/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/>
      <c r="AX2" s="493"/>
      <c r="AY2" s="493"/>
      <c r="AZ2" s="493"/>
    </row>
    <row r="3" spans="1:52" s="245" customFormat="1" ht="21.75" thickBot="1">
      <c r="A3" s="493"/>
      <c r="B3" s="493"/>
      <c r="C3" s="3015" t="s">
        <v>1311</v>
      </c>
      <c r="D3" s="3016"/>
      <c r="E3" s="3016"/>
      <c r="F3" s="3016"/>
      <c r="G3" s="3016"/>
      <c r="H3" s="3016"/>
      <c r="I3" s="3016"/>
      <c r="J3" s="3016"/>
      <c r="K3" s="3016"/>
      <c r="L3" s="3016"/>
      <c r="M3" s="3016"/>
      <c r="N3" s="3016"/>
      <c r="O3" s="3017"/>
      <c r="P3" s="493"/>
      <c r="Q3" s="493"/>
      <c r="R3" s="493"/>
      <c r="S3" s="493"/>
      <c r="T3" s="493"/>
      <c r="U3" s="493"/>
      <c r="V3" s="493"/>
      <c r="W3" s="493"/>
      <c r="X3" s="583"/>
      <c r="Y3" s="3001" t="s">
        <v>796</v>
      </c>
      <c r="Z3" s="3001"/>
      <c r="AA3" s="3001"/>
      <c r="AB3" s="585"/>
      <c r="AC3" s="493"/>
      <c r="AD3" s="610" t="s">
        <v>800</v>
      </c>
      <c r="AE3" s="493"/>
      <c r="AF3" s="493"/>
      <c r="AG3" s="493"/>
      <c r="AH3" s="493"/>
      <c r="AI3" s="493"/>
      <c r="AJ3" s="493"/>
      <c r="AK3" s="493"/>
      <c r="AL3" s="493"/>
      <c r="AM3" s="493"/>
      <c r="AN3" s="493"/>
      <c r="AO3" s="493"/>
      <c r="AP3" s="493"/>
      <c r="AQ3" s="493"/>
      <c r="AR3" s="493"/>
      <c r="AS3" s="493"/>
      <c r="AT3" s="493"/>
      <c r="AU3" s="493"/>
      <c r="AV3" s="493"/>
      <c r="AW3" s="493"/>
      <c r="AX3" s="493"/>
      <c r="AY3" s="493"/>
      <c r="AZ3" s="493"/>
    </row>
    <row r="4" spans="1:52" s="245" customFormat="1" ht="21" thickBot="1">
      <c r="A4" s="493"/>
      <c r="B4" s="493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3"/>
      <c r="Q4" s="493"/>
      <c r="R4" s="493"/>
      <c r="S4" s="493"/>
      <c r="T4" s="493"/>
      <c r="U4" s="493"/>
      <c r="V4" s="493"/>
      <c r="W4" s="493"/>
      <c r="X4" s="586"/>
      <c r="Y4" s="493"/>
      <c r="Z4" s="493"/>
      <c r="AA4" s="493"/>
      <c r="AB4" s="587"/>
      <c r="AC4" s="493"/>
      <c r="AD4" s="583"/>
      <c r="AE4" s="584"/>
      <c r="AF4" s="584"/>
      <c r="AG4" s="584"/>
      <c r="AH4" s="584"/>
      <c r="AI4" s="584"/>
      <c r="AJ4" s="584"/>
      <c r="AK4" s="585"/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493"/>
      <c r="AW4" s="493"/>
      <c r="AX4" s="493"/>
      <c r="AY4" s="493"/>
      <c r="AZ4" s="493"/>
    </row>
    <row r="5" spans="1:52" s="245" customFormat="1" ht="16.5" thickBot="1">
      <c r="A5" s="493"/>
      <c r="B5" s="493"/>
      <c r="C5" s="3002" t="s">
        <v>268</v>
      </c>
      <c r="D5" s="3003"/>
      <c r="E5" s="3003"/>
      <c r="F5" s="3003"/>
      <c r="G5" s="3004">
        <f>'Kazan dairesi hesabı YNS-2023'!I14</f>
        <v>114</v>
      </c>
      <c r="H5" s="3005"/>
      <c r="I5" s="3006" t="s">
        <v>788</v>
      </c>
      <c r="J5" s="3007"/>
      <c r="K5" s="497"/>
      <c r="L5" s="497"/>
      <c r="M5" s="497"/>
      <c r="N5" s="497"/>
      <c r="O5" s="493"/>
      <c r="P5" s="493"/>
      <c r="Q5" s="493"/>
      <c r="R5" s="493"/>
      <c r="S5" s="493"/>
      <c r="T5" s="493"/>
      <c r="U5" s="493"/>
      <c r="V5" s="493"/>
      <c r="W5" s="493"/>
      <c r="X5" s="586"/>
      <c r="Y5" s="1391">
        <v>24</v>
      </c>
      <c r="Z5" s="581" t="s">
        <v>77</v>
      </c>
      <c r="AA5" s="582">
        <f>Y5*860</f>
        <v>20640</v>
      </c>
      <c r="AB5" s="588" t="s">
        <v>42</v>
      </c>
      <c r="AC5" s="581"/>
      <c r="AD5" s="586"/>
      <c r="AE5" s="1392" t="s">
        <v>789</v>
      </c>
      <c r="AF5" s="493"/>
      <c r="AG5" s="622" t="s">
        <v>790</v>
      </c>
      <c r="AH5" s="623" t="str">
        <f>IF(AE5="RADYATÖRLÜ ISITMA",(AO5),(AO6))</f>
        <v xml:space="preserve"> 70°C - 90°C =</v>
      </c>
      <c r="AI5" s="624">
        <f>IF(AE5="RADYATÖRLÜ ISITMA",(20),(10))</f>
        <v>20</v>
      </c>
      <c r="AJ5" s="625" t="s">
        <v>19</v>
      </c>
      <c r="AK5" s="587"/>
      <c r="AL5" s="493"/>
      <c r="AM5" s="493"/>
      <c r="AN5" s="493"/>
      <c r="AO5" s="503" t="s">
        <v>793</v>
      </c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</row>
    <row r="6" spans="1:52" s="245" customFormat="1" ht="15.75" thickBot="1">
      <c r="A6" s="493"/>
      <c r="B6" s="493"/>
      <c r="C6" s="3008" t="s">
        <v>268</v>
      </c>
      <c r="D6" s="3008"/>
      <c r="E6" s="3008"/>
      <c r="F6" s="3008"/>
      <c r="G6" s="3009">
        <f>G5*860</f>
        <v>98040</v>
      </c>
      <c r="H6" s="3009"/>
      <c r="I6" s="3006" t="s">
        <v>269</v>
      </c>
      <c r="J6" s="3007"/>
      <c r="K6" s="497"/>
      <c r="L6" s="497"/>
      <c r="M6" s="497"/>
      <c r="N6" s="497"/>
      <c r="O6" s="493"/>
      <c r="P6" s="493"/>
      <c r="Q6" s="493"/>
      <c r="R6" s="246"/>
      <c r="S6" s="246"/>
      <c r="T6" s="246"/>
      <c r="U6" s="246"/>
      <c r="V6" s="246"/>
      <c r="W6" s="246"/>
      <c r="X6" s="586"/>
      <c r="Y6" s="493"/>
      <c r="Z6" s="493"/>
      <c r="AA6" s="493"/>
      <c r="AB6" s="587"/>
      <c r="AC6" s="493"/>
      <c r="AD6" s="586"/>
      <c r="AE6" s="627" t="s">
        <v>795</v>
      </c>
      <c r="AF6" s="600"/>
      <c r="AG6" s="1393">
        <v>43000</v>
      </c>
      <c r="AH6" s="621" t="s">
        <v>42</v>
      </c>
      <c r="AI6" s="493"/>
      <c r="AJ6" s="493"/>
      <c r="AK6" s="587"/>
      <c r="AL6" s="493"/>
      <c r="AM6" s="493"/>
      <c r="AN6" s="493"/>
      <c r="AO6" s="503" t="s">
        <v>791</v>
      </c>
      <c r="AP6" s="493"/>
      <c r="AQ6" s="493"/>
      <c r="AR6" s="493"/>
      <c r="AS6" s="493"/>
      <c r="AT6" s="493"/>
      <c r="AU6" s="493"/>
      <c r="AV6" s="493"/>
      <c r="AW6" s="493"/>
      <c r="AX6" s="493"/>
      <c r="AY6" s="493"/>
      <c r="AZ6" s="493"/>
    </row>
    <row r="7" spans="1:52" s="245" customFormat="1" ht="15.75" thickBot="1">
      <c r="A7" s="493"/>
      <c r="B7" s="493"/>
      <c r="C7" s="496"/>
      <c r="D7" s="496"/>
      <c r="E7" s="496"/>
      <c r="F7" s="496"/>
      <c r="G7" s="497"/>
      <c r="H7" s="497"/>
      <c r="I7" s="497"/>
      <c r="J7" s="497"/>
      <c r="K7" s="497"/>
      <c r="L7" s="497"/>
      <c r="M7" s="497"/>
      <c r="N7" s="497"/>
      <c r="O7" s="493"/>
      <c r="P7" s="493"/>
      <c r="Q7" s="493"/>
      <c r="R7" s="246"/>
      <c r="S7" s="246"/>
      <c r="T7" s="246"/>
      <c r="U7" s="246"/>
      <c r="V7" s="246"/>
      <c r="W7" s="246"/>
      <c r="X7" s="586"/>
      <c r="Y7" s="1391">
        <v>43000</v>
      </c>
      <c r="Z7" s="581" t="s">
        <v>42</v>
      </c>
      <c r="AA7" s="582">
        <f>Y7/860</f>
        <v>50</v>
      </c>
      <c r="AB7" s="588" t="s">
        <v>77</v>
      </c>
      <c r="AC7" s="581"/>
      <c r="AD7" s="586"/>
      <c r="AE7" s="628" t="s">
        <v>794</v>
      </c>
      <c r="AF7" s="629"/>
      <c r="AG7" s="604">
        <f>AG6/(AI5*1000)</f>
        <v>2.15</v>
      </c>
      <c r="AH7" s="619" t="s">
        <v>2</v>
      </c>
      <c r="AI7" s="493"/>
      <c r="AJ7" s="493"/>
      <c r="AK7" s="587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</row>
    <row r="8" spans="1:52" s="245" customFormat="1" ht="15.75">
      <c r="A8" s="493"/>
      <c r="B8" s="493"/>
      <c r="C8" s="3010" t="s">
        <v>270</v>
      </c>
      <c r="D8" s="3011"/>
      <c r="E8" s="3011"/>
      <c r="F8" s="3012"/>
      <c r="G8" s="3018" t="s">
        <v>271</v>
      </c>
      <c r="H8" s="3019"/>
      <c r="I8" s="3019"/>
      <c r="J8" s="3019"/>
      <c r="K8" s="497"/>
      <c r="L8" s="493"/>
      <c r="M8" s="493"/>
      <c r="N8" s="493"/>
      <c r="O8" s="493"/>
      <c r="P8" s="493"/>
      <c r="Q8" s="493"/>
      <c r="R8" s="1394" t="s">
        <v>271</v>
      </c>
      <c r="S8" s="1395"/>
      <c r="T8" s="1395">
        <f>IF(G8="YERDEN ISITMA",(X8),IF(G8="PANEL RADYATÖR",(X9),IF(G8="ÇELİK RADYATÖR",(X10),(X11))))</f>
        <v>1</v>
      </c>
      <c r="U8" s="246"/>
      <c r="V8" s="246"/>
      <c r="W8" s="246">
        <v>19.8</v>
      </c>
      <c r="X8" s="589">
        <v>1</v>
      </c>
      <c r="Y8" s="503"/>
      <c r="Z8" s="493"/>
      <c r="AA8" s="493"/>
      <c r="AB8" s="587"/>
      <c r="AC8" s="493"/>
      <c r="AD8" s="586"/>
      <c r="AE8" s="493"/>
      <c r="AF8" s="493"/>
      <c r="AG8" s="493"/>
      <c r="AH8" s="493"/>
      <c r="AI8" s="493"/>
      <c r="AJ8" s="493"/>
      <c r="AK8" s="587"/>
      <c r="AL8" s="493"/>
      <c r="AM8" s="493"/>
      <c r="AN8" s="493"/>
      <c r="AO8" s="493"/>
      <c r="AP8" s="493"/>
      <c r="AQ8" s="493"/>
      <c r="AR8" s="581"/>
      <c r="AS8" s="493"/>
      <c r="AT8" s="493"/>
      <c r="AU8" s="493"/>
      <c r="AV8" s="493"/>
      <c r="AW8" s="493"/>
      <c r="AX8" s="493"/>
      <c r="AY8" s="493"/>
      <c r="AZ8" s="493"/>
    </row>
    <row r="9" spans="1:52" s="245" customFormat="1" ht="16.5" thickBot="1">
      <c r="A9" s="493"/>
      <c r="B9" s="493"/>
      <c r="C9" s="497"/>
      <c r="D9" s="497"/>
      <c r="E9" s="497"/>
      <c r="F9" s="497"/>
      <c r="G9" s="497"/>
      <c r="H9" s="497"/>
      <c r="I9" s="497"/>
      <c r="J9" s="497"/>
      <c r="K9" s="497"/>
      <c r="L9" s="493"/>
      <c r="M9" s="493"/>
      <c r="N9" s="493"/>
      <c r="O9" s="493"/>
      <c r="P9" s="493"/>
      <c r="Q9" s="493"/>
      <c r="R9" s="1394" t="s">
        <v>272</v>
      </c>
      <c r="S9" s="1395"/>
      <c r="T9" s="1395"/>
      <c r="U9" s="246"/>
      <c r="V9" s="246"/>
      <c r="W9" s="246">
        <v>9.4</v>
      </c>
      <c r="X9" s="590">
        <v>2</v>
      </c>
      <c r="Y9" s="591"/>
      <c r="Z9" s="592"/>
      <c r="AA9" s="592"/>
      <c r="AB9" s="593"/>
      <c r="AC9" s="493"/>
      <c r="AD9" s="607"/>
      <c r="AE9" s="592"/>
      <c r="AF9" s="592"/>
      <c r="AG9" s="592"/>
      <c r="AH9" s="592"/>
      <c r="AI9" s="592"/>
      <c r="AJ9" s="592"/>
      <c r="AK9" s="593"/>
      <c r="AL9" s="493"/>
      <c r="AM9" s="493"/>
      <c r="AN9" s="493"/>
      <c r="AO9" s="493"/>
      <c r="AP9" s="493"/>
      <c r="AQ9" s="493"/>
      <c r="AR9" s="503" t="s">
        <v>789</v>
      </c>
      <c r="AS9" s="503"/>
      <c r="AT9" s="493"/>
      <c r="AU9" s="493"/>
      <c r="AV9" s="493"/>
      <c r="AW9" s="493"/>
      <c r="AX9" s="493"/>
      <c r="AY9" s="493"/>
      <c r="AZ9" s="493"/>
    </row>
    <row r="10" spans="1:52" s="245" customFormat="1">
      <c r="A10" s="493"/>
      <c r="B10" s="493"/>
      <c r="C10" s="496"/>
      <c r="D10" s="496"/>
      <c r="E10" s="496"/>
      <c r="F10" s="496"/>
      <c r="G10" s="498"/>
      <c r="H10" s="3020" t="s">
        <v>273</v>
      </c>
      <c r="I10" s="3021"/>
      <c r="J10" s="501"/>
      <c r="K10" s="3020" t="s">
        <v>274</v>
      </c>
      <c r="L10" s="3021"/>
      <c r="M10" s="501"/>
      <c r="N10" s="3020" t="s">
        <v>275</v>
      </c>
      <c r="O10" s="3021"/>
      <c r="P10" s="500"/>
      <c r="Q10" s="493"/>
      <c r="R10" s="1396" t="s">
        <v>276</v>
      </c>
      <c r="S10" s="246"/>
      <c r="T10" s="246"/>
      <c r="U10" s="246"/>
      <c r="V10" s="246"/>
      <c r="W10" s="246">
        <v>16</v>
      </c>
      <c r="X10" s="503">
        <v>3</v>
      </c>
      <c r="Y10" s="503"/>
      <c r="Z10" s="493"/>
      <c r="AA10" s="493"/>
      <c r="AB10" s="493"/>
      <c r="AC10" s="493"/>
      <c r="AD10" s="493"/>
      <c r="AE10" s="493"/>
      <c r="AF10" s="493"/>
      <c r="AG10" s="493"/>
      <c r="AH10" s="493"/>
      <c r="AI10" s="493"/>
      <c r="AJ10" s="493"/>
      <c r="AK10" s="493"/>
      <c r="AL10" s="493"/>
      <c r="AM10" s="493"/>
      <c r="AN10" s="493"/>
      <c r="AO10" s="493"/>
      <c r="AP10" s="493"/>
      <c r="AQ10" s="493"/>
      <c r="AR10" s="503" t="s">
        <v>792</v>
      </c>
      <c r="AS10" s="503"/>
      <c r="AT10" s="493"/>
      <c r="AU10" s="493"/>
      <c r="AV10" s="493"/>
      <c r="AW10" s="493"/>
      <c r="AX10" s="493"/>
      <c r="AY10" s="493"/>
      <c r="AZ10" s="493"/>
    </row>
    <row r="11" spans="1:52" s="245" customFormat="1" ht="19.5" thickBot="1">
      <c r="A11" s="493"/>
      <c r="B11" s="493"/>
      <c r="C11" s="496"/>
      <c r="D11" s="496"/>
      <c r="E11" s="496"/>
      <c r="F11" s="496"/>
      <c r="G11" s="498"/>
      <c r="H11" s="499"/>
      <c r="I11" s="499"/>
      <c r="J11" s="498"/>
      <c r="K11" s="499"/>
      <c r="L11" s="499"/>
      <c r="M11" s="498"/>
      <c r="N11" s="499"/>
      <c r="O11" s="499"/>
      <c r="P11" s="500"/>
      <c r="Q11" s="493"/>
      <c r="R11" s="1397" t="s">
        <v>277</v>
      </c>
      <c r="S11" s="246"/>
      <c r="T11" s="246">
        <f>G6/20000</f>
        <v>4.9020000000000001</v>
      </c>
      <c r="U11" s="246">
        <f>G6/10000</f>
        <v>9.8040000000000003</v>
      </c>
      <c r="V11" s="246"/>
      <c r="W11" s="246">
        <v>12</v>
      </c>
      <c r="X11" s="503">
        <v>4</v>
      </c>
      <c r="Y11" s="503"/>
      <c r="Z11" s="493"/>
      <c r="AA11" s="493"/>
      <c r="AB11" s="493"/>
      <c r="AC11" s="493"/>
      <c r="AD11" s="610" t="s">
        <v>801</v>
      </c>
      <c r="AE11" s="493"/>
      <c r="AF11" s="493"/>
      <c r="AG11" s="493"/>
      <c r="AH11" s="493"/>
      <c r="AI11" s="493"/>
      <c r="AJ11" s="493"/>
      <c r="AK11" s="493"/>
      <c r="AL11" s="493"/>
      <c r="AM11" s="493"/>
      <c r="AN11" s="493"/>
      <c r="AO11" s="493"/>
      <c r="AP11" s="493"/>
      <c r="AQ11" s="493"/>
      <c r="AR11" s="493"/>
      <c r="AS11" s="493"/>
      <c r="AT11" s="493"/>
      <c r="AU11" s="493"/>
      <c r="AV11" s="493"/>
      <c r="AW11" s="493"/>
      <c r="AX11" s="493"/>
      <c r="AY11" s="493"/>
      <c r="AZ11" s="493"/>
    </row>
    <row r="12" spans="1:52" s="245" customFormat="1" ht="15.75" thickBot="1">
      <c r="A12" s="493"/>
      <c r="B12" s="493"/>
      <c r="C12" s="3010" t="s">
        <v>278</v>
      </c>
      <c r="D12" s="3011"/>
      <c r="E12" s="3011"/>
      <c r="F12" s="3012"/>
      <c r="G12" s="497"/>
      <c r="H12" s="3013">
        <f>'Kazan dairesi hesabı YNS-2023'!K51</f>
        <v>28</v>
      </c>
      <c r="I12" s="3014"/>
      <c r="J12" s="502"/>
      <c r="K12" s="3013">
        <f>'Kazan dairesi hesabı YNS-2023'!M51</f>
        <v>40</v>
      </c>
      <c r="L12" s="3014"/>
      <c r="M12" s="502"/>
      <c r="N12" s="3013">
        <f>'Kazan dairesi hesabı YNS-2023'!O51</f>
        <v>36</v>
      </c>
      <c r="O12" s="3014"/>
      <c r="P12" s="493"/>
      <c r="Q12" s="493"/>
      <c r="R12" s="246"/>
      <c r="S12" s="246"/>
      <c r="T12" s="246"/>
      <c r="U12" s="246"/>
      <c r="V12" s="246"/>
      <c r="W12" s="246"/>
      <c r="X12" s="493"/>
      <c r="Y12" s="493"/>
      <c r="Z12" s="493"/>
      <c r="AA12" s="493"/>
      <c r="AB12" s="493"/>
      <c r="AC12" s="493"/>
      <c r="AD12" s="611"/>
      <c r="AE12" s="584"/>
      <c r="AF12" s="584"/>
      <c r="AG12" s="584"/>
      <c r="AH12" s="584"/>
      <c r="AI12" s="584"/>
      <c r="AJ12" s="584"/>
      <c r="AK12" s="585"/>
      <c r="AL12" s="493"/>
      <c r="AM12" s="493"/>
      <c r="AN12" s="493"/>
      <c r="AO12" s="493"/>
      <c r="AP12" s="493"/>
      <c r="AQ12" s="493"/>
      <c r="AR12" s="493"/>
      <c r="AS12" s="493"/>
      <c r="AT12" s="493"/>
      <c r="AU12" s="493"/>
      <c r="AV12" s="493"/>
      <c r="AW12" s="493"/>
      <c r="AX12" s="493"/>
      <c r="AY12" s="493"/>
      <c r="AZ12" s="493"/>
    </row>
    <row r="13" spans="1:52" s="245" customFormat="1" ht="15.75" thickBot="1">
      <c r="A13" s="493"/>
      <c r="B13" s="493"/>
      <c r="C13" s="493"/>
      <c r="D13" s="493"/>
      <c r="E13" s="493"/>
      <c r="F13" s="493"/>
      <c r="G13" s="493"/>
      <c r="H13" s="493"/>
      <c r="I13" s="493"/>
      <c r="J13" s="493"/>
      <c r="K13" s="493"/>
      <c r="L13" s="493"/>
      <c r="M13" s="493"/>
      <c r="N13" s="493"/>
      <c r="O13" s="493"/>
      <c r="P13" s="493"/>
      <c r="Q13" s="493"/>
      <c r="R13" s="246"/>
      <c r="S13" s="246"/>
      <c r="T13" s="246"/>
      <c r="U13" s="246">
        <f>IF(G8="YERDEN ISITMA",(W8),IF(G8="PANEL RADYATÖR",(W9),IF(G8="ÇELİK RADYATÖR",(W10),(W11))))</f>
        <v>19.8</v>
      </c>
      <c r="V13" s="246"/>
      <c r="W13" s="246"/>
      <c r="X13" s="493"/>
      <c r="Y13" s="493"/>
      <c r="Z13" s="493"/>
      <c r="AA13" s="493"/>
      <c r="AB13" s="493"/>
      <c r="AC13" s="493"/>
      <c r="AD13" s="586"/>
      <c r="AE13" s="594" t="s">
        <v>797</v>
      </c>
      <c r="AF13" s="595"/>
      <c r="AG13" s="596"/>
      <c r="AH13" s="1398">
        <v>3000</v>
      </c>
      <c r="AI13" s="606" t="s">
        <v>163</v>
      </c>
      <c r="AJ13" s="493"/>
      <c r="AK13" s="587"/>
      <c r="AL13" s="493"/>
      <c r="AM13" s="493"/>
      <c r="AN13" s="493"/>
      <c r="AO13" s="493"/>
      <c r="AP13" s="493"/>
      <c r="AQ13" s="493"/>
      <c r="AR13" s="493"/>
      <c r="AS13" s="493"/>
      <c r="AT13" s="493"/>
      <c r="AU13" s="493"/>
      <c r="AV13" s="493"/>
      <c r="AW13" s="493"/>
      <c r="AX13" s="493"/>
      <c r="AY13" s="493"/>
      <c r="AZ13" s="493"/>
    </row>
    <row r="14" spans="1:52" s="245" customFormat="1" ht="15.75" thickBot="1">
      <c r="A14" s="493"/>
      <c r="B14" s="493"/>
      <c r="C14" s="493"/>
      <c r="D14" s="493"/>
      <c r="E14" s="493"/>
      <c r="F14" s="493"/>
      <c r="G14" s="493"/>
      <c r="H14" s="493"/>
      <c r="I14" s="493"/>
      <c r="J14" s="493"/>
      <c r="K14" s="493"/>
      <c r="L14" s="493"/>
      <c r="M14" s="493"/>
      <c r="N14" s="493"/>
      <c r="O14" s="493"/>
      <c r="P14" s="493"/>
      <c r="Q14" s="493"/>
      <c r="R14" s="246" t="s">
        <v>279</v>
      </c>
      <c r="S14" s="246"/>
      <c r="T14" s="246"/>
      <c r="U14" s="246">
        <f>C17*U13</f>
        <v>2257.2000000000003</v>
      </c>
      <c r="V14" s="246"/>
      <c r="W14" s="246"/>
      <c r="X14" s="493"/>
      <c r="Y14" s="493"/>
      <c r="Z14" s="493"/>
      <c r="AA14" s="493"/>
      <c r="AB14" s="493"/>
      <c r="AC14" s="493"/>
      <c r="AD14" s="586"/>
      <c r="AE14" s="598" t="s">
        <v>798</v>
      </c>
      <c r="AF14" s="599"/>
      <c r="AG14" s="600"/>
      <c r="AH14" s="613">
        <v>12.5</v>
      </c>
      <c r="AI14" s="613" t="s">
        <v>160</v>
      </c>
      <c r="AJ14" s="493"/>
      <c r="AK14" s="587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493"/>
      <c r="AY14" s="493"/>
      <c r="AZ14" s="493"/>
    </row>
    <row r="15" spans="1:52" s="245" customFormat="1" ht="19.5" thickBot="1">
      <c r="A15" s="493"/>
      <c r="B15" s="493"/>
      <c r="C15" s="3022" t="s">
        <v>1312</v>
      </c>
      <c r="D15" s="3023"/>
      <c r="E15" s="3023"/>
      <c r="F15" s="3023"/>
      <c r="G15" s="3023"/>
      <c r="H15" s="3023"/>
      <c r="I15" s="3023"/>
      <c r="J15" s="3023"/>
      <c r="K15" s="3023"/>
      <c r="L15" s="3023"/>
      <c r="M15" s="3023"/>
      <c r="N15" s="3023"/>
      <c r="O15" s="3024"/>
      <c r="P15" s="493"/>
      <c r="Q15" s="493"/>
      <c r="R15" s="246" t="s">
        <v>280</v>
      </c>
      <c r="S15" s="246"/>
      <c r="T15" s="246"/>
      <c r="U15" s="246">
        <f>(U14*3.55)/100</f>
        <v>80.130600000000001</v>
      </c>
      <c r="V15" s="246"/>
      <c r="W15" s="246"/>
      <c r="X15" s="493"/>
      <c r="Y15" s="493"/>
      <c r="Z15" s="493"/>
      <c r="AA15" s="493"/>
      <c r="AB15" s="493"/>
      <c r="AC15" s="493"/>
      <c r="AD15" s="586"/>
      <c r="AE15" s="601" t="s">
        <v>799</v>
      </c>
      <c r="AF15" s="602"/>
      <c r="AG15" s="603"/>
      <c r="AH15" s="604">
        <f>(AH13*AH14)/1000</f>
        <v>37.5</v>
      </c>
      <c r="AI15" s="605" t="s">
        <v>77</v>
      </c>
      <c r="AJ15" s="493"/>
      <c r="AK15" s="587"/>
      <c r="AL15" s="493"/>
      <c r="AM15" s="493"/>
      <c r="AN15" s="493"/>
      <c r="AO15" s="493"/>
      <c r="AP15" s="493"/>
      <c r="AQ15" s="493"/>
      <c r="AR15" s="493"/>
      <c r="AS15" s="493"/>
      <c r="AT15" s="493"/>
      <c r="AU15" s="493"/>
      <c r="AV15" s="493"/>
      <c r="AW15" s="493"/>
      <c r="AX15" s="493"/>
      <c r="AY15" s="493"/>
      <c r="AZ15" s="493"/>
    </row>
    <row r="16" spans="1:52" s="245" customFormat="1" ht="15.75" thickBot="1">
      <c r="A16" s="493"/>
      <c r="B16" s="493"/>
      <c r="C16" s="3025" t="s">
        <v>281</v>
      </c>
      <c r="D16" s="3026"/>
      <c r="E16" s="3026"/>
      <c r="F16" s="3025" t="s">
        <v>282</v>
      </c>
      <c r="G16" s="3026"/>
      <c r="H16" s="3026"/>
      <c r="I16" s="3026"/>
      <c r="J16" s="3027"/>
      <c r="K16" s="3025" t="s">
        <v>283</v>
      </c>
      <c r="L16" s="3026"/>
      <c r="M16" s="3026"/>
      <c r="N16" s="3026"/>
      <c r="O16" s="3027"/>
      <c r="P16" s="493"/>
      <c r="Q16" s="493"/>
      <c r="R16" s="246" t="s">
        <v>284</v>
      </c>
      <c r="S16" s="246"/>
      <c r="T16" s="246"/>
      <c r="U16" s="246">
        <f>U14*0.005</f>
        <v>11.286000000000001</v>
      </c>
      <c r="V16" s="246"/>
      <c r="W16" s="246"/>
      <c r="X16" s="493"/>
      <c r="Y16" s="493"/>
      <c r="Z16" s="493"/>
      <c r="AA16" s="493"/>
      <c r="AB16" s="493"/>
      <c r="AC16" s="493"/>
      <c r="AD16" s="586"/>
      <c r="AE16" s="493"/>
      <c r="AF16" s="493"/>
      <c r="AG16" s="493"/>
      <c r="AH16" s="604">
        <f>AH15*860</f>
        <v>32250</v>
      </c>
      <c r="AI16" s="605" t="s">
        <v>42</v>
      </c>
      <c r="AJ16" s="493"/>
      <c r="AK16" s="587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493"/>
      <c r="AY16" s="493"/>
      <c r="AZ16" s="493"/>
    </row>
    <row r="17" spans="1:52" s="245" customFormat="1" ht="15.75" thickBot="1">
      <c r="A17" s="493"/>
      <c r="B17" s="493"/>
      <c r="C17" s="3028">
        <f>G6/860</f>
        <v>114</v>
      </c>
      <c r="D17" s="3028"/>
      <c r="E17" s="3028"/>
      <c r="F17" s="3029">
        <f>IF(T8=1,U11,T11)</f>
        <v>9.8040000000000003</v>
      </c>
      <c r="G17" s="3029"/>
      <c r="H17" s="3029"/>
      <c r="I17" s="3029"/>
      <c r="J17" s="3029"/>
      <c r="K17" s="3029">
        <f>(H12+K12+N12)*0.03</f>
        <v>3.12</v>
      </c>
      <c r="L17" s="3029"/>
      <c r="M17" s="3029"/>
      <c r="N17" s="3029"/>
      <c r="O17" s="3029"/>
      <c r="P17" s="493"/>
      <c r="Q17" s="493"/>
      <c r="R17" s="246" t="s">
        <v>285</v>
      </c>
      <c r="S17" s="246"/>
      <c r="T17" s="246"/>
      <c r="U17" s="246">
        <f>IF(N12&lt;15,2.5,IF(N12&lt;25,3.5,IF(N12&lt;35,4.5,IF(N12&lt;45,5.5,"KONTROL ET"))))</f>
        <v>5.5</v>
      </c>
      <c r="V17" s="246"/>
      <c r="W17" s="246"/>
      <c r="X17" s="493"/>
      <c r="Y17" s="493"/>
      <c r="Z17" s="493"/>
      <c r="AA17" s="493"/>
      <c r="AB17" s="493"/>
      <c r="AC17" s="493"/>
      <c r="AD17" s="607"/>
      <c r="AE17" s="614"/>
      <c r="AF17" s="614"/>
      <c r="AG17" s="614"/>
      <c r="AH17" s="614"/>
      <c r="AI17" s="614"/>
      <c r="AJ17" s="614"/>
      <c r="AK17" s="615"/>
      <c r="AL17" s="493"/>
      <c r="AM17" s="493"/>
      <c r="AN17" s="493"/>
      <c r="AO17" s="493"/>
      <c r="AP17" s="493"/>
      <c r="AQ17" s="493"/>
      <c r="AR17" s="493"/>
      <c r="AS17" s="493"/>
      <c r="AT17" s="493"/>
      <c r="AU17" s="493"/>
      <c r="AV17" s="493"/>
      <c r="AW17" s="493"/>
      <c r="AX17" s="493"/>
      <c r="AY17" s="493"/>
      <c r="AZ17" s="493"/>
    </row>
    <row r="18" spans="1:52" s="245" customFormat="1">
      <c r="A18" s="493"/>
      <c r="B18" s="493"/>
      <c r="P18" s="493"/>
      <c r="Q18" s="493"/>
      <c r="R18" s="246" t="s">
        <v>288</v>
      </c>
      <c r="S18" s="246"/>
      <c r="T18" s="246"/>
      <c r="U18" s="246">
        <f>U17-0.5</f>
        <v>5</v>
      </c>
      <c r="V18" s="246"/>
      <c r="W18" s="246"/>
      <c r="X18" s="493"/>
      <c r="Y18" s="493"/>
      <c r="Z18" s="493"/>
      <c r="AA18" s="493"/>
      <c r="AB18" s="493"/>
      <c r="AC18" s="493"/>
      <c r="AD18" s="493"/>
      <c r="AE18" s="494"/>
      <c r="AF18" s="494"/>
      <c r="AG18" s="494"/>
      <c r="AH18" s="494"/>
      <c r="AI18" s="494"/>
      <c r="AJ18" s="494"/>
      <c r="AK18" s="494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</row>
    <row r="19" spans="1:52" s="245" customFormat="1" ht="18.75">
      <c r="A19" s="493"/>
      <c r="B19" s="493"/>
      <c r="C19" s="3022" t="s">
        <v>290</v>
      </c>
      <c r="D19" s="3023"/>
      <c r="E19" s="3023"/>
      <c r="F19" s="3023"/>
      <c r="G19" s="3023"/>
      <c r="H19" s="3023"/>
      <c r="I19" s="3023"/>
      <c r="J19" s="3023"/>
      <c r="K19" s="3023"/>
      <c r="L19" s="3023"/>
      <c r="M19" s="3023"/>
      <c r="N19" s="3023"/>
      <c r="O19" s="3024"/>
      <c r="P19" s="493"/>
      <c r="Q19" s="493"/>
      <c r="R19" s="246" t="s">
        <v>291</v>
      </c>
      <c r="S19" s="246"/>
      <c r="T19" s="246"/>
      <c r="U19" s="246">
        <f>N12/10</f>
        <v>3.6</v>
      </c>
      <c r="V19" s="246"/>
      <c r="W19" s="246"/>
      <c r="X19" s="493"/>
      <c r="Y19" s="493"/>
      <c r="Z19" s="493"/>
      <c r="AA19" s="493"/>
      <c r="AB19" s="493"/>
      <c r="AC19" s="493"/>
      <c r="AD19" s="493"/>
      <c r="AE19" s="494"/>
      <c r="AF19" s="494"/>
      <c r="AG19" s="494"/>
      <c r="AH19" s="494"/>
      <c r="AI19" s="494"/>
      <c r="AJ19" s="494"/>
      <c r="AK19" s="494"/>
      <c r="AL19" s="493"/>
      <c r="AM19" s="493"/>
      <c r="AN19" s="493"/>
      <c r="AO19" s="493"/>
      <c r="AP19" s="493"/>
      <c r="AQ19" s="493"/>
      <c r="AR19" s="493"/>
      <c r="AS19" s="493"/>
      <c r="AT19" s="493"/>
      <c r="AU19" s="493"/>
      <c r="AV19" s="493"/>
      <c r="AW19" s="493"/>
      <c r="AX19" s="493"/>
      <c r="AY19" s="493"/>
      <c r="AZ19" s="493"/>
    </row>
    <row r="20" spans="1:52" s="245" customFormat="1">
      <c r="A20" s="493"/>
      <c r="B20" s="493"/>
      <c r="C20" s="3039" t="s">
        <v>293</v>
      </c>
      <c r="D20" s="3039"/>
      <c r="E20" s="3039"/>
      <c r="F20" s="3040" t="s">
        <v>294</v>
      </c>
      <c r="G20" s="3040"/>
      <c r="H20" s="3040"/>
      <c r="I20" s="3040"/>
      <c r="J20" s="3040"/>
      <c r="K20" s="3040" t="s">
        <v>295</v>
      </c>
      <c r="L20" s="3040"/>
      <c r="M20" s="3040"/>
      <c r="N20" s="3040"/>
      <c r="O20" s="3040"/>
      <c r="P20" s="493"/>
      <c r="Q20" s="493"/>
      <c r="R20" s="246" t="s">
        <v>296</v>
      </c>
      <c r="S20" s="246"/>
      <c r="T20" s="246"/>
      <c r="U20" s="246">
        <f>(U15+U16)*(U18+1)/(U18-U19)</f>
        <v>391.78542857142861</v>
      </c>
      <c r="V20" s="246"/>
      <c r="W20" s="246"/>
      <c r="X20" s="493"/>
      <c r="Y20" s="493"/>
      <c r="Z20" s="493"/>
      <c r="AA20" s="493"/>
      <c r="AB20" s="493"/>
      <c r="AC20" s="493"/>
      <c r="AD20" s="493"/>
      <c r="AE20" s="493"/>
      <c r="AF20" s="493"/>
      <c r="AG20" s="493"/>
      <c r="AH20" s="493"/>
      <c r="AI20" s="493"/>
      <c r="AJ20" s="493"/>
      <c r="AK20" s="493"/>
      <c r="AL20" s="493"/>
      <c r="AM20" s="493"/>
      <c r="AN20" s="493"/>
      <c r="AO20" s="493"/>
      <c r="AP20" s="493"/>
      <c r="AQ20" s="493"/>
      <c r="AR20" s="493"/>
      <c r="AS20" s="493"/>
      <c r="AT20" s="493"/>
      <c r="AU20" s="493"/>
      <c r="AV20" s="493"/>
      <c r="AW20" s="493"/>
      <c r="AX20" s="493"/>
      <c r="AY20" s="493"/>
      <c r="AZ20" s="493"/>
    </row>
    <row r="21" spans="1:52" s="245" customFormat="1">
      <c r="A21" s="493"/>
      <c r="B21" s="493"/>
      <c r="C21" s="3028">
        <f>U20</f>
        <v>391.78542857142861</v>
      </c>
      <c r="D21" s="3028"/>
      <c r="E21" s="3028"/>
      <c r="F21" s="3029">
        <f>U18</f>
        <v>5</v>
      </c>
      <c r="G21" s="3029"/>
      <c r="H21" s="3029"/>
      <c r="I21" s="3029"/>
      <c r="J21" s="3029"/>
      <c r="K21" s="3029">
        <f>U17</f>
        <v>5.5</v>
      </c>
      <c r="L21" s="3029"/>
      <c r="M21" s="3029"/>
      <c r="N21" s="3029"/>
      <c r="O21" s="3029"/>
      <c r="P21" s="493"/>
      <c r="Q21" s="493"/>
      <c r="R21" s="246"/>
      <c r="S21" s="246"/>
      <c r="T21" s="246"/>
      <c r="U21" s="246"/>
      <c r="V21" s="246"/>
      <c r="W21" s="246"/>
      <c r="X21" s="493"/>
      <c r="Y21" s="493"/>
      <c r="Z21" s="493"/>
      <c r="AA21" s="493"/>
      <c r="AB21" s="493"/>
      <c r="AC21" s="493"/>
      <c r="AD21" s="493"/>
      <c r="AE21" s="493"/>
      <c r="AF21" s="493"/>
      <c r="AG21" s="493"/>
      <c r="AH21" s="493"/>
      <c r="AI21" s="493"/>
      <c r="AJ21" s="493"/>
      <c r="AK21" s="493"/>
      <c r="AL21" s="493"/>
      <c r="AM21" s="493"/>
      <c r="AN21" s="493"/>
      <c r="AO21" s="493"/>
      <c r="AP21" s="493"/>
      <c r="AQ21" s="493"/>
      <c r="AR21" s="493"/>
      <c r="AS21" s="493"/>
      <c r="AT21" s="493"/>
      <c r="AU21" s="493"/>
      <c r="AV21" s="493"/>
      <c r="AW21" s="493"/>
      <c r="AX21" s="493"/>
      <c r="AY21" s="493"/>
      <c r="AZ21" s="493"/>
    </row>
    <row r="22" spans="1:52" s="245" customFormat="1">
      <c r="A22" s="493"/>
      <c r="B22" s="493"/>
      <c r="C22" s="493"/>
      <c r="D22" s="493"/>
      <c r="E22" s="493"/>
      <c r="F22" s="493"/>
      <c r="G22" s="493"/>
      <c r="H22" s="493"/>
      <c r="I22" s="493"/>
      <c r="J22" s="493"/>
      <c r="K22" s="493"/>
      <c r="L22" s="493"/>
      <c r="M22" s="493"/>
      <c r="N22" s="493"/>
      <c r="O22" s="493"/>
      <c r="P22" s="493"/>
      <c r="Q22" s="493"/>
      <c r="R22" s="493"/>
      <c r="S22" s="493"/>
      <c r="T22" s="493"/>
      <c r="U22" s="493"/>
      <c r="V22" s="493"/>
      <c r="W22" s="493"/>
      <c r="X22" s="493"/>
      <c r="Y22" s="493"/>
      <c r="Z22" s="493"/>
      <c r="AA22" s="493"/>
      <c r="AB22" s="493"/>
      <c r="AC22" s="493"/>
      <c r="AD22" s="493"/>
      <c r="AE22" s="493"/>
      <c r="AF22" s="493"/>
      <c r="AG22" s="493"/>
      <c r="AH22" s="493"/>
      <c r="AI22" s="493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493"/>
      <c r="AX22" s="493"/>
      <c r="AY22" s="493"/>
      <c r="AZ22" s="493"/>
    </row>
    <row r="23" spans="1:52" s="245" customFormat="1">
      <c r="A23" s="493"/>
      <c r="B23" s="493"/>
      <c r="C23" s="493"/>
      <c r="D23" s="493"/>
      <c r="E23" s="493"/>
      <c r="F23" s="493"/>
      <c r="G23" s="616" t="s">
        <v>286</v>
      </c>
      <c r="H23" s="617" t="s">
        <v>287</v>
      </c>
      <c r="I23" s="617"/>
      <c r="J23" s="617"/>
      <c r="K23" s="617"/>
      <c r="L23" s="617"/>
      <c r="M23" s="597"/>
      <c r="N23" s="597"/>
      <c r="O23" s="597"/>
      <c r="P23" s="493"/>
      <c r="Q23" s="493"/>
      <c r="R23" s="493"/>
      <c r="S23" s="493"/>
      <c r="T23" s="493"/>
      <c r="U23" s="493"/>
      <c r="V23" s="493"/>
      <c r="W23" s="493"/>
      <c r="X23" s="493"/>
      <c r="Y23" s="493"/>
      <c r="Z23" s="493"/>
      <c r="AA23" s="493"/>
      <c r="AB23" s="493"/>
      <c r="AC23" s="493"/>
      <c r="AD23" s="493"/>
      <c r="AE23" s="493"/>
      <c r="AF23" s="493"/>
      <c r="AG23" s="493"/>
      <c r="AH23" s="493"/>
      <c r="AI23" s="493"/>
      <c r="AJ23" s="493"/>
      <c r="AK23" s="493"/>
      <c r="AL23" s="493"/>
      <c r="AM23" s="493"/>
      <c r="AN23" s="493"/>
      <c r="AO23" s="493"/>
      <c r="AP23" s="493"/>
      <c r="AQ23" s="493"/>
      <c r="AR23" s="493"/>
      <c r="AS23" s="493"/>
      <c r="AT23" s="493"/>
      <c r="AU23" s="493"/>
      <c r="AV23" s="493"/>
      <c r="AW23" s="493"/>
      <c r="AX23" s="493"/>
      <c r="AY23" s="493"/>
      <c r="AZ23" s="493"/>
    </row>
    <row r="24" spans="1:52" s="245" customFormat="1">
      <c r="A24" s="493"/>
      <c r="B24" s="493"/>
      <c r="C24" s="493"/>
      <c r="D24" s="493"/>
      <c r="E24" s="493"/>
      <c r="F24" s="493"/>
      <c r="G24" s="618"/>
      <c r="H24" s="617" t="s">
        <v>289</v>
      </c>
      <c r="I24" s="617"/>
      <c r="J24" s="617"/>
      <c r="K24" s="617"/>
      <c r="L24" s="617"/>
      <c r="M24" s="597"/>
      <c r="N24" s="597"/>
      <c r="O24" s="597"/>
      <c r="P24" s="493"/>
      <c r="Q24" s="493"/>
      <c r="R24" s="493"/>
      <c r="S24" s="493"/>
      <c r="T24" s="493"/>
      <c r="U24" s="493"/>
      <c r="V24" s="493"/>
      <c r="W24" s="493"/>
      <c r="X24" s="493"/>
      <c r="Y24" s="493"/>
      <c r="Z24" s="493"/>
      <c r="AA24" s="493"/>
      <c r="AB24" s="493"/>
      <c r="AC24" s="493"/>
      <c r="AD24" s="493"/>
      <c r="AE24" s="493"/>
      <c r="AF24" s="493"/>
      <c r="AG24" s="493"/>
      <c r="AH24" s="493"/>
      <c r="AI24" s="493"/>
      <c r="AJ24" s="493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</row>
    <row r="25" spans="1:52" s="245" customFormat="1">
      <c r="A25" s="493"/>
      <c r="B25" s="493"/>
      <c r="C25" s="493"/>
      <c r="D25" s="493"/>
      <c r="E25" s="493"/>
      <c r="F25" s="493"/>
      <c r="G25" s="618"/>
      <c r="H25" s="617" t="s">
        <v>292</v>
      </c>
      <c r="I25" s="617"/>
      <c r="J25" s="617"/>
      <c r="K25" s="617"/>
      <c r="L25" s="617"/>
      <c r="M25" s="597"/>
      <c r="N25" s="597"/>
      <c r="O25" s="597"/>
      <c r="P25" s="493"/>
      <c r="Q25" s="493"/>
      <c r="R25" s="493"/>
      <c r="S25" s="493"/>
      <c r="T25" s="493"/>
      <c r="U25" s="493"/>
      <c r="V25" s="493"/>
      <c r="W25" s="493"/>
      <c r="X25" s="493"/>
      <c r="Y25" s="493"/>
      <c r="Z25" s="493"/>
      <c r="AA25" s="493"/>
      <c r="AB25" s="493"/>
      <c r="AC25" s="493"/>
      <c r="AD25" s="493"/>
      <c r="AE25" s="493"/>
      <c r="AF25" s="493"/>
      <c r="AG25" s="493"/>
      <c r="AH25" s="493"/>
      <c r="AI25" s="493"/>
      <c r="AJ25" s="493"/>
      <c r="AK25" s="493"/>
      <c r="AL25" s="493"/>
      <c r="AM25" s="493"/>
      <c r="AN25" s="493"/>
      <c r="AO25" s="493"/>
      <c r="AP25" s="493"/>
      <c r="AQ25" s="493"/>
      <c r="AR25" s="493"/>
      <c r="AS25" s="493"/>
      <c r="AT25" s="493"/>
      <c r="AU25" s="493"/>
      <c r="AV25" s="493"/>
      <c r="AW25" s="493"/>
      <c r="AX25" s="493"/>
      <c r="AY25" s="493"/>
      <c r="AZ25" s="493"/>
    </row>
    <row r="26" spans="1:52" s="245" customFormat="1" ht="15.75" thickBot="1">
      <c r="A26" s="493"/>
      <c r="B26" s="493"/>
      <c r="C26" s="493"/>
      <c r="D26" s="493"/>
      <c r="E26" s="493"/>
      <c r="F26" s="493"/>
      <c r="G26" s="493"/>
      <c r="H26" s="493"/>
      <c r="I26" s="493"/>
      <c r="J26" s="493"/>
      <c r="K26" s="493"/>
      <c r="L26" s="493"/>
      <c r="M26" s="493"/>
      <c r="N26" s="493"/>
      <c r="O26" s="493"/>
      <c r="P26" s="493"/>
      <c r="Q26" s="493"/>
      <c r="R26" s="493"/>
      <c r="S26" s="493"/>
      <c r="T26" s="493"/>
      <c r="U26" s="493"/>
      <c r="V26" s="493"/>
      <c r="W26" s="493"/>
      <c r="X26" s="493"/>
      <c r="Y26" s="493"/>
      <c r="Z26" s="493"/>
      <c r="AA26" s="493"/>
      <c r="AB26" s="493"/>
      <c r="AC26" s="493"/>
      <c r="AD26" s="493"/>
      <c r="AE26" s="493"/>
      <c r="AF26" s="493"/>
      <c r="AG26" s="493"/>
      <c r="AH26" s="493"/>
      <c r="AI26" s="493"/>
      <c r="AJ26" s="493"/>
      <c r="AK26" s="493"/>
      <c r="AL26" s="493"/>
      <c r="AM26" s="493"/>
      <c r="AN26" s="493"/>
      <c r="AO26" s="493"/>
      <c r="AP26" s="493"/>
      <c r="AQ26" s="493"/>
      <c r="AR26" s="493"/>
      <c r="AS26" s="493"/>
      <c r="AT26" s="493"/>
      <c r="AU26" s="493"/>
      <c r="AV26" s="493"/>
      <c r="AW26" s="493"/>
      <c r="AX26" s="493"/>
      <c r="AY26" s="493"/>
      <c r="AZ26" s="493"/>
    </row>
    <row r="27" spans="1:52" s="245" customFormat="1">
      <c r="A27" s="493"/>
      <c r="B27" s="493"/>
      <c r="C27" s="493"/>
      <c r="D27" s="493"/>
      <c r="E27" s="493"/>
      <c r="F27" s="493"/>
      <c r="G27" s="493"/>
      <c r="H27" s="3030" t="s">
        <v>158</v>
      </c>
      <c r="I27" s="3031"/>
      <c r="J27" s="3031"/>
      <c r="K27" s="3031"/>
      <c r="L27" s="3031"/>
      <c r="M27" s="3031"/>
      <c r="N27" s="3031"/>
      <c r="O27" s="3032"/>
      <c r="P27" s="493"/>
      <c r="Q27" s="493"/>
      <c r="R27" s="493"/>
      <c r="S27" s="493"/>
      <c r="T27" s="493"/>
      <c r="U27" s="493"/>
      <c r="V27" s="493"/>
      <c r="W27" s="493"/>
      <c r="X27" s="493"/>
      <c r="Y27" s="493"/>
      <c r="Z27" s="493"/>
      <c r="AA27" s="493"/>
      <c r="AB27" s="493"/>
      <c r="AC27" s="493"/>
      <c r="AD27" s="493"/>
      <c r="AE27" s="493"/>
      <c r="AF27" s="493"/>
      <c r="AG27" s="493"/>
      <c r="AH27" s="493"/>
      <c r="AI27" s="493"/>
      <c r="AJ27" s="493"/>
      <c r="AK27" s="493"/>
      <c r="AL27" s="493"/>
      <c r="AM27" s="493"/>
      <c r="AN27" s="493"/>
      <c r="AO27" s="493"/>
      <c r="AP27" s="493"/>
      <c r="AQ27" s="493"/>
      <c r="AR27" s="493"/>
      <c r="AS27" s="493"/>
      <c r="AT27" s="493"/>
      <c r="AU27" s="493"/>
      <c r="AV27" s="493"/>
      <c r="AW27" s="493"/>
      <c r="AX27" s="493"/>
      <c r="AY27" s="493"/>
      <c r="AZ27" s="493"/>
    </row>
    <row r="28" spans="1:52" s="245" customFormat="1">
      <c r="A28" s="493"/>
      <c r="B28" s="493"/>
      <c r="C28" s="493"/>
      <c r="D28" s="493"/>
      <c r="E28" s="493"/>
      <c r="F28" s="493"/>
      <c r="G28" s="493"/>
      <c r="H28" s="3033" t="s">
        <v>17</v>
      </c>
      <c r="I28" s="3034"/>
      <c r="J28" s="3034"/>
      <c r="K28" s="3034"/>
      <c r="L28" s="3034"/>
      <c r="M28" s="3034"/>
      <c r="N28" s="3034"/>
      <c r="O28" s="3035"/>
      <c r="P28" s="493"/>
      <c r="Q28" s="493"/>
      <c r="R28" s="493"/>
      <c r="S28" s="493"/>
      <c r="T28" s="493"/>
      <c r="U28" s="493"/>
      <c r="V28" s="493"/>
      <c r="W28" s="493"/>
      <c r="X28" s="493"/>
      <c r="Y28" s="493"/>
      <c r="Z28" s="493"/>
      <c r="AA28" s="493"/>
      <c r="AB28" s="493"/>
      <c r="AC28" s="493"/>
      <c r="AD28" s="493"/>
      <c r="AE28" s="493"/>
      <c r="AF28" s="493"/>
      <c r="AG28" s="493"/>
      <c r="AH28" s="493"/>
      <c r="AI28" s="493"/>
      <c r="AJ28" s="493"/>
      <c r="AK28" s="493"/>
      <c r="AL28" s="493"/>
      <c r="AM28" s="493"/>
      <c r="AN28" s="493"/>
      <c r="AO28" s="493"/>
      <c r="AP28" s="493"/>
      <c r="AQ28" s="493"/>
      <c r="AR28" s="493"/>
      <c r="AS28" s="493"/>
      <c r="AT28" s="493"/>
      <c r="AU28" s="493"/>
      <c r="AV28" s="493"/>
      <c r="AW28" s="493"/>
      <c r="AX28" s="493"/>
      <c r="AY28" s="493"/>
      <c r="AZ28" s="493"/>
    </row>
    <row r="29" spans="1:52" s="245" customFormat="1" ht="15.75" thickBot="1">
      <c r="A29" s="493"/>
      <c r="B29" s="493"/>
      <c r="C29" s="493"/>
      <c r="D29" s="493"/>
      <c r="E29" s="493"/>
      <c r="F29" s="493"/>
      <c r="G29" s="493"/>
      <c r="H29" s="3036">
        <v>2022</v>
      </c>
      <c r="I29" s="3037"/>
      <c r="J29" s="3037"/>
      <c r="K29" s="3037"/>
      <c r="L29" s="3037"/>
      <c r="M29" s="3037"/>
      <c r="N29" s="3037"/>
      <c r="O29" s="3038"/>
      <c r="P29" s="493"/>
      <c r="Q29" s="493"/>
      <c r="R29" s="493"/>
      <c r="S29" s="493"/>
      <c r="T29" s="493"/>
      <c r="U29" s="493"/>
      <c r="V29" s="493"/>
      <c r="W29" s="493"/>
      <c r="X29" s="493"/>
      <c r="Y29" s="493"/>
      <c r="Z29" s="493"/>
      <c r="AA29" s="493"/>
      <c r="AB29" s="493"/>
      <c r="AC29" s="493"/>
      <c r="AD29" s="493"/>
      <c r="AE29" s="493"/>
      <c r="AF29" s="493"/>
      <c r="AG29" s="493"/>
      <c r="AH29" s="493"/>
      <c r="AI29" s="493"/>
      <c r="AJ29" s="493"/>
      <c r="AK29" s="493"/>
      <c r="AL29" s="493"/>
      <c r="AM29" s="493"/>
      <c r="AN29" s="493"/>
      <c r="AO29" s="493"/>
      <c r="AP29" s="493"/>
      <c r="AQ29" s="493"/>
      <c r="AR29" s="493"/>
      <c r="AS29" s="493"/>
      <c r="AT29" s="493"/>
      <c r="AU29" s="493"/>
      <c r="AV29" s="493"/>
      <c r="AW29" s="493"/>
      <c r="AX29" s="493"/>
      <c r="AY29" s="493"/>
      <c r="AZ29" s="493"/>
    </row>
    <row r="30" spans="1:52" s="245" customFormat="1">
      <c r="A30" s="493"/>
      <c r="B30" s="493"/>
      <c r="C30" s="493"/>
      <c r="D30" s="493"/>
      <c r="E30" s="493"/>
      <c r="F30" s="493"/>
      <c r="G30" s="493"/>
      <c r="H30" s="493"/>
      <c r="I30" s="493"/>
      <c r="J30" s="493"/>
      <c r="K30" s="493"/>
      <c r="L30" s="493"/>
      <c r="M30" s="493"/>
      <c r="N30" s="493"/>
      <c r="O30" s="493"/>
      <c r="P30" s="493"/>
      <c r="Q30" s="493"/>
      <c r="R30" s="493"/>
      <c r="S30" s="493"/>
      <c r="T30" s="493"/>
      <c r="U30" s="493"/>
      <c r="V30" s="493"/>
      <c r="W30" s="493"/>
      <c r="X30" s="493"/>
      <c r="Y30" s="493"/>
      <c r="Z30" s="493"/>
      <c r="AA30" s="493"/>
      <c r="AB30" s="493"/>
      <c r="AC30" s="493"/>
      <c r="AD30" s="493"/>
      <c r="AE30" s="493"/>
      <c r="AF30" s="493"/>
      <c r="AG30" s="493"/>
      <c r="AH30" s="493"/>
      <c r="AI30" s="493"/>
      <c r="AJ30" s="493"/>
      <c r="AK30" s="493"/>
      <c r="AL30" s="493"/>
      <c r="AM30" s="493"/>
      <c r="AN30" s="493"/>
      <c r="AO30" s="493"/>
      <c r="AP30" s="493"/>
      <c r="AQ30" s="493"/>
      <c r="AR30" s="493"/>
      <c r="AS30" s="493"/>
      <c r="AT30" s="493"/>
      <c r="AU30" s="493"/>
      <c r="AV30" s="493"/>
      <c r="AW30" s="493"/>
      <c r="AX30" s="493"/>
      <c r="AY30" s="493"/>
      <c r="AZ30" s="493"/>
    </row>
    <row r="31" spans="1:52" s="245" customFormat="1">
      <c r="A31" s="493"/>
      <c r="B31" s="493"/>
      <c r="C31" s="493"/>
      <c r="D31" s="493"/>
      <c r="E31" s="493"/>
      <c r="F31" s="493"/>
      <c r="G31" s="493"/>
      <c r="H31" s="493"/>
      <c r="I31" s="493"/>
      <c r="J31" s="493"/>
      <c r="K31" s="493"/>
      <c r="L31" s="493"/>
      <c r="M31" s="493"/>
      <c r="N31" s="493"/>
      <c r="O31" s="493"/>
      <c r="P31" s="493"/>
      <c r="Q31" s="493"/>
      <c r="R31" s="493"/>
      <c r="S31" s="493"/>
      <c r="T31" s="493"/>
      <c r="U31" s="493"/>
      <c r="V31" s="493"/>
      <c r="W31" s="493"/>
      <c r="X31" s="493"/>
      <c r="Y31" s="493"/>
      <c r="Z31" s="493"/>
      <c r="AA31" s="493"/>
      <c r="AB31" s="493"/>
      <c r="AC31" s="493"/>
      <c r="AD31" s="493"/>
      <c r="AE31" s="493"/>
      <c r="AF31" s="493"/>
      <c r="AG31" s="493"/>
      <c r="AH31" s="493"/>
      <c r="AI31" s="493"/>
      <c r="AJ31" s="493"/>
      <c r="AK31" s="493"/>
      <c r="AL31" s="493"/>
      <c r="AM31" s="493"/>
      <c r="AN31" s="493"/>
      <c r="AO31" s="493"/>
      <c r="AP31" s="493"/>
      <c r="AQ31" s="493"/>
      <c r="AR31" s="493"/>
      <c r="AS31" s="493"/>
      <c r="AT31" s="493"/>
      <c r="AU31" s="493"/>
      <c r="AV31" s="493"/>
      <c r="AW31" s="493"/>
      <c r="AX31" s="493"/>
      <c r="AY31" s="493"/>
      <c r="AZ31" s="493"/>
    </row>
    <row r="32" spans="1:52" s="245" customFormat="1">
      <c r="A32" s="493"/>
      <c r="B32" s="493"/>
      <c r="C32" s="493"/>
      <c r="D32" s="493"/>
      <c r="E32" s="493"/>
      <c r="F32" s="493"/>
      <c r="G32" s="493"/>
      <c r="H32" s="493"/>
      <c r="I32" s="493"/>
      <c r="J32" s="493"/>
      <c r="K32" s="493"/>
      <c r="L32" s="493"/>
      <c r="M32" s="493"/>
      <c r="N32" s="493"/>
      <c r="O32" s="493"/>
      <c r="P32" s="493"/>
      <c r="Q32" s="493"/>
      <c r="R32" s="493"/>
      <c r="S32" s="493"/>
      <c r="T32" s="493"/>
      <c r="U32" s="493"/>
      <c r="V32" s="493"/>
      <c r="W32" s="493"/>
      <c r="X32" s="493"/>
      <c r="Y32" s="493"/>
      <c r="Z32" s="493"/>
      <c r="AA32" s="493"/>
      <c r="AB32" s="493"/>
      <c r="AC32" s="493"/>
      <c r="AD32" s="493"/>
      <c r="AE32" s="493"/>
      <c r="AF32" s="493"/>
      <c r="AG32" s="493"/>
      <c r="AH32" s="493"/>
      <c r="AI32" s="493"/>
      <c r="AJ32" s="493"/>
      <c r="AK32" s="493"/>
      <c r="AL32" s="493"/>
      <c r="AM32" s="493"/>
      <c r="AN32" s="493"/>
      <c r="AO32" s="493"/>
      <c r="AP32" s="493"/>
      <c r="AQ32" s="493"/>
      <c r="AR32" s="493"/>
      <c r="AS32" s="493"/>
      <c r="AT32" s="493"/>
      <c r="AU32" s="493"/>
      <c r="AV32" s="493"/>
      <c r="AW32" s="493"/>
      <c r="AX32" s="493"/>
      <c r="AY32" s="493"/>
      <c r="AZ32" s="493"/>
    </row>
    <row r="33" spans="1:52" s="245" customFormat="1">
      <c r="A33" s="493"/>
      <c r="B33" s="493"/>
      <c r="C33" s="493"/>
      <c r="D33" s="493"/>
      <c r="E33" s="493"/>
      <c r="F33" s="493"/>
      <c r="G33" s="493"/>
      <c r="H33" s="493"/>
      <c r="I33" s="493"/>
      <c r="J33" s="493"/>
      <c r="K33" s="493"/>
      <c r="L33" s="493"/>
      <c r="M33" s="493"/>
      <c r="N33" s="493"/>
      <c r="O33" s="493"/>
      <c r="P33" s="493"/>
      <c r="Q33" s="493"/>
      <c r="R33" s="493"/>
      <c r="S33" s="493"/>
      <c r="T33" s="493"/>
      <c r="U33" s="493"/>
      <c r="V33" s="493"/>
      <c r="W33" s="493"/>
      <c r="X33" s="493"/>
      <c r="Y33" s="493"/>
      <c r="Z33" s="493"/>
      <c r="AA33" s="493"/>
      <c r="AB33" s="493"/>
      <c r="AC33" s="493"/>
      <c r="AD33" s="493"/>
      <c r="AE33" s="493"/>
      <c r="AF33" s="493"/>
      <c r="AG33" s="493"/>
      <c r="AH33" s="493"/>
      <c r="AI33" s="493"/>
      <c r="AJ33" s="493"/>
      <c r="AK33" s="493"/>
      <c r="AL33" s="493"/>
      <c r="AM33" s="493"/>
      <c r="AN33" s="493"/>
      <c r="AO33" s="493"/>
      <c r="AP33" s="493"/>
      <c r="AQ33" s="493"/>
      <c r="AR33" s="493"/>
      <c r="AS33" s="493"/>
      <c r="AT33" s="493"/>
      <c r="AU33" s="493"/>
      <c r="AV33" s="493"/>
      <c r="AW33" s="493"/>
      <c r="AX33" s="493"/>
      <c r="AY33" s="493"/>
      <c r="AZ33" s="493"/>
    </row>
    <row r="34" spans="1:52" s="245" customFormat="1">
      <c r="A34" s="493"/>
      <c r="B34" s="493"/>
      <c r="C34" s="493"/>
      <c r="D34" s="493"/>
      <c r="E34" s="493"/>
      <c r="F34" s="493"/>
      <c r="G34" s="493"/>
      <c r="H34" s="493"/>
      <c r="I34" s="493"/>
      <c r="J34" s="493"/>
      <c r="K34" s="493"/>
      <c r="L34" s="493"/>
      <c r="M34" s="493"/>
      <c r="N34" s="493"/>
      <c r="O34" s="493"/>
      <c r="P34" s="493"/>
      <c r="Q34" s="493"/>
      <c r="R34" s="493"/>
      <c r="S34" s="493"/>
      <c r="T34" s="493"/>
      <c r="U34" s="493"/>
      <c r="V34" s="493"/>
      <c r="W34" s="493"/>
      <c r="X34" s="493"/>
      <c r="Y34" s="493"/>
      <c r="Z34" s="493"/>
      <c r="AA34" s="493"/>
      <c r="AB34" s="493"/>
      <c r="AC34" s="493"/>
      <c r="AD34" s="493"/>
      <c r="AE34" s="493"/>
      <c r="AF34" s="493"/>
      <c r="AG34" s="493"/>
      <c r="AH34" s="493"/>
      <c r="AI34" s="493"/>
      <c r="AJ34" s="493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</row>
    <row r="35" spans="1:52" s="245" customFormat="1">
      <c r="A35" s="493"/>
      <c r="B35" s="493"/>
      <c r="C35" s="493"/>
      <c r="D35" s="493"/>
      <c r="E35" s="493"/>
      <c r="F35" s="493"/>
      <c r="G35" s="493"/>
      <c r="H35" s="493"/>
      <c r="I35" s="493"/>
      <c r="J35" s="493"/>
      <c r="K35" s="493"/>
      <c r="L35" s="493"/>
      <c r="M35" s="493"/>
      <c r="N35" s="493"/>
      <c r="O35" s="493"/>
      <c r="P35" s="493"/>
      <c r="Q35" s="493"/>
      <c r="R35" s="493"/>
      <c r="S35" s="493"/>
      <c r="T35" s="493"/>
      <c r="U35" s="493"/>
      <c r="V35" s="493"/>
      <c r="W35" s="493"/>
      <c r="X35" s="493"/>
      <c r="Y35" s="493"/>
      <c r="Z35" s="493"/>
      <c r="AA35" s="493"/>
      <c r="AB35" s="493"/>
      <c r="AC35" s="493"/>
      <c r="AD35" s="493"/>
      <c r="AE35" s="493"/>
      <c r="AF35" s="493"/>
      <c r="AG35" s="493"/>
      <c r="AH35" s="493"/>
      <c r="AI35" s="493"/>
      <c r="AJ35" s="493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</row>
    <row r="36" spans="1:52" s="245" customFormat="1">
      <c r="A36" s="493"/>
      <c r="B36" s="493"/>
      <c r="C36" s="493"/>
      <c r="D36" s="493"/>
      <c r="E36" s="493"/>
      <c r="F36" s="493"/>
      <c r="G36" s="493"/>
      <c r="H36" s="493"/>
      <c r="I36" s="493"/>
      <c r="J36" s="493"/>
      <c r="K36" s="493"/>
      <c r="L36" s="493"/>
      <c r="M36" s="493"/>
      <c r="N36" s="493"/>
      <c r="O36" s="493"/>
      <c r="P36" s="493"/>
      <c r="Q36" s="493"/>
      <c r="R36" s="493"/>
      <c r="S36" s="493"/>
      <c r="T36" s="493"/>
      <c r="U36" s="493"/>
      <c r="V36" s="493"/>
      <c r="W36" s="493"/>
      <c r="X36" s="493"/>
      <c r="Y36" s="493"/>
      <c r="Z36" s="493"/>
      <c r="AA36" s="493"/>
      <c r="AB36" s="493"/>
      <c r="AC36" s="493"/>
      <c r="AD36" s="493"/>
      <c r="AE36" s="493"/>
      <c r="AF36" s="493"/>
      <c r="AG36" s="493"/>
      <c r="AH36" s="493"/>
      <c r="AI36" s="493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493"/>
      <c r="AV36" s="493"/>
      <c r="AW36" s="493"/>
      <c r="AX36" s="493"/>
      <c r="AY36" s="493"/>
      <c r="AZ36" s="493"/>
    </row>
    <row r="37" spans="1:52" s="245" customFormat="1">
      <c r="A37" s="493"/>
      <c r="B37" s="493"/>
      <c r="C37" s="493"/>
      <c r="D37" s="493"/>
      <c r="E37" s="493"/>
      <c r="F37" s="493"/>
      <c r="G37" s="493"/>
      <c r="H37" s="493"/>
      <c r="I37" s="493"/>
      <c r="J37" s="493"/>
      <c r="K37" s="493"/>
      <c r="L37" s="493"/>
      <c r="M37" s="493"/>
      <c r="N37" s="493"/>
      <c r="O37" s="493"/>
      <c r="P37" s="493"/>
      <c r="Q37" s="493"/>
      <c r="R37" s="493"/>
      <c r="S37" s="493"/>
      <c r="T37" s="493"/>
      <c r="U37" s="493"/>
      <c r="V37" s="493"/>
      <c r="W37" s="493"/>
      <c r="X37" s="493"/>
      <c r="Y37" s="493"/>
      <c r="Z37" s="493"/>
      <c r="AA37" s="493"/>
      <c r="AB37" s="493"/>
      <c r="AC37" s="493"/>
      <c r="AD37" s="493"/>
      <c r="AE37" s="493"/>
      <c r="AF37" s="493"/>
      <c r="AG37" s="493"/>
      <c r="AH37" s="493"/>
      <c r="AI37" s="493"/>
      <c r="AJ37" s="493"/>
      <c r="AK37" s="493"/>
      <c r="AL37" s="493"/>
      <c r="AM37" s="493"/>
      <c r="AN37" s="493"/>
      <c r="AO37" s="493"/>
      <c r="AP37" s="493"/>
      <c r="AQ37" s="493"/>
      <c r="AR37" s="493"/>
      <c r="AS37" s="493"/>
      <c r="AT37" s="493"/>
      <c r="AU37" s="493"/>
      <c r="AV37" s="493"/>
      <c r="AW37" s="493"/>
      <c r="AX37" s="493"/>
      <c r="AY37" s="493"/>
      <c r="AZ37" s="493"/>
    </row>
    <row r="38" spans="1:52" s="245" customFormat="1">
      <c r="A38" s="493"/>
      <c r="B38" s="493"/>
      <c r="C38" s="493"/>
      <c r="D38" s="493"/>
      <c r="E38" s="493"/>
      <c r="F38" s="493"/>
      <c r="G38" s="493"/>
      <c r="H38" s="493"/>
      <c r="I38" s="493"/>
      <c r="J38" s="493"/>
      <c r="K38" s="493"/>
      <c r="L38" s="493"/>
      <c r="M38" s="493"/>
      <c r="N38" s="493"/>
      <c r="O38" s="493"/>
      <c r="P38" s="493"/>
      <c r="Q38" s="493"/>
      <c r="R38" s="493"/>
      <c r="S38" s="493"/>
      <c r="T38" s="493"/>
      <c r="U38" s="493"/>
      <c r="V38" s="493"/>
      <c r="W38" s="493"/>
      <c r="X38" s="493"/>
      <c r="Y38" s="493"/>
      <c r="Z38" s="493"/>
      <c r="AA38" s="493"/>
      <c r="AB38" s="493"/>
      <c r="AC38" s="493"/>
      <c r="AD38" s="493"/>
      <c r="AE38" s="493"/>
      <c r="AF38" s="493"/>
      <c r="AG38" s="493"/>
      <c r="AH38" s="493"/>
      <c r="AI38" s="493"/>
      <c r="AJ38" s="493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</row>
    <row r="39" spans="1:52" s="245" customFormat="1">
      <c r="A39" s="493"/>
      <c r="B39" s="493"/>
      <c r="C39" s="493"/>
      <c r="D39" s="493"/>
      <c r="E39" s="493"/>
      <c r="F39" s="493"/>
      <c r="G39" s="493"/>
      <c r="H39" s="493"/>
      <c r="I39" s="493"/>
      <c r="J39" s="493"/>
      <c r="K39" s="493"/>
      <c r="L39" s="493"/>
      <c r="M39" s="493"/>
      <c r="N39" s="493"/>
      <c r="O39" s="493"/>
      <c r="P39" s="493"/>
      <c r="Q39" s="493"/>
      <c r="R39" s="493"/>
      <c r="S39" s="493"/>
      <c r="T39" s="493"/>
      <c r="U39" s="493"/>
      <c r="V39" s="493"/>
      <c r="W39" s="493"/>
      <c r="X39" s="493"/>
      <c r="Y39" s="493"/>
      <c r="Z39" s="493"/>
      <c r="AA39" s="493"/>
      <c r="AB39" s="493"/>
      <c r="AC39" s="493"/>
      <c r="AD39" s="493"/>
      <c r="AE39" s="493"/>
      <c r="AF39" s="493"/>
      <c r="AG39" s="493"/>
      <c r="AH39" s="493"/>
      <c r="AI39" s="493"/>
      <c r="AJ39" s="493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</row>
    <row r="40" spans="1:52" s="245" customFormat="1">
      <c r="A40" s="493"/>
      <c r="B40" s="493"/>
      <c r="C40" s="493"/>
      <c r="D40" s="493"/>
      <c r="E40" s="493"/>
      <c r="F40" s="493"/>
      <c r="G40" s="493"/>
      <c r="H40" s="493"/>
      <c r="I40" s="493"/>
      <c r="J40" s="493"/>
      <c r="K40" s="493"/>
      <c r="L40" s="493"/>
      <c r="M40" s="493"/>
      <c r="N40" s="493"/>
      <c r="O40" s="493"/>
      <c r="P40" s="493"/>
      <c r="Q40" s="493"/>
      <c r="R40" s="493"/>
      <c r="S40" s="493"/>
      <c r="T40" s="493"/>
      <c r="U40" s="493"/>
      <c r="V40" s="493"/>
      <c r="W40" s="493"/>
      <c r="X40" s="493"/>
      <c r="Y40" s="493"/>
      <c r="Z40" s="493"/>
      <c r="AA40" s="493"/>
      <c r="AB40" s="493"/>
      <c r="AC40" s="493"/>
      <c r="AD40" s="493"/>
      <c r="AE40" s="493"/>
      <c r="AF40" s="493"/>
      <c r="AG40" s="493"/>
      <c r="AH40" s="493"/>
      <c r="AI40" s="493"/>
      <c r="AJ40" s="493"/>
      <c r="AK40" s="493"/>
      <c r="AL40" s="493"/>
      <c r="AM40" s="493"/>
      <c r="AN40" s="493"/>
      <c r="AO40" s="493"/>
      <c r="AP40" s="493"/>
      <c r="AQ40" s="493"/>
      <c r="AR40" s="493"/>
      <c r="AS40" s="493"/>
      <c r="AT40" s="493"/>
      <c r="AU40" s="493"/>
      <c r="AV40" s="493"/>
      <c r="AW40" s="493"/>
      <c r="AX40" s="493"/>
      <c r="AY40" s="493"/>
      <c r="AZ40" s="493"/>
    </row>
    <row r="41" spans="1:52" s="245" customFormat="1">
      <c r="A41" s="493"/>
      <c r="B41" s="493"/>
      <c r="C41" s="493"/>
      <c r="D41" s="493"/>
      <c r="E41" s="493"/>
      <c r="F41" s="493"/>
      <c r="G41" s="493"/>
      <c r="H41" s="493"/>
      <c r="I41" s="493"/>
      <c r="J41" s="493"/>
      <c r="K41" s="493"/>
      <c r="L41" s="493"/>
      <c r="M41" s="493"/>
      <c r="N41" s="493"/>
      <c r="O41" s="493"/>
      <c r="P41" s="493"/>
      <c r="Q41" s="493"/>
      <c r="R41" s="493"/>
      <c r="S41" s="493"/>
      <c r="T41" s="493"/>
      <c r="U41" s="493"/>
      <c r="V41" s="493"/>
      <c r="W41" s="493"/>
      <c r="X41" s="493"/>
      <c r="Y41" s="493"/>
      <c r="Z41" s="493"/>
      <c r="AA41" s="493"/>
      <c r="AB41" s="493"/>
      <c r="AC41" s="493"/>
      <c r="AD41" s="493"/>
      <c r="AE41" s="493"/>
      <c r="AF41" s="493"/>
      <c r="AG41" s="493"/>
      <c r="AH41" s="493"/>
      <c r="AI41" s="493"/>
      <c r="AJ41" s="493"/>
      <c r="AK41" s="493"/>
      <c r="AL41" s="493"/>
      <c r="AM41" s="493"/>
      <c r="AN41" s="493"/>
      <c r="AO41" s="493"/>
      <c r="AP41" s="493"/>
      <c r="AQ41" s="493"/>
      <c r="AR41" s="493"/>
      <c r="AS41" s="493"/>
      <c r="AT41" s="493"/>
      <c r="AU41" s="493"/>
      <c r="AV41" s="493"/>
      <c r="AW41" s="493"/>
      <c r="AX41" s="493"/>
      <c r="AY41" s="493"/>
      <c r="AZ41" s="493"/>
    </row>
    <row r="42" spans="1:52" s="245" customFormat="1">
      <c r="A42" s="493"/>
      <c r="B42" s="493"/>
      <c r="C42" s="493"/>
      <c r="D42" s="493"/>
      <c r="E42" s="493"/>
      <c r="F42" s="493"/>
      <c r="G42" s="493"/>
      <c r="H42" s="493"/>
      <c r="I42" s="493"/>
      <c r="J42" s="493"/>
      <c r="K42" s="493"/>
      <c r="L42" s="493"/>
      <c r="M42" s="493"/>
      <c r="N42" s="493"/>
      <c r="O42" s="493"/>
      <c r="P42" s="493"/>
      <c r="Q42" s="493"/>
      <c r="R42" s="493"/>
      <c r="S42" s="493"/>
      <c r="T42" s="493"/>
      <c r="U42" s="493"/>
      <c r="V42" s="493"/>
      <c r="W42" s="493"/>
      <c r="X42" s="493"/>
      <c r="Y42" s="493"/>
      <c r="Z42" s="493"/>
      <c r="AA42" s="493"/>
      <c r="AB42" s="493"/>
      <c r="AC42" s="493"/>
      <c r="AD42" s="493"/>
      <c r="AE42" s="493"/>
      <c r="AF42" s="493"/>
      <c r="AG42" s="493"/>
      <c r="AH42" s="493"/>
      <c r="AI42" s="493"/>
      <c r="AJ42" s="493"/>
      <c r="AK42" s="493"/>
      <c r="AL42" s="493"/>
      <c r="AM42" s="493"/>
      <c r="AN42" s="493"/>
      <c r="AO42" s="493"/>
      <c r="AP42" s="493"/>
      <c r="AQ42" s="493"/>
      <c r="AR42" s="493"/>
      <c r="AS42" s="493"/>
      <c r="AT42" s="493"/>
      <c r="AU42" s="493"/>
      <c r="AV42" s="493"/>
      <c r="AW42" s="493"/>
      <c r="AX42" s="493"/>
      <c r="AY42" s="493"/>
      <c r="AZ42" s="493"/>
    </row>
    <row r="43" spans="1:52" s="245" customFormat="1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N43" s="493"/>
      <c r="O43" s="493"/>
      <c r="P43" s="493"/>
      <c r="Q43" s="493"/>
      <c r="R43" s="493"/>
      <c r="S43" s="493"/>
      <c r="T43" s="493"/>
      <c r="U43" s="493"/>
      <c r="V43" s="493"/>
      <c r="W43" s="493"/>
      <c r="X43" s="493"/>
      <c r="Y43" s="493"/>
      <c r="Z43" s="493"/>
      <c r="AA43" s="493"/>
      <c r="AB43" s="493"/>
      <c r="AC43" s="493"/>
      <c r="AD43" s="493"/>
      <c r="AE43" s="493"/>
      <c r="AF43" s="493"/>
      <c r="AG43" s="493"/>
      <c r="AH43" s="493"/>
      <c r="AI43" s="493"/>
      <c r="AJ43" s="493"/>
      <c r="AK43" s="493"/>
      <c r="AL43" s="493"/>
      <c r="AM43" s="493"/>
      <c r="AN43" s="493"/>
      <c r="AO43" s="493"/>
      <c r="AP43" s="493"/>
      <c r="AQ43" s="493"/>
      <c r="AR43" s="493"/>
      <c r="AS43" s="493"/>
      <c r="AT43" s="493"/>
      <c r="AU43" s="493"/>
      <c r="AV43" s="493"/>
      <c r="AW43" s="493"/>
      <c r="AX43" s="493"/>
      <c r="AY43" s="493"/>
      <c r="AZ43" s="493"/>
    </row>
    <row r="44" spans="1:52" s="245" customFormat="1">
      <c r="A44" s="493"/>
      <c r="B44" s="493"/>
      <c r="C44" s="493"/>
      <c r="D44" s="493"/>
      <c r="E44" s="493"/>
      <c r="F44" s="493"/>
      <c r="G44" s="493"/>
      <c r="H44" s="493"/>
      <c r="I44" s="493"/>
      <c r="J44" s="493"/>
      <c r="K44" s="493"/>
      <c r="L44" s="493"/>
      <c r="M44" s="493"/>
      <c r="N44" s="493"/>
      <c r="O44" s="493"/>
      <c r="P44" s="493"/>
      <c r="Q44" s="493"/>
      <c r="R44" s="493"/>
      <c r="S44" s="493"/>
      <c r="T44" s="493"/>
      <c r="U44" s="493"/>
      <c r="V44" s="493"/>
      <c r="W44" s="493"/>
      <c r="X44" s="493"/>
      <c r="Y44" s="493"/>
      <c r="Z44" s="493"/>
      <c r="AA44" s="493"/>
      <c r="AB44" s="493"/>
      <c r="AC44" s="493"/>
      <c r="AD44" s="493"/>
      <c r="AE44" s="493"/>
      <c r="AF44" s="493"/>
      <c r="AG44" s="493"/>
      <c r="AH44" s="493"/>
      <c r="AI44" s="493"/>
      <c r="AJ44" s="493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</row>
    <row r="45" spans="1:52" s="245" customFormat="1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  <c r="O45" s="493"/>
      <c r="P45" s="493"/>
      <c r="Q45" s="493"/>
      <c r="R45" s="493"/>
      <c r="S45" s="493"/>
      <c r="T45" s="493"/>
      <c r="U45" s="493"/>
      <c r="V45" s="493"/>
      <c r="W45" s="493"/>
      <c r="X45" s="493"/>
      <c r="Y45" s="493"/>
      <c r="Z45" s="493"/>
      <c r="AA45" s="493"/>
      <c r="AB45" s="493"/>
      <c r="AC45" s="493"/>
      <c r="AD45" s="493"/>
      <c r="AE45" s="493"/>
      <c r="AF45" s="493"/>
      <c r="AG45" s="493"/>
      <c r="AH45" s="493"/>
      <c r="AI45" s="493"/>
      <c r="AJ45" s="493"/>
      <c r="AK45" s="493"/>
      <c r="AL45" s="493"/>
      <c r="AM45" s="493"/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</row>
    <row r="46" spans="1:52" s="493" customFormat="1"/>
    <row r="47" spans="1:52" s="493" customFormat="1"/>
    <row r="48" spans="1:52" s="493" customFormat="1"/>
    <row r="49" s="493" customFormat="1"/>
    <row r="50" s="493" customFormat="1"/>
    <row r="51" s="493" customFormat="1"/>
    <row r="52" s="493" customFormat="1"/>
    <row r="53" s="493" customFormat="1"/>
    <row r="54" s="493" customFormat="1"/>
    <row r="55" s="493" customFormat="1"/>
  </sheetData>
  <sheetProtection algorithmName="SHA-512" hashValue="hGoSbLiFDiTsko6JUnfmXNAPsNyXeNZXvg26ltP2bg6dRnBJTeV9CQO+I80AAJNO9/zr8fRtZvLp0ws/ISneew==" saltValue="eB2o8RxzkI9vvTXRFEOENA==" spinCount="100000" sheet="1" objects="1" scenarios="1" selectLockedCells="1"/>
  <mergeCells count="34">
    <mergeCell ref="H27:O27"/>
    <mergeCell ref="H28:O28"/>
    <mergeCell ref="H29:O29"/>
    <mergeCell ref="C19:O19"/>
    <mergeCell ref="C20:E20"/>
    <mergeCell ref="F20:J20"/>
    <mergeCell ref="K20:O20"/>
    <mergeCell ref="C21:E21"/>
    <mergeCell ref="F21:J21"/>
    <mergeCell ref="K21:O21"/>
    <mergeCell ref="C15:O15"/>
    <mergeCell ref="C16:E16"/>
    <mergeCell ref="F16:J16"/>
    <mergeCell ref="K16:O16"/>
    <mergeCell ref="C17:E17"/>
    <mergeCell ref="F17:J17"/>
    <mergeCell ref="K17:O17"/>
    <mergeCell ref="C12:F12"/>
    <mergeCell ref="H12:I12"/>
    <mergeCell ref="K12:L12"/>
    <mergeCell ref="N12:O12"/>
    <mergeCell ref="C3:O3"/>
    <mergeCell ref="C8:F8"/>
    <mergeCell ref="G8:J8"/>
    <mergeCell ref="H10:I10"/>
    <mergeCell ref="K10:L10"/>
    <mergeCell ref="N10:O10"/>
    <mergeCell ref="Y3:AA3"/>
    <mergeCell ref="C5:F5"/>
    <mergeCell ref="G5:H5"/>
    <mergeCell ref="I5:J5"/>
    <mergeCell ref="C6:F6"/>
    <mergeCell ref="G6:H6"/>
    <mergeCell ref="I6:J6"/>
  </mergeCells>
  <dataValidations disablePrompts="1" count="2">
    <dataValidation type="list" allowBlank="1" showInputMessage="1" showErrorMessage="1" sqref="G8" xr:uid="{00000000-0002-0000-0600-000000000000}">
      <formula1>$R$8:$R$11</formula1>
    </dataValidation>
    <dataValidation type="list" allowBlank="1" showInputMessage="1" showErrorMessage="1" sqref="AE5" xr:uid="{00000000-0002-0000-0600-000001000000}">
      <formula1>$AR$9:$AR$10</formula1>
    </dataValidation>
  </dataValidation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V45"/>
  <sheetViews>
    <sheetView showGridLines="0" showRowColHeaders="0" zoomScale="71" zoomScaleNormal="71" workbookViewId="0">
      <selection activeCell="I44" sqref="I44"/>
    </sheetView>
  </sheetViews>
  <sheetFormatPr defaultColWidth="9" defaultRowHeight="15"/>
  <cols>
    <col min="1" max="4" width="9.140625" style="105" customWidth="1"/>
    <col min="5" max="5" width="9" style="105" bestFit="1" customWidth="1"/>
    <col min="6" max="6" width="9.140625" style="105" bestFit="1" customWidth="1"/>
    <col min="7" max="7" width="9.140625" style="105" customWidth="1"/>
    <col min="8" max="8" width="8.42578125" style="105" customWidth="1"/>
    <col min="9" max="9" width="4.7109375" style="105" customWidth="1"/>
    <col min="10" max="10" width="5.7109375" style="105" customWidth="1"/>
    <col min="11" max="11" width="7" style="105" customWidth="1"/>
    <col min="12" max="12" width="9.140625" style="105" customWidth="1"/>
    <col min="13" max="13" width="7.7109375" style="105" customWidth="1"/>
    <col min="14" max="14" width="4.28515625" style="105" customWidth="1"/>
    <col min="15" max="15" width="12.140625" style="105" customWidth="1"/>
    <col min="16" max="16" width="9.42578125" style="105" customWidth="1"/>
    <col min="17" max="17" width="5.5703125" style="105" customWidth="1"/>
    <col min="18" max="18" width="7.28515625" style="105" customWidth="1"/>
    <col min="19" max="20" width="9.140625" style="105" customWidth="1"/>
    <col min="21" max="21" width="7" style="105" customWidth="1"/>
    <col min="22" max="31" width="9.140625" style="105" customWidth="1"/>
    <col min="32" max="32" width="12.140625" style="105" bestFit="1" customWidth="1"/>
    <col min="33" max="256" width="9.140625" style="105" customWidth="1"/>
  </cols>
  <sheetData>
    <row r="1" spans="3:35" ht="6.75" customHeight="1"/>
    <row r="2" spans="3:35" ht="6" customHeight="1"/>
    <row r="3" spans="3:35" ht="18.75">
      <c r="C3" s="806" t="s">
        <v>1307</v>
      </c>
      <c r="Q3" s="107"/>
      <c r="T3" s="795"/>
    </row>
    <row r="4" spans="3:35" ht="15.75" thickBot="1">
      <c r="L4" s="107"/>
      <c r="M4" s="107"/>
      <c r="N4" s="107"/>
      <c r="O4" s="107"/>
      <c r="P4" s="107"/>
      <c r="Q4" s="107"/>
    </row>
    <row r="5" spans="3:35" ht="15.75" thickBot="1">
      <c r="C5" s="181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9"/>
      <c r="T5" s="181"/>
      <c r="U5" s="118"/>
      <c r="V5" s="118"/>
      <c r="W5" s="118"/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8"/>
      <c r="AI5" s="119"/>
    </row>
    <row r="6" spans="3:35" ht="15.75" thickBot="1">
      <c r="C6" s="108" t="s">
        <v>93</v>
      </c>
      <c r="D6" s="120" t="s">
        <v>95</v>
      </c>
      <c r="E6" s="174">
        <f>'Kazan dairesi hesabı YNS-2023'!Q14</f>
        <v>0</v>
      </c>
      <c r="F6" s="25" t="s">
        <v>42</v>
      </c>
      <c r="H6" s="110" t="s">
        <v>92</v>
      </c>
      <c r="I6" s="1386">
        <f>'Kazan dairesi hesabı YNS-2023'!S12</f>
        <v>15</v>
      </c>
      <c r="K6" s="120" t="s">
        <v>91</v>
      </c>
      <c r="L6" s="112">
        <f>E6/I6</f>
        <v>0</v>
      </c>
      <c r="M6" s="114" t="s">
        <v>36</v>
      </c>
      <c r="O6" s="863" t="s">
        <v>99</v>
      </c>
      <c r="P6" s="113">
        <f>(((4*L8)/(3.14*3600*I8))^0.5)*1000</f>
        <v>0</v>
      </c>
      <c r="Q6" s="114" t="s">
        <v>5</v>
      </c>
      <c r="R6" s="123"/>
      <c r="T6" s="108" t="s">
        <v>1308</v>
      </c>
      <c r="U6" s="1387" t="s">
        <v>91</v>
      </c>
      <c r="V6" s="1388">
        <f>'Kazan dairesi hesabı YNS-2023'!P27+'Kazan dairesi hesabı YNS-2023'!U27+'Kazan dairesi hesabı YNS-2023'!Z27+'Kazan dairesi hesabı YNS-2023'!AE27+'Kazan dairesi hesabı YNS-2023'!AJ27+'Kazan dairesi hesabı YNS-2023'!AO27+'Kazan dairesi hesabı YNS-2023'!AT27</f>
        <v>8.2680000000000007</v>
      </c>
      <c r="W6" s="25" t="s">
        <v>2</v>
      </c>
      <c r="Y6" s="110" t="s">
        <v>92</v>
      </c>
      <c r="Z6" s="1386">
        <v>10</v>
      </c>
      <c r="AB6" s="120" t="s">
        <v>95</v>
      </c>
      <c r="AC6" s="112">
        <f>V8*Z6</f>
        <v>82680</v>
      </c>
      <c r="AD6" s="124" t="s">
        <v>42</v>
      </c>
      <c r="AF6" s="863" t="s">
        <v>99</v>
      </c>
      <c r="AG6" s="113">
        <f>(((4*V6)/(3.14*3600*Z8))^0.5)*1000</f>
        <v>64.649494763592287</v>
      </c>
      <c r="AH6" s="114" t="s">
        <v>5</v>
      </c>
      <c r="AI6" s="123"/>
    </row>
    <row r="7" spans="3:35" ht="15.75" thickBot="1">
      <c r="C7" s="182"/>
      <c r="D7" s="120"/>
      <c r="H7" s="110"/>
      <c r="K7" s="120"/>
      <c r="R7" s="123"/>
      <c r="T7" s="182"/>
      <c r="U7" s="120"/>
      <c r="Y7" s="110"/>
      <c r="AB7" s="120"/>
      <c r="AI7" s="123"/>
    </row>
    <row r="8" spans="3:35" ht="15.75" thickBot="1">
      <c r="C8" s="182"/>
      <c r="E8" s="122">
        <f>E6/860</f>
        <v>0</v>
      </c>
      <c r="F8" s="114" t="s">
        <v>77</v>
      </c>
      <c r="G8" s="2852" t="s">
        <v>124</v>
      </c>
      <c r="H8" s="3041"/>
      <c r="I8" s="1389">
        <f>'Kazan dairesi hesabı YNS-2023'!S10</f>
        <v>0.7</v>
      </c>
      <c r="J8" s="25" t="s">
        <v>122</v>
      </c>
      <c r="K8" s="120" t="s">
        <v>91</v>
      </c>
      <c r="L8" s="112">
        <f>L6/1000</f>
        <v>0</v>
      </c>
      <c r="M8" s="114" t="s">
        <v>2</v>
      </c>
      <c r="R8" s="123"/>
      <c r="T8" s="182"/>
      <c r="V8" s="112">
        <f>V6*1000</f>
        <v>8268</v>
      </c>
      <c r="W8" s="114" t="s">
        <v>36</v>
      </c>
      <c r="X8" s="2852" t="s">
        <v>124</v>
      </c>
      <c r="Y8" s="3041"/>
      <c r="Z8" s="1389">
        <v>0.7</v>
      </c>
      <c r="AA8" s="25" t="s">
        <v>122</v>
      </c>
      <c r="AB8" s="120" t="s">
        <v>95</v>
      </c>
      <c r="AC8" s="122">
        <f>AC6/860</f>
        <v>96.139534883720927</v>
      </c>
      <c r="AD8" s="124" t="s">
        <v>77</v>
      </c>
      <c r="AI8" s="123"/>
    </row>
    <row r="9" spans="3:35" ht="15.75" thickBot="1">
      <c r="C9" s="11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6"/>
      <c r="T9" s="11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6"/>
    </row>
    <row r="10" spans="3:35" ht="15.75" thickBot="1"/>
    <row r="11" spans="3:35" ht="15.75" thickBot="1">
      <c r="C11" s="181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9"/>
    </row>
    <row r="12" spans="3:35" ht="15.75" thickBot="1">
      <c r="C12" s="108" t="s">
        <v>96</v>
      </c>
      <c r="D12" s="120" t="s">
        <v>95</v>
      </c>
      <c r="E12" s="174">
        <f>'Kazan dairesi hesabı YNS-2023'!V14</f>
        <v>27520</v>
      </c>
      <c r="F12" s="25" t="s">
        <v>42</v>
      </c>
      <c r="H12" s="110" t="s">
        <v>92</v>
      </c>
      <c r="I12" s="1386">
        <f>'Kazan dairesi hesabı YNS-2023'!X12</f>
        <v>10</v>
      </c>
      <c r="K12" s="120" t="s">
        <v>91</v>
      </c>
      <c r="L12" s="112">
        <f>E12/I12</f>
        <v>2752</v>
      </c>
      <c r="M12" s="114" t="s">
        <v>36</v>
      </c>
      <c r="O12" s="863" t="s">
        <v>99</v>
      </c>
      <c r="P12" s="113">
        <f>(((4*L14)/(3.14*3600*I14))^0.5)*1000</f>
        <v>37.298306719706659</v>
      </c>
      <c r="Q12" s="114" t="s">
        <v>5</v>
      </c>
      <c r="R12" s="123"/>
    </row>
    <row r="13" spans="3:35" ht="15.75" thickBot="1">
      <c r="C13" s="182"/>
      <c r="D13" s="120"/>
      <c r="H13" s="110"/>
      <c r="K13" s="120"/>
      <c r="R13" s="123"/>
    </row>
    <row r="14" spans="3:35" ht="15.75" thickBot="1">
      <c r="C14" s="182"/>
      <c r="E14" s="122">
        <f>E12/860</f>
        <v>32</v>
      </c>
      <c r="F14" s="114" t="s">
        <v>77</v>
      </c>
      <c r="G14" s="2852" t="s">
        <v>124</v>
      </c>
      <c r="H14" s="3041"/>
      <c r="I14" s="1389">
        <f>'Kazan dairesi hesabı YNS-2023'!X10</f>
        <v>0.7</v>
      </c>
      <c r="J14" s="25" t="s">
        <v>122</v>
      </c>
      <c r="K14" s="120" t="s">
        <v>91</v>
      </c>
      <c r="L14" s="112">
        <f>L12/1000</f>
        <v>2.7519999999999998</v>
      </c>
      <c r="M14" s="114" t="s">
        <v>2</v>
      </c>
      <c r="R14" s="123"/>
    </row>
    <row r="15" spans="3:35" ht="15.75" thickBot="1">
      <c r="C15" s="11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6"/>
    </row>
    <row r="16" spans="3:35" ht="15.75" thickBot="1"/>
    <row r="17" spans="3:22" ht="15.75" thickBot="1">
      <c r="C17" s="181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9"/>
    </row>
    <row r="18" spans="3:22" ht="15.75" thickBot="1">
      <c r="C18" s="108" t="s">
        <v>97</v>
      </c>
      <c r="D18" s="120" t="s">
        <v>95</v>
      </c>
      <c r="E18" s="174">
        <f>'Kazan dairesi hesabı YNS-2023'!AA14</f>
        <v>10320</v>
      </c>
      <c r="F18" s="25" t="s">
        <v>42</v>
      </c>
      <c r="H18" s="110" t="s">
        <v>92</v>
      </c>
      <c r="I18" s="1386">
        <f>'Kazan dairesi hesabı YNS-2023'!AC12</f>
        <v>20</v>
      </c>
      <c r="K18" s="120" t="s">
        <v>91</v>
      </c>
      <c r="L18" s="112">
        <f>E18/I18</f>
        <v>516</v>
      </c>
      <c r="M18" s="114" t="s">
        <v>36</v>
      </c>
      <c r="O18" s="863" t="s">
        <v>99</v>
      </c>
      <c r="P18" s="113">
        <f>(((4*L20)/(3.14*3600*I20))^0.5)*1000</f>
        <v>16.150640568704901</v>
      </c>
      <c r="Q18" s="114" t="s">
        <v>5</v>
      </c>
      <c r="R18" s="123"/>
    </row>
    <row r="19" spans="3:22" ht="15.75" thickBot="1">
      <c r="C19" s="182"/>
      <c r="D19" s="120"/>
      <c r="H19" s="110"/>
      <c r="K19" s="120"/>
      <c r="R19" s="123"/>
    </row>
    <row r="20" spans="3:22" ht="15.75" thickBot="1">
      <c r="C20" s="182"/>
      <c r="E20" s="122">
        <f>E18/860</f>
        <v>12</v>
      </c>
      <c r="F20" s="114" t="s">
        <v>77</v>
      </c>
      <c r="G20" s="2852" t="s">
        <v>124</v>
      </c>
      <c r="H20" s="3041"/>
      <c r="I20" s="1389">
        <f>'Kazan dairesi hesabı YNS-2023'!AC10</f>
        <v>0.7</v>
      </c>
      <c r="J20" s="25" t="s">
        <v>122</v>
      </c>
      <c r="K20" s="120" t="s">
        <v>91</v>
      </c>
      <c r="L20" s="112">
        <f>L18/1000</f>
        <v>0.51600000000000001</v>
      </c>
      <c r="M20" s="114" t="s">
        <v>2</v>
      </c>
      <c r="R20" s="123"/>
    </row>
    <row r="21" spans="3:22" ht="15.75" thickBot="1">
      <c r="C21" s="11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6"/>
    </row>
    <row r="22" spans="3:22" ht="15.75" thickBot="1"/>
    <row r="23" spans="3:22" ht="15.75" thickBot="1">
      <c r="C23" s="181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9"/>
    </row>
    <row r="24" spans="3:22" ht="15.75" thickBot="1">
      <c r="C24" s="108" t="s">
        <v>98</v>
      </c>
      <c r="D24" s="120" t="s">
        <v>95</v>
      </c>
      <c r="E24" s="174">
        <f>'Kazan dairesi hesabı YNS-2023'!AF14</f>
        <v>20000</v>
      </c>
      <c r="F24" s="25" t="s">
        <v>42</v>
      </c>
      <c r="H24" s="110" t="s">
        <v>92</v>
      </c>
      <c r="I24" s="1386">
        <f>'Kazan dairesi hesabı YNS-2023'!AH12</f>
        <v>20</v>
      </c>
      <c r="K24" s="120" t="s">
        <v>91</v>
      </c>
      <c r="L24" s="112">
        <f>E24/I24</f>
        <v>1000</v>
      </c>
      <c r="M24" s="114" t="s">
        <v>36</v>
      </c>
      <c r="O24" s="863" t="s">
        <v>99</v>
      </c>
      <c r="P24" s="113">
        <f>(((4*L26)/(3.14*3600*I26))^0.5)*1000</f>
        <v>22.483550868361231</v>
      </c>
      <c r="Q24" s="114" t="s">
        <v>5</v>
      </c>
      <c r="R24" s="123"/>
    </row>
    <row r="25" spans="3:22" ht="15.75" thickBot="1">
      <c r="C25" s="182"/>
      <c r="D25" s="120"/>
      <c r="H25" s="110"/>
      <c r="K25" s="120"/>
      <c r="R25" s="123"/>
      <c r="T25" s="795"/>
    </row>
    <row r="26" spans="3:22" ht="15.75" thickBot="1">
      <c r="C26" s="182"/>
      <c r="E26" s="122">
        <f>E24/860</f>
        <v>23.255813953488371</v>
      </c>
      <c r="F26" s="114" t="s">
        <v>77</v>
      </c>
      <c r="G26" s="2852" t="s">
        <v>124</v>
      </c>
      <c r="H26" s="3041"/>
      <c r="I26" s="1389">
        <f>'Kazan dairesi hesabı YNS-2023'!AH10</f>
        <v>0.7</v>
      </c>
      <c r="J26" s="25" t="s">
        <v>122</v>
      </c>
      <c r="K26" s="120" t="s">
        <v>91</v>
      </c>
      <c r="L26" s="112">
        <f>L24/1000</f>
        <v>1</v>
      </c>
      <c r="M26" s="114" t="s">
        <v>2</v>
      </c>
      <c r="R26" s="123"/>
    </row>
    <row r="27" spans="3:22" ht="15.75" thickBot="1">
      <c r="C27" s="11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6"/>
      <c r="T27" s="795"/>
    </row>
    <row r="28" spans="3:22" ht="15.75" thickBot="1"/>
    <row r="29" spans="3:22" ht="15.75" thickBot="1">
      <c r="C29" s="181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9"/>
      <c r="S29" s="3"/>
      <c r="T29" s="3"/>
      <c r="U29" s="1"/>
      <c r="V29" s="1"/>
    </row>
    <row r="30" spans="3:22" ht="15.75" thickBot="1">
      <c r="C30" s="108" t="s">
        <v>125</v>
      </c>
      <c r="D30" s="120" t="s">
        <v>95</v>
      </c>
      <c r="E30" s="174">
        <f>'Kazan dairesi hesabı YNS-2023'!AK14</f>
        <v>40000</v>
      </c>
      <c r="F30" s="25" t="s">
        <v>42</v>
      </c>
      <c r="H30" s="110" t="s">
        <v>92</v>
      </c>
      <c r="I30" s="1386">
        <f>'Kazan dairesi hesabı YNS-2023'!AM12</f>
        <v>10</v>
      </c>
      <c r="K30" s="120" t="s">
        <v>91</v>
      </c>
      <c r="L30" s="112">
        <f>E30/I30</f>
        <v>4000</v>
      </c>
      <c r="M30" s="114" t="s">
        <v>36</v>
      </c>
      <c r="O30" s="863" t="s">
        <v>99</v>
      </c>
      <c r="P30" s="113">
        <f>(((4*L32)/(3.14*3600*I32))^0.5)*1000</f>
        <v>53.205792297841477</v>
      </c>
      <c r="Q30" s="114" t="s">
        <v>5</v>
      </c>
      <c r="R30" s="123"/>
      <c r="S30" s="3"/>
      <c r="T30" s="183"/>
      <c r="U30" s="1"/>
      <c r="V30" s="1"/>
    </row>
    <row r="31" spans="3:22" ht="15.75" thickBot="1">
      <c r="C31" s="182"/>
      <c r="D31" s="120"/>
      <c r="H31" s="110"/>
      <c r="K31" s="120"/>
      <c r="R31" s="123"/>
      <c r="S31" s="2891"/>
      <c r="T31" s="2892"/>
      <c r="U31" s="2892"/>
      <c r="V31" s="2892"/>
    </row>
    <row r="32" spans="3:22" ht="15.75" thickBot="1">
      <c r="C32" s="182"/>
      <c r="E32" s="122">
        <f>E30/860</f>
        <v>46.511627906976742</v>
      </c>
      <c r="F32" s="114" t="s">
        <v>77</v>
      </c>
      <c r="G32" s="2852" t="s">
        <v>124</v>
      </c>
      <c r="H32" s="3041"/>
      <c r="I32" s="1389">
        <f>'Kazan dairesi hesabı YNS-2023'!AM10</f>
        <v>0.5</v>
      </c>
      <c r="J32" s="25" t="s">
        <v>122</v>
      </c>
      <c r="K32" s="120" t="s">
        <v>91</v>
      </c>
      <c r="L32" s="112">
        <f>L30/1000</f>
        <v>4</v>
      </c>
      <c r="M32" s="114" t="s">
        <v>2</v>
      </c>
      <c r="R32" s="123"/>
      <c r="S32" s="1"/>
    </row>
    <row r="33" spans="3:19" ht="15.75" thickBot="1">
      <c r="C33" s="11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6"/>
      <c r="S33" s="1"/>
    </row>
    <row r="34" spans="3:19" ht="15.75" thickBot="1">
      <c r="P34" s="2891"/>
      <c r="Q34" s="2892"/>
      <c r="R34" s="2892"/>
      <c r="S34" s="2892"/>
    </row>
    <row r="35" spans="3:19" ht="15.75" thickBot="1">
      <c r="C35" s="181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9"/>
    </row>
    <row r="36" spans="3:19" ht="15.75" thickBot="1">
      <c r="C36" s="108" t="s">
        <v>1309</v>
      </c>
      <c r="D36" s="120" t="s">
        <v>95</v>
      </c>
      <c r="E36" s="174">
        <f>'Kazan dairesi hesabı YNS-2023'!AP14</f>
        <v>0</v>
      </c>
      <c r="F36" s="25" t="s">
        <v>42</v>
      </c>
      <c r="H36" s="110" t="s">
        <v>92</v>
      </c>
      <c r="I36" s="1386">
        <f>'Kazan dairesi hesabı YNS-2023'!AR12</f>
        <v>15</v>
      </c>
      <c r="K36" s="120" t="s">
        <v>91</v>
      </c>
      <c r="L36" s="112">
        <f>E36/I36</f>
        <v>0</v>
      </c>
      <c r="M36" s="114" t="s">
        <v>36</v>
      </c>
      <c r="O36" s="863" t="s">
        <v>99</v>
      </c>
      <c r="P36" s="113">
        <f>(((4*L38)/(3.14*3600*I38))^0.5)*1000</f>
        <v>0</v>
      </c>
      <c r="Q36" s="114" t="s">
        <v>5</v>
      </c>
      <c r="R36" s="123"/>
    </row>
    <row r="37" spans="3:19" ht="15.75" thickBot="1">
      <c r="C37" s="182"/>
      <c r="D37" s="120"/>
      <c r="H37" s="110"/>
      <c r="K37" s="120"/>
      <c r="R37" s="123"/>
    </row>
    <row r="38" spans="3:19" ht="15.75" thickBot="1">
      <c r="C38" s="182"/>
      <c r="E38" s="122">
        <f>E36/860</f>
        <v>0</v>
      </c>
      <c r="F38" s="114" t="s">
        <v>77</v>
      </c>
      <c r="G38" s="2852" t="s">
        <v>124</v>
      </c>
      <c r="H38" s="3041"/>
      <c r="I38" s="1389">
        <f>'Kazan dairesi hesabı YNS-2023'!AR10</f>
        <v>0.7</v>
      </c>
      <c r="J38" s="25" t="s">
        <v>122</v>
      </c>
      <c r="K38" s="120" t="s">
        <v>91</v>
      </c>
      <c r="L38" s="112">
        <f>L36/1000</f>
        <v>0</v>
      </c>
      <c r="M38" s="114" t="s">
        <v>2</v>
      </c>
      <c r="R38" s="123"/>
    </row>
    <row r="39" spans="3:19" ht="15.75" thickBot="1">
      <c r="C39" s="11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6"/>
    </row>
    <row r="40" spans="3:19" ht="15.75" thickBot="1"/>
    <row r="41" spans="3:19" ht="15.75" thickBot="1">
      <c r="C41" s="181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9"/>
    </row>
    <row r="42" spans="3:19" ht="15.75" thickBot="1">
      <c r="C42" s="108" t="s">
        <v>1310</v>
      </c>
      <c r="D42" s="120" t="s">
        <v>95</v>
      </c>
      <c r="E42" s="174">
        <f>'Kazan dairesi hesabı YNS-2023'!AU14</f>
        <v>0</v>
      </c>
      <c r="F42" s="25" t="s">
        <v>42</v>
      </c>
      <c r="H42" s="110" t="s">
        <v>92</v>
      </c>
      <c r="I42" s="1386">
        <f>'Kazan dairesi hesabı YNS-2023'!AW12</f>
        <v>15</v>
      </c>
      <c r="K42" s="120" t="s">
        <v>91</v>
      </c>
      <c r="L42" s="112">
        <f>E42/I42</f>
        <v>0</v>
      </c>
      <c r="M42" s="114" t="s">
        <v>36</v>
      </c>
      <c r="O42" s="863" t="s">
        <v>99</v>
      </c>
      <c r="P42" s="113">
        <f>(((4*L44)/(3.14*3600*I44))^0.5)*1000</f>
        <v>0</v>
      </c>
      <c r="Q42" s="114" t="s">
        <v>5</v>
      </c>
      <c r="R42" s="123"/>
    </row>
    <row r="43" spans="3:19" ht="15.75" thickBot="1">
      <c r="C43" s="182"/>
      <c r="D43" s="120"/>
      <c r="H43" s="110"/>
      <c r="K43" s="120"/>
      <c r="R43" s="123"/>
    </row>
    <row r="44" spans="3:19" ht="15.75" thickBot="1">
      <c r="C44" s="182"/>
      <c r="E44" s="122">
        <f>E42/860</f>
        <v>0</v>
      </c>
      <c r="F44" s="114" t="s">
        <v>77</v>
      </c>
      <c r="G44" s="2852" t="s">
        <v>124</v>
      </c>
      <c r="H44" s="3041"/>
      <c r="I44" s="1389">
        <f>'Kazan dairesi hesabı YNS-2023'!AW10</f>
        <v>0.5</v>
      </c>
      <c r="J44" s="25" t="s">
        <v>122</v>
      </c>
      <c r="K44" s="120" t="s">
        <v>91</v>
      </c>
      <c r="L44" s="112">
        <f>L42/1000</f>
        <v>0</v>
      </c>
      <c r="M44" s="114" t="s">
        <v>2</v>
      </c>
      <c r="R44" s="123"/>
    </row>
    <row r="45" spans="3:19" ht="15.75" thickBot="1">
      <c r="C45" s="11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6"/>
    </row>
  </sheetData>
  <sheetProtection algorithmName="SHA-512" hashValue="N1VPZ+DAjNRoOHoIkmGwu6uKc22Ce0j/EAF6vxyv6GelOU9ycXV+r0LhJt/MFXvIok8szL38QlKckrsFx2iMpw==" saltValue="cm1Wj7SXIaCyxdQkBeUOZg==" spinCount="100000" sheet="1" objects="1" scenarios="1" selectLockedCells="1"/>
  <mergeCells count="10">
    <mergeCell ref="G32:H32"/>
    <mergeCell ref="P34:S34"/>
    <mergeCell ref="G38:H38"/>
    <mergeCell ref="G44:H44"/>
    <mergeCell ref="G8:H8"/>
    <mergeCell ref="X8:Y8"/>
    <mergeCell ref="G14:H14"/>
    <mergeCell ref="G20:H20"/>
    <mergeCell ref="G26:H26"/>
    <mergeCell ref="S31:V3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M24"/>
  <sheetViews>
    <sheetView workbookViewId="0">
      <selection activeCell="F8" sqref="F8"/>
    </sheetView>
  </sheetViews>
  <sheetFormatPr defaultRowHeight="15"/>
  <sheetData>
    <row r="4" spans="1:13">
      <c r="B4" s="1343" t="s">
        <v>1272</v>
      </c>
    </row>
    <row r="6" spans="1:13">
      <c r="C6" s="3042" t="s">
        <v>1274</v>
      </c>
      <c r="D6" s="3042"/>
      <c r="E6" s="3042"/>
      <c r="F6">
        <v>144</v>
      </c>
      <c r="G6" s="337" t="s">
        <v>3</v>
      </c>
      <c r="M6" s="1342"/>
    </row>
    <row r="8" spans="1:13">
      <c r="C8" s="3042" t="s">
        <v>1273</v>
      </c>
      <c r="D8" s="3042"/>
      <c r="E8" s="3042"/>
      <c r="F8">
        <f>F6/12</f>
        <v>12</v>
      </c>
      <c r="G8" s="337" t="s">
        <v>88</v>
      </c>
      <c r="M8" s="1342" t="s">
        <v>1275</v>
      </c>
    </row>
    <row r="14" spans="1:13">
      <c r="A14" s="1344"/>
      <c r="B14" s="1342" t="s">
        <v>1270</v>
      </c>
    </row>
    <row r="16" spans="1:13">
      <c r="A16" s="1344"/>
      <c r="B16" s="1342" t="s">
        <v>1271</v>
      </c>
    </row>
    <row r="18" spans="1:2" ht="18">
      <c r="A18" s="292"/>
      <c r="B18" s="1343" t="s">
        <v>1276</v>
      </c>
    </row>
    <row r="20" spans="1:2">
      <c r="A20" s="1344"/>
      <c r="B20" s="1342" t="s">
        <v>1277</v>
      </c>
    </row>
    <row r="22" spans="1:2">
      <c r="A22" s="1344"/>
      <c r="B22" s="1342" t="s">
        <v>1278</v>
      </c>
    </row>
    <row r="24" spans="1:2">
      <c r="A24" s="1265"/>
      <c r="B24" s="1342" t="s">
        <v>1279</v>
      </c>
    </row>
  </sheetData>
  <mergeCells count="2">
    <mergeCell ref="C8:E8"/>
    <mergeCell ref="C6:E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5459-C2A7-4DFE-8405-DBC7D7556F23}">
  <sheetPr>
    <tabColor rgb="FFFF0000"/>
  </sheetPr>
  <dimension ref="A1:BC65"/>
  <sheetViews>
    <sheetView showGridLines="0" showRowColHeaders="0" zoomScale="69" zoomScaleNormal="69" workbookViewId="0">
      <selection activeCell="G13" sqref="G13"/>
    </sheetView>
  </sheetViews>
  <sheetFormatPr defaultRowHeight="15"/>
  <cols>
    <col min="1" max="1" width="4.42578125" style="784" customWidth="1"/>
    <col min="5" max="5" width="11.28515625" customWidth="1"/>
    <col min="6" max="6" width="10.42578125" bestFit="1" customWidth="1"/>
    <col min="9" max="9" width="9.140625" style="784"/>
    <col min="11" max="11" width="11.5703125" bestFit="1" customWidth="1"/>
    <col min="12" max="12" width="12.140625" customWidth="1"/>
    <col min="13" max="13" width="11.140625" customWidth="1"/>
    <col min="14" max="14" width="15.7109375" customWidth="1"/>
    <col min="15" max="15" width="14.28515625" customWidth="1"/>
  </cols>
  <sheetData>
    <row r="1" spans="1:55" s="929" customFormat="1" ht="8.25" customHeight="1" thickBot="1"/>
    <row r="2" spans="1:55" s="929" customFormat="1" ht="28.5" customHeight="1" thickBot="1">
      <c r="B2" s="3070" t="s">
        <v>2301</v>
      </c>
      <c r="C2" s="3071"/>
      <c r="D2" s="3071"/>
      <c r="E2" s="3071"/>
      <c r="F2" s="3071"/>
      <c r="G2" s="3071"/>
      <c r="H2" s="3071"/>
      <c r="I2" s="3072"/>
      <c r="J2" s="2250"/>
      <c r="K2" s="3046" t="s">
        <v>2300</v>
      </c>
      <c r="L2" s="3047"/>
      <c r="M2" s="3047"/>
      <c r="N2" s="3047"/>
      <c r="O2" s="3048"/>
      <c r="P2" s="1676"/>
    </row>
    <row r="3" spans="1:55" s="929" customFormat="1" ht="24.75" customHeight="1" thickBot="1">
      <c r="B3" s="3073"/>
      <c r="C3" s="3074"/>
      <c r="D3" s="3074"/>
      <c r="E3" s="3074"/>
      <c r="F3" s="3074"/>
      <c r="G3" s="3074"/>
      <c r="H3" s="3074"/>
      <c r="I3" s="3075"/>
      <c r="K3" s="3044" t="s">
        <v>2299</v>
      </c>
      <c r="L3" s="3045"/>
      <c r="M3" s="789">
        <v>777</v>
      </c>
      <c r="N3" s="1798" t="s">
        <v>850</v>
      </c>
      <c r="O3" s="2255" t="s">
        <v>1951</v>
      </c>
    </row>
    <row r="4" spans="1:55" s="929" customFormat="1" ht="21.75" customHeight="1">
      <c r="C4" s="1676"/>
      <c r="D4" s="1676"/>
      <c r="E4" s="1695"/>
      <c r="K4" s="1810"/>
      <c r="M4" s="3043" t="s">
        <v>2297</v>
      </c>
      <c r="N4" s="3043"/>
      <c r="O4" s="2253"/>
    </row>
    <row r="5" spans="1:55" s="929" customFormat="1" ht="16.5" customHeight="1" thickBot="1">
      <c r="D5" s="1802"/>
      <c r="E5" s="740"/>
      <c r="F5" s="2557" t="s">
        <v>853</v>
      </c>
      <c r="G5" s="2557"/>
      <c r="H5" s="2557"/>
      <c r="I5" s="1803"/>
      <c r="L5" s="1676"/>
      <c r="M5" s="1676"/>
      <c r="Q5" s="1676"/>
    </row>
    <row r="6" spans="1:55" ht="28.5" customHeight="1" thickBot="1">
      <c r="A6" s="929"/>
      <c r="B6" s="929"/>
      <c r="C6" s="929"/>
      <c r="D6" s="1804"/>
      <c r="E6" s="672"/>
      <c r="F6" s="1419" t="s">
        <v>1133</v>
      </c>
      <c r="G6" s="788">
        <v>100</v>
      </c>
      <c r="H6" s="787" t="s">
        <v>3</v>
      </c>
      <c r="I6" s="684"/>
      <c r="J6" s="929"/>
      <c r="K6" s="767" t="s">
        <v>833</v>
      </c>
      <c r="L6" s="768" t="s">
        <v>841</v>
      </c>
      <c r="M6" s="768" t="s">
        <v>834</v>
      </c>
      <c r="N6" s="768" t="s">
        <v>842</v>
      </c>
      <c r="O6" s="769" t="s">
        <v>835</v>
      </c>
      <c r="P6" s="929"/>
      <c r="Q6" s="1676"/>
      <c r="R6" s="929"/>
      <c r="S6" s="929"/>
      <c r="T6" s="929"/>
      <c r="U6" s="929"/>
      <c r="V6" s="929"/>
      <c r="W6" s="929"/>
      <c r="X6" s="929"/>
      <c r="Y6" s="929"/>
      <c r="Z6" s="929"/>
      <c r="AA6" s="929"/>
      <c r="AB6" s="929"/>
      <c r="AC6" s="929"/>
      <c r="AD6" s="929"/>
      <c r="AE6" s="929"/>
      <c r="AF6" s="929"/>
      <c r="AG6" s="929"/>
      <c r="AH6" s="929"/>
      <c r="AI6" s="929"/>
      <c r="AJ6" s="929"/>
      <c r="AK6" s="929"/>
      <c r="AL6" s="929"/>
      <c r="AM6" s="929"/>
      <c r="AN6" s="929"/>
      <c r="AO6" s="929"/>
      <c r="AP6" s="929"/>
      <c r="AQ6" s="929"/>
      <c r="AR6" s="929"/>
      <c r="AS6" s="929"/>
      <c r="AT6" s="929"/>
      <c r="AU6" s="929"/>
      <c r="AV6" s="929"/>
      <c r="AW6" s="929"/>
      <c r="AX6" s="929"/>
      <c r="AY6" s="929"/>
      <c r="AZ6" s="929"/>
      <c r="BA6" s="929"/>
      <c r="BB6" s="929"/>
      <c r="BC6" s="929"/>
    </row>
    <row r="7" spans="1:55" ht="15.75" thickBot="1">
      <c r="A7" s="929"/>
      <c r="B7" s="929"/>
      <c r="C7" s="929"/>
      <c r="D7" s="1804"/>
      <c r="E7" s="672"/>
      <c r="F7" s="672"/>
      <c r="G7" s="672"/>
      <c r="H7" s="672"/>
      <c r="I7" s="1808"/>
      <c r="J7" s="929"/>
      <c r="K7" s="770"/>
      <c r="L7" s="761" t="s">
        <v>836</v>
      </c>
      <c r="M7" s="761" t="s">
        <v>836</v>
      </c>
      <c r="N7" s="761" t="s">
        <v>836</v>
      </c>
      <c r="O7" s="771" t="s">
        <v>836</v>
      </c>
      <c r="P7" s="929"/>
      <c r="Q7" s="929"/>
      <c r="R7" s="929"/>
      <c r="S7" s="929"/>
      <c r="T7" s="929"/>
      <c r="U7" s="929"/>
      <c r="V7" s="929"/>
      <c r="W7" s="929"/>
      <c r="X7" s="929"/>
      <c r="Y7" s="929"/>
      <c r="Z7" s="929"/>
      <c r="AA7" s="929"/>
      <c r="AB7" s="929"/>
      <c r="AC7" s="929"/>
      <c r="AD7" s="929"/>
      <c r="AE7" s="929"/>
      <c r="AF7" s="929"/>
      <c r="AG7" s="929"/>
      <c r="AH7" s="929"/>
      <c r="AI7" s="929"/>
      <c r="AJ7" s="929"/>
      <c r="AK7" s="929"/>
      <c r="AL7" s="929"/>
      <c r="AM7" s="929"/>
      <c r="AN7" s="929"/>
      <c r="AO7" s="929"/>
      <c r="AP7" s="929"/>
      <c r="AQ7" s="929"/>
      <c r="AR7" s="929"/>
      <c r="AS7" s="929"/>
      <c r="AT7" s="929"/>
      <c r="AU7" s="929"/>
      <c r="AV7" s="929"/>
      <c r="AW7" s="929"/>
      <c r="AX7" s="929"/>
      <c r="AY7" s="929"/>
      <c r="AZ7" s="929"/>
      <c r="BA7" s="929"/>
      <c r="BB7" s="929"/>
      <c r="BC7" s="929"/>
    </row>
    <row r="8" spans="1:55" ht="16.5" thickBot="1">
      <c r="A8" s="929"/>
      <c r="B8" s="929"/>
      <c r="C8" s="929"/>
      <c r="D8" s="1804"/>
      <c r="E8" s="672"/>
      <c r="F8" s="1419" t="s">
        <v>823</v>
      </c>
      <c r="G8" s="788">
        <v>2.7</v>
      </c>
      <c r="H8" s="787" t="s">
        <v>156</v>
      </c>
      <c r="I8" s="684"/>
      <c r="J8" s="929"/>
      <c r="K8" s="762" t="s">
        <v>837</v>
      </c>
      <c r="L8" s="760">
        <f>G$9*19</f>
        <v>5130</v>
      </c>
      <c r="M8" s="760">
        <f>G$9*28</f>
        <v>7560</v>
      </c>
      <c r="N8" s="760">
        <f>G$9*30</f>
        <v>8100</v>
      </c>
      <c r="O8" s="763">
        <f>G$9*40</f>
        <v>10800</v>
      </c>
      <c r="P8" s="929"/>
      <c r="Q8" s="929"/>
      <c r="R8" s="929"/>
      <c r="S8" s="929"/>
      <c r="T8" s="929"/>
      <c r="U8" s="929"/>
      <c r="V8" s="929"/>
      <c r="W8" s="929"/>
      <c r="X8" s="929"/>
      <c r="Y8" s="929"/>
      <c r="Z8" s="929"/>
      <c r="AA8" s="929"/>
      <c r="AB8" s="929"/>
      <c r="AC8" s="929"/>
      <c r="AD8" s="929"/>
      <c r="AE8" s="929"/>
      <c r="AF8" s="929"/>
      <c r="AG8" s="929"/>
      <c r="AH8" s="929"/>
      <c r="AI8" s="929"/>
      <c r="AJ8" s="929"/>
      <c r="AK8" s="929"/>
      <c r="AL8" s="929"/>
      <c r="AM8" s="929"/>
      <c r="AN8" s="929"/>
      <c r="AO8" s="929"/>
      <c r="AP8" s="929"/>
      <c r="AQ8" s="929"/>
      <c r="AR8" s="929"/>
      <c r="AS8" s="929"/>
      <c r="AT8" s="929"/>
      <c r="AU8" s="929"/>
      <c r="AV8" s="929"/>
      <c r="AW8" s="929"/>
      <c r="AX8" s="929"/>
      <c r="AY8" s="929"/>
      <c r="AZ8" s="929"/>
      <c r="BA8" s="929"/>
      <c r="BB8" s="929"/>
      <c r="BC8" s="929"/>
    </row>
    <row r="9" spans="1:55" ht="16.5" thickBot="1">
      <c r="A9" s="929"/>
      <c r="B9" s="929"/>
      <c r="C9" s="929"/>
      <c r="D9" s="1804"/>
      <c r="E9" s="672"/>
      <c r="F9" s="1805"/>
      <c r="G9" s="1817">
        <f>G6*G8</f>
        <v>270</v>
      </c>
      <c r="H9" s="1817" t="s">
        <v>133</v>
      </c>
      <c r="I9" s="1809"/>
      <c r="J9" s="929"/>
      <c r="K9" s="754" t="s">
        <v>838</v>
      </c>
      <c r="L9" s="755">
        <f>G$9*17</f>
        <v>4590</v>
      </c>
      <c r="M9" s="755">
        <f>G$9*25</f>
        <v>6750</v>
      </c>
      <c r="N9" s="755">
        <f>G$9*26</f>
        <v>7020</v>
      </c>
      <c r="O9" s="756">
        <f>G$9*35</f>
        <v>9450</v>
      </c>
      <c r="P9" s="929"/>
      <c r="Q9" s="929"/>
      <c r="R9" s="929"/>
      <c r="S9" s="929"/>
      <c r="T9" s="929"/>
      <c r="U9" s="929"/>
      <c r="V9" s="929"/>
      <c r="W9" s="929"/>
      <c r="X9" s="929"/>
      <c r="Y9" s="929"/>
      <c r="Z9" s="929"/>
      <c r="AA9" s="929"/>
      <c r="AB9" s="929"/>
      <c r="AC9" s="929"/>
      <c r="AD9" s="929"/>
      <c r="AE9" s="929"/>
      <c r="AF9" s="929"/>
      <c r="AG9" s="929"/>
      <c r="AH9" s="929"/>
      <c r="AI9" s="929"/>
      <c r="AJ9" s="929"/>
      <c r="AK9" s="929"/>
      <c r="AL9" s="929"/>
      <c r="AM9" s="929"/>
      <c r="AN9" s="929"/>
      <c r="AO9" s="929"/>
      <c r="AP9" s="929"/>
      <c r="AQ9" s="929"/>
      <c r="AR9" s="929"/>
      <c r="AS9" s="929"/>
      <c r="AT9" s="929"/>
      <c r="AU9" s="929"/>
      <c r="AV9" s="929"/>
      <c r="AW9" s="929"/>
      <c r="AX9" s="929"/>
      <c r="AY9" s="929"/>
      <c r="AZ9" s="929"/>
      <c r="BA9" s="929"/>
      <c r="BB9" s="929"/>
      <c r="BC9" s="929"/>
    </row>
    <row r="10" spans="1:55" ht="29.25" customHeight="1">
      <c r="A10" s="929"/>
      <c r="B10" s="929"/>
      <c r="C10" s="929"/>
      <c r="D10" s="1806"/>
      <c r="E10" s="747"/>
      <c r="F10" s="1807" t="s">
        <v>832</v>
      </c>
      <c r="G10" s="1603">
        <f>G9</f>
        <v>270</v>
      </c>
      <c r="H10" s="1593" t="s">
        <v>133</v>
      </c>
      <c r="I10" s="698"/>
      <c r="J10" s="929"/>
      <c r="K10" s="751" t="s">
        <v>839</v>
      </c>
      <c r="L10" s="752">
        <f>G$9*19</f>
        <v>5130</v>
      </c>
      <c r="M10" s="752">
        <f>G$9*28</f>
        <v>7560</v>
      </c>
      <c r="N10" s="752">
        <f>G$9*30</f>
        <v>8100</v>
      </c>
      <c r="O10" s="753">
        <f>G$9*40</f>
        <v>10800</v>
      </c>
      <c r="P10" s="929"/>
      <c r="Q10" s="929"/>
      <c r="R10" s="929"/>
      <c r="S10" s="929"/>
      <c r="T10" s="929"/>
      <c r="U10" s="929"/>
      <c r="V10" s="929"/>
      <c r="W10" s="929"/>
      <c r="X10" s="929"/>
      <c r="Y10" s="929"/>
      <c r="Z10" s="929"/>
      <c r="AA10" s="929"/>
      <c r="AB10" s="929"/>
      <c r="AC10" s="929"/>
      <c r="AD10" s="929"/>
      <c r="AE10" s="929"/>
      <c r="AF10" s="929"/>
      <c r="AG10" s="929"/>
      <c r="AH10" s="929"/>
      <c r="AI10" s="929"/>
      <c r="AJ10" s="929"/>
      <c r="AK10" s="929"/>
      <c r="AL10" s="929"/>
      <c r="AM10" s="929"/>
      <c r="AN10" s="929"/>
      <c r="AO10" s="929"/>
      <c r="AP10" s="929"/>
      <c r="AQ10" s="929"/>
      <c r="AR10" s="929"/>
      <c r="AS10" s="929"/>
      <c r="AT10" s="929"/>
      <c r="AU10" s="929"/>
      <c r="AV10" s="929"/>
      <c r="AW10" s="929"/>
      <c r="AX10" s="929"/>
      <c r="AY10" s="929"/>
      <c r="AZ10" s="929"/>
      <c r="BA10" s="929"/>
      <c r="BB10" s="929"/>
      <c r="BC10" s="929"/>
    </row>
    <row r="11" spans="1:55" ht="15" customHeight="1" thickBot="1">
      <c r="A11" s="929"/>
      <c r="B11" s="929"/>
      <c r="C11" s="1813"/>
      <c r="D11" s="1813"/>
      <c r="E11" s="929"/>
      <c r="F11" s="929"/>
      <c r="G11" s="929"/>
      <c r="H11" s="929"/>
      <c r="I11" s="929"/>
      <c r="J11" s="929"/>
      <c r="K11" s="757" t="s">
        <v>840</v>
      </c>
      <c r="L11" s="758">
        <f>G$9*18</f>
        <v>4860</v>
      </c>
      <c r="M11" s="758">
        <f>G$9*27</f>
        <v>7290</v>
      </c>
      <c r="N11" s="758">
        <f>G$9*29</f>
        <v>7830</v>
      </c>
      <c r="O11" s="759">
        <f>G$9*38</f>
        <v>10260</v>
      </c>
      <c r="P11" s="929"/>
      <c r="Q11" s="929"/>
      <c r="R11" s="929"/>
      <c r="S11" s="929"/>
      <c r="T11" s="929"/>
      <c r="U11" s="929"/>
      <c r="V11" s="929"/>
      <c r="W11" s="929"/>
      <c r="X11" s="929"/>
      <c r="Y11" s="929"/>
      <c r="Z11" s="929"/>
      <c r="AA11" s="929"/>
      <c r="AB11" s="929"/>
      <c r="AC11" s="929"/>
      <c r="AD11" s="929"/>
      <c r="AE11" s="929"/>
      <c r="AF11" s="929"/>
      <c r="AG11" s="929"/>
      <c r="AH11" s="929"/>
      <c r="AI11" s="929"/>
      <c r="AJ11" s="929"/>
      <c r="AK11" s="929"/>
      <c r="AL11" s="929"/>
      <c r="AM11" s="929"/>
      <c r="AN11" s="929"/>
      <c r="AO11" s="929"/>
      <c r="AP11" s="929"/>
      <c r="AQ11" s="929"/>
      <c r="AR11" s="929"/>
      <c r="AS11" s="929"/>
      <c r="AT11" s="929"/>
      <c r="AU11" s="929"/>
      <c r="AV11" s="929"/>
      <c r="AW11" s="929"/>
      <c r="AX11" s="929"/>
      <c r="AY11" s="929"/>
      <c r="AZ11" s="929"/>
      <c r="BA11" s="929"/>
      <c r="BB11" s="929"/>
      <c r="BC11" s="929"/>
    </row>
    <row r="12" spans="1:55" ht="30.75" thickBot="1">
      <c r="A12" s="929"/>
      <c r="B12" s="3054"/>
      <c r="C12" s="3055"/>
      <c r="D12" s="3055"/>
      <c r="E12" s="3055"/>
      <c r="F12" s="3055"/>
      <c r="G12" s="1594"/>
      <c r="H12" s="1594"/>
      <c r="I12" s="1595"/>
      <c r="J12" s="929"/>
      <c r="K12" s="775" t="s">
        <v>843</v>
      </c>
      <c r="L12" s="776" t="s">
        <v>841</v>
      </c>
      <c r="M12" s="776" t="s">
        <v>834</v>
      </c>
      <c r="N12" s="776" t="s">
        <v>842</v>
      </c>
      <c r="O12" s="777" t="s">
        <v>835</v>
      </c>
      <c r="P12" s="929"/>
      <c r="Q12" s="929"/>
      <c r="R12" s="929"/>
      <c r="S12" s="929"/>
      <c r="T12" s="929"/>
      <c r="U12" s="929"/>
      <c r="V12" s="929"/>
      <c r="W12" s="929"/>
      <c r="X12" s="929"/>
      <c r="Y12" s="929"/>
      <c r="Z12" s="929"/>
      <c r="AA12" s="929"/>
      <c r="AB12" s="929"/>
      <c r="AC12" s="929"/>
      <c r="AD12" s="929"/>
      <c r="AE12" s="929"/>
      <c r="AF12" s="929"/>
      <c r="AG12" s="929"/>
      <c r="AH12" s="929"/>
      <c r="AI12" s="929"/>
      <c r="AJ12" s="929"/>
      <c r="AK12" s="929"/>
      <c r="AL12" s="929"/>
      <c r="AM12" s="929"/>
      <c r="AN12" s="929"/>
      <c r="AO12" s="929"/>
      <c r="AP12" s="929"/>
      <c r="AQ12" s="929"/>
      <c r="AR12" s="929"/>
      <c r="AS12" s="929"/>
      <c r="AT12" s="929"/>
      <c r="AU12" s="929"/>
      <c r="AV12" s="929"/>
      <c r="AW12" s="929"/>
      <c r="AX12" s="929"/>
      <c r="AY12" s="929"/>
      <c r="AZ12" s="929"/>
      <c r="BA12" s="929"/>
      <c r="BB12" s="929"/>
      <c r="BC12" s="929"/>
    </row>
    <row r="13" spans="1:55" ht="33.75" customHeight="1" thickBot="1">
      <c r="A13" s="929"/>
      <c r="B13" s="3062" t="s">
        <v>938</v>
      </c>
      <c r="C13" s="3063"/>
      <c r="D13" s="3063"/>
      <c r="E13" s="3063"/>
      <c r="F13" s="1171" t="s">
        <v>850</v>
      </c>
      <c r="G13" s="788">
        <v>16200</v>
      </c>
      <c r="H13" s="787" t="s">
        <v>850</v>
      </c>
      <c r="I13" s="1590"/>
      <c r="J13" s="929"/>
      <c r="K13" s="782" t="s">
        <v>844</v>
      </c>
      <c r="L13" s="778" t="s">
        <v>836</v>
      </c>
      <c r="M13" s="778" t="s">
        <v>836</v>
      </c>
      <c r="N13" s="778" t="s">
        <v>836</v>
      </c>
      <c r="O13" s="779" t="s">
        <v>836</v>
      </c>
      <c r="P13" s="929"/>
      <c r="Q13" s="929"/>
      <c r="R13" s="929"/>
      <c r="S13" s="929"/>
      <c r="T13" s="929"/>
      <c r="U13" s="929"/>
      <c r="V13" s="929"/>
      <c r="W13" s="929"/>
      <c r="X13" s="929"/>
      <c r="Y13" s="929"/>
      <c r="Z13" s="929"/>
      <c r="AA13" s="929"/>
      <c r="AB13" s="929"/>
      <c r="AC13" s="929"/>
      <c r="AD13" s="929"/>
      <c r="AE13" s="929"/>
      <c r="AF13" s="929"/>
      <c r="AG13" s="929"/>
      <c r="AH13" s="929"/>
      <c r="AI13" s="929"/>
      <c r="AJ13" s="929"/>
      <c r="AK13" s="929"/>
      <c r="AL13" s="929"/>
      <c r="AM13" s="929"/>
      <c r="AN13" s="929"/>
      <c r="AO13" s="929"/>
      <c r="AP13" s="929"/>
      <c r="AQ13" s="929"/>
      <c r="AR13" s="929"/>
      <c r="AS13" s="929"/>
      <c r="AT13" s="929"/>
      <c r="AU13" s="929"/>
      <c r="AV13" s="929"/>
      <c r="AW13" s="929"/>
      <c r="AX13" s="929"/>
      <c r="AY13" s="929"/>
      <c r="AZ13" s="929"/>
      <c r="BA13" s="929"/>
      <c r="BB13" s="929"/>
      <c r="BC13" s="929"/>
    </row>
    <row r="14" spans="1:55" ht="16.5" thickBot="1">
      <c r="A14" s="929"/>
      <c r="B14" s="3050"/>
      <c r="C14" s="3051"/>
      <c r="D14" s="3051"/>
      <c r="E14" s="3051"/>
      <c r="F14" s="3051"/>
      <c r="G14" s="1591"/>
      <c r="H14" s="1591"/>
      <c r="I14" s="1596"/>
      <c r="J14" s="929"/>
      <c r="K14" s="762" t="s">
        <v>837</v>
      </c>
      <c r="L14" s="760">
        <f>G$9*22</f>
        <v>5940</v>
      </c>
      <c r="M14" s="760">
        <f>G$9*30</f>
        <v>8100</v>
      </c>
      <c r="N14" s="760">
        <f>G$9*40</f>
        <v>10800</v>
      </c>
      <c r="O14" s="763">
        <f>G$9*50</f>
        <v>13500</v>
      </c>
      <c r="P14" s="929"/>
      <c r="Q14" s="929"/>
      <c r="R14" s="929"/>
      <c r="S14" s="929"/>
      <c r="T14" s="929"/>
      <c r="U14" s="929"/>
      <c r="V14" s="929"/>
      <c r="W14" s="929"/>
      <c r="X14" s="929"/>
      <c r="Y14" s="929"/>
      <c r="Z14" s="929"/>
      <c r="AA14" s="929"/>
      <c r="AB14" s="929"/>
      <c r="AC14" s="929"/>
      <c r="AD14" s="929"/>
      <c r="AE14" s="929"/>
      <c r="AF14" s="929"/>
      <c r="AG14" s="929"/>
      <c r="AH14" s="929"/>
      <c r="AI14" s="929"/>
      <c r="AJ14" s="929"/>
      <c r="AK14" s="929"/>
      <c r="AL14" s="929"/>
      <c r="AM14" s="929"/>
      <c r="AN14" s="929"/>
      <c r="AO14" s="929"/>
      <c r="AP14" s="929"/>
      <c r="AQ14" s="929"/>
      <c r="AR14" s="929"/>
      <c r="AS14" s="929"/>
      <c r="AT14" s="929"/>
      <c r="AU14" s="929"/>
      <c r="AV14" s="929"/>
      <c r="AW14" s="929"/>
      <c r="AX14" s="929"/>
      <c r="AY14" s="929"/>
      <c r="AZ14" s="929"/>
      <c r="BA14" s="929"/>
      <c r="BB14" s="929"/>
      <c r="BC14" s="929"/>
    </row>
    <row r="15" spans="1:55" ht="16.5" thickBot="1">
      <c r="A15" s="929"/>
      <c r="B15" s="3064" t="s">
        <v>1462</v>
      </c>
      <c r="C15" s="3065"/>
      <c r="D15" s="3065"/>
      <c r="E15" s="3065"/>
      <c r="F15" s="3066"/>
      <c r="G15" s="371">
        <f>G13*1.163</f>
        <v>18840.600000000002</v>
      </c>
      <c r="H15" s="1172" t="s">
        <v>1134</v>
      </c>
      <c r="I15" s="1590"/>
      <c r="J15" s="929"/>
      <c r="K15" s="754" t="s">
        <v>838</v>
      </c>
      <c r="L15" s="755">
        <f>G$9*20</f>
        <v>5400</v>
      </c>
      <c r="M15" s="755">
        <f>G$9*28</f>
        <v>7560</v>
      </c>
      <c r="N15" s="755">
        <f>G$9*32</f>
        <v>8640</v>
      </c>
      <c r="O15" s="1592">
        <f>G$9*40</f>
        <v>10800</v>
      </c>
      <c r="P15" s="929"/>
      <c r="Q15" s="929"/>
      <c r="R15" s="929"/>
      <c r="S15" s="929"/>
      <c r="T15" s="929"/>
      <c r="U15" s="929"/>
      <c r="V15" s="929"/>
      <c r="W15" s="929"/>
      <c r="X15" s="929"/>
      <c r="Y15" s="929"/>
      <c r="Z15" s="929"/>
      <c r="AA15" s="929"/>
      <c r="AB15" s="929"/>
      <c r="AC15" s="929"/>
      <c r="AD15" s="929"/>
      <c r="AE15" s="929"/>
      <c r="AF15" s="929"/>
      <c r="AG15" s="929"/>
      <c r="AH15" s="929"/>
      <c r="AI15" s="929"/>
      <c r="AJ15" s="929"/>
      <c r="AK15" s="929"/>
      <c r="AL15" s="929"/>
      <c r="AM15" s="929"/>
      <c r="AN15" s="929"/>
      <c r="AO15" s="929"/>
      <c r="AP15" s="929"/>
      <c r="AQ15" s="929"/>
      <c r="AR15" s="929"/>
      <c r="AS15" s="929"/>
      <c r="AT15" s="929"/>
      <c r="AU15" s="929"/>
      <c r="AV15" s="929"/>
      <c r="AW15" s="929"/>
      <c r="AX15" s="929"/>
      <c r="AY15" s="929"/>
      <c r="AZ15" s="929"/>
      <c r="BA15" s="929"/>
      <c r="BB15" s="929"/>
      <c r="BC15" s="929"/>
    </row>
    <row r="16" spans="1:55" ht="15.75" thickBot="1">
      <c r="A16" s="929"/>
      <c r="B16" s="1589"/>
      <c r="C16" s="784"/>
      <c r="D16" s="784"/>
      <c r="E16" s="784"/>
      <c r="F16" s="784"/>
      <c r="G16" s="784"/>
      <c r="H16" s="784"/>
      <c r="I16" s="1590"/>
      <c r="J16" s="929"/>
      <c r="K16" s="751" t="s">
        <v>839</v>
      </c>
      <c r="L16" s="752">
        <f>G$9*22</f>
        <v>5940</v>
      </c>
      <c r="M16" s="752">
        <f>G$9*30</f>
        <v>8100</v>
      </c>
      <c r="N16" s="752">
        <f>G$9*35</f>
        <v>9450</v>
      </c>
      <c r="O16" s="753">
        <f>G$9*45</f>
        <v>12150</v>
      </c>
      <c r="P16" s="929"/>
      <c r="Q16" s="929"/>
      <c r="R16" s="929"/>
      <c r="S16" s="929"/>
      <c r="T16" s="929"/>
      <c r="U16" s="929"/>
      <c r="V16" s="929"/>
      <c r="W16" s="929"/>
      <c r="X16" s="929"/>
      <c r="Y16" s="929"/>
      <c r="Z16" s="929"/>
      <c r="AA16" s="929"/>
      <c r="AB16" s="929"/>
      <c r="AC16" s="929"/>
      <c r="AD16" s="929"/>
      <c r="AE16" s="929"/>
      <c r="AF16" s="929"/>
      <c r="AG16" s="929"/>
      <c r="AH16" s="929"/>
      <c r="AI16" s="929"/>
      <c r="AJ16" s="929"/>
      <c r="AK16" s="929"/>
      <c r="AL16" s="929"/>
      <c r="AM16" s="929"/>
      <c r="AN16" s="929"/>
      <c r="AO16" s="929"/>
      <c r="AP16" s="929"/>
      <c r="AQ16" s="929"/>
      <c r="AR16" s="929"/>
      <c r="AS16" s="929"/>
      <c r="AT16" s="929"/>
      <c r="AU16" s="929"/>
      <c r="AV16" s="929"/>
      <c r="AW16" s="929"/>
      <c r="AX16" s="929"/>
      <c r="AY16" s="929"/>
      <c r="AZ16" s="929"/>
      <c r="BA16" s="929"/>
      <c r="BB16" s="929"/>
      <c r="BC16" s="929"/>
    </row>
    <row r="17" spans="1:55" ht="16.5" thickBot="1">
      <c r="A17" s="929"/>
      <c r="B17" s="3050" t="s">
        <v>1461</v>
      </c>
      <c r="C17" s="3051"/>
      <c r="D17" s="3051"/>
      <c r="E17" s="3051"/>
      <c r="F17" s="3067"/>
      <c r="G17" s="785">
        <f>G15/1000</f>
        <v>18.840600000000002</v>
      </c>
      <c r="H17" s="786" t="s">
        <v>77</v>
      </c>
      <c r="I17" s="1590"/>
      <c r="J17" s="929"/>
      <c r="K17" s="757" t="s">
        <v>840</v>
      </c>
      <c r="L17" s="758">
        <f>G$9*21</f>
        <v>5670</v>
      </c>
      <c r="M17" s="758">
        <f>G$9*29</f>
        <v>7830</v>
      </c>
      <c r="N17" s="758">
        <f>G$9*36</f>
        <v>9720</v>
      </c>
      <c r="O17" s="759">
        <f>G$9*45</f>
        <v>12150</v>
      </c>
      <c r="P17" s="929"/>
      <c r="Q17" s="929"/>
      <c r="R17" s="929"/>
      <c r="S17" s="929"/>
      <c r="T17" s="929"/>
      <c r="U17" s="929"/>
      <c r="V17" s="929"/>
      <c r="W17" s="929"/>
      <c r="X17" s="929"/>
      <c r="Y17" s="929"/>
      <c r="Z17" s="929"/>
      <c r="AA17" s="929"/>
      <c r="AB17" s="929"/>
      <c r="AC17" s="929"/>
      <c r="AD17" s="929"/>
      <c r="AE17" s="929"/>
      <c r="AF17" s="929"/>
      <c r="AG17" s="929"/>
      <c r="AH17" s="929"/>
      <c r="AI17" s="929"/>
      <c r="AJ17" s="929"/>
      <c r="AK17" s="929"/>
      <c r="AL17" s="929"/>
      <c r="AM17" s="929"/>
      <c r="AN17" s="929"/>
      <c r="AO17" s="929"/>
      <c r="AP17" s="929"/>
      <c r="AQ17" s="929"/>
      <c r="AR17" s="929"/>
      <c r="AS17" s="929"/>
      <c r="AT17" s="929"/>
      <c r="AU17" s="929"/>
      <c r="AV17" s="929"/>
      <c r="AW17" s="929"/>
      <c r="AX17" s="929"/>
      <c r="AY17" s="929"/>
      <c r="AZ17" s="929"/>
      <c r="BA17" s="929"/>
      <c r="BB17" s="929"/>
      <c r="BC17" s="929"/>
    </row>
    <row r="18" spans="1:55" ht="30">
      <c r="A18" s="929"/>
      <c r="B18" s="3052"/>
      <c r="C18" s="3053"/>
      <c r="D18" s="3053"/>
      <c r="E18" s="3053"/>
      <c r="F18" s="3053"/>
      <c r="G18" s="1597"/>
      <c r="H18" s="1597"/>
      <c r="I18" s="1598"/>
      <c r="J18" s="929"/>
      <c r="K18" s="780"/>
      <c r="L18" s="768" t="s">
        <v>841</v>
      </c>
      <c r="M18" s="768" t="s">
        <v>834</v>
      </c>
      <c r="N18" s="768" t="s">
        <v>842</v>
      </c>
      <c r="O18" s="769" t="s">
        <v>835</v>
      </c>
      <c r="P18" s="929"/>
      <c r="Q18" s="929"/>
      <c r="R18" s="929"/>
      <c r="S18" s="929"/>
      <c r="T18" s="929"/>
      <c r="U18" s="929"/>
      <c r="V18" s="929"/>
      <c r="W18" s="929"/>
      <c r="X18" s="929"/>
      <c r="Y18" s="929"/>
      <c r="Z18" s="929"/>
      <c r="AA18" s="929"/>
      <c r="AB18" s="929"/>
      <c r="AC18" s="929"/>
      <c r="AD18" s="929"/>
      <c r="AE18" s="929"/>
      <c r="AF18" s="929"/>
      <c r="AG18" s="929"/>
      <c r="AH18" s="929"/>
      <c r="AI18" s="929"/>
      <c r="AJ18" s="929"/>
      <c r="AK18" s="929"/>
      <c r="AL18" s="929"/>
      <c r="AM18" s="929"/>
      <c r="AN18" s="929"/>
      <c r="AO18" s="929"/>
      <c r="AP18" s="929"/>
      <c r="AQ18" s="929"/>
      <c r="AR18" s="929"/>
      <c r="AS18" s="929"/>
      <c r="AT18" s="929"/>
      <c r="AU18" s="929"/>
      <c r="AV18" s="929"/>
      <c r="AW18" s="929"/>
      <c r="AX18" s="929"/>
      <c r="AY18" s="929"/>
      <c r="AZ18" s="929"/>
      <c r="BA18" s="929"/>
      <c r="BB18" s="929"/>
      <c r="BC18" s="929"/>
    </row>
    <row r="19" spans="1:55">
      <c r="A19" s="929"/>
      <c r="B19" s="929"/>
      <c r="C19" s="929"/>
      <c r="D19" s="929"/>
      <c r="E19" s="929"/>
      <c r="F19" s="929"/>
      <c r="G19" s="929"/>
      <c r="H19" s="929"/>
      <c r="I19" s="929"/>
      <c r="J19" s="929"/>
      <c r="K19" s="781" t="s">
        <v>845</v>
      </c>
      <c r="L19" s="761" t="s">
        <v>836</v>
      </c>
      <c r="M19" s="761" t="s">
        <v>836</v>
      </c>
      <c r="N19" s="761" t="s">
        <v>836</v>
      </c>
      <c r="O19" s="771" t="s">
        <v>836</v>
      </c>
      <c r="P19" s="929"/>
      <c r="Q19" s="929"/>
      <c r="R19" s="929"/>
      <c r="S19" s="929"/>
      <c r="T19" s="929"/>
      <c r="U19" s="929"/>
      <c r="V19" s="929"/>
      <c r="W19" s="929"/>
      <c r="X19" s="929"/>
      <c r="Y19" s="929"/>
      <c r="Z19" s="929"/>
      <c r="AA19" s="929"/>
      <c r="AB19" s="929"/>
      <c r="AC19" s="929"/>
      <c r="AD19" s="929"/>
      <c r="AE19" s="929"/>
      <c r="AF19" s="929"/>
      <c r="AG19" s="929"/>
      <c r="AH19" s="929"/>
      <c r="AI19" s="929"/>
      <c r="AJ19" s="929"/>
      <c r="AK19" s="929"/>
      <c r="AL19" s="929"/>
      <c r="AM19" s="929"/>
      <c r="AN19" s="929"/>
      <c r="AO19" s="929"/>
      <c r="AP19" s="929"/>
      <c r="AQ19" s="929"/>
      <c r="AR19" s="929"/>
      <c r="AS19" s="929"/>
      <c r="AT19" s="929"/>
      <c r="AU19" s="929"/>
      <c r="AV19" s="929"/>
      <c r="AW19" s="929"/>
      <c r="AX19" s="929"/>
      <c r="AY19" s="929"/>
      <c r="AZ19" s="929"/>
      <c r="BA19" s="929"/>
      <c r="BB19" s="929"/>
      <c r="BC19" s="929"/>
    </row>
    <row r="20" spans="1:55" ht="15.75" thickBot="1">
      <c r="A20" s="929"/>
      <c r="B20" s="929"/>
      <c r="C20" s="929"/>
      <c r="D20" s="929"/>
      <c r="E20" s="929"/>
      <c r="F20" s="929"/>
      <c r="G20" s="929"/>
      <c r="H20" s="929"/>
      <c r="I20" s="929"/>
      <c r="J20" s="929"/>
      <c r="K20" s="762" t="s">
        <v>837</v>
      </c>
      <c r="L20" s="760">
        <f>G$9*25</f>
        <v>6750</v>
      </c>
      <c r="M20" s="760">
        <f>G$9*33</f>
        <v>8910</v>
      </c>
      <c r="N20" s="760">
        <f>G$9*45</f>
        <v>12150</v>
      </c>
      <c r="O20" s="763">
        <f>G$9*55</f>
        <v>14850</v>
      </c>
      <c r="P20" s="929"/>
      <c r="Q20" s="929"/>
      <c r="R20" s="929"/>
      <c r="S20" s="929"/>
      <c r="T20" s="929"/>
      <c r="U20" s="929"/>
      <c r="V20" s="929"/>
      <c r="W20" s="929"/>
      <c r="X20" s="929"/>
      <c r="Y20" s="929"/>
      <c r="Z20" s="929"/>
      <c r="AA20" s="929"/>
      <c r="AB20" s="929"/>
      <c r="AC20" s="929"/>
      <c r="AD20" s="929"/>
      <c r="AE20" s="929"/>
      <c r="AF20" s="929"/>
      <c r="AG20" s="929"/>
      <c r="AH20" s="929"/>
      <c r="AI20" s="929"/>
      <c r="AJ20" s="929"/>
      <c r="AK20" s="929"/>
      <c r="AL20" s="929"/>
      <c r="AM20" s="929"/>
      <c r="AN20" s="929"/>
      <c r="AO20" s="929"/>
      <c r="AP20" s="929"/>
      <c r="AQ20" s="929"/>
      <c r="AR20" s="929"/>
      <c r="AS20" s="929"/>
      <c r="AT20" s="929"/>
      <c r="AU20" s="929"/>
      <c r="AV20" s="929"/>
      <c r="AW20" s="929"/>
      <c r="AX20" s="929"/>
      <c r="AY20" s="929"/>
      <c r="AZ20" s="929"/>
      <c r="BA20" s="929"/>
      <c r="BB20" s="929"/>
      <c r="BC20" s="929"/>
    </row>
    <row r="21" spans="1:55" ht="16.5" thickBot="1">
      <c r="A21" s="929"/>
      <c r="B21" s="3068" t="s">
        <v>1463</v>
      </c>
      <c r="C21" s="3068"/>
      <c r="D21" s="3068"/>
      <c r="E21" s="3068"/>
      <c r="F21" s="3069"/>
      <c r="G21" s="1716">
        <v>19</v>
      </c>
      <c r="H21" s="1588" t="s">
        <v>77</v>
      </c>
      <c r="I21" s="929"/>
      <c r="J21" s="929"/>
      <c r="K21" s="754" t="s">
        <v>838</v>
      </c>
      <c r="L21" s="755">
        <f>G$9*22</f>
        <v>5940</v>
      </c>
      <c r="M21" s="755">
        <f>G$9*30</f>
        <v>8100</v>
      </c>
      <c r="N21" s="755">
        <f>G$9*35</f>
        <v>9450</v>
      </c>
      <c r="O21" s="756">
        <f>G$9*43</f>
        <v>11610</v>
      </c>
      <c r="P21" s="929"/>
      <c r="Q21" s="929"/>
      <c r="R21" s="929"/>
      <c r="S21" s="929"/>
      <c r="T21" s="929"/>
      <c r="U21" s="929"/>
      <c r="V21" s="929"/>
      <c r="W21" s="929"/>
      <c r="X21" s="929"/>
      <c r="Y21" s="929"/>
      <c r="Z21" s="929"/>
      <c r="AA21" s="929"/>
      <c r="AB21" s="929"/>
      <c r="AC21" s="929"/>
      <c r="AD21" s="929"/>
      <c r="AE21" s="929"/>
      <c r="AF21" s="929"/>
      <c r="AG21" s="929"/>
      <c r="AH21" s="929"/>
      <c r="AI21" s="929"/>
      <c r="AJ21" s="929"/>
      <c r="AK21" s="929"/>
      <c r="AL21" s="929"/>
      <c r="AM21" s="929"/>
      <c r="AN21" s="929"/>
      <c r="AO21" s="929"/>
      <c r="AP21" s="929"/>
      <c r="AQ21" s="929"/>
      <c r="AR21" s="929"/>
      <c r="AS21" s="929"/>
      <c r="AT21" s="929"/>
      <c r="AU21" s="929"/>
      <c r="AV21" s="929"/>
      <c r="AW21" s="929"/>
      <c r="AX21" s="929"/>
      <c r="AY21" s="929"/>
      <c r="AZ21" s="929"/>
      <c r="BA21" s="929"/>
      <c r="BB21" s="929"/>
      <c r="BC21" s="929"/>
    </row>
    <row r="22" spans="1:55" ht="15.75" thickBot="1">
      <c r="A22" s="929"/>
      <c r="B22" s="929"/>
      <c r="C22" s="929"/>
      <c r="D22" s="929"/>
      <c r="E22" s="929"/>
      <c r="F22" s="929"/>
      <c r="G22" s="929"/>
      <c r="H22" s="929"/>
      <c r="I22" s="929"/>
      <c r="J22" s="929"/>
      <c r="K22" s="751" t="s">
        <v>839</v>
      </c>
      <c r="L22" s="752">
        <f>G$9*25</f>
        <v>6750</v>
      </c>
      <c r="M22" s="752">
        <f>G$9*33</f>
        <v>8910</v>
      </c>
      <c r="N22" s="752">
        <f>G$9*40</f>
        <v>10800</v>
      </c>
      <c r="O22" s="753">
        <f>G$9*50</f>
        <v>13500</v>
      </c>
      <c r="P22" s="929"/>
      <c r="Q22" s="929"/>
      <c r="R22" s="929"/>
      <c r="S22" s="929"/>
      <c r="T22" s="929"/>
      <c r="U22" s="929"/>
      <c r="V22" s="929"/>
      <c r="W22" s="929"/>
      <c r="X22" s="929"/>
      <c r="Y22" s="929"/>
      <c r="Z22" s="929"/>
      <c r="AA22" s="929"/>
      <c r="AB22" s="929"/>
      <c r="AC22" s="929"/>
      <c r="AD22" s="929"/>
      <c r="AE22" s="929"/>
      <c r="AF22" s="929"/>
      <c r="AG22" s="929"/>
      <c r="AH22" s="929"/>
      <c r="AI22" s="929"/>
      <c r="AJ22" s="929"/>
      <c r="AK22" s="929"/>
      <c r="AL22" s="929"/>
      <c r="AM22" s="929"/>
      <c r="AN22" s="929"/>
      <c r="AO22" s="929"/>
      <c r="AP22" s="929"/>
      <c r="AQ22" s="929"/>
      <c r="AR22" s="929"/>
      <c r="AS22" s="929"/>
      <c r="AT22" s="929"/>
      <c r="AU22" s="929"/>
      <c r="AV22" s="929"/>
      <c r="AW22" s="929"/>
      <c r="AX22" s="929"/>
      <c r="AY22" s="929"/>
      <c r="AZ22" s="929"/>
      <c r="BA22" s="929"/>
      <c r="BB22" s="929"/>
      <c r="BC22" s="929"/>
    </row>
    <row r="23" spans="1:55" ht="22.5" customHeight="1" thickBot="1">
      <c r="A23" s="929"/>
      <c r="B23" s="3068" t="s">
        <v>1464</v>
      </c>
      <c r="C23" s="3068"/>
      <c r="D23" s="3068"/>
      <c r="E23" s="3068"/>
      <c r="F23" s="3069"/>
      <c r="G23" s="371">
        <f>G21*12</f>
        <v>228</v>
      </c>
      <c r="H23" s="1172" t="s">
        <v>755</v>
      </c>
      <c r="I23" s="929"/>
      <c r="J23" s="929"/>
      <c r="K23" s="764" t="s">
        <v>840</v>
      </c>
      <c r="L23" s="765">
        <f>G$9*24</f>
        <v>6480</v>
      </c>
      <c r="M23" s="765">
        <f>G$9*32</f>
        <v>8640</v>
      </c>
      <c r="N23" s="765">
        <f>G$9*40</f>
        <v>10800</v>
      </c>
      <c r="O23" s="766">
        <f>G$9*49</f>
        <v>13230</v>
      </c>
      <c r="P23" s="929"/>
      <c r="Q23" s="929"/>
      <c r="R23" s="929"/>
      <c r="S23" s="929"/>
      <c r="T23" s="929"/>
      <c r="U23" s="929"/>
      <c r="V23" s="929"/>
      <c r="W23" s="929"/>
      <c r="X23" s="929"/>
      <c r="Y23" s="929"/>
      <c r="Z23" s="929"/>
      <c r="AA23" s="929"/>
      <c r="AB23" s="929"/>
      <c r="AC23" s="929"/>
      <c r="AD23" s="929"/>
      <c r="AE23" s="929"/>
      <c r="AF23" s="929"/>
      <c r="AG23" s="929"/>
      <c r="AH23" s="929"/>
      <c r="AI23" s="929"/>
      <c r="AJ23" s="929"/>
      <c r="AK23" s="929"/>
      <c r="AL23" s="929"/>
      <c r="AM23" s="929"/>
      <c r="AN23" s="929"/>
      <c r="AO23" s="929"/>
      <c r="AP23" s="929"/>
      <c r="AQ23" s="929"/>
      <c r="AR23" s="929"/>
      <c r="AS23" s="929"/>
      <c r="AT23" s="929"/>
      <c r="AU23" s="929"/>
      <c r="AV23" s="929"/>
      <c r="AW23" s="929"/>
      <c r="AX23" s="929"/>
      <c r="AY23" s="929"/>
      <c r="AZ23" s="929"/>
      <c r="BA23" s="929"/>
      <c r="BB23" s="929"/>
      <c r="BC23" s="929"/>
    </row>
    <row r="24" spans="1:55" ht="32.25" customHeight="1" thickBot="1">
      <c r="A24" s="929"/>
      <c r="B24" s="3056"/>
      <c r="C24" s="3056"/>
      <c r="D24" s="3056"/>
      <c r="E24" s="3056"/>
      <c r="F24" s="1814"/>
      <c r="G24" s="1816"/>
      <c r="H24" s="1816"/>
      <c r="I24" s="929"/>
      <c r="J24" s="929"/>
      <c r="K24" s="775" t="s">
        <v>846</v>
      </c>
      <c r="L24" s="776" t="s">
        <v>841</v>
      </c>
      <c r="M24" s="776" t="s">
        <v>834</v>
      </c>
      <c r="N24" s="776" t="s">
        <v>842</v>
      </c>
      <c r="O24" s="777" t="s">
        <v>835</v>
      </c>
      <c r="P24" s="929"/>
      <c r="Q24" s="929"/>
      <c r="R24" s="929"/>
      <c r="S24" s="929"/>
      <c r="T24" s="929"/>
      <c r="U24" s="929"/>
      <c r="V24" s="929"/>
      <c r="W24" s="929"/>
      <c r="X24" s="929"/>
      <c r="Y24" s="929"/>
      <c r="Z24" s="929"/>
      <c r="AA24" s="929"/>
      <c r="AB24" s="929"/>
      <c r="AC24" s="929"/>
      <c r="AD24" s="929"/>
      <c r="AE24" s="929"/>
      <c r="AF24" s="929"/>
      <c r="AG24" s="929"/>
      <c r="AH24" s="929"/>
      <c r="AI24" s="929"/>
      <c r="AJ24" s="929"/>
      <c r="AK24" s="929"/>
      <c r="AL24" s="929"/>
      <c r="AM24" s="929"/>
      <c r="AN24" s="929"/>
      <c r="AO24" s="929"/>
      <c r="AP24" s="929"/>
      <c r="AQ24" s="929"/>
      <c r="AR24" s="929"/>
      <c r="AS24" s="929"/>
      <c r="AT24" s="929"/>
      <c r="AU24" s="929"/>
      <c r="AV24" s="929"/>
      <c r="AW24" s="929"/>
      <c r="AX24" s="929"/>
      <c r="AY24" s="929"/>
      <c r="AZ24" s="929"/>
      <c r="BA24" s="929"/>
      <c r="BB24" s="929"/>
      <c r="BC24" s="929"/>
    </row>
    <row r="25" spans="1:55" ht="21.75" customHeight="1" thickBot="1">
      <c r="A25" s="929"/>
      <c r="B25" s="3068" t="s">
        <v>1465</v>
      </c>
      <c r="C25" s="3068"/>
      <c r="D25" s="3068"/>
      <c r="E25" s="3068"/>
      <c r="F25" s="3069"/>
      <c r="G25" s="785">
        <f>G21*0.25</f>
        <v>4.75</v>
      </c>
      <c r="H25" s="786" t="s">
        <v>3</v>
      </c>
      <c r="I25" s="929"/>
      <c r="J25" s="929"/>
      <c r="K25" s="782" t="s">
        <v>847</v>
      </c>
      <c r="L25" s="778" t="s">
        <v>836</v>
      </c>
      <c r="M25" s="778" t="s">
        <v>836</v>
      </c>
      <c r="N25" s="778" t="s">
        <v>836</v>
      </c>
      <c r="O25" s="779" t="s">
        <v>836</v>
      </c>
      <c r="P25" s="929"/>
      <c r="Q25" s="929"/>
      <c r="R25" s="929"/>
      <c r="S25" s="929"/>
      <c r="T25" s="929"/>
      <c r="U25" s="929"/>
      <c r="V25" s="929"/>
      <c r="W25" s="929"/>
      <c r="X25" s="929"/>
      <c r="Y25" s="929"/>
      <c r="Z25" s="929"/>
      <c r="AA25" s="929"/>
      <c r="AB25" s="929"/>
      <c r="AC25" s="929"/>
      <c r="AD25" s="929"/>
      <c r="AE25" s="929"/>
      <c r="AF25" s="929"/>
      <c r="AG25" s="929"/>
      <c r="AH25" s="929"/>
      <c r="AI25" s="929"/>
      <c r="AJ25" s="929"/>
      <c r="AK25" s="929"/>
      <c r="AL25" s="929"/>
      <c r="AM25" s="929"/>
      <c r="AN25" s="929"/>
      <c r="AO25" s="929"/>
      <c r="AP25" s="929"/>
      <c r="AQ25" s="929"/>
      <c r="AR25" s="929"/>
      <c r="AS25" s="929"/>
      <c r="AT25" s="929"/>
      <c r="AU25" s="929"/>
      <c r="AV25" s="929"/>
      <c r="AW25" s="929"/>
      <c r="AX25" s="929"/>
      <c r="AY25" s="929"/>
      <c r="AZ25" s="929"/>
      <c r="BA25" s="929"/>
      <c r="BB25" s="929"/>
      <c r="BC25" s="929"/>
    </row>
    <row r="26" spans="1:55" ht="16.5" thickBot="1">
      <c r="A26" s="929"/>
      <c r="B26" s="3057"/>
      <c r="C26" s="3057"/>
      <c r="D26" s="3057"/>
      <c r="E26" s="3057"/>
      <c r="F26" s="3057"/>
      <c r="G26" s="1810"/>
      <c r="H26" s="1810"/>
      <c r="I26" s="929"/>
      <c r="J26" s="929"/>
      <c r="K26" s="762" t="s">
        <v>837</v>
      </c>
      <c r="L26" s="760">
        <f>G$9*28</f>
        <v>7560</v>
      </c>
      <c r="M26" s="760">
        <f>G$9*38</f>
        <v>10260</v>
      </c>
      <c r="N26" s="760">
        <f>G$9*50</f>
        <v>13500</v>
      </c>
      <c r="O26" s="763">
        <f>G$9*60</f>
        <v>16200</v>
      </c>
      <c r="P26" s="929"/>
      <c r="Q26" s="929"/>
      <c r="R26" s="929"/>
      <c r="S26" s="929"/>
      <c r="T26" s="929"/>
      <c r="U26" s="929"/>
      <c r="V26" s="929"/>
      <c r="W26" s="929"/>
      <c r="X26" s="929"/>
      <c r="Y26" s="929"/>
      <c r="Z26" s="929"/>
      <c r="AA26" s="929"/>
      <c r="AB26" s="929"/>
      <c r="AC26" s="929"/>
      <c r="AD26" s="929"/>
      <c r="AE26" s="929"/>
      <c r="AF26" s="929"/>
      <c r="AG26" s="929"/>
      <c r="AH26" s="929"/>
      <c r="AI26" s="929"/>
      <c r="AJ26" s="929"/>
      <c r="AK26" s="929"/>
      <c r="AL26" s="929"/>
      <c r="AM26" s="929"/>
      <c r="AN26" s="929"/>
      <c r="AO26" s="929"/>
      <c r="AP26" s="929"/>
      <c r="AQ26" s="929"/>
      <c r="AR26" s="929"/>
      <c r="AS26" s="929"/>
      <c r="AT26" s="929"/>
      <c r="AU26" s="929"/>
      <c r="AV26" s="929"/>
      <c r="AW26" s="929"/>
      <c r="AX26" s="929"/>
      <c r="AY26" s="929"/>
      <c r="AZ26" s="929"/>
      <c r="BA26" s="929"/>
      <c r="BB26" s="929"/>
      <c r="BC26" s="929"/>
    </row>
    <row r="27" spans="1:55" ht="16.5" thickBot="1">
      <c r="A27" s="929"/>
      <c r="B27" s="929"/>
      <c r="C27" s="1676"/>
      <c r="D27" s="3051" t="s">
        <v>851</v>
      </c>
      <c r="E27" s="3051"/>
      <c r="F27" s="3051"/>
      <c r="G27" s="2256">
        <f>G13/M3</f>
        <v>20.849420849420849</v>
      </c>
      <c r="H27" s="786" t="s">
        <v>852</v>
      </c>
      <c r="I27" s="929"/>
      <c r="J27" s="929"/>
      <c r="K27" s="754" t="s">
        <v>838</v>
      </c>
      <c r="L27" s="755">
        <f>G$9*24</f>
        <v>6480</v>
      </c>
      <c r="M27" s="755">
        <f>G$9*34</f>
        <v>9180</v>
      </c>
      <c r="N27" s="755">
        <f>G$9*38</f>
        <v>10260</v>
      </c>
      <c r="O27" s="756">
        <f>G$9*46</f>
        <v>12420</v>
      </c>
      <c r="P27" s="929"/>
      <c r="Q27" s="929"/>
      <c r="R27" s="929"/>
      <c r="S27" s="929"/>
      <c r="T27" s="929"/>
      <c r="U27" s="929"/>
      <c r="V27" s="929"/>
      <c r="W27" s="929"/>
      <c r="X27" s="929"/>
      <c r="Y27" s="929"/>
      <c r="Z27" s="929"/>
      <c r="AA27" s="929"/>
      <c r="AB27" s="929"/>
      <c r="AC27" s="929"/>
      <c r="AD27" s="929"/>
      <c r="AE27" s="929"/>
      <c r="AF27" s="929"/>
      <c r="AG27" s="929"/>
      <c r="AH27" s="929"/>
      <c r="AI27" s="929"/>
      <c r="AJ27" s="929"/>
      <c r="AK27" s="929"/>
      <c r="AL27" s="929"/>
      <c r="AM27" s="929"/>
      <c r="AN27" s="929"/>
      <c r="AO27" s="929"/>
      <c r="AP27" s="929"/>
      <c r="AQ27" s="929"/>
      <c r="AR27" s="929"/>
      <c r="AS27" s="929"/>
      <c r="AT27" s="929"/>
      <c r="AU27" s="929"/>
      <c r="AV27" s="929"/>
      <c r="AW27" s="929"/>
      <c r="AX27" s="929"/>
      <c r="AY27" s="929"/>
      <c r="AZ27" s="929"/>
      <c r="BA27" s="929"/>
      <c r="BB27" s="929"/>
      <c r="BC27" s="929"/>
    </row>
    <row r="28" spans="1:55" ht="15.75">
      <c r="A28" s="929"/>
      <c r="B28" s="3058"/>
      <c r="C28" s="3058"/>
      <c r="D28" s="3058"/>
      <c r="E28" s="3058"/>
      <c r="F28" s="3058"/>
      <c r="G28" s="2249"/>
      <c r="H28" s="2249"/>
      <c r="I28" s="2254"/>
      <c r="J28" s="2254"/>
      <c r="K28" s="751" t="s">
        <v>839</v>
      </c>
      <c r="L28" s="752">
        <f>G$9*28</f>
        <v>7560</v>
      </c>
      <c r="M28" s="752">
        <f>G$9*38</f>
        <v>10260</v>
      </c>
      <c r="N28" s="752">
        <f>G$9*44</f>
        <v>11880</v>
      </c>
      <c r="O28" s="753">
        <f>G$9*54</f>
        <v>14580</v>
      </c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929"/>
      <c r="BB28" s="929"/>
      <c r="BC28" s="929"/>
    </row>
    <row r="29" spans="1:55" ht="27" thickBot="1">
      <c r="A29" s="929"/>
      <c r="B29" s="1695"/>
      <c r="C29" s="1695"/>
      <c r="D29" s="929"/>
      <c r="E29" s="929"/>
      <c r="F29" s="929"/>
      <c r="G29" s="929"/>
      <c r="H29" s="929"/>
      <c r="I29" s="929"/>
      <c r="J29" s="2254"/>
      <c r="K29" s="764" t="s">
        <v>840</v>
      </c>
      <c r="L29" s="765">
        <f>G$9*27</f>
        <v>7290</v>
      </c>
      <c r="M29" s="765">
        <f>G$9*37</f>
        <v>9990</v>
      </c>
      <c r="N29" s="765">
        <f>G$9*44</f>
        <v>11880</v>
      </c>
      <c r="O29" s="766">
        <f>G$9*53</f>
        <v>14310</v>
      </c>
      <c r="P29" s="929"/>
      <c r="Q29" s="1815"/>
      <c r="R29" s="929"/>
      <c r="S29" s="929"/>
      <c r="T29" s="929"/>
      <c r="U29" s="929"/>
      <c r="V29" s="929"/>
      <c r="W29" s="929"/>
      <c r="X29" s="929"/>
      <c r="Y29" s="929"/>
      <c r="Z29" s="929"/>
      <c r="AA29" s="929"/>
      <c r="AB29" s="929"/>
      <c r="AC29" s="929"/>
      <c r="AD29" s="929"/>
      <c r="AE29" s="929"/>
      <c r="AF29" s="929"/>
      <c r="AG29" s="929"/>
      <c r="AH29" s="929"/>
      <c r="AI29" s="929"/>
      <c r="AJ29" s="929"/>
      <c r="AK29" s="929"/>
      <c r="AL29" s="929"/>
      <c r="AM29" s="929"/>
      <c r="AN29" s="929"/>
      <c r="AO29" s="929"/>
      <c r="AP29" s="929"/>
      <c r="AQ29" s="929"/>
      <c r="AR29" s="929"/>
      <c r="AS29" s="929"/>
      <c r="AT29" s="929"/>
      <c r="AU29" s="929"/>
      <c r="AV29" s="929"/>
      <c r="AW29" s="929"/>
      <c r="AX29" s="929"/>
      <c r="AY29" s="929"/>
      <c r="AZ29" s="929"/>
      <c r="BA29" s="929"/>
      <c r="BB29" s="929"/>
      <c r="BC29" s="929"/>
    </row>
    <row r="30" spans="1:55" ht="30">
      <c r="A30" s="929"/>
      <c r="B30" s="3059" t="s">
        <v>1950</v>
      </c>
      <c r="C30" s="3060"/>
      <c r="D30" s="3060"/>
      <c r="E30" s="3060"/>
      <c r="F30" s="3060"/>
      <c r="G30" s="3061"/>
      <c r="H30" s="929"/>
      <c r="I30" s="929"/>
      <c r="J30" s="2254"/>
      <c r="K30" s="767" t="s">
        <v>849</v>
      </c>
      <c r="L30" s="772" t="s">
        <v>841</v>
      </c>
      <c r="M30" s="772" t="s">
        <v>834</v>
      </c>
      <c r="N30" s="772" t="s">
        <v>842</v>
      </c>
      <c r="O30" s="773" t="s">
        <v>835</v>
      </c>
      <c r="P30" s="929"/>
      <c r="Q30" s="3049"/>
      <c r="R30" s="3049"/>
      <c r="S30" s="929"/>
      <c r="T30" s="929"/>
      <c r="U30" s="929"/>
      <c r="V30" s="929"/>
      <c r="W30" s="929"/>
      <c r="X30" s="929"/>
      <c r="Y30" s="929"/>
      <c r="Z30" s="185"/>
      <c r="AA30" s="723"/>
      <c r="AB30" s="723"/>
      <c r="AC30" s="723"/>
      <c r="AD30" s="724"/>
      <c r="AE30" s="929"/>
      <c r="AF30" s="929"/>
      <c r="AG30" s="929"/>
      <c r="AH30" s="929"/>
      <c r="AI30" s="929"/>
      <c r="AJ30" s="929"/>
      <c r="AK30" s="929"/>
      <c r="AL30" s="929"/>
      <c r="AM30" s="929"/>
      <c r="AN30" s="929"/>
      <c r="AO30" s="929"/>
      <c r="AP30" s="929"/>
      <c r="AQ30" s="929"/>
      <c r="AR30" s="929"/>
      <c r="AS30" s="929"/>
      <c r="AT30" s="929"/>
      <c r="AU30" s="929"/>
      <c r="AV30" s="929"/>
      <c r="AW30" s="929"/>
      <c r="AX30" s="929"/>
      <c r="AY30" s="929"/>
      <c r="AZ30" s="929"/>
      <c r="BA30" s="929"/>
      <c r="BB30" s="929"/>
      <c r="BC30" s="929"/>
    </row>
    <row r="31" spans="1:55" ht="18.75">
      <c r="A31" s="929"/>
      <c r="B31" s="3079" t="s">
        <v>1947</v>
      </c>
      <c r="C31" s="3080"/>
      <c r="D31" s="2258" t="s">
        <v>709</v>
      </c>
      <c r="E31" s="2258" t="s">
        <v>1202</v>
      </c>
      <c r="F31" s="3085" t="s">
        <v>850</v>
      </c>
      <c r="G31" s="3085"/>
      <c r="H31" s="929"/>
      <c r="I31" s="929"/>
      <c r="J31" s="2254"/>
      <c r="K31" s="774" t="s">
        <v>848</v>
      </c>
      <c r="L31" s="761" t="s">
        <v>836</v>
      </c>
      <c r="M31" s="761" t="s">
        <v>836</v>
      </c>
      <c r="N31" s="761" t="s">
        <v>836</v>
      </c>
      <c r="O31" s="771" t="s">
        <v>836</v>
      </c>
      <c r="P31" s="929"/>
      <c r="Q31" s="929"/>
      <c r="R31" s="929"/>
      <c r="S31" s="929"/>
      <c r="T31" s="929"/>
      <c r="U31" s="929"/>
      <c r="V31" s="929"/>
      <c r="W31" s="929"/>
      <c r="X31" s="929"/>
      <c r="Y31" s="929"/>
      <c r="Z31" s="185"/>
      <c r="AA31" s="723"/>
      <c r="AB31" s="723"/>
      <c r="AC31" s="723"/>
      <c r="AD31" s="725"/>
      <c r="AE31" s="929"/>
      <c r="AF31" s="929"/>
      <c r="AG31" s="929"/>
      <c r="AH31" s="929"/>
      <c r="AI31" s="929"/>
      <c r="AJ31" s="929"/>
      <c r="AK31" s="929"/>
      <c r="AL31" s="929"/>
      <c r="AM31" s="929"/>
      <c r="AN31" s="929"/>
      <c r="AO31" s="929"/>
      <c r="AP31" s="929"/>
      <c r="AQ31" s="929"/>
      <c r="AR31" s="929"/>
      <c r="AS31" s="929"/>
      <c r="AT31" s="929"/>
      <c r="AU31" s="929"/>
      <c r="AV31" s="929"/>
      <c r="AW31" s="929"/>
      <c r="AX31" s="929"/>
      <c r="AY31" s="929"/>
      <c r="AZ31" s="929"/>
      <c r="BA31" s="929"/>
      <c r="BB31" s="929"/>
      <c r="BC31" s="929"/>
    </row>
    <row r="32" spans="1:55" ht="21">
      <c r="A32" s="929"/>
      <c r="B32" s="3081" t="s">
        <v>5</v>
      </c>
      <c r="C32" s="3081"/>
      <c r="D32" s="1799">
        <v>400</v>
      </c>
      <c r="E32" s="1799">
        <v>1000</v>
      </c>
      <c r="F32" s="3076">
        <f>(D32*E32*M3)/600000</f>
        <v>518</v>
      </c>
      <c r="G32" s="3077"/>
      <c r="H32" s="929"/>
      <c r="I32" s="929"/>
      <c r="J32" s="2254"/>
      <c r="K32" s="762" t="s">
        <v>837</v>
      </c>
      <c r="L32" s="760">
        <f>G$9*35</f>
        <v>9450</v>
      </c>
      <c r="M32" s="760">
        <f>G$9*45</f>
        <v>12150</v>
      </c>
      <c r="N32" s="760">
        <f>G$9*60</f>
        <v>16200</v>
      </c>
      <c r="O32" s="763">
        <f>G$9*70</f>
        <v>18900</v>
      </c>
      <c r="P32" s="929"/>
      <c r="Q32" s="929"/>
      <c r="R32" s="929"/>
      <c r="S32" s="929"/>
      <c r="T32" s="929"/>
      <c r="U32" s="929"/>
      <c r="V32" s="929"/>
      <c r="W32" s="929"/>
      <c r="X32" s="929"/>
      <c r="Y32" s="929"/>
      <c r="Z32" s="185"/>
      <c r="AA32" s="723"/>
      <c r="AB32" s="723"/>
      <c r="AC32" s="723"/>
      <c r="AD32" s="724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29"/>
      <c r="AT32" s="929"/>
      <c r="AU32" s="929"/>
      <c r="AV32" s="929"/>
      <c r="AW32" s="929"/>
      <c r="AX32" s="929"/>
      <c r="AY32" s="929"/>
      <c r="AZ32" s="929"/>
      <c r="BA32" s="929"/>
      <c r="BB32" s="929"/>
      <c r="BC32" s="929"/>
    </row>
    <row r="33" spans="1:55">
      <c r="A33" s="929"/>
      <c r="B33" s="929"/>
      <c r="C33" s="929"/>
      <c r="D33" s="929"/>
      <c r="E33" s="929"/>
      <c r="F33" s="929"/>
      <c r="G33" s="929"/>
      <c r="H33" s="929"/>
      <c r="I33" s="929"/>
      <c r="J33" s="2254"/>
      <c r="K33" s="754" t="s">
        <v>838</v>
      </c>
      <c r="L33" s="755">
        <f>G$9*30</f>
        <v>8100</v>
      </c>
      <c r="M33" s="755">
        <f>G$9*40</f>
        <v>10800</v>
      </c>
      <c r="N33" s="755">
        <f>G$9*44</f>
        <v>11880</v>
      </c>
      <c r="O33" s="756">
        <f>G$9*55</f>
        <v>14850</v>
      </c>
      <c r="P33" s="929"/>
      <c r="Q33" s="929"/>
      <c r="R33" s="929"/>
      <c r="S33" s="929"/>
      <c r="T33" s="929"/>
      <c r="U33" s="724"/>
      <c r="V33" s="929"/>
      <c r="W33" s="929"/>
      <c r="X33" s="929"/>
      <c r="Y33" s="929"/>
      <c r="Z33" s="929"/>
      <c r="AA33" s="929"/>
      <c r="AB33" s="929"/>
      <c r="AC33" s="929"/>
      <c r="AD33" s="929"/>
      <c r="AE33" s="929"/>
      <c r="AF33" s="929"/>
      <c r="AG33" s="929"/>
      <c r="AH33" s="929"/>
      <c r="AI33" s="929"/>
      <c r="AJ33" s="929"/>
      <c r="AK33" s="929"/>
      <c r="AL33" s="185"/>
      <c r="AM33" s="723"/>
      <c r="AN33" s="723"/>
      <c r="AO33" s="723"/>
      <c r="AP33" s="724"/>
      <c r="AQ33" s="929"/>
      <c r="AR33" s="929"/>
      <c r="AS33" s="929"/>
      <c r="AT33" s="929"/>
      <c r="AU33" s="929"/>
      <c r="AV33" s="929"/>
      <c r="AW33" s="929"/>
      <c r="AX33" s="929"/>
      <c r="AY33" s="929"/>
      <c r="AZ33" s="929"/>
      <c r="BA33" s="929"/>
      <c r="BB33" s="929"/>
      <c r="BC33" s="929"/>
    </row>
    <row r="34" spans="1:55" ht="26.25">
      <c r="A34" s="929"/>
      <c r="B34" s="1695"/>
      <c r="C34" s="1695"/>
      <c r="D34" s="929"/>
      <c r="E34" s="929"/>
      <c r="F34" s="929"/>
      <c r="G34" s="929"/>
      <c r="H34" s="929"/>
      <c r="I34" s="929"/>
      <c r="J34" s="2254"/>
      <c r="K34" s="751" t="s">
        <v>839</v>
      </c>
      <c r="L34" s="752">
        <f>G$9*35</f>
        <v>9450</v>
      </c>
      <c r="M34" s="752">
        <f>G$9*45</f>
        <v>12150</v>
      </c>
      <c r="N34" s="752">
        <f>G$9*53</f>
        <v>14310</v>
      </c>
      <c r="O34" s="753">
        <f>G$9*63</f>
        <v>17010</v>
      </c>
      <c r="P34" s="929"/>
      <c r="Q34" s="929"/>
      <c r="R34" s="929"/>
      <c r="S34" s="929"/>
      <c r="T34" s="929"/>
      <c r="U34" s="725"/>
      <c r="V34" s="929"/>
      <c r="W34" s="929"/>
      <c r="X34" s="929"/>
      <c r="Y34" s="929"/>
      <c r="Z34" s="929"/>
      <c r="AA34" s="929"/>
      <c r="AB34" s="929"/>
      <c r="AC34" s="929"/>
      <c r="AD34" s="929"/>
      <c r="AE34" s="929"/>
      <c r="AF34" s="929"/>
      <c r="AG34" s="929"/>
      <c r="AH34" s="929"/>
      <c r="AI34" s="929"/>
      <c r="AJ34" s="929"/>
      <c r="AK34" s="929"/>
      <c r="AL34" s="185"/>
      <c r="AM34" s="723"/>
      <c r="AN34" s="723"/>
      <c r="AO34" s="723"/>
      <c r="AP34" s="725"/>
      <c r="AQ34" s="929"/>
      <c r="AR34" s="929"/>
      <c r="AS34" s="929"/>
      <c r="AT34" s="929"/>
      <c r="AU34" s="929"/>
      <c r="AV34" s="929"/>
      <c r="AW34" s="929"/>
      <c r="AX34" s="929"/>
      <c r="AY34" s="929"/>
      <c r="AZ34" s="929"/>
      <c r="BA34" s="929"/>
      <c r="BB34" s="929"/>
      <c r="BC34" s="929"/>
    </row>
    <row r="35" spans="1:55" ht="21.75" thickBot="1">
      <c r="A35" s="929"/>
      <c r="B35" s="3059" t="s">
        <v>1953</v>
      </c>
      <c r="C35" s="3060"/>
      <c r="D35" s="3060"/>
      <c r="E35" s="3060"/>
      <c r="F35" s="3060"/>
      <c r="G35" s="3061"/>
      <c r="H35" s="929"/>
      <c r="I35" s="929"/>
      <c r="J35" s="2254"/>
      <c r="K35" s="757" t="s">
        <v>840</v>
      </c>
      <c r="L35" s="758">
        <f>G$9*33</f>
        <v>8910</v>
      </c>
      <c r="M35" s="758">
        <f>G$9*43</f>
        <v>11610</v>
      </c>
      <c r="N35" s="758">
        <f>G$9*52</f>
        <v>14040</v>
      </c>
      <c r="O35" s="759">
        <f>G$9*63</f>
        <v>17010</v>
      </c>
      <c r="P35" s="929"/>
      <c r="Q35" s="929"/>
      <c r="R35" s="929"/>
      <c r="S35" s="929"/>
      <c r="T35" s="929"/>
      <c r="U35" s="724"/>
      <c r="V35" s="929"/>
      <c r="W35" s="929"/>
      <c r="X35" s="929"/>
      <c r="Y35" s="929"/>
      <c r="Z35" s="929"/>
      <c r="AA35" s="929"/>
      <c r="AB35" s="929"/>
      <c r="AC35" s="929"/>
      <c r="AD35" s="929"/>
      <c r="AE35" s="929"/>
      <c r="AF35" s="929"/>
      <c r="AG35" s="929"/>
      <c r="AH35" s="929"/>
      <c r="AI35" s="929"/>
      <c r="AJ35" s="929"/>
      <c r="AK35" s="929"/>
      <c r="AL35" s="185"/>
      <c r="AM35" s="723"/>
      <c r="AN35" s="723"/>
      <c r="AO35" s="723"/>
      <c r="AP35" s="724"/>
      <c r="AQ35" s="929"/>
      <c r="AR35" s="929"/>
      <c r="AS35" s="929"/>
      <c r="AT35" s="929"/>
      <c r="AU35" s="929"/>
      <c r="AV35" s="784"/>
      <c r="AW35" s="784"/>
      <c r="AX35" s="784"/>
      <c r="AY35" s="784"/>
      <c r="AZ35" s="784"/>
      <c r="BA35" s="784"/>
      <c r="BB35" s="784"/>
      <c r="BC35" s="784"/>
    </row>
    <row r="36" spans="1:55" s="929" customFormat="1" ht="18.75">
      <c r="B36" s="3079" t="s">
        <v>850</v>
      </c>
      <c r="C36" s="3080"/>
      <c r="D36" s="2258" t="s">
        <v>709</v>
      </c>
      <c r="E36" s="3079" t="s">
        <v>1952</v>
      </c>
      <c r="F36" s="3084"/>
      <c r="G36" s="3080"/>
      <c r="J36" s="2254"/>
    </row>
    <row r="37" spans="1:55" s="929" customFormat="1" ht="21">
      <c r="B37" s="3078">
        <v>777</v>
      </c>
      <c r="C37" s="3078"/>
      <c r="D37" s="1800">
        <v>600</v>
      </c>
      <c r="E37" s="1801">
        <f>((600/D37)*1000)*(B37/M3)</f>
        <v>1000</v>
      </c>
      <c r="F37" s="3082" t="s">
        <v>5</v>
      </c>
      <c r="G37" s="3083"/>
    </row>
    <row r="38" spans="1:55" s="929" customFormat="1" ht="21">
      <c r="E38" s="2257" t="s">
        <v>1954</v>
      </c>
      <c r="K38" s="723"/>
      <c r="L38" s="723"/>
      <c r="M38" s="724"/>
      <c r="N38" s="724" t="s">
        <v>818</v>
      </c>
      <c r="S38" s="1812"/>
    </row>
    <row r="39" spans="1:55" s="929" customFormat="1">
      <c r="K39" s="723"/>
      <c r="L39" s="723"/>
      <c r="M39" s="725" t="s">
        <v>17</v>
      </c>
      <c r="N39" s="725" t="s">
        <v>17</v>
      </c>
      <c r="S39" s="1676"/>
      <c r="X39" s="1811"/>
      <c r="Y39" s="1676"/>
    </row>
    <row r="40" spans="1:55" s="929" customFormat="1">
      <c r="K40" s="723"/>
      <c r="L40" s="723"/>
      <c r="M40" s="724"/>
      <c r="N40" s="724">
        <v>2026</v>
      </c>
    </row>
    <row r="41" spans="1:55" s="929" customFormat="1"/>
    <row r="42" spans="1:55" s="929" customFormat="1"/>
    <row r="43" spans="1:55" s="929" customFormat="1"/>
    <row r="44" spans="1:55" s="929" customFormat="1"/>
    <row r="45" spans="1:55" s="929" customFormat="1"/>
    <row r="46" spans="1:55" s="929" customFormat="1"/>
    <row r="47" spans="1:55" s="929" customFormat="1"/>
    <row r="48" spans="1:55" s="929" customFormat="1"/>
    <row r="49" s="929" customFormat="1"/>
    <row r="50" s="929" customFormat="1"/>
    <row r="51" s="929" customFormat="1"/>
    <row r="52" s="929" customFormat="1"/>
    <row r="53" s="929" customFormat="1"/>
    <row r="54" s="929" customFormat="1"/>
    <row r="55" s="929" customFormat="1"/>
    <row r="56" s="929" customFormat="1"/>
    <row r="57" s="929" customFormat="1"/>
    <row r="58" s="929" customFormat="1"/>
    <row r="59" s="929" customFormat="1"/>
    <row r="60" s="929" customFormat="1"/>
    <row r="61" s="929" customFormat="1"/>
    <row r="62" s="929" customFormat="1"/>
    <row r="63" s="929" customFormat="1"/>
    <row r="64" s="929" customFormat="1"/>
    <row r="65" s="929" customFormat="1"/>
  </sheetData>
  <sheetProtection algorithmName="SHA-512" hashValue="Ma3WZpgljxLhcfVcG/14p0amIoIqoPgqb0tB9FWm7JVcY+HQJ406hMesRFf6M1MCqMi6XPcdLYetKY0Wfol0Tw==" saltValue="k0FFB2HbIg4kOE+Ex13DvQ==" spinCount="100000" sheet="1" objects="1" selectLockedCells="1"/>
  <mergeCells count="29">
    <mergeCell ref="B2:I3"/>
    <mergeCell ref="B23:F23"/>
    <mergeCell ref="B25:F25"/>
    <mergeCell ref="F32:G32"/>
    <mergeCell ref="B37:C37"/>
    <mergeCell ref="B36:C36"/>
    <mergeCell ref="B32:C32"/>
    <mergeCell ref="F37:G37"/>
    <mergeCell ref="E36:G36"/>
    <mergeCell ref="B35:G35"/>
    <mergeCell ref="B31:C31"/>
    <mergeCell ref="F5:H5"/>
    <mergeCell ref="F31:G31"/>
    <mergeCell ref="M4:N4"/>
    <mergeCell ref="K3:L3"/>
    <mergeCell ref="K2:O2"/>
    <mergeCell ref="Q30:R30"/>
    <mergeCell ref="B14:F14"/>
    <mergeCell ref="B18:F18"/>
    <mergeCell ref="B12:F12"/>
    <mergeCell ref="B24:E24"/>
    <mergeCell ref="B26:F26"/>
    <mergeCell ref="B28:F28"/>
    <mergeCell ref="D27:F27"/>
    <mergeCell ref="B30:G30"/>
    <mergeCell ref="B13:E13"/>
    <mergeCell ref="B15:F15"/>
    <mergeCell ref="B17:F17"/>
    <mergeCell ref="B21:F21"/>
  </mergeCells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BC65"/>
  <sheetViews>
    <sheetView showGridLines="0" showRowColHeaders="0" zoomScale="66" zoomScaleNormal="66" workbookViewId="0">
      <selection activeCell="G10" sqref="G10"/>
    </sheetView>
  </sheetViews>
  <sheetFormatPr defaultRowHeight="15"/>
  <cols>
    <col min="5" max="5" width="11.85546875" customWidth="1"/>
    <col min="6" max="6" width="10.85546875" customWidth="1"/>
    <col min="11" max="11" width="15.140625" customWidth="1"/>
    <col min="12" max="12" width="12.140625" customWidth="1"/>
    <col min="13" max="13" width="11.140625" customWidth="1"/>
    <col min="14" max="14" width="15.7109375" customWidth="1"/>
    <col min="15" max="15" width="14.28515625" customWidth="1"/>
  </cols>
  <sheetData>
    <row r="1" spans="1:55" s="784" customFormat="1" ht="15.75" thickBot="1"/>
    <row r="2" spans="1:55" ht="27" customHeight="1" thickBot="1">
      <c r="A2" s="784"/>
      <c r="B2" s="784"/>
      <c r="C2" s="3096" t="s">
        <v>821</v>
      </c>
      <c r="D2" s="3096"/>
      <c r="E2" s="3096"/>
      <c r="F2" s="3096"/>
      <c r="G2" s="3096"/>
      <c r="H2" s="3096"/>
      <c r="I2" s="3096"/>
      <c r="J2" s="784"/>
      <c r="K2" s="3046" t="s">
        <v>2298</v>
      </c>
      <c r="L2" s="3047"/>
      <c r="M2" s="3047"/>
      <c r="N2" s="3047"/>
      <c r="O2" s="3048"/>
      <c r="P2" s="784"/>
      <c r="Q2" s="784"/>
      <c r="R2" s="784"/>
      <c r="S2" s="784"/>
      <c r="T2" s="784"/>
      <c r="U2" s="784"/>
      <c r="V2" s="784"/>
      <c r="W2" s="784"/>
      <c r="X2" s="784"/>
      <c r="Y2" s="784"/>
      <c r="Z2" s="784"/>
      <c r="AA2" s="784"/>
      <c r="AB2" s="784"/>
      <c r="AC2" s="784"/>
      <c r="AD2" s="784"/>
      <c r="AE2" s="784"/>
      <c r="AF2" s="784"/>
      <c r="AG2" s="784"/>
      <c r="AH2" s="784"/>
      <c r="AI2" s="784"/>
      <c r="AJ2" s="784"/>
      <c r="AK2" s="784"/>
      <c r="AL2" s="784"/>
      <c r="AM2" s="784"/>
      <c r="AN2" s="784"/>
      <c r="AO2" s="784"/>
      <c r="AP2" s="784"/>
      <c r="AQ2" s="784"/>
      <c r="AR2" s="784"/>
      <c r="AS2" s="784"/>
      <c r="AT2" s="784"/>
      <c r="AU2" s="784"/>
      <c r="AV2" s="784"/>
      <c r="AW2" s="784"/>
      <c r="AX2" s="784"/>
      <c r="AY2" s="784"/>
      <c r="AZ2" s="784"/>
      <c r="BA2" s="784"/>
      <c r="BB2" s="784"/>
      <c r="BC2" s="784"/>
    </row>
    <row r="3" spans="1:55" ht="24" customHeight="1" thickBot="1">
      <c r="A3" s="784"/>
      <c r="B3" s="784"/>
      <c r="C3" s="3096"/>
      <c r="D3" s="3096"/>
      <c r="E3" s="3096"/>
      <c r="F3" s="3096"/>
      <c r="G3" s="3096"/>
      <c r="H3" s="3096"/>
      <c r="I3" s="3096"/>
      <c r="J3" s="1795"/>
      <c r="K3" s="3044" t="s">
        <v>2299</v>
      </c>
      <c r="L3" s="3045"/>
      <c r="M3" s="789">
        <v>1509</v>
      </c>
      <c r="N3" s="1798" t="s">
        <v>850</v>
      </c>
      <c r="O3" s="2255" t="s">
        <v>1951</v>
      </c>
      <c r="P3" s="784"/>
      <c r="Q3" s="784"/>
      <c r="R3" s="784"/>
      <c r="S3" s="784"/>
      <c r="T3" s="784"/>
      <c r="U3" s="784"/>
      <c r="V3" s="784"/>
      <c r="W3" s="784"/>
      <c r="X3" s="784"/>
      <c r="Y3" s="784"/>
      <c r="Z3" s="784"/>
      <c r="AA3" s="784"/>
      <c r="AB3" s="784"/>
      <c r="AC3" s="784"/>
      <c r="AD3" s="784"/>
      <c r="AE3" s="784"/>
      <c r="AF3" s="784"/>
      <c r="AG3" s="784"/>
      <c r="AH3" s="784"/>
      <c r="AI3" s="784"/>
      <c r="AJ3" s="784"/>
      <c r="AK3" s="784"/>
      <c r="AL3" s="784"/>
      <c r="AM3" s="784"/>
      <c r="AN3" s="784"/>
      <c r="AO3" s="784"/>
      <c r="AP3" s="784"/>
      <c r="AQ3" s="784"/>
      <c r="AR3" s="784"/>
      <c r="AS3" s="784"/>
      <c r="AT3" s="784"/>
      <c r="AU3" s="784"/>
      <c r="AV3" s="784"/>
      <c r="AW3" s="784"/>
      <c r="AX3" s="784"/>
      <c r="AY3" s="784"/>
      <c r="AZ3" s="784"/>
      <c r="BA3" s="784"/>
      <c r="BB3" s="784"/>
      <c r="BC3" s="784"/>
    </row>
    <row r="4" spans="1:55" ht="24" customHeight="1" thickBot="1">
      <c r="A4" s="784"/>
      <c r="B4" s="784"/>
      <c r="C4" s="784"/>
      <c r="D4" s="2251"/>
      <c r="E4" s="2251"/>
      <c r="F4" s="2251"/>
      <c r="G4" s="2251"/>
      <c r="H4" s="2251"/>
      <c r="I4" s="784"/>
      <c r="J4" s="1795"/>
      <c r="K4" s="1591"/>
      <c r="L4" s="784"/>
      <c r="M4" s="3086" t="s">
        <v>2297</v>
      </c>
      <c r="N4" s="3086"/>
      <c r="O4" s="2252"/>
      <c r="P4" s="784"/>
      <c r="Q4" s="784"/>
      <c r="R4" s="784"/>
      <c r="S4" s="784"/>
      <c r="T4" s="784"/>
      <c r="U4" s="784"/>
      <c r="V4" s="784"/>
      <c r="W4" s="784"/>
      <c r="X4" s="784"/>
      <c r="Y4" s="784"/>
      <c r="Z4" s="784"/>
      <c r="AA4" s="784"/>
      <c r="AB4" s="784"/>
      <c r="AC4" s="784"/>
      <c r="AD4" s="784"/>
      <c r="AE4" s="784"/>
      <c r="AF4" s="784"/>
      <c r="AG4" s="784"/>
      <c r="AH4" s="784"/>
      <c r="AI4" s="784"/>
      <c r="AJ4" s="784"/>
      <c r="AK4" s="784"/>
      <c r="AL4" s="784"/>
      <c r="AM4" s="784"/>
      <c r="AN4" s="784"/>
      <c r="AO4" s="784"/>
      <c r="AP4" s="784"/>
      <c r="AQ4" s="784"/>
      <c r="AR4" s="784"/>
      <c r="AS4" s="784"/>
      <c r="AT4" s="784"/>
      <c r="AU4" s="784"/>
      <c r="AV4" s="784"/>
      <c r="AW4" s="784"/>
      <c r="AX4" s="784"/>
      <c r="AY4" s="784"/>
      <c r="AZ4" s="784"/>
      <c r="BA4" s="784"/>
      <c r="BB4" s="784"/>
      <c r="BC4" s="784"/>
    </row>
    <row r="5" spans="1:55" ht="16.5" customHeight="1" thickBot="1">
      <c r="A5" s="784"/>
      <c r="B5" s="784"/>
      <c r="C5" s="1786"/>
      <c r="D5" s="1787"/>
      <c r="E5" s="1787"/>
      <c r="F5" s="3097" t="s">
        <v>853</v>
      </c>
      <c r="G5" s="3097"/>
      <c r="H5" s="3097"/>
      <c r="I5" s="1788"/>
      <c r="J5" s="784"/>
      <c r="K5" s="784"/>
      <c r="L5" s="783"/>
      <c r="M5" s="784"/>
      <c r="N5" s="784"/>
      <c r="O5" s="784"/>
      <c r="P5" s="784"/>
      <c r="Q5" s="783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784"/>
      <c r="AW5" s="784"/>
      <c r="AX5" s="784"/>
      <c r="AY5" s="784"/>
      <c r="AZ5" s="784"/>
      <c r="BA5" s="784"/>
      <c r="BB5" s="784"/>
      <c r="BC5" s="784"/>
    </row>
    <row r="6" spans="1:55" ht="28.5" customHeight="1" thickBot="1">
      <c r="A6" s="784"/>
      <c r="B6" s="784"/>
      <c r="C6" s="1789"/>
      <c r="D6" s="784"/>
      <c r="E6" s="784"/>
      <c r="F6" s="1796" t="s">
        <v>1133</v>
      </c>
      <c r="G6" s="788">
        <v>45</v>
      </c>
      <c r="H6" s="787" t="s">
        <v>3</v>
      </c>
      <c r="I6" s="1790"/>
      <c r="J6" s="784"/>
      <c r="K6" s="767" t="s">
        <v>833</v>
      </c>
      <c r="L6" s="768" t="s">
        <v>841</v>
      </c>
      <c r="M6" s="768" t="s">
        <v>834</v>
      </c>
      <c r="N6" s="768" t="s">
        <v>842</v>
      </c>
      <c r="O6" s="769" t="s">
        <v>835</v>
      </c>
      <c r="P6" s="784"/>
      <c r="Q6" s="783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784"/>
      <c r="AX6" s="784"/>
      <c r="AY6" s="784"/>
      <c r="AZ6" s="784"/>
      <c r="BA6" s="784"/>
      <c r="BB6" s="784"/>
      <c r="BC6" s="784"/>
    </row>
    <row r="7" spans="1:55" ht="15.75" thickBot="1">
      <c r="A7" s="784"/>
      <c r="B7" s="784"/>
      <c r="C7" s="1789"/>
      <c r="D7" s="784"/>
      <c r="E7" s="784"/>
      <c r="F7" s="784"/>
      <c r="G7" s="784"/>
      <c r="H7" s="784"/>
      <c r="I7" s="1790"/>
      <c r="J7" s="784"/>
      <c r="K7" s="770"/>
      <c r="L7" s="761" t="s">
        <v>836</v>
      </c>
      <c r="M7" s="761" t="s">
        <v>836</v>
      </c>
      <c r="N7" s="761" t="s">
        <v>836</v>
      </c>
      <c r="O7" s="771" t="s">
        <v>836</v>
      </c>
      <c r="P7" s="784"/>
      <c r="Q7" s="784"/>
      <c r="R7" s="784"/>
      <c r="S7" s="784"/>
      <c r="T7" s="784"/>
      <c r="U7" s="784"/>
      <c r="V7" s="784"/>
      <c r="W7" s="784"/>
      <c r="X7" s="784"/>
      <c r="Y7" s="784"/>
      <c r="Z7" s="784"/>
      <c r="AA7" s="784"/>
      <c r="AB7" s="784"/>
      <c r="AC7" s="784"/>
      <c r="AD7" s="784"/>
      <c r="AE7" s="784"/>
      <c r="AF7" s="784"/>
      <c r="AG7" s="784"/>
      <c r="AH7" s="784"/>
      <c r="AI7" s="784"/>
      <c r="AJ7" s="784"/>
      <c r="AK7" s="784"/>
      <c r="AL7" s="784"/>
      <c r="AM7" s="784"/>
      <c r="AN7" s="784"/>
      <c r="AO7" s="784"/>
      <c r="AP7" s="784"/>
      <c r="AQ7" s="784"/>
      <c r="AR7" s="784"/>
      <c r="AS7" s="784"/>
      <c r="AT7" s="784"/>
      <c r="AU7" s="784"/>
      <c r="AV7" s="784"/>
      <c r="AW7" s="784"/>
      <c r="AX7" s="784"/>
      <c r="AY7" s="784"/>
      <c r="AZ7" s="784"/>
      <c r="BA7" s="784"/>
      <c r="BB7" s="784"/>
      <c r="BC7" s="784"/>
    </row>
    <row r="8" spans="1:55" ht="16.5" thickBot="1">
      <c r="A8" s="784"/>
      <c r="B8" s="784"/>
      <c r="C8" s="1789"/>
      <c r="D8" s="784"/>
      <c r="E8" s="784"/>
      <c r="F8" s="1785" t="s">
        <v>823</v>
      </c>
      <c r="G8" s="788">
        <v>2.5</v>
      </c>
      <c r="H8" s="787" t="s">
        <v>156</v>
      </c>
      <c r="I8" s="1790"/>
      <c r="J8" s="784"/>
      <c r="K8" s="762" t="s">
        <v>837</v>
      </c>
      <c r="L8" s="760">
        <f>G$9*19</f>
        <v>2137.5</v>
      </c>
      <c r="M8" s="760">
        <f>G$9*28</f>
        <v>3150</v>
      </c>
      <c r="N8" s="760">
        <f>G$9*30</f>
        <v>3375</v>
      </c>
      <c r="O8" s="763">
        <f>G$9*40</f>
        <v>4500</v>
      </c>
      <c r="P8" s="784"/>
      <c r="Q8" s="784"/>
      <c r="R8" s="784"/>
      <c r="S8" s="784"/>
      <c r="T8" s="784"/>
      <c r="U8" s="784"/>
      <c r="V8" s="784"/>
      <c r="W8" s="784"/>
      <c r="X8" s="784"/>
      <c r="Y8" s="784"/>
      <c r="Z8" s="784"/>
      <c r="AA8" s="784"/>
      <c r="AB8" s="784"/>
      <c r="AC8" s="784"/>
      <c r="AD8" s="784"/>
      <c r="AE8" s="784"/>
      <c r="AF8" s="784"/>
      <c r="AG8" s="784"/>
      <c r="AH8" s="784"/>
      <c r="AI8" s="784"/>
      <c r="AJ8" s="784"/>
      <c r="AK8" s="784"/>
      <c r="AL8" s="784"/>
      <c r="AM8" s="784"/>
      <c r="AN8" s="784"/>
      <c r="AO8" s="784"/>
      <c r="AP8" s="784"/>
      <c r="AQ8" s="784"/>
      <c r="AR8" s="784"/>
      <c r="AS8" s="784"/>
      <c r="AT8" s="784"/>
      <c r="AU8" s="784"/>
      <c r="AV8" s="784"/>
      <c r="AW8" s="784"/>
      <c r="AX8" s="784"/>
      <c r="AY8" s="784"/>
      <c r="AZ8" s="784"/>
      <c r="BA8" s="784"/>
      <c r="BB8" s="784"/>
      <c r="BC8" s="784"/>
    </row>
    <row r="9" spans="1:55" ht="16.5" thickBot="1">
      <c r="A9" s="784"/>
      <c r="B9" s="784"/>
      <c r="C9" s="1789"/>
      <c r="D9" s="784"/>
      <c r="E9" s="784"/>
      <c r="F9" s="1797" t="s">
        <v>832</v>
      </c>
      <c r="G9" s="1791">
        <f>G6*G8</f>
        <v>112.5</v>
      </c>
      <c r="H9" s="1791" t="s">
        <v>133</v>
      </c>
      <c r="I9" s="1790"/>
      <c r="J9" s="784"/>
      <c r="K9" s="754" t="s">
        <v>838</v>
      </c>
      <c r="L9" s="755">
        <f>G$9*17</f>
        <v>1912.5</v>
      </c>
      <c r="M9" s="755">
        <f>G$9*25</f>
        <v>2812.5</v>
      </c>
      <c r="N9" s="755">
        <f>G$9*26</f>
        <v>2925</v>
      </c>
      <c r="O9" s="756">
        <f>G$9*35</f>
        <v>3937.5</v>
      </c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784"/>
      <c r="AV9" s="784"/>
      <c r="AW9" s="784"/>
      <c r="AX9" s="784"/>
      <c r="AY9" s="784"/>
      <c r="AZ9" s="784"/>
      <c r="BA9" s="784"/>
      <c r="BB9" s="784"/>
      <c r="BC9" s="784"/>
    </row>
    <row r="10" spans="1:55" ht="29.25" customHeight="1" thickBot="1">
      <c r="A10" s="784"/>
      <c r="B10" s="784"/>
      <c r="C10" s="3099" t="s">
        <v>938</v>
      </c>
      <c r="D10" s="3100"/>
      <c r="E10" s="3100"/>
      <c r="F10" s="1785" t="s">
        <v>1948</v>
      </c>
      <c r="G10" s="788">
        <v>5625</v>
      </c>
      <c r="H10" s="787" t="s">
        <v>850</v>
      </c>
      <c r="I10" s="1790"/>
      <c r="J10" s="784"/>
      <c r="K10" s="751" t="s">
        <v>839</v>
      </c>
      <c r="L10" s="752">
        <f>G$9*19</f>
        <v>2137.5</v>
      </c>
      <c r="M10" s="752">
        <f>G$9*28</f>
        <v>3150</v>
      </c>
      <c r="N10" s="752">
        <f>G$9*30</f>
        <v>3375</v>
      </c>
      <c r="O10" s="753">
        <f>G$9*40</f>
        <v>4500</v>
      </c>
      <c r="P10" s="784"/>
      <c r="Q10" s="784"/>
      <c r="R10" s="784"/>
      <c r="S10" s="784"/>
      <c r="T10" s="784"/>
      <c r="U10" s="784"/>
      <c r="V10" s="784"/>
      <c r="W10" s="784"/>
      <c r="X10" s="784"/>
      <c r="Y10" s="784"/>
      <c r="Z10" s="784"/>
      <c r="AA10" s="784"/>
      <c r="AB10" s="784"/>
      <c r="AC10" s="784"/>
      <c r="AD10" s="784"/>
      <c r="AE10" s="784"/>
      <c r="AF10" s="784"/>
      <c r="AG10" s="784"/>
      <c r="AH10" s="784"/>
      <c r="AI10" s="784"/>
      <c r="AJ10" s="784"/>
      <c r="AK10" s="784"/>
      <c r="AL10" s="784"/>
      <c r="AM10" s="784"/>
      <c r="AN10" s="784"/>
      <c r="AO10" s="784"/>
      <c r="AP10" s="784"/>
      <c r="AQ10" s="784"/>
      <c r="AR10" s="784"/>
      <c r="AS10" s="784"/>
      <c r="AT10" s="784"/>
      <c r="AU10" s="784"/>
      <c r="AV10" s="784"/>
      <c r="AW10" s="784"/>
      <c r="AX10" s="784"/>
      <c r="AY10" s="784"/>
      <c r="AZ10" s="784"/>
      <c r="BA10" s="784"/>
      <c r="BB10" s="784"/>
      <c r="BC10" s="784"/>
    </row>
    <row r="11" spans="1:55" ht="15" customHeight="1" thickBot="1">
      <c r="A11" s="784"/>
      <c r="B11" s="784"/>
      <c r="C11" s="3099"/>
      <c r="D11" s="3100"/>
      <c r="E11" s="3100"/>
      <c r="F11" s="784"/>
      <c r="G11" s="784"/>
      <c r="H11" s="784"/>
      <c r="I11" s="1790"/>
      <c r="J11" s="784"/>
      <c r="K11" s="757" t="s">
        <v>840</v>
      </c>
      <c r="L11" s="758">
        <f>G$9*18</f>
        <v>2025</v>
      </c>
      <c r="M11" s="758">
        <f>G$9*27</f>
        <v>3037.5</v>
      </c>
      <c r="N11" s="758">
        <f>G$9*29</f>
        <v>3262.5</v>
      </c>
      <c r="O11" s="759">
        <f>G$9*38</f>
        <v>4275</v>
      </c>
      <c r="P11" s="784"/>
      <c r="Q11" s="784"/>
      <c r="R11" s="784"/>
      <c r="S11" s="784"/>
      <c r="T11" s="784"/>
      <c r="U11" s="784"/>
      <c r="V11" s="784"/>
      <c r="W11" s="784"/>
      <c r="X11" s="784"/>
      <c r="Y11" s="784"/>
      <c r="Z11" s="784"/>
      <c r="AA11" s="784"/>
      <c r="AB11" s="784"/>
      <c r="AC11" s="784"/>
      <c r="AD11" s="784"/>
      <c r="AE11" s="784"/>
      <c r="AF11" s="784"/>
      <c r="AG11" s="784"/>
      <c r="AH11" s="784"/>
      <c r="AI11" s="784"/>
      <c r="AJ11" s="784"/>
      <c r="AK11" s="784"/>
      <c r="AL11" s="784"/>
      <c r="AM11" s="784"/>
      <c r="AN11" s="784"/>
      <c r="AO11" s="784"/>
      <c r="AP11" s="784"/>
      <c r="AQ11" s="784"/>
      <c r="AR11" s="784"/>
      <c r="AS11" s="784"/>
      <c r="AT11" s="784"/>
      <c r="AU11" s="784"/>
      <c r="AV11" s="784"/>
      <c r="AW11" s="784"/>
      <c r="AX11" s="784"/>
      <c r="AY11" s="784"/>
      <c r="AZ11" s="784"/>
      <c r="BA11" s="784"/>
      <c r="BB11" s="784"/>
      <c r="BC11" s="784"/>
    </row>
    <row r="12" spans="1:55" ht="30.75" thickBot="1">
      <c r="A12" s="784"/>
      <c r="B12" s="784"/>
      <c r="C12" s="1789"/>
      <c r="D12" s="3098" t="s">
        <v>1949</v>
      </c>
      <c r="E12" s="3098"/>
      <c r="F12" s="3098"/>
      <c r="G12" s="371">
        <f>G10*1.163</f>
        <v>6541.875</v>
      </c>
      <c r="H12" s="1172" t="s">
        <v>1134</v>
      </c>
      <c r="I12" s="1790"/>
      <c r="J12" s="784"/>
      <c r="K12" s="775" t="s">
        <v>843</v>
      </c>
      <c r="L12" s="776" t="s">
        <v>841</v>
      </c>
      <c r="M12" s="776" t="s">
        <v>834</v>
      </c>
      <c r="N12" s="776" t="s">
        <v>842</v>
      </c>
      <c r="O12" s="777" t="s">
        <v>835</v>
      </c>
      <c r="P12" s="784"/>
      <c r="Q12" s="784"/>
      <c r="R12" s="784"/>
      <c r="S12" s="784"/>
      <c r="T12" s="784"/>
      <c r="U12" s="784"/>
      <c r="V12" s="784"/>
      <c r="W12" s="784"/>
      <c r="X12" s="784"/>
      <c r="Y12" s="784"/>
      <c r="Z12" s="784"/>
      <c r="AA12" s="784"/>
      <c r="AB12" s="784"/>
      <c r="AC12" s="784"/>
      <c r="AD12" s="784"/>
      <c r="AE12" s="784"/>
      <c r="AF12" s="784"/>
      <c r="AG12" s="784"/>
      <c r="AH12" s="784"/>
      <c r="AI12" s="784"/>
      <c r="AJ12" s="784"/>
      <c r="AK12" s="784"/>
      <c r="AL12" s="784"/>
      <c r="AM12" s="784"/>
      <c r="AN12" s="784"/>
      <c r="AO12" s="784"/>
      <c r="AP12" s="784"/>
      <c r="AQ12" s="784"/>
      <c r="AR12" s="784"/>
      <c r="AS12" s="784"/>
      <c r="AT12" s="784"/>
      <c r="AU12" s="784"/>
      <c r="AV12" s="784"/>
      <c r="AW12" s="784"/>
      <c r="AX12" s="784"/>
      <c r="AY12" s="784"/>
      <c r="AZ12" s="784"/>
      <c r="BA12" s="784"/>
      <c r="BB12" s="784"/>
      <c r="BC12" s="784"/>
    </row>
    <row r="13" spans="1:55" ht="15.75" thickBot="1">
      <c r="A13" s="784"/>
      <c r="B13" s="784"/>
      <c r="C13" s="1789"/>
      <c r="D13" s="783"/>
      <c r="E13" s="784"/>
      <c r="F13" s="784"/>
      <c r="G13" s="784"/>
      <c r="H13" s="784"/>
      <c r="I13" s="1790"/>
      <c r="J13" s="784"/>
      <c r="K13" s="782" t="s">
        <v>844</v>
      </c>
      <c r="L13" s="778" t="s">
        <v>836</v>
      </c>
      <c r="M13" s="778" t="s">
        <v>836</v>
      </c>
      <c r="N13" s="778" t="s">
        <v>836</v>
      </c>
      <c r="O13" s="779" t="s">
        <v>836</v>
      </c>
      <c r="P13" s="784"/>
      <c r="Q13" s="784"/>
      <c r="R13" s="784"/>
      <c r="S13" s="784"/>
      <c r="T13" s="784"/>
      <c r="U13" s="784"/>
      <c r="V13" s="784"/>
      <c r="W13" s="784"/>
      <c r="X13" s="784"/>
      <c r="Y13" s="784"/>
      <c r="Z13" s="784"/>
      <c r="AA13" s="784"/>
      <c r="AB13" s="784"/>
      <c r="AC13" s="784"/>
      <c r="AD13" s="784"/>
      <c r="AE13" s="784"/>
      <c r="AF13" s="784"/>
      <c r="AG13" s="784"/>
      <c r="AH13" s="784"/>
      <c r="AI13" s="784"/>
      <c r="AJ13" s="784"/>
      <c r="AK13" s="784"/>
      <c r="AL13" s="784"/>
      <c r="AM13" s="784"/>
      <c r="AN13" s="784"/>
      <c r="AO13" s="784"/>
      <c r="AP13" s="784"/>
      <c r="AQ13" s="784"/>
      <c r="AR13" s="784"/>
      <c r="AS13" s="784"/>
      <c r="AT13" s="784"/>
      <c r="AU13" s="784"/>
      <c r="AV13" s="784"/>
      <c r="AW13" s="784"/>
      <c r="AX13" s="784"/>
      <c r="AY13" s="784"/>
      <c r="AZ13" s="784"/>
      <c r="BA13" s="784"/>
      <c r="BB13" s="784"/>
      <c r="BC13" s="784"/>
    </row>
    <row r="14" spans="1:55" ht="16.5" thickBot="1">
      <c r="A14" s="784"/>
      <c r="B14" s="784"/>
      <c r="C14" s="1789"/>
      <c r="D14" s="3051" t="s">
        <v>851</v>
      </c>
      <c r="E14" s="3051"/>
      <c r="F14" s="3051"/>
      <c r="G14" s="785">
        <f>G10/M3</f>
        <v>3.7276341948310141</v>
      </c>
      <c r="H14" s="786" t="s">
        <v>852</v>
      </c>
      <c r="I14" s="1790"/>
      <c r="J14" s="784"/>
      <c r="K14" s="762" t="s">
        <v>837</v>
      </c>
      <c r="L14" s="760">
        <f>G$9*22</f>
        <v>2475</v>
      </c>
      <c r="M14" s="760">
        <f>G$9*30</f>
        <v>3375</v>
      </c>
      <c r="N14" s="760">
        <f>G$9*40</f>
        <v>4500</v>
      </c>
      <c r="O14" s="763">
        <f>G$9*50</f>
        <v>5625</v>
      </c>
      <c r="P14" s="784"/>
      <c r="Q14" s="784"/>
      <c r="R14" s="784"/>
      <c r="S14" s="784"/>
      <c r="T14" s="784"/>
      <c r="U14" s="784"/>
      <c r="V14" s="784"/>
      <c r="W14" s="784"/>
      <c r="X14" s="784"/>
      <c r="Y14" s="784"/>
      <c r="Z14" s="784"/>
      <c r="AA14" s="784"/>
      <c r="AB14" s="784"/>
      <c r="AC14" s="784"/>
      <c r="AD14" s="784"/>
      <c r="AE14" s="784"/>
      <c r="AF14" s="784"/>
      <c r="AG14" s="784"/>
      <c r="AH14" s="784"/>
      <c r="AI14" s="784"/>
      <c r="AJ14" s="784"/>
      <c r="AK14" s="784"/>
      <c r="AL14" s="784"/>
      <c r="AM14" s="784"/>
      <c r="AN14" s="784"/>
      <c r="AO14" s="784"/>
      <c r="AP14" s="784"/>
      <c r="AQ14" s="784"/>
      <c r="AR14" s="784"/>
      <c r="AS14" s="784"/>
      <c r="AT14" s="784"/>
      <c r="AU14" s="784"/>
      <c r="AV14" s="784"/>
      <c r="AW14" s="784"/>
      <c r="AX14" s="784"/>
      <c r="AY14" s="784"/>
      <c r="AZ14" s="784"/>
      <c r="BA14" s="784"/>
      <c r="BB14" s="784"/>
      <c r="BC14" s="784"/>
    </row>
    <row r="15" spans="1:55">
      <c r="A15" s="784"/>
      <c r="B15" s="784"/>
      <c r="C15" s="1789"/>
      <c r="D15" s="784"/>
      <c r="E15" s="784"/>
      <c r="F15" s="784"/>
      <c r="G15" s="784"/>
      <c r="H15" s="784"/>
      <c r="I15" s="1790"/>
      <c r="J15" s="784"/>
      <c r="K15" s="754" t="s">
        <v>838</v>
      </c>
      <c r="L15" s="755">
        <f>G$9*20</f>
        <v>2250</v>
      </c>
      <c r="M15" s="755">
        <f>G$9*28</f>
        <v>3150</v>
      </c>
      <c r="N15" s="755">
        <f>G$9*32</f>
        <v>3600</v>
      </c>
      <c r="O15" s="1592">
        <f>G$9*40</f>
        <v>4500</v>
      </c>
      <c r="P15" s="784"/>
      <c r="Q15" s="784"/>
      <c r="R15" s="784"/>
      <c r="S15" s="784"/>
      <c r="T15" s="784"/>
      <c r="U15" s="784"/>
      <c r="V15" s="784"/>
      <c r="W15" s="784"/>
      <c r="X15" s="784"/>
      <c r="Y15" s="784"/>
      <c r="Z15" s="784"/>
      <c r="AA15" s="784"/>
      <c r="AB15" s="784"/>
      <c r="AC15" s="784"/>
      <c r="AD15" s="784"/>
      <c r="AE15" s="784"/>
      <c r="AF15" s="784"/>
      <c r="AG15" s="784"/>
      <c r="AH15" s="784"/>
      <c r="AI15" s="784"/>
      <c r="AJ15" s="784"/>
      <c r="AK15" s="784"/>
      <c r="AL15" s="784"/>
      <c r="AM15" s="784"/>
      <c r="AN15" s="784"/>
      <c r="AO15" s="784"/>
      <c r="AP15" s="784"/>
      <c r="AQ15" s="784"/>
      <c r="AR15" s="784"/>
      <c r="AS15" s="784"/>
      <c r="AT15" s="784"/>
      <c r="AU15" s="784"/>
      <c r="AV15" s="784"/>
      <c r="AW15" s="784"/>
      <c r="AX15" s="784"/>
      <c r="AY15" s="784"/>
      <c r="AZ15" s="784"/>
      <c r="BA15" s="784"/>
      <c r="BB15" s="784"/>
      <c r="BC15" s="784"/>
    </row>
    <row r="16" spans="1:55">
      <c r="A16" s="784"/>
      <c r="B16" s="784"/>
      <c r="C16" s="1789"/>
      <c r="D16" s="784"/>
      <c r="E16" s="784"/>
      <c r="F16" s="784"/>
      <c r="G16" s="784"/>
      <c r="H16" s="784"/>
      <c r="I16" s="1790"/>
      <c r="J16" s="784"/>
      <c r="K16" s="751" t="s">
        <v>839</v>
      </c>
      <c r="L16" s="752">
        <f>G$9*22</f>
        <v>2475</v>
      </c>
      <c r="M16" s="752">
        <f>G$9*30</f>
        <v>3375</v>
      </c>
      <c r="N16" s="752">
        <f>G$9*35</f>
        <v>3937.5</v>
      </c>
      <c r="O16" s="753">
        <f>G$9*45</f>
        <v>5062.5</v>
      </c>
      <c r="P16" s="784"/>
      <c r="Q16" s="784"/>
      <c r="R16" s="784"/>
      <c r="S16" s="784"/>
      <c r="T16" s="784"/>
      <c r="U16" s="784"/>
      <c r="V16" s="784"/>
      <c r="W16" s="784"/>
      <c r="X16" s="784"/>
      <c r="Y16" s="784"/>
      <c r="Z16" s="784"/>
      <c r="AA16" s="784"/>
      <c r="AB16" s="784"/>
      <c r="AC16" s="784"/>
      <c r="AD16" s="784"/>
      <c r="AE16" s="784"/>
      <c r="AF16" s="784"/>
      <c r="AG16" s="784"/>
      <c r="AH16" s="784"/>
      <c r="AI16" s="784"/>
      <c r="AJ16" s="784"/>
      <c r="AK16" s="784"/>
      <c r="AL16" s="784"/>
      <c r="AM16" s="784"/>
      <c r="AN16" s="784"/>
      <c r="AO16" s="784"/>
      <c r="AP16" s="784"/>
      <c r="AQ16" s="784"/>
      <c r="AR16" s="784"/>
      <c r="AS16" s="784"/>
      <c r="AT16" s="784"/>
      <c r="AU16" s="784"/>
      <c r="AV16" s="784"/>
      <c r="AW16" s="784"/>
      <c r="AX16" s="784"/>
      <c r="AY16" s="784"/>
      <c r="AZ16" s="784"/>
      <c r="BA16" s="784"/>
      <c r="BB16" s="784"/>
      <c r="BC16" s="784"/>
    </row>
    <row r="17" spans="1:55" ht="15.75" thickBot="1">
      <c r="A17" s="784"/>
      <c r="B17" s="784"/>
      <c r="C17" s="1792"/>
      <c r="D17" s="1793"/>
      <c r="E17" s="1793"/>
      <c r="F17" s="1793"/>
      <c r="G17" s="1793"/>
      <c r="H17" s="1793"/>
      <c r="I17" s="1794"/>
      <c r="J17" s="784"/>
      <c r="K17" s="757" t="s">
        <v>840</v>
      </c>
      <c r="L17" s="758">
        <f>G$9*21</f>
        <v>2362.5</v>
      </c>
      <c r="M17" s="758">
        <f>G$9*29</f>
        <v>3262.5</v>
      </c>
      <c r="N17" s="758">
        <f>G$9*36</f>
        <v>4050</v>
      </c>
      <c r="O17" s="759">
        <f>G$9*45</f>
        <v>5062.5</v>
      </c>
      <c r="P17" s="784"/>
      <c r="Q17" s="784"/>
      <c r="R17" s="784"/>
      <c r="S17" s="784"/>
      <c r="T17" s="784"/>
      <c r="U17" s="784"/>
      <c r="V17" s="784"/>
      <c r="W17" s="784"/>
      <c r="X17" s="784"/>
      <c r="Y17" s="784"/>
      <c r="Z17" s="784"/>
      <c r="AA17" s="784"/>
      <c r="AB17" s="784"/>
      <c r="AC17" s="784"/>
      <c r="AD17" s="784"/>
      <c r="AE17" s="784"/>
      <c r="AF17" s="784"/>
      <c r="AG17" s="784"/>
      <c r="AH17" s="784"/>
      <c r="AI17" s="784"/>
      <c r="AJ17" s="784"/>
      <c r="AK17" s="784"/>
      <c r="AL17" s="784"/>
      <c r="AM17" s="784"/>
      <c r="AN17" s="784"/>
      <c r="AO17" s="784"/>
      <c r="AP17" s="784"/>
      <c r="AQ17" s="784"/>
      <c r="AR17" s="784"/>
      <c r="AS17" s="784"/>
      <c r="AT17" s="784"/>
      <c r="AU17" s="784"/>
      <c r="AV17" s="784"/>
      <c r="AW17" s="784"/>
      <c r="AX17" s="784"/>
      <c r="AY17" s="784"/>
      <c r="AZ17" s="784"/>
      <c r="BA17" s="784"/>
      <c r="BB17" s="784"/>
      <c r="BC17" s="784"/>
    </row>
    <row r="18" spans="1:55" ht="30">
      <c r="A18" s="784"/>
      <c r="B18" s="784"/>
      <c r="C18" s="784"/>
      <c r="D18" s="784"/>
      <c r="E18" s="784"/>
      <c r="F18" s="784"/>
      <c r="G18" s="784"/>
      <c r="H18" s="784"/>
      <c r="I18" s="784"/>
      <c r="J18" s="784"/>
      <c r="K18" s="780"/>
      <c r="L18" s="768" t="s">
        <v>841</v>
      </c>
      <c r="M18" s="768" t="s">
        <v>834</v>
      </c>
      <c r="N18" s="768" t="s">
        <v>842</v>
      </c>
      <c r="O18" s="769" t="s">
        <v>835</v>
      </c>
      <c r="P18" s="784"/>
      <c r="Q18" s="784"/>
      <c r="R18" s="784"/>
      <c r="S18" s="784"/>
      <c r="T18" s="784"/>
      <c r="U18" s="784"/>
      <c r="V18" s="784"/>
      <c r="W18" s="784"/>
      <c r="X18" s="784"/>
      <c r="Y18" s="784"/>
      <c r="Z18" s="784"/>
      <c r="AA18" s="784"/>
      <c r="AB18" s="784"/>
      <c r="AC18" s="784"/>
      <c r="AD18" s="784"/>
      <c r="AE18" s="784"/>
      <c r="AF18" s="784"/>
      <c r="AG18" s="784"/>
      <c r="AH18" s="784"/>
      <c r="AI18" s="784"/>
      <c r="AJ18" s="784"/>
      <c r="AK18" s="784"/>
      <c r="AL18" s="784"/>
      <c r="AM18" s="784"/>
      <c r="AN18" s="784"/>
      <c r="AO18" s="784"/>
      <c r="AP18" s="784"/>
      <c r="AQ18" s="784"/>
      <c r="AR18" s="784"/>
      <c r="AS18" s="784"/>
      <c r="AT18" s="784"/>
      <c r="AU18" s="784"/>
      <c r="AV18" s="784"/>
      <c r="AW18" s="784"/>
      <c r="AX18" s="784"/>
      <c r="AY18" s="784"/>
      <c r="AZ18" s="784"/>
      <c r="BA18" s="784"/>
      <c r="BB18" s="784"/>
      <c r="BC18" s="784"/>
    </row>
    <row r="19" spans="1:55">
      <c r="A19" s="784"/>
      <c r="B19" s="784"/>
      <c r="C19" s="784"/>
      <c r="D19" s="784"/>
      <c r="E19" s="784"/>
      <c r="F19" s="784"/>
      <c r="G19" s="784"/>
      <c r="H19" s="784"/>
      <c r="I19" s="784"/>
      <c r="J19" s="784"/>
      <c r="K19" s="781" t="s">
        <v>845</v>
      </c>
      <c r="L19" s="761" t="s">
        <v>836</v>
      </c>
      <c r="M19" s="761" t="s">
        <v>836</v>
      </c>
      <c r="N19" s="761" t="s">
        <v>836</v>
      </c>
      <c r="O19" s="771" t="s">
        <v>836</v>
      </c>
      <c r="P19" s="784"/>
      <c r="Q19" s="784"/>
      <c r="R19" s="784"/>
      <c r="S19" s="784"/>
      <c r="T19" s="784"/>
      <c r="U19" s="784"/>
      <c r="V19" s="784"/>
      <c r="W19" s="784"/>
      <c r="X19" s="784"/>
      <c r="Y19" s="784"/>
      <c r="Z19" s="784"/>
      <c r="AA19" s="784"/>
      <c r="AB19" s="784"/>
      <c r="AC19" s="784"/>
      <c r="AD19" s="784"/>
      <c r="AE19" s="784"/>
      <c r="AF19" s="784"/>
      <c r="AG19" s="784"/>
      <c r="AH19" s="784"/>
      <c r="AI19" s="784"/>
      <c r="AJ19" s="784"/>
      <c r="AK19" s="784"/>
      <c r="AL19" s="784"/>
      <c r="AM19" s="784"/>
      <c r="AN19" s="784"/>
      <c r="AO19" s="784"/>
      <c r="AP19" s="784"/>
      <c r="AQ19" s="784"/>
      <c r="AR19" s="784"/>
      <c r="AS19" s="784"/>
      <c r="AT19" s="784"/>
      <c r="AU19" s="784"/>
      <c r="AV19" s="784"/>
      <c r="AW19" s="784"/>
      <c r="AX19" s="784"/>
      <c r="AY19" s="784"/>
      <c r="AZ19" s="784"/>
      <c r="BA19" s="784"/>
      <c r="BB19" s="784"/>
      <c r="BC19" s="784"/>
    </row>
    <row r="20" spans="1:55" ht="15.75" thickBot="1">
      <c r="A20" s="784"/>
      <c r="B20" s="784"/>
      <c r="C20" s="784"/>
      <c r="D20" s="784"/>
      <c r="E20" s="784"/>
      <c r="F20" s="784"/>
      <c r="G20" s="784"/>
      <c r="H20" s="784"/>
      <c r="I20" s="784"/>
      <c r="J20" s="784"/>
      <c r="K20" s="762" t="s">
        <v>837</v>
      </c>
      <c r="L20" s="760">
        <f>G$9*25</f>
        <v>2812.5</v>
      </c>
      <c r="M20" s="760">
        <f>G$9*33</f>
        <v>3712.5</v>
      </c>
      <c r="N20" s="760">
        <f>G$9*45</f>
        <v>5062.5</v>
      </c>
      <c r="O20" s="763">
        <f>G$9*55</f>
        <v>6187.5</v>
      </c>
      <c r="P20" s="784"/>
      <c r="Q20" s="784"/>
      <c r="R20" s="784"/>
      <c r="S20" s="784"/>
      <c r="T20" s="784"/>
      <c r="U20" s="784"/>
      <c r="V20" s="784"/>
      <c r="W20" s="784"/>
      <c r="X20" s="784"/>
      <c r="Y20" s="784"/>
      <c r="Z20" s="784"/>
      <c r="AA20" s="784"/>
      <c r="AB20" s="784"/>
      <c r="AC20" s="784"/>
      <c r="AD20" s="784"/>
      <c r="AE20" s="784"/>
      <c r="AF20" s="784"/>
      <c r="AG20" s="784"/>
      <c r="AH20" s="784"/>
      <c r="AI20" s="784"/>
      <c r="AJ20" s="784"/>
      <c r="AK20" s="784"/>
      <c r="AL20" s="784"/>
      <c r="AM20" s="784"/>
      <c r="AN20" s="784"/>
      <c r="AO20" s="784"/>
      <c r="AP20" s="784"/>
      <c r="AQ20" s="784"/>
      <c r="AR20" s="784"/>
      <c r="AS20" s="784"/>
      <c r="AT20" s="784"/>
      <c r="AU20" s="784"/>
      <c r="AV20" s="784"/>
      <c r="AW20" s="784"/>
      <c r="AX20" s="784"/>
      <c r="AY20" s="784"/>
      <c r="AZ20" s="784"/>
      <c r="BA20" s="784"/>
      <c r="BB20" s="784"/>
      <c r="BC20" s="784"/>
    </row>
    <row r="21" spans="1:55">
      <c r="A21" s="784"/>
      <c r="B21" s="1786"/>
      <c r="C21" s="1787"/>
      <c r="D21" s="1787"/>
      <c r="E21" s="1787"/>
      <c r="F21" s="1787"/>
      <c r="G21" s="1787"/>
      <c r="H21" s="1787"/>
      <c r="I21" s="2270"/>
      <c r="J21" s="784"/>
      <c r="K21" s="754" t="s">
        <v>838</v>
      </c>
      <c r="L21" s="755">
        <f>G$9*22</f>
        <v>2475</v>
      </c>
      <c r="M21" s="755">
        <f>G$9*30</f>
        <v>3375</v>
      </c>
      <c r="N21" s="755">
        <f>G$9*35</f>
        <v>3937.5</v>
      </c>
      <c r="O21" s="756">
        <f>G$9*43</f>
        <v>4837.5</v>
      </c>
      <c r="P21" s="784"/>
      <c r="Q21" s="784"/>
      <c r="R21" s="784"/>
      <c r="S21" s="784"/>
      <c r="T21" s="784"/>
      <c r="U21" s="784"/>
      <c r="V21" s="784"/>
      <c r="W21" s="784"/>
      <c r="X21" s="784"/>
      <c r="Y21" s="784"/>
      <c r="Z21" s="784"/>
      <c r="AA21" s="784"/>
      <c r="AB21" s="784"/>
      <c r="AC21" s="784"/>
      <c r="AD21" s="784"/>
      <c r="AE21" s="784"/>
      <c r="AF21" s="784"/>
      <c r="AG21" s="784"/>
      <c r="AH21" s="784"/>
      <c r="AI21" s="784"/>
      <c r="AJ21" s="784"/>
      <c r="AK21" s="784"/>
      <c r="AL21" s="784"/>
      <c r="AM21" s="784"/>
      <c r="AN21" s="784"/>
      <c r="AO21" s="784"/>
      <c r="AP21" s="784"/>
      <c r="AQ21" s="784"/>
      <c r="AR21" s="784"/>
      <c r="AS21" s="784"/>
      <c r="AT21" s="784"/>
      <c r="AU21" s="784"/>
      <c r="AV21" s="784"/>
      <c r="AW21" s="784"/>
      <c r="AX21" s="784"/>
      <c r="AY21" s="784"/>
      <c r="AZ21" s="784"/>
      <c r="BA21" s="784"/>
      <c r="BB21" s="784"/>
      <c r="BC21" s="784"/>
    </row>
    <row r="22" spans="1:55" ht="26.25">
      <c r="A22" s="784"/>
      <c r="B22" s="1789"/>
      <c r="C22" s="2269" t="s">
        <v>796</v>
      </c>
      <c r="D22" s="784"/>
      <c r="E22" s="784"/>
      <c r="F22" s="784"/>
      <c r="G22" s="784"/>
      <c r="H22" s="784"/>
      <c r="I22" s="1790"/>
      <c r="J22" s="784"/>
      <c r="K22" s="751" t="s">
        <v>839</v>
      </c>
      <c r="L22" s="752">
        <f>G$9*25</f>
        <v>2812.5</v>
      </c>
      <c r="M22" s="752">
        <f>G$9*33</f>
        <v>3712.5</v>
      </c>
      <c r="N22" s="752">
        <f>G$9*40</f>
        <v>4500</v>
      </c>
      <c r="O22" s="753">
        <f>G$9*50</f>
        <v>5625</v>
      </c>
      <c r="P22" s="784"/>
      <c r="Q22" s="784"/>
      <c r="R22" s="784"/>
      <c r="S22" s="784"/>
      <c r="T22" s="784"/>
      <c r="U22" s="784"/>
      <c r="V22" s="784"/>
      <c r="W22" s="784"/>
      <c r="X22" s="784"/>
      <c r="Y22" s="784"/>
      <c r="Z22" s="784"/>
      <c r="AA22" s="784"/>
      <c r="AB22" s="784"/>
      <c r="AC22" s="784"/>
      <c r="AD22" s="784"/>
      <c r="AE22" s="784"/>
      <c r="AF22" s="784"/>
      <c r="AG22" s="784"/>
      <c r="AH22" s="784"/>
      <c r="AI22" s="784"/>
      <c r="AJ22" s="784"/>
      <c r="AK22" s="784"/>
      <c r="AL22" s="784"/>
      <c r="AM22" s="784"/>
      <c r="AN22" s="784"/>
      <c r="AO22" s="784"/>
      <c r="AP22" s="784"/>
      <c r="AQ22" s="784"/>
      <c r="AR22" s="784"/>
      <c r="AS22" s="784"/>
      <c r="AT22" s="784"/>
      <c r="AU22" s="784"/>
      <c r="AV22" s="784"/>
      <c r="AW22" s="784"/>
      <c r="AX22" s="784"/>
      <c r="AY22" s="784"/>
      <c r="AZ22" s="784"/>
      <c r="BA22" s="784"/>
      <c r="BB22" s="784"/>
      <c r="BC22" s="784"/>
    </row>
    <row r="23" spans="1:55" ht="15.75" thickBot="1">
      <c r="A23" s="784"/>
      <c r="B23" s="1789"/>
      <c r="C23" s="376">
        <v>20640</v>
      </c>
      <c r="D23" s="680" t="s">
        <v>850</v>
      </c>
      <c r="E23" s="941">
        <f>C23/860</f>
        <v>24</v>
      </c>
      <c r="F23" s="940" t="s">
        <v>77</v>
      </c>
      <c r="G23" s="784"/>
      <c r="H23" s="784"/>
      <c r="I23" s="1790"/>
      <c r="J23" s="784"/>
      <c r="K23" s="764" t="s">
        <v>840</v>
      </c>
      <c r="L23" s="765">
        <f>G$9*24</f>
        <v>2700</v>
      </c>
      <c r="M23" s="765">
        <f>G$9*32</f>
        <v>3600</v>
      </c>
      <c r="N23" s="765">
        <f>G$9*40</f>
        <v>4500</v>
      </c>
      <c r="O23" s="766">
        <f>G$9*49</f>
        <v>5512.5</v>
      </c>
      <c r="P23" s="784"/>
      <c r="Q23" s="784"/>
      <c r="R23" s="784"/>
      <c r="S23" s="784"/>
      <c r="T23" s="784"/>
      <c r="U23" s="784"/>
      <c r="V23" s="784"/>
      <c r="W23" s="784"/>
      <c r="X23" s="784"/>
      <c r="Y23" s="784"/>
      <c r="Z23" s="784"/>
      <c r="AA23" s="784"/>
      <c r="AB23" s="784"/>
      <c r="AC23" s="784"/>
      <c r="AD23" s="784"/>
      <c r="AE23" s="784"/>
      <c r="AF23" s="784"/>
      <c r="AG23" s="784"/>
      <c r="AH23" s="784"/>
      <c r="AI23" s="784"/>
      <c r="AJ23" s="784"/>
      <c r="AK23" s="784"/>
      <c r="AL23" s="784"/>
      <c r="AM23" s="784"/>
      <c r="AN23" s="784"/>
      <c r="AO23" s="784"/>
      <c r="AP23" s="784"/>
      <c r="AQ23" s="784"/>
      <c r="AR23" s="784"/>
      <c r="AS23" s="784"/>
      <c r="AT23" s="784"/>
      <c r="AU23" s="784"/>
      <c r="AV23" s="784"/>
      <c r="AW23" s="784"/>
      <c r="AX23" s="784"/>
      <c r="AY23" s="784"/>
      <c r="AZ23" s="784"/>
      <c r="BA23" s="784"/>
      <c r="BB23" s="784"/>
      <c r="BC23" s="784"/>
    </row>
    <row r="24" spans="1:55" ht="30">
      <c r="A24" s="784"/>
      <c r="B24" s="1789"/>
      <c r="C24" s="784"/>
      <c r="D24" s="784"/>
      <c r="E24" s="784"/>
      <c r="F24" s="784"/>
      <c r="G24" s="784"/>
      <c r="H24" s="784"/>
      <c r="I24" s="1790"/>
      <c r="J24" s="784"/>
      <c r="K24" s="775" t="s">
        <v>846</v>
      </c>
      <c r="L24" s="776" t="s">
        <v>841</v>
      </c>
      <c r="M24" s="776" t="s">
        <v>834</v>
      </c>
      <c r="N24" s="776" t="s">
        <v>842</v>
      </c>
      <c r="O24" s="777" t="s">
        <v>835</v>
      </c>
      <c r="P24" s="784"/>
      <c r="Q24" s="784"/>
      <c r="R24" s="784"/>
      <c r="S24" s="784"/>
      <c r="T24" s="784"/>
      <c r="U24" s="784"/>
      <c r="V24" s="784"/>
      <c r="W24" s="784"/>
      <c r="X24" s="784"/>
      <c r="Y24" s="784"/>
      <c r="Z24" s="784"/>
      <c r="AA24" s="784"/>
      <c r="AB24" s="784"/>
      <c r="AC24" s="784"/>
      <c r="AD24" s="784"/>
      <c r="AE24" s="784"/>
      <c r="AF24" s="784"/>
      <c r="AG24" s="784"/>
      <c r="AH24" s="784"/>
      <c r="AI24" s="784"/>
      <c r="AJ24" s="784"/>
      <c r="AK24" s="784"/>
      <c r="AL24" s="784"/>
      <c r="AM24" s="784"/>
      <c r="AN24" s="784"/>
      <c r="AO24" s="784"/>
      <c r="AP24" s="784"/>
      <c r="AQ24" s="784"/>
      <c r="AR24" s="784"/>
      <c r="AS24" s="784"/>
      <c r="AT24" s="784"/>
      <c r="AU24" s="784"/>
      <c r="AV24" s="784"/>
      <c r="AW24" s="784"/>
      <c r="AX24" s="784"/>
      <c r="AY24" s="784"/>
      <c r="AZ24" s="784"/>
      <c r="BA24" s="784"/>
      <c r="BB24" s="784"/>
      <c r="BC24" s="784"/>
    </row>
    <row r="25" spans="1:55" ht="18.75">
      <c r="A25" s="784"/>
      <c r="B25" s="1789"/>
      <c r="C25" s="3103" t="s">
        <v>893</v>
      </c>
      <c r="D25" s="3103"/>
      <c r="E25" s="3103"/>
      <c r="F25" s="3103"/>
      <c r="G25" s="3103"/>
      <c r="H25" s="3103"/>
      <c r="I25" s="1790"/>
      <c r="J25" s="784"/>
      <c r="K25" s="782" t="s">
        <v>847</v>
      </c>
      <c r="L25" s="778" t="s">
        <v>836</v>
      </c>
      <c r="M25" s="778" t="s">
        <v>836</v>
      </c>
      <c r="N25" s="778" t="s">
        <v>836</v>
      </c>
      <c r="O25" s="779" t="s">
        <v>836</v>
      </c>
      <c r="P25" s="784"/>
      <c r="Q25" s="784"/>
      <c r="R25" s="784"/>
      <c r="S25" s="784"/>
      <c r="T25" s="784"/>
      <c r="U25" s="784"/>
      <c r="V25" s="784"/>
      <c r="W25" s="784"/>
      <c r="X25" s="784"/>
      <c r="Y25" s="784"/>
      <c r="Z25" s="784"/>
      <c r="AA25" s="784"/>
      <c r="AB25" s="784"/>
      <c r="AC25" s="784"/>
      <c r="AD25" s="784"/>
      <c r="AE25" s="784"/>
      <c r="AF25" s="784"/>
      <c r="AG25" s="784"/>
      <c r="AH25" s="784"/>
      <c r="AI25" s="784"/>
      <c r="AJ25" s="784"/>
      <c r="AK25" s="784"/>
      <c r="AL25" s="784"/>
      <c r="AM25" s="784"/>
      <c r="AN25" s="784"/>
      <c r="AO25" s="784"/>
      <c r="AP25" s="784"/>
      <c r="AQ25" s="784"/>
      <c r="AR25" s="784"/>
      <c r="AS25" s="784"/>
      <c r="AT25" s="784"/>
      <c r="AU25" s="784"/>
      <c r="AV25" s="784"/>
      <c r="AW25" s="784"/>
      <c r="AX25" s="784"/>
      <c r="AY25" s="784"/>
      <c r="AZ25" s="784"/>
      <c r="BA25" s="784"/>
      <c r="BB25" s="784"/>
      <c r="BC25" s="784"/>
    </row>
    <row r="26" spans="1:55">
      <c r="A26" s="784"/>
      <c r="B26" s="1789"/>
      <c r="C26" s="376">
        <v>26</v>
      </c>
      <c r="D26" s="466" t="s">
        <v>163</v>
      </c>
      <c r="E26" s="858">
        <f>M3*C26</f>
        <v>39234</v>
      </c>
      <c r="F26" s="859" t="s">
        <v>850</v>
      </c>
      <c r="G26" s="941">
        <f>E26/860</f>
        <v>45.620930232558138</v>
      </c>
      <c r="H26" s="940" t="s">
        <v>77</v>
      </c>
      <c r="I26" s="1790"/>
      <c r="J26" s="784"/>
      <c r="K26" s="762" t="s">
        <v>837</v>
      </c>
      <c r="L26" s="760">
        <f>G$9*28</f>
        <v>3150</v>
      </c>
      <c r="M26" s="760">
        <f>G$9*38</f>
        <v>4275</v>
      </c>
      <c r="N26" s="760">
        <f>G$9*50</f>
        <v>5625</v>
      </c>
      <c r="O26" s="763">
        <f>G$9*60</f>
        <v>6750</v>
      </c>
      <c r="P26" s="784"/>
      <c r="Q26" s="784"/>
      <c r="R26" s="784"/>
      <c r="S26" s="784"/>
      <c r="T26" s="784"/>
      <c r="U26" s="784"/>
      <c r="V26" s="784"/>
      <c r="W26" s="784"/>
      <c r="X26" s="784"/>
      <c r="Y26" s="784"/>
      <c r="Z26" s="784"/>
      <c r="AA26" s="784"/>
      <c r="AB26" s="784"/>
      <c r="AC26" s="784"/>
      <c r="AD26" s="784"/>
      <c r="AE26" s="784"/>
      <c r="AF26" s="784"/>
      <c r="AG26" s="784"/>
      <c r="AH26" s="784"/>
      <c r="AI26" s="784"/>
      <c r="AJ26" s="784"/>
      <c r="AK26" s="784"/>
      <c r="AL26" s="784"/>
      <c r="AM26" s="784"/>
      <c r="AN26" s="784"/>
      <c r="AO26" s="784"/>
      <c r="AP26" s="784"/>
      <c r="AQ26" s="784"/>
      <c r="AR26" s="784"/>
      <c r="AS26" s="784"/>
      <c r="AT26" s="784"/>
      <c r="AU26" s="784"/>
      <c r="AV26" s="784"/>
      <c r="AW26" s="784"/>
      <c r="AX26" s="784"/>
      <c r="AY26" s="784"/>
      <c r="AZ26" s="784"/>
      <c r="BA26" s="784"/>
      <c r="BB26" s="784"/>
      <c r="BC26" s="784"/>
    </row>
    <row r="27" spans="1:55" ht="26.25" customHeight="1">
      <c r="A27" s="784"/>
      <c r="B27" s="1789"/>
      <c r="C27" s="3104" t="s">
        <v>894</v>
      </c>
      <c r="D27" s="3104"/>
      <c r="E27" s="784"/>
      <c r="F27" s="784"/>
      <c r="G27" s="784"/>
      <c r="H27" s="784"/>
      <c r="I27" s="1790"/>
      <c r="J27" s="784"/>
      <c r="K27" s="754" t="s">
        <v>838</v>
      </c>
      <c r="L27" s="755">
        <f>G$9*24</f>
        <v>2700</v>
      </c>
      <c r="M27" s="755">
        <f>G$9*34</f>
        <v>3825</v>
      </c>
      <c r="N27" s="755">
        <f>G$9*38</f>
        <v>4275</v>
      </c>
      <c r="O27" s="756">
        <f>G$9*46</f>
        <v>5175</v>
      </c>
      <c r="P27" s="784"/>
      <c r="Q27" s="784"/>
      <c r="R27" s="784"/>
      <c r="S27" s="784"/>
      <c r="T27" s="784"/>
      <c r="U27" s="784"/>
      <c r="V27" s="784"/>
      <c r="W27" s="784"/>
      <c r="X27" s="784"/>
      <c r="Y27" s="784"/>
      <c r="Z27" s="784"/>
      <c r="AA27" s="784"/>
      <c r="AB27" s="784"/>
      <c r="AC27" s="784"/>
      <c r="AD27" s="784"/>
      <c r="AE27" s="784"/>
      <c r="AF27" s="784"/>
      <c r="AG27" s="784"/>
      <c r="AH27" s="784"/>
      <c r="AI27" s="784"/>
      <c r="AJ27" s="784"/>
      <c r="AK27" s="784"/>
      <c r="AL27" s="784"/>
      <c r="AM27" s="784"/>
      <c r="AN27" s="784"/>
      <c r="AO27" s="784"/>
      <c r="AP27" s="784"/>
      <c r="AQ27" s="784"/>
      <c r="AR27" s="784"/>
      <c r="AS27" s="784"/>
      <c r="AT27" s="784"/>
      <c r="AU27" s="784"/>
      <c r="AV27" s="784"/>
      <c r="AW27" s="784"/>
      <c r="AX27" s="784"/>
      <c r="AY27" s="784"/>
      <c r="AZ27" s="784"/>
      <c r="BA27" s="784"/>
      <c r="BB27" s="784"/>
      <c r="BC27" s="784"/>
    </row>
    <row r="28" spans="1:55" ht="18.75">
      <c r="A28" s="784"/>
      <c r="B28" s="1789"/>
      <c r="C28" s="3087" t="s">
        <v>1950</v>
      </c>
      <c r="D28" s="3088"/>
      <c r="E28" s="3088"/>
      <c r="F28" s="3088"/>
      <c r="G28" s="3088"/>
      <c r="H28" s="3089"/>
      <c r="I28" s="1790"/>
      <c r="J28" s="784"/>
      <c r="K28" s="751" t="s">
        <v>839</v>
      </c>
      <c r="L28" s="752">
        <f>G$9*28</f>
        <v>3150</v>
      </c>
      <c r="M28" s="752">
        <f>G$9*38</f>
        <v>4275</v>
      </c>
      <c r="N28" s="752">
        <f>G$9*44</f>
        <v>4950</v>
      </c>
      <c r="O28" s="753">
        <f>G$9*54</f>
        <v>6075</v>
      </c>
      <c r="P28" s="784"/>
      <c r="Q28" s="784"/>
      <c r="R28" s="784"/>
      <c r="S28" s="784"/>
      <c r="T28" s="784"/>
      <c r="U28" s="784"/>
      <c r="V28" s="784"/>
      <c r="W28" s="784"/>
      <c r="X28" s="784"/>
      <c r="Y28" s="784"/>
      <c r="Z28" s="784"/>
      <c r="AA28" s="784"/>
      <c r="AB28" s="784"/>
      <c r="AC28" s="784"/>
      <c r="AD28" s="784"/>
      <c r="AE28" s="784"/>
      <c r="AF28" s="784"/>
      <c r="AG28" s="784"/>
      <c r="AH28" s="784"/>
      <c r="AI28" s="784"/>
      <c r="AJ28" s="784"/>
      <c r="AK28" s="784"/>
      <c r="AL28" s="784"/>
      <c r="AM28" s="784"/>
      <c r="AN28" s="784"/>
      <c r="AO28" s="784"/>
      <c r="AP28" s="784"/>
      <c r="AQ28" s="784"/>
      <c r="AR28" s="784"/>
      <c r="AS28" s="784"/>
      <c r="AT28" s="784"/>
      <c r="AU28" s="784"/>
      <c r="AV28" s="784"/>
      <c r="AW28" s="784"/>
      <c r="AX28" s="784"/>
      <c r="AY28" s="784"/>
      <c r="AZ28" s="784"/>
      <c r="BA28" s="784"/>
      <c r="BB28" s="784"/>
      <c r="BC28" s="784"/>
    </row>
    <row r="29" spans="1:55" ht="16.5" thickBot="1">
      <c r="A29" s="784"/>
      <c r="B29" s="1789"/>
      <c r="C29" s="3101" t="s">
        <v>1947</v>
      </c>
      <c r="D29" s="3102"/>
      <c r="E29" s="2271" t="s">
        <v>709</v>
      </c>
      <c r="F29" s="2271" t="s">
        <v>1202</v>
      </c>
      <c r="G29" s="3090" t="s">
        <v>850</v>
      </c>
      <c r="H29" s="3090"/>
      <c r="I29" s="1790"/>
      <c r="J29" s="784"/>
      <c r="K29" s="764" t="s">
        <v>840</v>
      </c>
      <c r="L29" s="765">
        <f>G$9*27</f>
        <v>3037.5</v>
      </c>
      <c r="M29" s="765">
        <f>G$9*37</f>
        <v>4162.5</v>
      </c>
      <c r="N29" s="765">
        <f>G$9*44</f>
        <v>4950</v>
      </c>
      <c r="O29" s="766">
        <f>G$9*53</f>
        <v>5962.5</v>
      </c>
      <c r="P29" s="784"/>
      <c r="Q29" s="784"/>
      <c r="R29" s="784"/>
      <c r="S29" s="784"/>
      <c r="T29" s="784"/>
      <c r="U29" s="784"/>
      <c r="V29" s="784"/>
      <c r="W29" s="784"/>
      <c r="X29" s="784"/>
      <c r="Y29" s="784"/>
      <c r="Z29" s="784"/>
      <c r="AA29" s="784"/>
      <c r="AB29" s="784"/>
      <c r="AC29" s="784"/>
      <c r="AD29" s="784"/>
      <c r="AE29" s="784"/>
      <c r="AF29" s="784"/>
      <c r="AG29" s="784"/>
      <c r="AH29" s="784"/>
      <c r="AI29" s="784"/>
      <c r="AJ29" s="784"/>
      <c r="AK29" s="784"/>
      <c r="AL29" s="784"/>
      <c r="AM29" s="784"/>
      <c r="AN29" s="784"/>
      <c r="AO29" s="784"/>
      <c r="AP29" s="784"/>
      <c r="AQ29" s="784"/>
      <c r="AR29" s="784"/>
      <c r="AS29" s="784"/>
      <c r="AT29" s="784"/>
      <c r="AU29" s="784"/>
      <c r="AV29" s="784"/>
      <c r="AW29" s="784"/>
      <c r="AX29" s="784"/>
      <c r="AY29" s="784"/>
      <c r="AZ29" s="784"/>
      <c r="BA29" s="784"/>
      <c r="BB29" s="784"/>
      <c r="BC29" s="784"/>
    </row>
    <row r="30" spans="1:55" ht="30">
      <c r="A30" s="784"/>
      <c r="B30" s="1789"/>
      <c r="C30" s="3081" t="s">
        <v>5</v>
      </c>
      <c r="D30" s="3081"/>
      <c r="E30" s="1799">
        <v>600</v>
      </c>
      <c r="F30" s="1799">
        <v>1000</v>
      </c>
      <c r="G30" s="3076">
        <f>(E30*F30*M3)/600000</f>
        <v>1509</v>
      </c>
      <c r="H30" s="3077"/>
      <c r="I30" s="1790"/>
      <c r="J30" s="784"/>
      <c r="K30" s="767" t="s">
        <v>849</v>
      </c>
      <c r="L30" s="772" t="s">
        <v>841</v>
      </c>
      <c r="M30" s="772" t="s">
        <v>834</v>
      </c>
      <c r="N30" s="772" t="s">
        <v>842</v>
      </c>
      <c r="O30" s="773" t="s">
        <v>835</v>
      </c>
      <c r="P30" s="784"/>
      <c r="Q30" s="784"/>
      <c r="R30" s="784"/>
      <c r="S30" s="784"/>
      <c r="T30" s="784"/>
      <c r="U30" s="784"/>
      <c r="V30" s="784"/>
      <c r="W30" s="784"/>
      <c r="X30" s="784"/>
      <c r="Y30" s="784"/>
      <c r="Z30" s="790"/>
      <c r="AA30" s="791"/>
      <c r="AB30" s="791"/>
      <c r="AC30" s="791"/>
      <c r="AD30" s="792"/>
      <c r="AE30" s="784"/>
      <c r="AF30" s="784"/>
      <c r="AG30" s="784"/>
      <c r="AH30" s="784"/>
      <c r="AI30" s="784"/>
      <c r="AJ30" s="784"/>
      <c r="AK30" s="784"/>
      <c r="AL30" s="784"/>
      <c r="AM30" s="784"/>
      <c r="AN30" s="784"/>
      <c r="AO30" s="784"/>
      <c r="AP30" s="784"/>
      <c r="AQ30" s="784"/>
      <c r="AR30" s="784"/>
      <c r="AS30" s="784"/>
      <c r="AT30" s="784"/>
      <c r="AU30" s="784"/>
      <c r="AV30" s="784"/>
      <c r="AW30" s="784"/>
      <c r="AX30" s="784"/>
      <c r="AY30" s="784"/>
      <c r="AZ30" s="784"/>
      <c r="BA30" s="784"/>
      <c r="BB30" s="784"/>
      <c r="BC30" s="784"/>
    </row>
    <row r="31" spans="1:55">
      <c r="A31" s="784"/>
      <c r="B31" s="1789"/>
      <c r="C31" s="784"/>
      <c r="D31" s="784"/>
      <c r="E31" s="784"/>
      <c r="F31" s="784"/>
      <c r="G31" s="784"/>
      <c r="H31" s="784"/>
      <c r="I31" s="1790"/>
      <c r="J31" s="784"/>
      <c r="K31" s="774" t="s">
        <v>848</v>
      </c>
      <c r="L31" s="761" t="s">
        <v>836</v>
      </c>
      <c r="M31" s="761" t="s">
        <v>836</v>
      </c>
      <c r="N31" s="761" t="s">
        <v>836</v>
      </c>
      <c r="O31" s="771" t="s">
        <v>836</v>
      </c>
      <c r="P31" s="784"/>
      <c r="Q31" s="784"/>
      <c r="R31" s="784"/>
      <c r="S31" s="784"/>
      <c r="T31" s="784"/>
      <c r="U31" s="784"/>
      <c r="V31" s="784"/>
      <c r="W31" s="784"/>
      <c r="X31" s="784"/>
      <c r="Y31" s="784"/>
      <c r="Z31" s="790"/>
      <c r="AA31" s="791"/>
      <c r="AB31" s="791"/>
      <c r="AC31" s="791"/>
      <c r="AD31" s="793"/>
      <c r="AE31" s="784"/>
      <c r="AF31" s="784"/>
      <c r="AG31" s="784"/>
      <c r="AH31" s="784"/>
      <c r="AI31" s="784"/>
      <c r="AJ31" s="784"/>
      <c r="AK31" s="784"/>
      <c r="AL31" s="784"/>
      <c r="AM31" s="784"/>
      <c r="AN31" s="784"/>
      <c r="AO31" s="784"/>
      <c r="AP31" s="784"/>
      <c r="AQ31" s="784"/>
      <c r="AR31" s="784"/>
      <c r="AS31" s="784"/>
      <c r="AT31" s="784"/>
      <c r="AU31" s="784"/>
      <c r="AV31" s="784"/>
      <c r="AW31" s="784"/>
      <c r="AX31" s="784"/>
      <c r="AY31" s="784"/>
      <c r="AZ31" s="784"/>
      <c r="BA31" s="784"/>
      <c r="BB31" s="784"/>
      <c r="BC31" s="784"/>
    </row>
    <row r="32" spans="1:55">
      <c r="A32" s="784"/>
      <c r="B32" s="1789"/>
      <c r="C32" s="784"/>
      <c r="D32" s="784"/>
      <c r="E32" s="784"/>
      <c r="F32" s="784"/>
      <c r="G32" s="784"/>
      <c r="H32" s="784"/>
      <c r="I32" s="1790"/>
      <c r="J32" s="784"/>
      <c r="K32" s="762" t="s">
        <v>837</v>
      </c>
      <c r="L32" s="760">
        <f>G$9*35</f>
        <v>3937.5</v>
      </c>
      <c r="M32" s="760">
        <f>G$9*45</f>
        <v>5062.5</v>
      </c>
      <c r="N32" s="760">
        <f>G$9*60</f>
        <v>6750</v>
      </c>
      <c r="O32" s="763">
        <f>G$9*70</f>
        <v>7875</v>
      </c>
      <c r="P32" s="784"/>
      <c r="Q32" s="784"/>
      <c r="R32" s="784"/>
      <c r="S32" s="784"/>
      <c r="T32" s="784"/>
      <c r="U32" s="784"/>
      <c r="V32" s="784"/>
      <c r="W32" s="784"/>
      <c r="X32" s="784"/>
      <c r="Y32" s="784"/>
      <c r="Z32" s="790"/>
      <c r="AA32" s="791"/>
      <c r="AB32" s="791"/>
      <c r="AC32" s="791"/>
      <c r="AD32" s="792"/>
      <c r="AE32" s="784"/>
      <c r="AF32" s="784"/>
      <c r="AG32" s="784"/>
      <c r="AH32" s="784"/>
      <c r="AI32" s="784"/>
      <c r="AJ32" s="784"/>
      <c r="AK32" s="784"/>
      <c r="AL32" s="784"/>
      <c r="AM32" s="784"/>
      <c r="AN32" s="784"/>
      <c r="AO32" s="784"/>
      <c r="AP32" s="784"/>
      <c r="AQ32" s="784"/>
      <c r="AR32" s="784"/>
      <c r="AS32" s="784"/>
      <c r="AT32" s="784"/>
      <c r="AU32" s="784"/>
      <c r="AV32" s="784"/>
      <c r="AW32" s="784"/>
      <c r="AX32" s="784"/>
      <c r="AY32" s="784"/>
      <c r="AZ32" s="784"/>
      <c r="BA32" s="784"/>
      <c r="BB32" s="784"/>
      <c r="BC32" s="784"/>
    </row>
    <row r="33" spans="1:55">
      <c r="A33" s="784"/>
      <c r="B33" s="1789"/>
      <c r="C33" s="784"/>
      <c r="D33" s="784"/>
      <c r="E33" s="784"/>
      <c r="F33" s="784"/>
      <c r="G33" s="784"/>
      <c r="H33" s="784"/>
      <c r="I33" s="1790"/>
      <c r="J33" s="784"/>
      <c r="K33" s="754" t="s">
        <v>838</v>
      </c>
      <c r="L33" s="755">
        <f>G$9*30</f>
        <v>3375</v>
      </c>
      <c r="M33" s="755">
        <f>G$9*40</f>
        <v>4500</v>
      </c>
      <c r="N33" s="755">
        <f>G$9*44</f>
        <v>4950</v>
      </c>
      <c r="O33" s="756">
        <f>G$9*55</f>
        <v>6187.5</v>
      </c>
      <c r="P33" s="784"/>
      <c r="Q33" s="784"/>
      <c r="R33" s="784"/>
      <c r="S33" s="784"/>
      <c r="T33" s="784"/>
      <c r="U33" s="784"/>
      <c r="V33" s="784"/>
      <c r="W33" s="784"/>
      <c r="X33" s="784"/>
      <c r="Y33" s="784"/>
      <c r="Z33" s="784"/>
      <c r="AA33" s="784"/>
      <c r="AB33" s="784"/>
      <c r="AC33" s="784"/>
      <c r="AD33" s="784"/>
      <c r="AE33" s="784"/>
      <c r="AF33" s="784"/>
      <c r="AG33" s="784"/>
      <c r="AH33" s="784"/>
      <c r="AI33" s="784"/>
      <c r="AJ33" s="784"/>
      <c r="AK33" s="784"/>
      <c r="AL33" s="784"/>
      <c r="AM33" s="784"/>
      <c r="AN33" s="784"/>
      <c r="AO33" s="784"/>
      <c r="AP33" s="784"/>
      <c r="AQ33" s="784"/>
      <c r="AR33" s="784"/>
      <c r="AS33" s="784"/>
      <c r="AT33" s="784"/>
      <c r="AU33" s="784"/>
      <c r="AV33" s="784"/>
      <c r="AW33" s="784"/>
      <c r="AX33" s="784"/>
      <c r="AY33" s="784"/>
      <c r="AZ33" s="784"/>
      <c r="BA33" s="784"/>
      <c r="BB33" s="784"/>
      <c r="BC33" s="784"/>
    </row>
    <row r="34" spans="1:55" ht="26.25">
      <c r="A34" s="784"/>
      <c r="B34" s="1789"/>
      <c r="C34" s="2269"/>
      <c r="D34" s="2269"/>
      <c r="E34" s="784"/>
      <c r="F34" s="784"/>
      <c r="G34" s="784"/>
      <c r="H34" s="784"/>
      <c r="I34" s="1790"/>
      <c r="J34" s="784"/>
      <c r="K34" s="751" t="s">
        <v>839</v>
      </c>
      <c r="L34" s="752">
        <f>G$9*35</f>
        <v>3937.5</v>
      </c>
      <c r="M34" s="752">
        <f>G$9*45</f>
        <v>5062.5</v>
      </c>
      <c r="N34" s="752">
        <f>G$9*53</f>
        <v>5962.5</v>
      </c>
      <c r="O34" s="753">
        <f>G$9*63</f>
        <v>7087.5</v>
      </c>
      <c r="P34" s="784"/>
      <c r="Q34" s="784"/>
      <c r="R34" s="784"/>
      <c r="S34" s="784"/>
      <c r="T34" s="784"/>
      <c r="U34" s="784"/>
      <c r="V34" s="784"/>
      <c r="W34" s="784"/>
      <c r="X34" s="784"/>
      <c r="Y34" s="784"/>
      <c r="Z34" s="784"/>
      <c r="AA34" s="784"/>
      <c r="AB34" s="784"/>
      <c r="AC34" s="784"/>
      <c r="AD34" s="784"/>
      <c r="AE34" s="784"/>
      <c r="AF34" s="784"/>
      <c r="AG34" s="790"/>
      <c r="AH34" s="784"/>
      <c r="AI34" s="784"/>
      <c r="AJ34" s="784"/>
      <c r="AK34" s="784"/>
      <c r="AL34" s="784"/>
      <c r="AM34" s="784"/>
      <c r="AN34" s="784"/>
      <c r="AO34" s="784"/>
      <c r="AP34" s="784"/>
      <c r="AQ34" s="784"/>
      <c r="AR34" s="784"/>
      <c r="AS34" s="784"/>
      <c r="AT34" s="784"/>
      <c r="AU34" s="784"/>
      <c r="AV34" s="784"/>
      <c r="AW34" s="784"/>
      <c r="AX34" s="784"/>
      <c r="AY34" s="784"/>
      <c r="AZ34" s="784"/>
      <c r="BA34" s="784"/>
      <c r="BB34" s="784"/>
      <c r="BC34" s="784"/>
    </row>
    <row r="35" spans="1:55" ht="19.5" thickBot="1">
      <c r="A35" s="784"/>
      <c r="B35" s="1789"/>
      <c r="C35" s="3087" t="s">
        <v>1953</v>
      </c>
      <c r="D35" s="3088"/>
      <c r="E35" s="3088"/>
      <c r="F35" s="3088"/>
      <c r="G35" s="3088"/>
      <c r="H35" s="3089"/>
      <c r="I35" s="1790"/>
      <c r="J35" s="784"/>
      <c r="K35" s="757" t="s">
        <v>840</v>
      </c>
      <c r="L35" s="758">
        <f>G$9*33</f>
        <v>3712.5</v>
      </c>
      <c r="M35" s="758">
        <f>G$9*43</f>
        <v>4837.5</v>
      </c>
      <c r="N35" s="758">
        <f>G$9*52</f>
        <v>5850</v>
      </c>
      <c r="O35" s="759">
        <f>G$9*63</f>
        <v>7087.5</v>
      </c>
      <c r="P35" s="784"/>
      <c r="Q35" s="784"/>
      <c r="R35" s="784"/>
      <c r="S35" s="784"/>
      <c r="T35" s="784"/>
      <c r="U35" s="784"/>
      <c r="V35" s="784"/>
      <c r="W35" s="784"/>
      <c r="X35" s="784"/>
      <c r="Y35" s="784"/>
      <c r="Z35" s="784"/>
      <c r="AA35" s="784"/>
      <c r="AB35" s="784"/>
      <c r="AC35" s="784"/>
      <c r="AD35" s="784"/>
      <c r="AE35" s="784"/>
      <c r="AF35" s="784"/>
      <c r="AG35" s="790"/>
      <c r="AH35" s="784"/>
      <c r="AI35" s="784"/>
      <c r="AJ35" s="784"/>
      <c r="AK35" s="784"/>
      <c r="AL35" s="784"/>
      <c r="AM35" s="784"/>
      <c r="AN35" s="784"/>
      <c r="AO35" s="784"/>
      <c r="AP35" s="784"/>
      <c r="AQ35" s="784"/>
      <c r="AR35" s="784"/>
      <c r="AS35" s="784"/>
      <c r="AT35" s="784"/>
      <c r="AU35" s="784"/>
      <c r="AV35" s="784"/>
      <c r="AW35" s="784"/>
      <c r="AX35" s="784"/>
      <c r="AY35" s="784"/>
      <c r="AZ35" s="784"/>
      <c r="BA35" s="784"/>
      <c r="BB35" s="784"/>
      <c r="BC35" s="784"/>
    </row>
    <row r="36" spans="1:55" ht="15.75">
      <c r="A36" s="784"/>
      <c r="B36" s="1789"/>
      <c r="C36" s="3090" t="s">
        <v>850</v>
      </c>
      <c r="D36" s="3090"/>
      <c r="E36" s="2271" t="s">
        <v>709</v>
      </c>
      <c r="F36" s="3091" t="s">
        <v>1952</v>
      </c>
      <c r="G36" s="3092"/>
      <c r="H36" s="3093"/>
      <c r="I36" s="1790"/>
      <c r="J36" s="784"/>
      <c r="K36" s="784"/>
      <c r="L36" s="784"/>
      <c r="M36" s="784"/>
      <c r="N36" s="784"/>
      <c r="O36" s="784"/>
      <c r="P36" s="784"/>
      <c r="Q36" s="784"/>
      <c r="R36" s="784"/>
      <c r="S36" s="784"/>
      <c r="T36" s="784"/>
      <c r="U36" s="784"/>
      <c r="V36" s="784"/>
      <c r="W36" s="784"/>
      <c r="X36" s="784"/>
      <c r="Y36" s="784"/>
      <c r="Z36" s="784"/>
      <c r="AA36" s="784"/>
      <c r="AB36" s="784"/>
      <c r="AC36" s="784"/>
      <c r="AD36" s="784"/>
      <c r="AE36" s="784"/>
      <c r="AF36" s="784"/>
      <c r="AG36" s="790"/>
      <c r="AH36" s="784"/>
      <c r="AI36" s="784"/>
      <c r="AJ36" s="784"/>
      <c r="AK36" s="784"/>
      <c r="AL36" s="784"/>
      <c r="AM36" s="784"/>
      <c r="AN36" s="784"/>
      <c r="AO36" s="784"/>
      <c r="AP36" s="784"/>
      <c r="AQ36" s="784"/>
      <c r="AR36" s="784"/>
      <c r="AS36" s="784"/>
      <c r="AT36" s="784"/>
      <c r="AU36" s="784"/>
      <c r="AV36" s="784"/>
      <c r="AW36" s="784"/>
      <c r="AX36" s="784"/>
      <c r="AY36" s="784"/>
      <c r="AZ36" s="784"/>
      <c r="BA36" s="784"/>
      <c r="BB36" s="784"/>
      <c r="BC36" s="784"/>
    </row>
    <row r="37" spans="1:55" ht="21">
      <c r="A37" s="784"/>
      <c r="B37" s="1789"/>
      <c r="C37" s="3078">
        <v>1509</v>
      </c>
      <c r="D37" s="3078"/>
      <c r="E37" s="1800">
        <v>600</v>
      </c>
      <c r="F37" s="1801">
        <f>((600/E37)*1000)*(C37/M3)</f>
        <v>1000</v>
      </c>
      <c r="G37" s="3082" t="s">
        <v>5</v>
      </c>
      <c r="H37" s="3083"/>
      <c r="I37" s="1790"/>
      <c r="J37" s="784"/>
      <c r="K37" s="791"/>
      <c r="L37" s="784"/>
      <c r="M37" s="784"/>
      <c r="N37" s="784"/>
      <c r="O37" s="784"/>
      <c r="P37" s="784"/>
      <c r="Q37" s="784"/>
      <c r="R37" s="784"/>
      <c r="S37" s="784"/>
      <c r="T37" s="784"/>
      <c r="U37" s="784"/>
      <c r="V37" s="784"/>
      <c r="W37" s="784"/>
      <c r="X37" s="784"/>
      <c r="Y37" s="2584" t="s">
        <v>1439</v>
      </c>
      <c r="Z37" s="2584"/>
      <c r="AA37" s="2584"/>
      <c r="AB37" s="2584"/>
      <c r="AC37" s="784"/>
      <c r="AD37" s="2259"/>
      <c r="AE37" s="2260"/>
      <c r="AF37" s="2260"/>
      <c r="AG37" s="2260"/>
      <c r="AH37" s="2260"/>
      <c r="AI37" s="2260"/>
      <c r="AJ37" s="2260"/>
      <c r="AK37" s="2260"/>
      <c r="AL37" s="2260"/>
      <c r="AM37" s="2260"/>
      <c r="AN37" s="2261"/>
      <c r="AO37" s="784"/>
      <c r="AP37" s="784"/>
      <c r="AQ37" s="784"/>
      <c r="AR37" s="784"/>
      <c r="AS37" s="784"/>
      <c r="AT37" s="784"/>
      <c r="AU37" s="784"/>
      <c r="AV37" s="784"/>
      <c r="AW37" s="784"/>
      <c r="AX37" s="784"/>
      <c r="AY37" s="784"/>
      <c r="AZ37" s="784"/>
      <c r="BA37" s="784"/>
      <c r="BB37" s="784"/>
      <c r="BC37" s="784"/>
    </row>
    <row r="38" spans="1:55" ht="21.75" thickBot="1">
      <c r="A38" s="784"/>
      <c r="B38" s="1792"/>
      <c r="C38" s="1793"/>
      <c r="D38" s="1793"/>
      <c r="E38" s="1793"/>
      <c r="F38" s="3094" t="s">
        <v>1954</v>
      </c>
      <c r="G38" s="3094"/>
      <c r="H38" s="3094"/>
      <c r="I38" s="3095"/>
      <c r="J38" s="784"/>
      <c r="K38" s="791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1589"/>
      <c r="AE38" s="784"/>
      <c r="AF38" s="784"/>
      <c r="AG38" s="2262" t="s">
        <v>1211</v>
      </c>
      <c r="AH38" s="784"/>
      <c r="AI38" s="784"/>
      <c r="AJ38" s="784"/>
      <c r="AK38" s="784"/>
      <c r="AL38" s="2263">
        <f>G12</f>
        <v>6541.875</v>
      </c>
      <c r="AM38" s="2264" t="s">
        <v>658</v>
      </c>
      <c r="AN38" s="1590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</row>
    <row r="39" spans="1:55">
      <c r="A39" s="784"/>
      <c r="B39" s="784"/>
      <c r="C39" s="784"/>
      <c r="D39" s="784"/>
      <c r="E39" s="784"/>
      <c r="F39" s="784"/>
      <c r="G39" s="784"/>
      <c r="H39" s="784"/>
      <c r="I39" s="784"/>
      <c r="J39" s="2265"/>
      <c r="K39" s="791"/>
      <c r="L39" s="784"/>
      <c r="M39" s="784"/>
      <c r="N39" s="784"/>
      <c r="O39" s="784"/>
      <c r="P39" s="784"/>
      <c r="Q39" s="784"/>
      <c r="R39" s="784"/>
      <c r="S39" s="784"/>
      <c r="T39" s="784"/>
      <c r="U39" s="784"/>
      <c r="V39" s="784"/>
      <c r="W39" s="784"/>
      <c r="X39" s="784"/>
      <c r="Y39" s="784"/>
      <c r="Z39" s="784"/>
      <c r="AA39" s="784"/>
      <c r="AB39" s="784"/>
      <c r="AC39" s="784"/>
      <c r="AD39" s="1589"/>
      <c r="AE39" s="784"/>
      <c r="AF39" s="784"/>
      <c r="AG39" s="783" t="s">
        <v>1210</v>
      </c>
      <c r="AH39" s="784"/>
      <c r="AI39" s="784"/>
      <c r="AJ39" s="784"/>
      <c r="AK39" s="784"/>
      <c r="AL39" s="2265">
        <f>(AL38/1000)*860</f>
        <v>5626.0124999999998</v>
      </c>
      <c r="AM39" s="783" t="s">
        <v>850</v>
      </c>
      <c r="AN39" s="1590"/>
      <c r="AO39" s="784"/>
      <c r="AP39" s="784"/>
      <c r="AQ39" s="784"/>
      <c r="AR39" s="784"/>
      <c r="AS39" s="784"/>
      <c r="AT39" s="784"/>
      <c r="AU39" s="784"/>
      <c r="AV39" s="784"/>
      <c r="AW39" s="784"/>
      <c r="AX39" s="784"/>
      <c r="AY39" s="784"/>
      <c r="AZ39" s="784"/>
      <c r="BA39" s="784"/>
      <c r="BB39" s="784"/>
      <c r="BC39" s="784"/>
    </row>
    <row r="40" spans="1:55">
      <c r="A40" s="784"/>
      <c r="B40" s="784"/>
      <c r="C40" s="784"/>
      <c r="D40" s="784"/>
      <c r="E40" s="784"/>
      <c r="F40" s="784"/>
      <c r="G40" s="784"/>
      <c r="H40" s="784"/>
      <c r="I40" s="784"/>
      <c r="J40" s="784"/>
      <c r="K40" s="784"/>
      <c r="L40" s="784"/>
      <c r="M40" s="784"/>
      <c r="N40" s="784"/>
      <c r="O40" s="784"/>
      <c r="P40" s="784"/>
      <c r="Q40" s="784"/>
      <c r="R40" s="784"/>
      <c r="S40" s="784"/>
      <c r="T40" s="784"/>
      <c r="U40" s="784"/>
      <c r="V40" s="784"/>
      <c r="W40" s="784"/>
      <c r="X40" s="784"/>
      <c r="Y40" s="784"/>
      <c r="Z40" s="784"/>
      <c r="AA40" s="784"/>
      <c r="AB40" s="784"/>
      <c r="AC40" s="784"/>
      <c r="AD40" s="1589"/>
      <c r="AE40" s="784"/>
      <c r="AF40" s="784"/>
      <c r="AG40" s="784"/>
      <c r="AH40" s="784"/>
      <c r="AI40" s="784"/>
      <c r="AJ40" s="784"/>
      <c r="AK40" s="784"/>
      <c r="AL40" s="784"/>
      <c r="AM40" s="784"/>
      <c r="AN40" s="1590"/>
      <c r="AO40" s="784"/>
      <c r="AP40" s="784"/>
      <c r="AQ40" s="784"/>
      <c r="AR40" s="784"/>
      <c r="AS40" s="784"/>
      <c r="AT40" s="784"/>
      <c r="AU40" s="784"/>
      <c r="AV40" s="784"/>
      <c r="AW40" s="784"/>
      <c r="AX40" s="784"/>
      <c r="AY40" s="784"/>
      <c r="AZ40" s="784"/>
      <c r="BA40" s="784"/>
      <c r="BB40" s="784"/>
      <c r="BC40" s="784"/>
    </row>
    <row r="41" spans="1:55" s="784" customFormat="1" ht="21">
      <c r="AD41" s="1589"/>
      <c r="AF41" s="2262" t="s">
        <v>1212</v>
      </c>
      <c r="AJ41" s="2263">
        <f>G12</f>
        <v>6541.875</v>
      </c>
      <c r="AK41" s="2264" t="s">
        <v>658</v>
      </c>
      <c r="AN41" s="1590"/>
    </row>
    <row r="42" spans="1:55" s="784" customFormat="1">
      <c r="E42" s="791"/>
      <c r="F42" s="791"/>
      <c r="G42" s="792" t="s">
        <v>818</v>
      </c>
      <c r="AD42" s="1589"/>
      <c r="AG42" s="783" t="s">
        <v>1209</v>
      </c>
      <c r="AN42" s="1590"/>
    </row>
    <row r="43" spans="1:55" s="784" customFormat="1">
      <c r="E43" s="791"/>
      <c r="F43" s="791"/>
      <c r="G43" s="793" t="s">
        <v>17</v>
      </c>
      <c r="AD43" s="1589"/>
      <c r="AN43" s="1590"/>
    </row>
    <row r="44" spans="1:55" s="784" customFormat="1">
      <c r="E44" s="791"/>
      <c r="F44" s="791"/>
      <c r="G44" s="792">
        <v>2026</v>
      </c>
      <c r="AD44" s="2266"/>
      <c r="AE44" s="2267"/>
      <c r="AF44" s="2267"/>
      <c r="AG44" s="2267"/>
      <c r="AH44" s="2267"/>
      <c r="AI44" s="2267"/>
      <c r="AJ44" s="2267"/>
      <c r="AK44" s="2267"/>
      <c r="AL44" s="2267"/>
      <c r="AM44" s="2267"/>
      <c r="AN44" s="2268"/>
    </row>
    <row r="45" spans="1:55" s="784" customFormat="1"/>
    <row r="46" spans="1:55" s="784" customFormat="1"/>
    <row r="47" spans="1:55" s="784" customFormat="1"/>
    <row r="48" spans="1:55" s="784" customFormat="1"/>
    <row r="49" s="784" customFormat="1"/>
    <row r="50" s="784" customFormat="1"/>
    <row r="51" s="784" customFormat="1"/>
    <row r="52" s="784" customFormat="1"/>
    <row r="53" s="784" customFormat="1"/>
    <row r="54" s="784" customFormat="1"/>
    <row r="55" s="784" customFormat="1"/>
    <row r="56" s="784" customFormat="1"/>
    <row r="57" s="784" customFormat="1"/>
    <row r="58" s="784" customFormat="1"/>
    <row r="59" s="784" customFormat="1"/>
    <row r="60" s="784" customFormat="1"/>
    <row r="61" s="784" customFormat="1"/>
    <row r="62" s="784" customFormat="1"/>
    <row r="63" s="784" customFormat="1"/>
    <row r="64" s="784" customFormat="1"/>
    <row r="65" s="784" customFormat="1"/>
  </sheetData>
  <sheetProtection algorithmName="SHA-512" hashValue="iqOmnzhwG8XCk0whlbwS0e5cjp8UTeWNE/6NmQy0MPtWgWHQdgIDo003Ync/JR/AKruQqjNBDUA7kfJ9SkEfqQ==" saltValue="QADzAWkZTDO1FfeGnaKQxg==" spinCount="100000" sheet="1" objects="1" selectLockedCells="1"/>
  <mergeCells count="22">
    <mergeCell ref="Y37:AB37"/>
    <mergeCell ref="F38:I38"/>
    <mergeCell ref="C2:I3"/>
    <mergeCell ref="F5:H5"/>
    <mergeCell ref="D12:F12"/>
    <mergeCell ref="D14:F14"/>
    <mergeCell ref="C30:D30"/>
    <mergeCell ref="G29:H29"/>
    <mergeCell ref="C10:E11"/>
    <mergeCell ref="C28:H28"/>
    <mergeCell ref="C29:D29"/>
    <mergeCell ref="G30:H30"/>
    <mergeCell ref="C25:H25"/>
    <mergeCell ref="C27:D27"/>
    <mergeCell ref="K2:O2"/>
    <mergeCell ref="K3:L3"/>
    <mergeCell ref="M4:N4"/>
    <mergeCell ref="C35:H35"/>
    <mergeCell ref="C37:D37"/>
    <mergeCell ref="G37:H37"/>
    <mergeCell ref="C36:D36"/>
    <mergeCell ref="F36:H36"/>
  </mergeCells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58822-204C-40B0-B122-5DCE024A850C}">
  <dimension ref="A1:IV75"/>
  <sheetViews>
    <sheetView showGridLines="0" showRowColHeaders="0" topLeftCell="A9" zoomScale="80" zoomScaleNormal="80" workbookViewId="0">
      <selection activeCell="D20" sqref="D20"/>
    </sheetView>
  </sheetViews>
  <sheetFormatPr defaultColWidth="9" defaultRowHeight="15"/>
  <cols>
    <col min="1" max="1" width="9.140625" style="410" customWidth="1"/>
    <col min="2" max="2" width="5.140625" style="410" customWidth="1"/>
    <col min="3" max="3" width="25" style="1953" customWidth="1"/>
    <col min="4" max="4" width="9.42578125" style="409" customWidth="1"/>
    <col min="5" max="5" width="16.42578125" style="409" customWidth="1"/>
    <col min="6" max="6" width="15.28515625" style="409" customWidth="1"/>
    <col min="7" max="7" width="10.28515625" style="410" customWidth="1"/>
    <col min="8" max="8" width="7.7109375" style="410" customWidth="1"/>
    <col min="9" max="9" width="9.140625" style="410" customWidth="1"/>
    <col min="10" max="10" width="17" style="410" customWidth="1"/>
    <col min="11" max="19" width="5.140625" style="1954" customWidth="1"/>
    <col min="20" max="20" width="5.140625" style="409" customWidth="1"/>
    <col min="21" max="30" width="5.140625" style="410" customWidth="1"/>
    <col min="31" max="41" width="9.140625" style="410" customWidth="1"/>
    <col min="42" max="42" width="10.140625" style="410" customWidth="1"/>
    <col min="43" max="256" width="9.140625" style="410" customWidth="1"/>
    <col min="257" max="16384" width="9" style="1955"/>
  </cols>
  <sheetData>
    <row r="1" spans="1:42" s="410" customFormat="1" ht="12.75" hidden="1">
      <c r="C1" s="1953"/>
      <c r="D1" s="409"/>
      <c r="E1" s="409"/>
      <c r="F1" s="409"/>
      <c r="K1" s="1954"/>
      <c r="L1" s="1954"/>
      <c r="M1" s="1954"/>
      <c r="N1" s="1954"/>
      <c r="O1" s="1954"/>
      <c r="P1" s="1954"/>
      <c r="Q1" s="1954"/>
      <c r="R1" s="1954"/>
      <c r="S1" s="1954"/>
      <c r="T1" s="409"/>
    </row>
    <row r="2" spans="1:42" s="410" customFormat="1" ht="12.75" hidden="1">
      <c r="C2" s="1953"/>
      <c r="D2" s="409"/>
      <c r="E2" s="409"/>
      <c r="F2" s="409"/>
      <c r="K2" s="1954"/>
      <c r="L2" s="1954"/>
      <c r="M2" s="1954"/>
      <c r="N2" s="1954"/>
      <c r="O2" s="1954"/>
      <c r="P2" s="1954"/>
      <c r="Q2" s="1954"/>
      <c r="R2" s="1954"/>
      <c r="S2" s="1954"/>
      <c r="T2" s="409"/>
    </row>
    <row r="3" spans="1:42" s="410" customFormat="1" ht="12.75" hidden="1">
      <c r="C3" s="1953"/>
      <c r="D3" s="409"/>
      <c r="E3" s="409"/>
      <c r="F3" s="409"/>
      <c r="K3" s="1954"/>
      <c r="L3" s="1954"/>
      <c r="M3" s="1954"/>
      <c r="N3" s="1954"/>
      <c r="O3" s="1954"/>
      <c r="P3" s="1954"/>
      <c r="Q3" s="1954"/>
      <c r="R3" s="1954"/>
      <c r="S3" s="1954"/>
      <c r="T3" s="409"/>
    </row>
    <row r="4" spans="1:42" s="410" customFormat="1" ht="12.75" hidden="1">
      <c r="C4" s="1953"/>
      <c r="D4" s="409"/>
      <c r="E4" s="409"/>
      <c r="F4" s="409"/>
      <c r="K4" s="1954"/>
      <c r="L4" s="1954"/>
      <c r="M4" s="1954"/>
      <c r="N4" s="1954"/>
      <c r="O4" s="1954"/>
      <c r="P4" s="1954"/>
      <c r="Q4" s="1954"/>
      <c r="R4" s="1954"/>
      <c r="S4" s="1954"/>
      <c r="T4" s="409"/>
    </row>
    <row r="5" spans="1:42" s="410" customFormat="1" ht="12.75" hidden="1">
      <c r="C5" s="1953"/>
      <c r="D5" s="409"/>
      <c r="E5" s="409"/>
      <c r="F5" s="409"/>
      <c r="K5" s="1954"/>
      <c r="L5" s="1954"/>
      <c r="M5" s="1954"/>
      <c r="N5" s="1954"/>
      <c r="O5" s="1954"/>
      <c r="P5" s="1954"/>
      <c r="Q5" s="1954"/>
      <c r="R5" s="1954"/>
      <c r="S5" s="1954"/>
      <c r="T5" s="409"/>
    </row>
    <row r="6" spans="1:42" s="410" customFormat="1" ht="12.75" hidden="1">
      <c r="C6" s="1953"/>
      <c r="D6" s="409"/>
      <c r="E6" s="409"/>
      <c r="F6" s="409"/>
      <c r="K6" s="1954"/>
      <c r="L6" s="1954"/>
      <c r="M6" s="1954"/>
      <c r="N6" s="1954"/>
      <c r="O6" s="1954"/>
      <c r="P6" s="1954"/>
      <c r="Q6" s="1954"/>
      <c r="R6" s="1954"/>
      <c r="S6" s="1954"/>
      <c r="T6" s="409"/>
    </row>
    <row r="7" spans="1:42" s="410" customFormat="1" ht="12.75" hidden="1">
      <c r="C7" s="1953"/>
      <c r="D7" s="409"/>
      <c r="E7" s="409"/>
      <c r="F7" s="409"/>
      <c r="K7" s="1954"/>
      <c r="L7" s="1954"/>
      <c r="M7" s="1954"/>
      <c r="N7" s="1954"/>
      <c r="O7" s="1954"/>
      <c r="P7" s="1954"/>
      <c r="Q7" s="1954"/>
      <c r="R7" s="1954"/>
      <c r="S7" s="1954"/>
      <c r="T7" s="409"/>
    </row>
    <row r="8" spans="1:42" s="410" customFormat="1" ht="12.75" hidden="1">
      <c r="C8" s="1953"/>
      <c r="D8" s="409"/>
      <c r="E8" s="409"/>
      <c r="F8" s="409"/>
      <c r="K8" s="1954"/>
      <c r="L8" s="1954"/>
      <c r="M8" s="1954"/>
      <c r="N8" s="1954"/>
      <c r="O8" s="1954"/>
      <c r="P8" s="1954"/>
      <c r="Q8" s="1954"/>
      <c r="R8" s="1954"/>
      <c r="S8" s="1954"/>
      <c r="T8" s="409"/>
    </row>
    <row r="9" spans="1:42" s="410" customFormat="1" ht="10.15" customHeight="1">
      <c r="C9" s="1953"/>
      <c r="D9" s="409"/>
      <c r="E9" s="409"/>
      <c r="F9" s="409"/>
      <c r="K9" s="1954"/>
      <c r="L9" s="1954"/>
      <c r="M9" s="1954"/>
      <c r="N9" s="1954"/>
      <c r="O9" s="1954"/>
      <c r="P9" s="1954"/>
      <c r="Q9" s="1954"/>
      <c r="R9" s="1954"/>
      <c r="S9" s="1954"/>
      <c r="T9" s="409"/>
    </row>
    <row r="10" spans="1:42" s="410" customFormat="1" ht="12.75">
      <c r="C10" s="1953"/>
      <c r="D10" s="409"/>
      <c r="E10" s="409"/>
      <c r="F10" s="409"/>
      <c r="K10" s="1954"/>
      <c r="L10" s="1954"/>
      <c r="M10" s="1954"/>
      <c r="N10" s="1954"/>
      <c r="O10" s="1954"/>
      <c r="P10" s="1954"/>
      <c r="Q10" s="1954"/>
      <c r="R10" s="1954"/>
      <c r="S10" s="1954"/>
      <c r="T10" s="409"/>
    </row>
    <row r="11" spans="1:42" s="410" customFormat="1" ht="33.6" customHeight="1">
      <c r="B11" s="2022" t="s">
        <v>2058</v>
      </c>
      <c r="C11" s="1953"/>
      <c r="D11" s="409"/>
      <c r="E11" s="409"/>
      <c r="F11" s="409"/>
      <c r="K11" s="1954"/>
      <c r="L11" s="1954"/>
      <c r="M11" s="1954"/>
      <c r="N11" s="1954"/>
      <c r="O11" s="1954"/>
      <c r="P11" s="1954"/>
      <c r="Q11" s="1954"/>
      <c r="R11" s="1954"/>
      <c r="S11" s="1954"/>
      <c r="T11" s="409"/>
    </row>
    <row r="12" spans="1:42" s="410" customFormat="1" ht="23.45" customHeight="1" thickBot="1">
      <c r="A12" s="1955"/>
      <c r="B12" s="1955"/>
      <c r="C12" s="1955"/>
      <c r="D12" s="1955"/>
      <c r="E12" s="1955"/>
      <c r="F12" s="1955"/>
      <c r="G12" s="1955"/>
      <c r="H12" s="1955"/>
      <c r="I12" s="1955"/>
      <c r="J12" s="1955"/>
      <c r="K12" s="1955"/>
      <c r="L12" s="1955"/>
      <c r="M12" s="1955"/>
      <c r="N12" s="1955"/>
      <c r="O12" s="1955"/>
      <c r="P12" s="1955"/>
      <c r="Q12" s="1955"/>
      <c r="R12" s="1955"/>
      <c r="S12" s="1955"/>
      <c r="T12" s="1955"/>
      <c r="U12" s="1955"/>
      <c r="V12" s="1955"/>
      <c r="W12" s="1955"/>
      <c r="X12" s="1955"/>
      <c r="Y12" s="1955"/>
      <c r="Z12" s="1955"/>
      <c r="AA12" s="1955"/>
      <c r="AB12" s="1955"/>
      <c r="AC12" s="1955"/>
      <c r="AD12" s="1955"/>
      <c r="AE12" s="1955"/>
      <c r="AF12" s="1955"/>
      <c r="AG12" s="1955"/>
      <c r="AH12" s="1955"/>
      <c r="AI12" s="1955"/>
      <c r="AJ12" s="1955"/>
      <c r="AK12" s="1955"/>
      <c r="AL12" s="1955"/>
      <c r="AM12" s="1955"/>
      <c r="AN12" s="1955"/>
      <c r="AO12" s="1955"/>
      <c r="AP12" s="1955"/>
    </row>
    <row r="13" spans="1:42" s="410" customFormat="1" ht="20.25" customHeight="1" thickBot="1">
      <c r="A13" s="1955"/>
      <c r="B13" s="1970" t="s">
        <v>26</v>
      </c>
      <c r="C13" s="1971"/>
      <c r="D13" s="1972"/>
      <c r="E13" s="1986" t="s">
        <v>55</v>
      </c>
      <c r="F13" s="1973"/>
      <c r="G13" s="1955"/>
      <c r="H13" s="1955"/>
      <c r="I13" s="1955"/>
      <c r="J13" s="1974" t="s">
        <v>2053</v>
      </c>
      <c r="K13" s="1955"/>
      <c r="L13" s="1955"/>
      <c r="M13" s="1955"/>
      <c r="N13" s="1955"/>
      <c r="O13" s="1955"/>
      <c r="P13" s="1955"/>
      <c r="Q13" s="1955"/>
      <c r="R13" s="1955"/>
      <c r="S13" s="1955"/>
      <c r="T13" s="1955"/>
      <c r="U13" s="1955"/>
      <c r="V13" s="1955"/>
      <c r="W13" s="1955"/>
      <c r="X13" s="1955"/>
      <c r="Y13" s="1955"/>
      <c r="Z13" s="1955"/>
      <c r="AA13" s="1955"/>
      <c r="AB13" s="1955"/>
      <c r="AC13" s="1955"/>
      <c r="AD13" s="1955"/>
      <c r="AE13" s="3108"/>
      <c r="AF13" s="3108"/>
      <c r="AG13" s="3108"/>
      <c r="AH13" s="3108"/>
      <c r="AI13" s="3108"/>
      <c r="AJ13" s="1956"/>
      <c r="AK13" s="1955"/>
      <c r="AL13" s="1955"/>
      <c r="AM13" s="1955"/>
      <c r="AN13" s="1955"/>
      <c r="AO13" s="1955"/>
      <c r="AP13" s="1955"/>
    </row>
    <row r="14" spans="1:42" s="410" customFormat="1" ht="25.5">
      <c r="A14" s="1955"/>
      <c r="B14" s="2010" t="s">
        <v>27</v>
      </c>
      <c r="C14" s="1997" t="s">
        <v>28</v>
      </c>
      <c r="D14" s="2011" t="s">
        <v>29</v>
      </c>
      <c r="E14" s="2012" t="s">
        <v>30</v>
      </c>
      <c r="F14" s="1998" t="s">
        <v>31</v>
      </c>
      <c r="G14" s="1955"/>
      <c r="H14" s="1955"/>
      <c r="I14" s="1955"/>
      <c r="J14" s="1955"/>
      <c r="K14" s="1955"/>
      <c r="L14" s="1955"/>
      <c r="M14" s="1955"/>
      <c r="N14" s="1955"/>
      <c r="O14" s="1955"/>
      <c r="P14" s="1955"/>
      <c r="Q14" s="1955"/>
      <c r="R14" s="1955"/>
      <c r="S14" s="1955"/>
      <c r="T14" s="1955"/>
      <c r="U14" s="1955"/>
      <c r="V14" s="1955"/>
      <c r="W14" s="1955"/>
      <c r="X14" s="1955"/>
      <c r="Y14" s="1955"/>
      <c r="Z14" s="1967" t="s">
        <v>1439</v>
      </c>
      <c r="AA14" s="1955"/>
      <c r="AB14" s="1955"/>
      <c r="AC14" s="1955"/>
      <c r="AD14" s="1955"/>
      <c r="AE14" s="3109"/>
      <c r="AF14" s="3109"/>
      <c r="AG14" s="3109"/>
      <c r="AH14" s="3109"/>
      <c r="AI14" s="3109"/>
      <c r="AJ14" s="1955"/>
      <c r="AK14" s="1955"/>
      <c r="AL14" s="1955"/>
      <c r="AM14" s="1955"/>
      <c r="AN14" s="1955"/>
      <c r="AO14" s="1955"/>
      <c r="AP14" s="1955"/>
    </row>
    <row r="15" spans="1:42" s="410" customFormat="1">
      <c r="A15" s="1955"/>
      <c r="B15" s="2001">
        <v>1</v>
      </c>
      <c r="C15" s="2002" t="s">
        <v>2050</v>
      </c>
      <c r="D15" s="1995">
        <v>5</v>
      </c>
      <c r="E15" s="2005">
        <f>IF(E$13=AI$18,7.5,IF(E$13=AI$19,7.5,IF(E$13=AI$20,7.5,IF(E$13=AI$21,7.5,IF(E$13=AI$22,7.5,7.5)))))</f>
        <v>7.5</v>
      </c>
      <c r="F15" s="2006">
        <f>IF(E15="-","-",D15*E15)</f>
        <v>37.5</v>
      </c>
      <c r="G15" s="1955"/>
      <c r="H15" s="1955"/>
      <c r="I15" s="1955"/>
      <c r="K15" s="1955"/>
      <c r="L15" s="1955"/>
      <c r="M15" s="1955"/>
      <c r="N15" s="1955"/>
      <c r="O15" s="1955"/>
      <c r="P15" s="1955"/>
      <c r="Q15" s="1955"/>
      <c r="R15" s="1955"/>
      <c r="S15" s="1955"/>
      <c r="T15" s="1955"/>
      <c r="U15" s="1955"/>
      <c r="V15" s="1955"/>
      <c r="W15" s="1955"/>
      <c r="X15" s="1955"/>
      <c r="Y15" s="1955"/>
      <c r="Z15" s="1955"/>
      <c r="AA15" s="1955"/>
      <c r="AB15" s="1955"/>
      <c r="AC15" s="1955"/>
      <c r="AD15" s="1955"/>
      <c r="AE15" s="3110"/>
      <c r="AF15" s="3110"/>
      <c r="AG15" s="3110"/>
      <c r="AH15" s="3110"/>
      <c r="AI15" s="3110"/>
      <c r="AJ15" s="1958"/>
      <c r="AK15" s="1955"/>
      <c r="AL15" s="1955"/>
      <c r="AM15" s="1955"/>
      <c r="AN15" s="1955"/>
      <c r="AO15" s="1955"/>
      <c r="AP15" s="1955"/>
    </row>
    <row r="16" spans="1:42" s="410" customFormat="1">
      <c r="A16" s="1955"/>
      <c r="B16" s="2001">
        <v>2</v>
      </c>
      <c r="C16" s="2002" t="s">
        <v>2051</v>
      </c>
      <c r="D16" s="1995"/>
      <c r="E16" s="2005" t="str">
        <f>IF(E$13=AI$18,"-",IF(E$13=AI$19,10,IF(E$13=AI$20,20,IF(E$13=AI$21,30,IF(E$13=AI$22,40,50)))))</f>
        <v>-</v>
      </c>
      <c r="F16" s="2006" t="str">
        <f t="shared" ref="F16:F21" si="0">IF(E16="-","-",D16*E16)</f>
        <v>-</v>
      </c>
      <c r="G16" s="1955"/>
      <c r="H16" s="1955"/>
      <c r="I16" s="1955"/>
      <c r="J16" s="1955"/>
      <c r="K16" s="1955"/>
      <c r="L16" s="1955"/>
      <c r="M16" s="1955"/>
      <c r="N16" s="1955"/>
      <c r="O16" s="1955"/>
      <c r="P16" s="1955"/>
      <c r="Q16" s="1955"/>
      <c r="R16" s="1955"/>
      <c r="S16" s="1955"/>
      <c r="T16" s="1955"/>
      <c r="U16" s="1955"/>
      <c r="V16" s="1955"/>
      <c r="W16" s="1955"/>
      <c r="X16" s="1955"/>
      <c r="Y16" s="1955"/>
      <c r="Z16" s="1955"/>
      <c r="AA16" s="1955"/>
      <c r="AB16" s="1955"/>
      <c r="AC16" s="1955"/>
      <c r="AD16" s="1955"/>
      <c r="AE16" s="1957"/>
      <c r="AF16" s="1957"/>
      <c r="AG16" s="1957"/>
      <c r="AH16" s="1957"/>
      <c r="AI16" s="1957"/>
      <c r="AJ16" s="1958"/>
      <c r="AK16" s="1955"/>
      <c r="AL16" s="1955"/>
      <c r="AM16" s="1955"/>
      <c r="AN16" s="1955"/>
      <c r="AO16" s="1955"/>
      <c r="AP16" s="1955"/>
    </row>
    <row r="17" spans="1:42" s="410" customFormat="1">
      <c r="A17" s="1955"/>
      <c r="B17" s="2001">
        <v>3</v>
      </c>
      <c r="C17" s="2003" t="str">
        <f>IF(E$13=AI$21,"Oda Sayısı (yatak sayısı)","Banyo")</f>
        <v>Banyo</v>
      </c>
      <c r="D17" s="1995"/>
      <c r="E17" s="2005">
        <f>IF(E$13=AI$18,250,IF(E$13=AI$19,250,IF(E$13=AI$20,250,IF(E$13=AI$21,160,IF(E$13=AI$22,"-","-")))))</f>
        <v>250</v>
      </c>
      <c r="F17" s="2006">
        <f t="shared" si="0"/>
        <v>0</v>
      </c>
      <c r="G17" s="1955"/>
      <c r="H17" s="1955"/>
      <c r="I17" s="1955"/>
      <c r="J17" s="1955"/>
      <c r="K17" s="1955"/>
      <c r="L17" s="1955"/>
      <c r="M17" s="1955"/>
      <c r="N17" s="1955"/>
      <c r="O17" s="1955"/>
      <c r="P17" s="1955"/>
      <c r="Q17" s="1955"/>
      <c r="R17" s="1955"/>
      <c r="S17" s="1955"/>
      <c r="T17" s="1955"/>
      <c r="U17" s="1955"/>
      <c r="V17" s="1955"/>
      <c r="W17" s="1955"/>
      <c r="X17" s="1955"/>
      <c r="Y17" s="1955"/>
      <c r="Z17" s="1955"/>
      <c r="AA17" s="1955"/>
      <c r="AB17" s="1955"/>
      <c r="AC17" s="1955"/>
      <c r="AD17" s="1955"/>
      <c r="AE17" s="1955"/>
      <c r="AF17" s="1955"/>
      <c r="AG17" s="1955"/>
      <c r="AH17" s="1955"/>
      <c r="AI17" s="1955"/>
      <c r="AJ17" s="1955"/>
      <c r="AK17" s="1955"/>
      <c r="AL17" s="1955"/>
      <c r="AM17" s="1955"/>
      <c r="AN17" s="1955"/>
      <c r="AO17" s="1955"/>
      <c r="AP17" s="1955"/>
    </row>
    <row r="18" spans="1:42" s="410" customFormat="1">
      <c r="A18" s="1955"/>
      <c r="B18" s="2001">
        <v>4</v>
      </c>
      <c r="C18" s="2002" t="s">
        <v>32</v>
      </c>
      <c r="D18" s="1995">
        <v>3</v>
      </c>
      <c r="E18" s="2005">
        <f>IF(E$13=AI$18,250,IF(E$13=AI$19,250,IF(E$13=AI$20,250,IF(E$13=AI$21,250,IF(E$13=AI$22,750,250)))))</f>
        <v>250</v>
      </c>
      <c r="F18" s="2006">
        <f t="shared" si="0"/>
        <v>750</v>
      </c>
      <c r="G18" s="1955"/>
      <c r="H18" s="1955"/>
      <c r="I18" s="1955"/>
      <c r="J18" s="1955"/>
      <c r="K18" s="1955"/>
      <c r="L18" s="1955"/>
      <c r="M18" s="1955"/>
      <c r="N18" s="1955"/>
      <c r="O18" s="1955"/>
      <c r="P18" s="1955"/>
      <c r="Q18" s="1955"/>
      <c r="R18" s="1955"/>
      <c r="S18" s="1955"/>
      <c r="T18" s="1955"/>
      <c r="U18" s="1955"/>
      <c r="V18" s="1955"/>
      <c r="W18" s="1955"/>
      <c r="X18" s="1955"/>
      <c r="Y18" s="1955"/>
      <c r="Z18" s="1955"/>
      <c r="AA18" s="1955"/>
      <c r="AB18" s="1955"/>
      <c r="AC18" s="1955"/>
      <c r="AD18" s="1955"/>
      <c r="AE18" s="1955"/>
      <c r="AF18" s="1955"/>
      <c r="AG18" s="1955"/>
      <c r="AH18" s="1956"/>
      <c r="AI18" s="1985" t="s">
        <v>55</v>
      </c>
      <c r="AJ18" s="1955"/>
      <c r="AK18" s="1955"/>
      <c r="AL18" s="1955"/>
      <c r="AM18" s="1955"/>
      <c r="AN18" s="1955"/>
      <c r="AO18" s="1955"/>
      <c r="AP18" s="1955"/>
    </row>
    <row r="19" spans="1:42" s="410" customFormat="1">
      <c r="A19" s="1955"/>
      <c r="B19" s="2001">
        <v>5</v>
      </c>
      <c r="C19" s="2002" t="s">
        <v>33</v>
      </c>
      <c r="D19" s="1995">
        <v>1</v>
      </c>
      <c r="E19" s="2005">
        <f>IF(E$13=AI$18,35,IF(E$13=AI$19,35,IF(E$13=AI$20,70,IF(E$13=AI$21,70,IF(E$13=AI$22,70,35)))))</f>
        <v>35</v>
      </c>
      <c r="F19" s="2006">
        <f t="shared" si="0"/>
        <v>35</v>
      </c>
      <c r="G19" s="1955"/>
      <c r="H19" s="1955"/>
      <c r="I19" s="1959"/>
      <c r="J19" s="1955"/>
      <c r="K19" s="1955"/>
      <c r="L19" s="1955"/>
      <c r="M19" s="1955"/>
      <c r="N19" s="1955"/>
      <c r="O19" s="1955"/>
      <c r="P19" s="1955"/>
      <c r="Q19" s="1955"/>
      <c r="R19" s="1955"/>
      <c r="S19" s="1955"/>
      <c r="T19" s="1955"/>
      <c r="U19" s="1955"/>
      <c r="V19" s="1955"/>
      <c r="W19" s="1955"/>
      <c r="X19" s="1955"/>
      <c r="Y19" s="1955"/>
      <c r="Z19" s="1955"/>
      <c r="AA19" s="1955"/>
      <c r="AB19" s="1955"/>
      <c r="AC19" s="1955"/>
      <c r="AD19" s="1955"/>
      <c r="AE19" s="1955"/>
      <c r="AF19" s="1955"/>
      <c r="AG19" s="1955"/>
      <c r="AH19" s="1955"/>
      <c r="AI19" s="1985" t="s">
        <v>2052</v>
      </c>
      <c r="AJ19" s="1955"/>
      <c r="AK19" s="1955"/>
      <c r="AL19" s="1955"/>
      <c r="AM19" s="1955"/>
      <c r="AN19" s="1955"/>
      <c r="AO19" s="1955"/>
      <c r="AP19" s="1955"/>
    </row>
    <row r="20" spans="1:42" s="410" customFormat="1" ht="15.75" thickBot="1">
      <c r="A20" s="1955"/>
      <c r="B20" s="2001">
        <v>6</v>
      </c>
      <c r="C20" s="2002" t="s">
        <v>34</v>
      </c>
      <c r="D20" s="1995">
        <v>1</v>
      </c>
      <c r="E20" s="2005">
        <f>IF(E$13=AI$18,70,IF(E$13=AI$19,70,IF(E$13=AI$20,75,IF(E$13=AI$21,75,IF(E$13=AI$22,"-","-")))))</f>
        <v>70</v>
      </c>
      <c r="F20" s="2006">
        <f t="shared" si="0"/>
        <v>70</v>
      </c>
      <c r="G20" s="1955"/>
      <c r="H20" s="1955"/>
      <c r="I20" s="1955"/>
      <c r="J20" s="1955"/>
      <c r="K20" s="1955"/>
      <c r="L20" s="1955"/>
      <c r="M20" s="1955"/>
      <c r="N20" s="1955"/>
      <c r="O20" s="1955"/>
      <c r="P20" s="1955"/>
      <c r="Q20" s="1955"/>
      <c r="R20" s="1955"/>
      <c r="S20" s="1955"/>
      <c r="T20" s="1955"/>
      <c r="U20" s="1955"/>
      <c r="V20" s="1955"/>
      <c r="W20" s="1955"/>
      <c r="X20" s="1955"/>
      <c r="Y20" s="1955"/>
      <c r="Z20" s="1955"/>
      <c r="AA20" s="1955"/>
      <c r="AB20" s="1955"/>
      <c r="AC20" s="1955"/>
      <c r="AD20" s="1955"/>
      <c r="AE20" s="1955"/>
      <c r="AF20" s="1955"/>
      <c r="AG20" s="1955"/>
      <c r="AH20" s="1955"/>
      <c r="AI20" s="1985" t="s">
        <v>52</v>
      </c>
      <c r="AJ20" s="1955"/>
      <c r="AK20" s="1955"/>
      <c r="AL20" s="1955"/>
      <c r="AM20" s="1955"/>
      <c r="AN20" s="1955"/>
      <c r="AO20" s="1955"/>
      <c r="AP20" s="1955"/>
    </row>
    <row r="21" spans="1:42" s="410" customFormat="1" ht="15.75" customHeight="1" thickBot="1">
      <c r="A21" s="1955"/>
      <c r="B21" s="2009">
        <v>7</v>
      </c>
      <c r="C21" s="2004" t="s">
        <v>35</v>
      </c>
      <c r="D21" s="1996">
        <v>1</v>
      </c>
      <c r="E21" s="2007">
        <f>IF(E$13=AI$18,40,IF(E$13=AI$19,40,IF(E$13=AI$20,400,IF(E$13=AI$21,600,IF(E$13=AI$22,300,300)))))</f>
        <v>40</v>
      </c>
      <c r="F21" s="2008">
        <f t="shared" si="0"/>
        <v>40</v>
      </c>
      <c r="G21" s="1955"/>
      <c r="H21" s="1955"/>
      <c r="I21" s="1955"/>
      <c r="J21" s="1955"/>
      <c r="K21" s="1955"/>
      <c r="L21" s="1955"/>
      <c r="M21" s="3105" t="s">
        <v>55</v>
      </c>
      <c r="N21" s="3106"/>
      <c r="O21" s="3106"/>
      <c r="P21" s="3106" t="s">
        <v>48</v>
      </c>
      <c r="Q21" s="3106"/>
      <c r="R21" s="3106"/>
      <c r="S21" s="3106" t="s">
        <v>52</v>
      </c>
      <c r="T21" s="3106"/>
      <c r="U21" s="3106"/>
      <c r="V21" s="3106" t="s">
        <v>53</v>
      </c>
      <c r="W21" s="3106"/>
      <c r="X21" s="3106"/>
      <c r="Y21" s="3106" t="s">
        <v>54</v>
      </c>
      <c r="Z21" s="3106"/>
      <c r="AA21" s="3106"/>
      <c r="AB21" s="3111" t="s">
        <v>56</v>
      </c>
      <c r="AC21" s="3112"/>
      <c r="AD21" s="3113"/>
      <c r="AE21" s="1955"/>
      <c r="AF21" s="1955"/>
      <c r="AG21" s="1955"/>
      <c r="AH21" s="1955"/>
      <c r="AI21" s="1985" t="s">
        <v>53</v>
      </c>
      <c r="AJ21" s="1955"/>
      <c r="AK21" s="1955"/>
      <c r="AL21" s="1955"/>
      <c r="AM21" s="1955"/>
      <c r="AN21" s="1955"/>
      <c r="AO21" s="1955"/>
      <c r="AP21" s="1955"/>
    </row>
    <row r="22" spans="1:42" s="410" customFormat="1" ht="15.75" customHeight="1" thickBot="1">
      <c r="A22" s="1955"/>
      <c r="B22" s="1955"/>
      <c r="C22" s="1955"/>
      <c r="D22" s="1955"/>
      <c r="E22" s="1955"/>
      <c r="F22" s="1955"/>
      <c r="G22" s="1955"/>
      <c r="H22" s="1955"/>
      <c r="I22" s="1955"/>
      <c r="J22" s="3132" t="s">
        <v>49</v>
      </c>
      <c r="K22" s="3133"/>
      <c r="L22" s="3134"/>
      <c r="M22" s="3107">
        <v>0.3</v>
      </c>
      <c r="N22" s="3107"/>
      <c r="O22" s="3107"/>
      <c r="P22" s="3135" t="s">
        <v>51</v>
      </c>
      <c r="Q22" s="3135"/>
      <c r="R22" s="3135"/>
      <c r="S22" s="3107">
        <v>0.25</v>
      </c>
      <c r="T22" s="3107"/>
      <c r="U22" s="3107"/>
      <c r="V22" s="3107">
        <v>0.25</v>
      </c>
      <c r="W22" s="3107"/>
      <c r="X22" s="3107"/>
      <c r="Y22" s="3107">
        <v>0.4</v>
      </c>
      <c r="Z22" s="3107"/>
      <c r="AA22" s="3107"/>
      <c r="AB22" s="3121">
        <v>0.4</v>
      </c>
      <c r="AC22" s="3122"/>
      <c r="AD22" s="3123"/>
      <c r="AE22" s="1955"/>
      <c r="AF22" s="1955"/>
      <c r="AG22" s="1955"/>
      <c r="AH22" s="1955"/>
      <c r="AI22" s="1985" t="s">
        <v>54</v>
      </c>
      <c r="AJ22" s="1955"/>
      <c r="AK22" s="1955"/>
      <c r="AL22" s="1955"/>
      <c r="AM22" s="1955"/>
      <c r="AN22" s="1955"/>
      <c r="AO22" s="1955"/>
      <c r="AP22" s="1955"/>
    </row>
    <row r="23" spans="1:42" s="410" customFormat="1" ht="20.25" customHeight="1" thickBot="1">
      <c r="A23" s="1955"/>
      <c r="B23" s="1960"/>
      <c r="C23" s="1960"/>
      <c r="D23" s="3114" t="s">
        <v>57</v>
      </c>
      <c r="E23" s="3124"/>
      <c r="F23" s="2013">
        <f>SUM(F15:F22)</f>
        <v>932.5</v>
      </c>
      <c r="G23" s="2014" t="s">
        <v>36</v>
      </c>
      <c r="H23" s="1955"/>
      <c r="I23" s="1955"/>
      <c r="J23" s="3125" t="s">
        <v>50</v>
      </c>
      <c r="K23" s="3126"/>
      <c r="L23" s="3127"/>
      <c r="M23" s="3128">
        <v>0.7</v>
      </c>
      <c r="N23" s="3128"/>
      <c r="O23" s="3128"/>
      <c r="P23" s="3128">
        <v>1.25</v>
      </c>
      <c r="Q23" s="3128"/>
      <c r="R23" s="3128"/>
      <c r="S23" s="3128">
        <v>0.6</v>
      </c>
      <c r="T23" s="3128"/>
      <c r="U23" s="3128"/>
      <c r="V23" s="3128">
        <v>0.8</v>
      </c>
      <c r="W23" s="3128"/>
      <c r="X23" s="3128"/>
      <c r="Y23" s="3128">
        <v>1</v>
      </c>
      <c r="Z23" s="3128"/>
      <c r="AA23" s="3128"/>
      <c r="AB23" s="3129">
        <v>1</v>
      </c>
      <c r="AC23" s="3130"/>
      <c r="AD23" s="3131"/>
      <c r="AE23" s="1955"/>
      <c r="AF23" s="1955"/>
      <c r="AG23" s="1955"/>
      <c r="AH23" s="1955"/>
      <c r="AI23" s="1985" t="s">
        <v>56</v>
      </c>
      <c r="AJ23" s="1955"/>
      <c r="AK23" s="1956"/>
      <c r="AL23" s="1955"/>
      <c r="AM23" s="1955"/>
      <c r="AN23" s="1955"/>
      <c r="AO23" s="1955"/>
      <c r="AP23" s="1955"/>
    </row>
    <row r="24" spans="1:42" s="410" customFormat="1">
      <c r="A24" s="1955"/>
      <c r="B24" s="1960"/>
      <c r="C24" s="1960"/>
      <c r="D24" s="1960"/>
      <c r="E24" s="1960"/>
      <c r="F24" s="1955"/>
      <c r="G24" s="1955"/>
      <c r="H24" s="1955"/>
      <c r="I24" s="1955"/>
      <c r="J24" s="1955"/>
      <c r="K24" s="1955"/>
      <c r="L24" s="1955"/>
      <c r="M24" s="1984">
        <v>0.6</v>
      </c>
      <c r="N24" s="1984">
        <v>0.7</v>
      </c>
      <c r="O24" s="1984">
        <v>0.8</v>
      </c>
      <c r="P24" s="1984">
        <v>1</v>
      </c>
      <c r="Q24" s="1984">
        <v>1.25</v>
      </c>
      <c r="R24" s="1955"/>
      <c r="S24" s="1955"/>
      <c r="T24" s="1955"/>
      <c r="U24" s="1955"/>
      <c r="V24" s="1955"/>
      <c r="W24" s="1955"/>
      <c r="X24" s="1955"/>
      <c r="Y24" s="1955"/>
      <c r="Z24" s="1955"/>
      <c r="AA24" s="1955"/>
      <c r="AB24" s="1955"/>
      <c r="AC24" s="1955"/>
      <c r="AD24" s="1955"/>
      <c r="AE24" s="1955"/>
      <c r="AF24" s="1955"/>
      <c r="AG24" s="1955"/>
      <c r="AH24" s="1955"/>
      <c r="AI24" s="1955"/>
      <c r="AJ24" s="1955"/>
      <c r="AK24" s="1955"/>
      <c r="AL24" s="1955"/>
      <c r="AM24" s="1955"/>
      <c r="AN24" s="1955"/>
      <c r="AO24" s="1955"/>
      <c r="AP24" s="1955"/>
    </row>
    <row r="25" spans="1:42" s="410" customFormat="1" ht="15.75" thickBot="1">
      <c r="A25" s="1955"/>
      <c r="B25" s="1960"/>
      <c r="C25" s="1960"/>
      <c r="D25" s="1960"/>
      <c r="E25" s="1960"/>
      <c r="F25" s="1955"/>
      <c r="G25" s="1955"/>
      <c r="H25" s="1955"/>
      <c r="I25" s="1955"/>
      <c r="J25" s="1955"/>
      <c r="K25" s="1955"/>
      <c r="L25" s="1955"/>
      <c r="M25" s="1955"/>
      <c r="N25" s="1955"/>
      <c r="O25" s="1955"/>
      <c r="P25" s="1955"/>
      <c r="Q25" s="1955"/>
      <c r="R25" s="1955"/>
      <c r="S25" s="1955"/>
      <c r="T25" s="1955"/>
      <c r="U25" s="1955"/>
      <c r="V25" s="1955"/>
      <c r="W25" s="1955"/>
      <c r="X25" s="1955"/>
      <c r="Y25" s="1955"/>
      <c r="Z25" s="1955"/>
      <c r="AA25" s="1955"/>
      <c r="AB25" s="1955"/>
      <c r="AC25" s="1955"/>
      <c r="AD25" s="1955"/>
      <c r="AE25" s="1955"/>
      <c r="AF25" s="1955"/>
      <c r="AG25" s="1955"/>
      <c r="AH25" s="1955"/>
      <c r="AI25" s="1955"/>
      <c r="AJ25" s="1955"/>
      <c r="AK25" s="1958"/>
      <c r="AL25" s="1955"/>
      <c r="AM25" s="1955"/>
      <c r="AN25" s="1955"/>
      <c r="AO25" s="1955"/>
      <c r="AP25" s="1955"/>
    </row>
    <row r="26" spans="1:42" s="1961" customFormat="1" ht="20.25" customHeight="1" thickBot="1">
      <c r="A26" s="1955"/>
      <c r="B26" s="1960"/>
      <c r="C26" s="3114" t="s">
        <v>37</v>
      </c>
      <c r="D26" s="3114"/>
      <c r="E26" s="3115"/>
      <c r="F26" s="1969">
        <v>0.3</v>
      </c>
      <c r="G26" s="1955"/>
      <c r="H26" s="1955"/>
      <c r="I26" s="1955"/>
      <c r="J26" s="3116" t="s">
        <v>48</v>
      </c>
      <c r="K26" s="3117"/>
      <c r="L26" s="3117"/>
      <c r="M26" s="3117"/>
      <c r="N26" s="3117"/>
      <c r="O26" s="3117"/>
      <c r="P26" s="3117"/>
      <c r="Q26" s="3117"/>
      <c r="R26" s="3117"/>
      <c r="S26" s="3117"/>
      <c r="T26" s="3117"/>
      <c r="U26" s="3117"/>
      <c r="V26" s="3117"/>
      <c r="W26" s="3117"/>
      <c r="X26" s="3117"/>
      <c r="Y26" s="3117"/>
      <c r="Z26" s="3117"/>
      <c r="AA26" s="3117"/>
      <c r="AB26" s="3117"/>
      <c r="AC26" s="3117"/>
      <c r="AD26" s="3118"/>
      <c r="AE26" s="1955"/>
      <c r="AF26" s="1955"/>
      <c r="AG26" s="1955"/>
      <c r="AH26" s="1955"/>
      <c r="AI26" s="1955"/>
      <c r="AJ26" s="1955"/>
      <c r="AK26" s="1955"/>
      <c r="AL26" s="1955"/>
      <c r="AM26" s="1955"/>
      <c r="AN26" s="1955"/>
      <c r="AO26" s="1955"/>
      <c r="AP26" s="1955"/>
    </row>
    <row r="27" spans="1:42" s="410" customFormat="1" ht="15.75" thickBot="1">
      <c r="A27" s="1955"/>
      <c r="B27" s="1960"/>
      <c r="C27" s="1960"/>
      <c r="D27" s="1960"/>
      <c r="E27" s="1960"/>
      <c r="F27" s="1955"/>
      <c r="G27" s="1955"/>
      <c r="H27" s="1955"/>
      <c r="I27" s="1955"/>
      <c r="J27" s="1980" t="s">
        <v>49</v>
      </c>
      <c r="K27" s="1981"/>
      <c r="L27" s="1981"/>
      <c r="M27" s="1981"/>
      <c r="N27" s="1981"/>
      <c r="O27" s="1981"/>
      <c r="P27" s="1981"/>
      <c r="Q27" s="1981"/>
      <c r="R27" s="1981"/>
      <c r="S27" s="1981"/>
      <c r="T27" s="1981"/>
      <c r="U27" s="1982"/>
      <c r="V27" s="1982"/>
      <c r="W27" s="1982"/>
      <c r="X27" s="1982"/>
      <c r="Y27" s="1982"/>
      <c r="Z27" s="1982"/>
      <c r="AA27" s="1982"/>
      <c r="AB27" s="1982"/>
      <c r="AC27" s="1982"/>
      <c r="AD27" s="1983"/>
      <c r="AE27" s="1955"/>
      <c r="AF27" s="1955"/>
      <c r="AG27" s="1955"/>
      <c r="AH27" s="1955"/>
      <c r="AI27" s="1955"/>
      <c r="AJ27" s="1955"/>
      <c r="AK27" s="1955"/>
      <c r="AL27" s="1955"/>
      <c r="AM27" s="1955"/>
      <c r="AN27" s="1955"/>
      <c r="AO27" s="1955"/>
      <c r="AP27" s="1955"/>
    </row>
    <row r="28" spans="1:42" s="410" customFormat="1" ht="20.25" customHeight="1">
      <c r="A28" s="1955"/>
      <c r="B28" s="1960"/>
      <c r="C28" s="1960"/>
      <c r="D28" s="3119" t="s">
        <v>50</v>
      </c>
      <c r="E28" s="3120"/>
      <c r="F28" s="1969">
        <v>0.7</v>
      </c>
      <c r="G28" s="1955"/>
      <c r="H28" s="1955"/>
      <c r="I28" s="1955"/>
      <c r="J28" s="1975" t="s">
        <v>38</v>
      </c>
      <c r="K28" s="2">
        <v>1</v>
      </c>
      <c r="L28" s="2">
        <v>2</v>
      </c>
      <c r="M28" s="2">
        <v>3</v>
      </c>
      <c r="N28" s="2">
        <v>4</v>
      </c>
      <c r="O28" s="2">
        <v>5</v>
      </c>
      <c r="P28" s="2">
        <v>6</v>
      </c>
      <c r="Q28" s="2">
        <v>8</v>
      </c>
      <c r="R28" s="2">
        <v>10</v>
      </c>
      <c r="S28" s="2">
        <v>15</v>
      </c>
      <c r="T28" s="2">
        <v>18</v>
      </c>
      <c r="U28" s="2">
        <v>20</v>
      </c>
      <c r="V28" s="2">
        <v>25</v>
      </c>
      <c r="W28" s="2">
        <v>30</v>
      </c>
      <c r="X28" s="2">
        <v>40</v>
      </c>
      <c r="Y28" s="2">
        <v>50</v>
      </c>
      <c r="Z28" s="2">
        <v>60</v>
      </c>
      <c r="AA28" s="2">
        <v>70</v>
      </c>
      <c r="AB28" s="2">
        <v>80</v>
      </c>
      <c r="AC28" s="2">
        <v>90</v>
      </c>
      <c r="AD28" s="1976">
        <v>100</v>
      </c>
      <c r="AE28" s="1955"/>
      <c r="AF28" s="1955"/>
      <c r="AG28" s="1955"/>
      <c r="AH28" s="1955"/>
      <c r="AI28" s="1955"/>
      <c r="AJ28" s="1955"/>
      <c r="AK28" s="1955"/>
      <c r="AL28" s="1955"/>
      <c r="AM28" s="1955"/>
      <c r="AN28" s="1955"/>
      <c r="AO28" s="1955"/>
      <c r="AP28" s="1955"/>
    </row>
    <row r="29" spans="1:42" s="410" customFormat="1" ht="15.75" thickBot="1">
      <c r="A29" s="1955"/>
      <c r="B29" s="1960"/>
      <c r="C29" s="1960"/>
      <c r="D29" s="1960"/>
      <c r="E29" s="1960"/>
      <c r="F29" s="1955"/>
      <c r="G29" s="1955"/>
      <c r="H29" s="1955"/>
      <c r="I29" s="1955"/>
      <c r="J29" s="1977" t="s">
        <v>39</v>
      </c>
      <c r="K29" s="1978">
        <v>1</v>
      </c>
      <c r="L29" s="1978">
        <v>0.75</v>
      </c>
      <c r="M29" s="1978">
        <v>0.6</v>
      </c>
      <c r="N29" s="1978">
        <v>0.57999999999999996</v>
      </c>
      <c r="O29" s="1978">
        <v>0.55000000000000004</v>
      </c>
      <c r="P29" s="1978">
        <v>0.54</v>
      </c>
      <c r="Q29" s="1978">
        <v>0.49</v>
      </c>
      <c r="R29" s="1978">
        <v>0.45</v>
      </c>
      <c r="S29" s="1978">
        <v>0.42</v>
      </c>
      <c r="T29" s="1978">
        <v>0.4</v>
      </c>
      <c r="U29" s="1978">
        <v>0.38</v>
      </c>
      <c r="V29" s="1978">
        <v>0.36</v>
      </c>
      <c r="W29" s="1978">
        <v>0.34</v>
      </c>
      <c r="X29" s="1978">
        <v>0.32</v>
      </c>
      <c r="Y29" s="1978">
        <v>0.31</v>
      </c>
      <c r="Z29" s="1978">
        <v>0.3</v>
      </c>
      <c r="AA29" s="1978">
        <v>0.3</v>
      </c>
      <c r="AB29" s="1978">
        <v>0.3</v>
      </c>
      <c r="AC29" s="1978">
        <v>0.3</v>
      </c>
      <c r="AD29" s="1979">
        <v>0.3</v>
      </c>
      <c r="AE29" s="1955"/>
      <c r="AF29" s="1955"/>
      <c r="AG29" s="1955"/>
      <c r="AH29" s="1955"/>
      <c r="AI29" s="1955"/>
      <c r="AJ29" s="1955"/>
      <c r="AK29" s="1955"/>
      <c r="AL29" s="1955"/>
      <c r="AM29" s="1955"/>
      <c r="AN29" s="1955"/>
      <c r="AO29" s="1955"/>
      <c r="AP29" s="1955"/>
    </row>
    <row r="30" spans="1:42" s="410" customFormat="1" ht="16.5" customHeight="1" thickBot="1">
      <c r="A30" s="1955"/>
      <c r="B30" s="3137" t="s">
        <v>58</v>
      </c>
      <c r="C30" s="3138"/>
      <c r="D30" s="3138"/>
      <c r="E30" s="3139"/>
      <c r="F30" s="1988">
        <f>F23*F26</f>
        <v>279.75</v>
      </c>
      <c r="G30" s="1989" t="s">
        <v>36</v>
      </c>
      <c r="H30" s="1955"/>
      <c r="I30" s="1955"/>
      <c r="J30" s="1955"/>
      <c r="K30" s="1984">
        <v>0.25</v>
      </c>
      <c r="L30" s="1984">
        <v>0.3</v>
      </c>
      <c r="M30" s="1984">
        <v>0.31</v>
      </c>
      <c r="N30" s="1984">
        <v>0.32</v>
      </c>
      <c r="O30" s="1984">
        <v>0.34</v>
      </c>
      <c r="P30" s="1984">
        <v>0.36</v>
      </c>
      <c r="Q30" s="1984">
        <v>0.38</v>
      </c>
      <c r="R30" s="1984">
        <v>0.4</v>
      </c>
      <c r="S30" s="1984">
        <v>0.42</v>
      </c>
      <c r="T30" s="1984">
        <v>0.45</v>
      </c>
      <c r="U30" s="1984">
        <v>0.49</v>
      </c>
      <c r="V30" s="1984">
        <v>0.54</v>
      </c>
      <c r="W30" s="1984">
        <v>0.55000000000000004</v>
      </c>
      <c r="X30" s="1984">
        <v>0.57999999999999996</v>
      </c>
      <c r="Y30" s="1984">
        <v>0.6</v>
      </c>
      <c r="Z30" s="1984">
        <v>0.75</v>
      </c>
      <c r="AA30" s="1984">
        <v>1</v>
      </c>
      <c r="AB30" s="1955"/>
      <c r="AC30" s="1955"/>
      <c r="AD30" s="1955"/>
      <c r="AE30" s="1955"/>
      <c r="AF30" s="1955"/>
      <c r="AG30" s="1955"/>
      <c r="AH30" s="1956"/>
      <c r="AI30" s="1955"/>
      <c r="AJ30" s="1955"/>
      <c r="AK30" s="1955"/>
      <c r="AL30" s="1955"/>
      <c r="AM30" s="1955"/>
      <c r="AN30" s="1955"/>
      <c r="AO30" s="1955"/>
      <c r="AP30" s="1955"/>
    </row>
    <row r="31" spans="1:42" s="410" customFormat="1" ht="15.75" thickBot="1">
      <c r="A31" s="1955"/>
      <c r="B31" s="1955"/>
      <c r="C31" s="1955"/>
      <c r="D31" s="1955"/>
      <c r="E31" s="1955"/>
      <c r="F31" s="1955"/>
      <c r="G31" s="1955"/>
      <c r="H31" s="1955"/>
      <c r="I31" s="1955"/>
      <c r="J31" s="1955"/>
      <c r="K31" s="1955"/>
      <c r="L31" s="1955"/>
      <c r="M31" s="1955"/>
      <c r="N31" s="1955"/>
      <c r="O31" s="1955"/>
      <c r="P31" s="1955"/>
      <c r="Q31" s="1955"/>
      <c r="R31" s="1955"/>
      <c r="S31" s="1955"/>
      <c r="T31" s="1955"/>
      <c r="U31" s="1955"/>
      <c r="V31" s="1955"/>
      <c r="W31" s="1955"/>
      <c r="X31" s="1955"/>
      <c r="Y31" s="1955"/>
      <c r="Z31" s="1955"/>
      <c r="AA31" s="1955"/>
      <c r="AB31" s="1955"/>
      <c r="AC31" s="1955"/>
      <c r="AD31" s="1955"/>
      <c r="AE31" s="1955"/>
      <c r="AF31" s="1955"/>
      <c r="AG31" s="1955"/>
      <c r="AH31" s="1955"/>
      <c r="AI31" s="1955"/>
      <c r="AJ31" s="1955"/>
      <c r="AK31" s="1955"/>
      <c r="AL31" s="1955"/>
      <c r="AM31" s="1955"/>
      <c r="AN31" s="1955"/>
      <c r="AO31" s="1955"/>
      <c r="AP31" s="1955"/>
    </row>
    <row r="32" spans="1:42" s="410" customFormat="1" ht="17.25" thickBot="1">
      <c r="A32" s="1955"/>
      <c r="B32" s="3137" t="s">
        <v>60</v>
      </c>
      <c r="C32" s="3138"/>
      <c r="D32" s="1990" t="s">
        <v>40</v>
      </c>
      <c r="E32" s="1987" t="s">
        <v>46</v>
      </c>
      <c r="F32" s="1991">
        <f>IF(E32=F42,50*F30,IF(E32=F43,35*F30,5*F30))</f>
        <v>9791.25</v>
      </c>
      <c r="G32" s="1992" t="s">
        <v>42</v>
      </c>
      <c r="H32" s="1962" t="s">
        <v>2036</v>
      </c>
      <c r="I32" s="1955"/>
      <c r="J32" s="1955"/>
      <c r="K32" s="1955"/>
      <c r="L32" s="1955"/>
      <c r="M32" s="1955"/>
      <c r="N32" s="1955"/>
      <c r="O32" s="1955"/>
      <c r="P32" s="1955"/>
      <c r="Q32" s="1955"/>
      <c r="R32" s="1955"/>
      <c r="S32" s="1955"/>
      <c r="T32" s="1963" t="s">
        <v>720</v>
      </c>
      <c r="U32" s="1960" t="s">
        <v>43</v>
      </c>
      <c r="V32" s="1960"/>
      <c r="W32" s="1960"/>
      <c r="X32" s="1960"/>
      <c r="Y32" s="1960"/>
      <c r="Z32" s="1960"/>
      <c r="AA32" s="1960"/>
      <c r="AB32" s="1960"/>
      <c r="AC32" s="1960"/>
      <c r="AD32" s="1960"/>
      <c r="AE32" s="1960"/>
      <c r="AF32" s="1960"/>
      <c r="AG32" s="1955"/>
      <c r="AH32" s="1955"/>
      <c r="AI32" s="1955"/>
      <c r="AJ32" s="1955"/>
      <c r="AK32" s="1955"/>
      <c r="AL32" s="1955"/>
      <c r="AM32" s="1955"/>
      <c r="AN32" s="1955"/>
      <c r="AO32" s="1955"/>
      <c r="AP32" s="1955"/>
    </row>
    <row r="33" spans="1:43" s="410" customFormat="1" ht="17.25" thickBot="1">
      <c r="A33" s="1955"/>
      <c r="B33" s="1955"/>
      <c r="C33" s="1955"/>
      <c r="D33" s="1955"/>
      <c r="E33" s="1955"/>
      <c r="F33" s="2000">
        <f>F32/860</f>
        <v>11.385174418604651</v>
      </c>
      <c r="G33" s="1992" t="s">
        <v>77</v>
      </c>
      <c r="H33" s="1955"/>
      <c r="I33" s="1955"/>
      <c r="J33" s="1955"/>
      <c r="K33" s="1955"/>
      <c r="L33" s="1955"/>
      <c r="M33" s="1955"/>
      <c r="N33" s="1955"/>
      <c r="O33" s="1955"/>
      <c r="P33" s="1955"/>
      <c r="Q33" s="1955"/>
      <c r="R33" s="1955"/>
      <c r="S33" s="1955"/>
      <c r="T33" s="1955"/>
      <c r="U33" s="1960" t="s">
        <v>44</v>
      </c>
      <c r="V33" s="1960"/>
      <c r="W33" s="1960"/>
      <c r="X33" s="1960"/>
      <c r="Y33" s="1960"/>
      <c r="Z33" s="1960"/>
      <c r="AA33" s="1960"/>
      <c r="AB33" s="1960"/>
      <c r="AC33" s="1960"/>
      <c r="AD33" s="1960"/>
      <c r="AE33" s="1960"/>
      <c r="AF33" s="1960"/>
      <c r="AG33" s="1955"/>
      <c r="AH33" s="1955"/>
      <c r="AI33" s="1955"/>
      <c r="AJ33" s="1955"/>
      <c r="AK33" s="1955"/>
      <c r="AL33" s="1955"/>
      <c r="AM33" s="1955"/>
      <c r="AN33" s="1955"/>
      <c r="AO33" s="1955"/>
      <c r="AP33" s="1955"/>
    </row>
    <row r="34" spans="1:43" s="410" customFormat="1" ht="18.75" thickBot="1">
      <c r="A34" s="1955"/>
      <c r="B34" s="3137" t="s">
        <v>719</v>
      </c>
      <c r="C34" s="3138"/>
      <c r="D34" s="3138"/>
      <c r="E34" s="3139"/>
      <c r="F34" s="1993">
        <f>F33/17</f>
        <v>0.66971614227086185</v>
      </c>
      <c r="G34" s="1989" t="s">
        <v>3</v>
      </c>
      <c r="H34" s="1955"/>
      <c r="I34" s="1955"/>
      <c r="J34" s="1955"/>
      <c r="K34" s="1955"/>
      <c r="L34" s="1955"/>
      <c r="M34" s="1955"/>
      <c r="N34" s="1955"/>
      <c r="O34" s="1955"/>
      <c r="P34" s="1955"/>
      <c r="Q34" s="1955"/>
      <c r="R34" s="1955"/>
      <c r="S34" s="1955"/>
      <c r="T34" s="1955"/>
      <c r="U34" s="1960" t="s">
        <v>45</v>
      </c>
      <c r="V34" s="1960"/>
      <c r="W34" s="1960"/>
      <c r="X34" s="1960"/>
      <c r="Y34" s="1960"/>
      <c r="Z34" s="1960"/>
      <c r="AA34" s="1960"/>
      <c r="AB34" s="1960"/>
      <c r="AC34" s="1960"/>
      <c r="AD34" s="1960"/>
      <c r="AE34" s="1960"/>
      <c r="AF34" s="1960"/>
      <c r="AG34" s="1955"/>
      <c r="AH34" s="1955"/>
      <c r="AI34" s="1955"/>
      <c r="AJ34" s="1955"/>
      <c r="AK34" s="1955"/>
      <c r="AL34" s="1955"/>
      <c r="AM34" s="1955"/>
      <c r="AN34" s="1955"/>
      <c r="AO34" s="1955"/>
      <c r="AP34" s="1955"/>
    </row>
    <row r="35" spans="1:43" s="410" customFormat="1">
      <c r="A35" s="1955"/>
      <c r="B35" s="1955"/>
      <c r="C35" s="1955"/>
      <c r="D35" s="1955"/>
      <c r="E35" s="1955"/>
      <c r="F35" s="1955"/>
      <c r="G35" s="1955"/>
      <c r="H35" s="1955"/>
      <c r="I35" s="1955"/>
      <c r="J35" s="1955"/>
      <c r="K35" s="1955"/>
      <c r="L35" s="1955"/>
      <c r="M35" s="1955"/>
      <c r="N35" s="1955"/>
      <c r="O35" s="1955"/>
      <c r="P35" s="1955"/>
      <c r="Q35" s="1955"/>
      <c r="R35" s="1955"/>
      <c r="S35" s="1955"/>
      <c r="T35" s="1955"/>
      <c r="U35" s="1955"/>
      <c r="V35" s="1955"/>
      <c r="W35" s="1955"/>
      <c r="X35" s="1955"/>
      <c r="Y35" s="1955"/>
      <c r="Z35" s="1955"/>
      <c r="AA35" s="1955"/>
      <c r="AB35" s="1955"/>
      <c r="AC35" s="1955"/>
      <c r="AD35" s="1955"/>
      <c r="AE35" s="1955"/>
      <c r="AF35" s="1955"/>
      <c r="AG35" s="1955"/>
      <c r="AH35" s="1955"/>
      <c r="AI35" s="1955"/>
      <c r="AJ35" s="1955"/>
      <c r="AK35" s="1955"/>
      <c r="AL35" s="1955"/>
      <c r="AM35" s="1955"/>
      <c r="AN35" s="1955"/>
      <c r="AO35" s="1955"/>
      <c r="AP35" s="1955"/>
    </row>
    <row r="36" spans="1:43" s="410" customFormat="1" ht="15.75" thickBot="1">
      <c r="A36" s="1955"/>
      <c r="B36" s="1955"/>
      <c r="C36" s="1955"/>
      <c r="D36" s="1955"/>
      <c r="E36" s="1955"/>
      <c r="F36" s="1955"/>
      <c r="G36" s="1955"/>
      <c r="H36" s="1955"/>
      <c r="I36" s="1955"/>
      <c r="J36" s="1955"/>
      <c r="K36" s="1955"/>
      <c r="L36" s="1955"/>
      <c r="M36" s="1955"/>
      <c r="N36" s="1955"/>
      <c r="O36" s="1955"/>
      <c r="P36" s="1955"/>
      <c r="Q36" s="1955"/>
      <c r="R36" s="1955"/>
      <c r="S36" s="1955"/>
      <c r="T36" s="1955"/>
      <c r="U36" s="1955"/>
      <c r="V36" s="1955"/>
      <c r="W36" s="1955"/>
      <c r="X36" s="1955"/>
      <c r="Y36" s="1955"/>
      <c r="Z36" s="1955"/>
      <c r="AA36" s="1955"/>
      <c r="AB36" s="1955"/>
      <c r="AC36" s="1955"/>
      <c r="AD36" s="1955"/>
      <c r="AE36" s="1955"/>
      <c r="AF36" s="1955"/>
      <c r="AG36" s="1955"/>
      <c r="AH36" s="1955"/>
      <c r="AI36" s="1955"/>
      <c r="AJ36" s="1955"/>
      <c r="AK36" s="1955"/>
      <c r="AL36" s="1955"/>
      <c r="AM36" s="1955"/>
      <c r="AN36" s="1955"/>
      <c r="AO36" s="1955"/>
      <c r="AP36" s="1955"/>
    </row>
    <row r="37" spans="1:43" s="410" customFormat="1" ht="21.75" thickBot="1">
      <c r="A37" s="1955"/>
      <c r="B37" s="3140" t="s">
        <v>2034</v>
      </c>
      <c r="C37" s="3141"/>
      <c r="D37" s="3141"/>
      <c r="E37" s="3141"/>
      <c r="F37" s="1994">
        <f>F30*F28</f>
        <v>195.82499999999999</v>
      </c>
      <c r="G37" s="1989" t="s">
        <v>36</v>
      </c>
      <c r="H37" s="1964" t="s">
        <v>2035</v>
      </c>
      <c r="I37" s="1955"/>
      <c r="J37" s="1955"/>
      <c r="K37" s="1955"/>
      <c r="L37" s="1955"/>
      <c r="M37" s="1955"/>
      <c r="N37" s="1965"/>
      <c r="O37" s="1955"/>
      <c r="P37" s="1955"/>
      <c r="Q37" s="1955"/>
      <c r="R37" s="1955"/>
      <c r="S37" s="1955"/>
      <c r="T37" s="1955"/>
      <c r="U37" s="1955"/>
      <c r="V37" s="1955"/>
      <c r="W37" s="1955"/>
      <c r="X37" s="1955"/>
      <c r="Y37" s="1955"/>
      <c r="Z37" s="1955"/>
      <c r="AA37" s="1955"/>
      <c r="AB37" s="1955"/>
      <c r="AC37" s="1955"/>
      <c r="AD37" s="1955"/>
      <c r="AE37" s="1955"/>
      <c r="AF37" s="1955"/>
      <c r="AG37" s="1955"/>
      <c r="AH37" s="1955"/>
      <c r="AI37" s="1955"/>
      <c r="AJ37" s="1955"/>
      <c r="AK37" s="1955"/>
      <c r="AL37" s="1955"/>
      <c r="AM37" s="1955"/>
      <c r="AN37" s="1955"/>
      <c r="AO37" s="1955"/>
      <c r="AP37" s="1955"/>
    </row>
    <row r="38" spans="1:43" s="410" customFormat="1">
      <c r="A38" s="1955"/>
      <c r="B38" s="1955"/>
      <c r="C38" s="1955"/>
      <c r="D38" s="1955"/>
      <c r="E38" s="1955"/>
      <c r="F38" s="1955"/>
      <c r="G38" s="1955"/>
      <c r="H38" s="1955"/>
      <c r="I38" s="1955"/>
      <c r="J38" s="1955"/>
      <c r="K38" s="1960"/>
      <c r="L38" s="1960"/>
      <c r="M38" s="1960"/>
      <c r="N38" s="1960"/>
      <c r="O38" s="1960"/>
      <c r="P38" s="1960"/>
      <c r="Q38" s="1960"/>
      <c r="R38" s="1960"/>
      <c r="S38" s="1960"/>
      <c r="T38" s="1960"/>
      <c r="U38" s="1960"/>
      <c r="V38" s="1960"/>
      <c r="W38" s="1960"/>
      <c r="X38" s="1960"/>
      <c r="Y38" s="1960"/>
      <c r="Z38" s="1960"/>
      <c r="AA38" s="1960"/>
      <c r="AB38" s="1960"/>
      <c r="AC38" s="1960"/>
      <c r="AD38" s="1960"/>
      <c r="AE38" s="1955"/>
      <c r="AF38" s="1955"/>
      <c r="AG38" s="1955"/>
      <c r="AH38" s="1955"/>
      <c r="AI38" s="1955"/>
      <c r="AJ38" s="1955"/>
      <c r="AK38" s="1955"/>
      <c r="AL38" s="1955"/>
      <c r="AM38" s="1955"/>
      <c r="AN38" s="1955"/>
      <c r="AO38" s="1955"/>
      <c r="AP38" s="1955"/>
    </row>
    <row r="39" spans="1:43" s="410" customFormat="1" ht="15" customHeight="1" thickBot="1">
      <c r="A39" s="1955"/>
      <c r="B39" s="1955"/>
      <c r="C39" s="1955"/>
      <c r="D39" s="1955"/>
      <c r="E39" s="1955"/>
      <c r="F39" s="1955"/>
      <c r="G39" s="1955"/>
      <c r="H39" s="1955"/>
      <c r="I39" s="1955"/>
      <c r="J39" s="1955"/>
      <c r="K39" s="1960"/>
      <c r="L39" s="1960"/>
      <c r="M39" s="1960"/>
      <c r="N39" s="1960"/>
      <c r="O39" s="1960"/>
      <c r="P39" s="1960"/>
      <c r="Q39" s="1960"/>
      <c r="R39" s="1960"/>
      <c r="S39" s="1960"/>
      <c r="T39" s="1960"/>
      <c r="U39" s="1960"/>
      <c r="V39" s="1960"/>
      <c r="W39" s="1960"/>
      <c r="X39" s="1960"/>
      <c r="Y39" s="1955"/>
      <c r="Z39" s="1955"/>
      <c r="AA39" s="1955"/>
      <c r="AB39" s="1955"/>
      <c r="AC39" s="1955"/>
      <c r="AD39" s="1955"/>
      <c r="AE39" s="1955"/>
      <c r="AF39" s="1955"/>
      <c r="AG39" s="1955"/>
      <c r="AH39" s="1955"/>
      <c r="AI39" s="1955"/>
      <c r="AJ39" s="1955"/>
      <c r="AK39" s="1955"/>
      <c r="AL39" s="1955"/>
      <c r="AM39" s="1955"/>
      <c r="AN39" s="1955"/>
      <c r="AO39" s="1955"/>
      <c r="AP39" s="1955"/>
    </row>
    <row r="40" spans="1:43" s="410" customFormat="1" ht="15" customHeight="1" thickBot="1">
      <c r="A40" s="3142" t="s">
        <v>1913</v>
      </c>
      <c r="B40" s="3142"/>
      <c r="C40" s="3142"/>
      <c r="D40" s="3142"/>
      <c r="E40" s="3142"/>
      <c r="F40" s="1955"/>
      <c r="G40" s="1955"/>
      <c r="H40" s="3143" t="s">
        <v>529</v>
      </c>
      <c r="I40" s="3144"/>
      <c r="J40" s="3144"/>
      <c r="K40" s="3144"/>
      <c r="L40" s="3144"/>
      <c r="M40" s="3144"/>
      <c r="N40" s="3144"/>
      <c r="O40" s="3145"/>
      <c r="P40" s="3146">
        <f>F30/1000</f>
        <v>0.27975</v>
      </c>
      <c r="Q40" s="3147"/>
      <c r="R40" s="3147"/>
      <c r="S40" s="3148" t="s">
        <v>2</v>
      </c>
      <c r="T40" s="3149"/>
      <c r="U40" s="1966" t="s">
        <v>1282</v>
      </c>
      <c r="V40" s="1960"/>
      <c r="W40" s="1960"/>
      <c r="X40" s="1960"/>
      <c r="Y40" s="1955"/>
      <c r="Z40" s="1955"/>
      <c r="AA40" s="1955"/>
      <c r="AB40" s="1955"/>
      <c r="AC40" s="1955"/>
      <c r="AD40" s="1955"/>
      <c r="AE40" s="1955"/>
      <c r="AF40" s="1955"/>
      <c r="AG40" s="1955"/>
      <c r="AH40" s="1955"/>
      <c r="AI40" s="1955"/>
      <c r="AJ40" s="1955"/>
      <c r="AK40" s="1955"/>
      <c r="AL40" s="1955"/>
      <c r="AM40" s="1955"/>
      <c r="AN40" s="1955"/>
      <c r="AO40" s="1955"/>
      <c r="AP40" s="1955"/>
    </row>
    <row r="41" spans="1:43" s="410" customFormat="1" ht="15" customHeight="1" thickBot="1">
      <c r="A41" s="3136" t="s">
        <v>17</v>
      </c>
      <c r="B41" s="3136"/>
      <c r="C41" s="3136"/>
      <c r="D41" s="3136"/>
      <c r="E41" s="3136"/>
      <c r="F41" s="1955"/>
      <c r="G41" s="1955"/>
      <c r="H41" s="1955"/>
      <c r="I41" s="1955"/>
      <c r="J41" s="1955"/>
      <c r="K41" s="1960"/>
      <c r="L41" s="1960"/>
      <c r="M41" s="1960"/>
      <c r="N41" s="1960"/>
      <c r="O41" s="1960"/>
      <c r="P41" s="1960"/>
      <c r="Q41" s="1960"/>
      <c r="R41" s="1960"/>
      <c r="S41" s="1960"/>
      <c r="T41" s="1960"/>
      <c r="U41" s="1960"/>
      <c r="V41" s="1960"/>
      <c r="W41" s="1960"/>
      <c r="X41" s="1960"/>
      <c r="Y41" s="1955"/>
      <c r="Z41" s="1955"/>
      <c r="AA41" s="1955"/>
      <c r="AB41" s="1955"/>
      <c r="AC41" s="1955"/>
      <c r="AD41" s="1955"/>
      <c r="AE41" s="1955"/>
      <c r="AF41" s="1955"/>
      <c r="AG41" s="1955"/>
      <c r="AH41" s="1955"/>
      <c r="AI41" s="1955"/>
      <c r="AJ41" s="1955"/>
      <c r="AK41" s="1955"/>
      <c r="AL41" s="1955"/>
      <c r="AM41" s="1955"/>
      <c r="AN41" s="1955"/>
      <c r="AO41" s="1955"/>
      <c r="AP41" s="1955"/>
    </row>
    <row r="42" spans="1:43" s="410" customFormat="1" ht="18.75" thickBot="1">
      <c r="A42" s="3158">
        <v>2026</v>
      </c>
      <c r="B42" s="3158"/>
      <c r="C42" s="3158"/>
      <c r="D42" s="3158"/>
      <c r="E42" s="3158"/>
      <c r="F42" s="1984" t="s">
        <v>41</v>
      </c>
      <c r="G42" s="1955"/>
      <c r="H42" s="3150" t="s">
        <v>721</v>
      </c>
      <c r="I42" s="3151"/>
      <c r="J42" s="3151"/>
      <c r="K42" s="3151"/>
      <c r="L42" s="3151"/>
      <c r="M42" s="3151"/>
      <c r="N42" s="3151"/>
      <c r="O42" s="3152"/>
      <c r="P42" s="3153">
        <v>3</v>
      </c>
      <c r="Q42" s="3154"/>
      <c r="R42" s="3154"/>
      <c r="S42" s="3155" t="s">
        <v>722</v>
      </c>
      <c r="T42" s="3156"/>
      <c r="U42" s="1955" t="s">
        <v>1280</v>
      </c>
      <c r="V42" s="1955"/>
      <c r="W42" s="1955"/>
      <c r="X42" s="1955"/>
      <c r="Y42" s="1955"/>
      <c r="Z42" s="1955"/>
      <c r="AA42" s="1955"/>
      <c r="AB42" s="1955"/>
      <c r="AC42" s="1955"/>
      <c r="AD42" s="1955"/>
      <c r="AE42" s="1955"/>
      <c r="AF42" s="1955"/>
      <c r="AG42" s="1955"/>
      <c r="AH42" s="1955"/>
      <c r="AI42" s="1955"/>
      <c r="AJ42" s="1955"/>
      <c r="AP42" s="1956"/>
      <c r="AQ42" s="1955"/>
    </row>
    <row r="43" spans="1:43" s="410" customFormat="1" ht="15.75" thickBot="1">
      <c r="A43" s="1955"/>
      <c r="B43" s="1955"/>
      <c r="C43" s="1955"/>
      <c r="D43" s="1955"/>
      <c r="E43" s="1955"/>
      <c r="F43" s="1984" t="s">
        <v>46</v>
      </c>
      <c r="G43" s="1955"/>
      <c r="H43" s="1965"/>
      <c r="I43" s="1955"/>
      <c r="J43" s="1955"/>
      <c r="K43" s="1955"/>
      <c r="L43" s="1955"/>
      <c r="M43" s="1955"/>
      <c r="N43" s="1955"/>
      <c r="O43" s="1955"/>
      <c r="P43" s="1955"/>
      <c r="Q43" s="1955"/>
      <c r="R43" s="1955"/>
      <c r="S43" s="1955"/>
      <c r="T43" s="1955"/>
      <c r="U43" s="1955" t="s">
        <v>1281</v>
      </c>
      <c r="V43" s="1955"/>
      <c r="W43" s="1955"/>
      <c r="X43" s="1955"/>
      <c r="Y43" s="1955"/>
      <c r="Z43" s="1955"/>
      <c r="AA43" s="1955"/>
      <c r="AB43" s="1955"/>
      <c r="AC43" s="1955"/>
      <c r="AD43" s="1955"/>
      <c r="AE43" s="1955"/>
      <c r="AF43" s="1955"/>
      <c r="AG43" s="1955"/>
      <c r="AH43" s="1955"/>
      <c r="AI43" s="1955"/>
      <c r="AJ43" s="1955"/>
      <c r="AP43" s="1955"/>
      <c r="AQ43" s="1955"/>
    </row>
    <row r="44" spans="1:43" s="410" customFormat="1" ht="18.75" customHeight="1" thickBot="1">
      <c r="A44" s="1955"/>
      <c r="B44" s="1955"/>
      <c r="C44" s="1955"/>
      <c r="D44" s="1955"/>
      <c r="E44" s="1955"/>
      <c r="F44" s="1999" t="s">
        <v>2054</v>
      </c>
      <c r="G44" s="1955"/>
      <c r="H44" s="3143" t="s">
        <v>723</v>
      </c>
      <c r="I44" s="3144"/>
      <c r="J44" s="3144"/>
      <c r="K44" s="3144"/>
      <c r="L44" s="3144"/>
      <c r="M44" s="3144"/>
      <c r="N44" s="3144"/>
      <c r="O44" s="3145"/>
      <c r="P44" s="3146">
        <f>P40*3</f>
        <v>0.83925000000000005</v>
      </c>
      <c r="Q44" s="3147"/>
      <c r="R44" s="3147"/>
      <c r="S44" s="3148" t="s">
        <v>2</v>
      </c>
      <c r="T44" s="3149"/>
      <c r="U44" s="3157" t="s">
        <v>718</v>
      </c>
      <c r="V44" s="3157"/>
      <c r="W44" s="3157"/>
      <c r="X44" s="3157"/>
      <c r="Y44" s="3157"/>
      <c r="Z44" s="3157"/>
      <c r="AA44" s="3157"/>
      <c r="AB44" s="1968" t="s">
        <v>287</v>
      </c>
      <c r="AC44" s="1955"/>
      <c r="AD44" s="1955"/>
      <c r="AE44" s="1955"/>
      <c r="AF44" s="1955"/>
      <c r="AG44" s="1955"/>
      <c r="AH44" s="1955"/>
      <c r="AI44" s="1955"/>
      <c r="AJ44" s="1955"/>
      <c r="AP44" s="1958"/>
      <c r="AQ44" s="1955"/>
    </row>
    <row r="45" spans="1:43" s="410" customFormat="1" ht="15" customHeight="1">
      <c r="A45" s="1955"/>
      <c r="B45" s="1955"/>
      <c r="C45" s="1955"/>
      <c r="D45" s="1955"/>
      <c r="E45" s="1955"/>
      <c r="F45" s="1965"/>
      <c r="G45" s="1955"/>
      <c r="H45" s="1955"/>
      <c r="I45" s="1955"/>
      <c r="J45" s="1955"/>
      <c r="K45" s="1955"/>
      <c r="L45" s="1955"/>
      <c r="M45" s="1955"/>
      <c r="N45" s="1955"/>
      <c r="O45" s="1955"/>
      <c r="P45" s="1955"/>
      <c r="Q45" s="1955"/>
      <c r="R45" s="1955"/>
      <c r="S45" s="1955"/>
      <c r="T45" s="1955"/>
      <c r="U45" s="3157"/>
      <c r="V45" s="3157"/>
      <c r="W45" s="3157"/>
      <c r="X45" s="3157"/>
      <c r="Y45" s="3157"/>
      <c r="Z45" s="3157"/>
      <c r="AA45" s="3157"/>
      <c r="AB45" s="1968" t="s">
        <v>289</v>
      </c>
      <c r="AC45" s="1955"/>
      <c r="AD45" s="1955"/>
      <c r="AE45" s="1955"/>
      <c r="AF45" s="1955"/>
      <c r="AG45" s="1955"/>
      <c r="AH45" s="1955"/>
      <c r="AI45" s="1955"/>
      <c r="AJ45" s="1955"/>
      <c r="AK45" s="1955"/>
      <c r="AL45" s="1955"/>
      <c r="AM45" s="1955"/>
      <c r="AN45" s="1955"/>
      <c r="AO45" s="1955"/>
      <c r="AP45" s="1955"/>
    </row>
    <row r="46" spans="1:43" s="410" customFormat="1" ht="15.75" customHeight="1">
      <c r="A46" s="1955"/>
      <c r="B46" s="1955"/>
      <c r="C46" s="1955"/>
      <c r="D46" s="1955"/>
      <c r="E46" s="1955"/>
      <c r="F46" s="1955"/>
      <c r="G46" s="1955"/>
      <c r="H46" s="1955"/>
      <c r="I46" s="1955"/>
      <c r="J46" s="1955"/>
      <c r="K46" s="1955"/>
      <c r="L46" s="1955"/>
      <c r="M46" s="1955"/>
      <c r="N46" s="1955"/>
      <c r="O46" s="1955"/>
      <c r="P46" s="1955"/>
      <c r="Q46" s="1955"/>
      <c r="R46" s="1955"/>
      <c r="S46" s="1955"/>
      <c r="T46" s="1955"/>
      <c r="U46" s="3157"/>
      <c r="V46" s="3157"/>
      <c r="W46" s="3157"/>
      <c r="X46" s="3157"/>
      <c r="Y46" s="3157"/>
      <c r="Z46" s="3157"/>
      <c r="AA46" s="3157"/>
      <c r="AB46" s="1968" t="s">
        <v>292</v>
      </c>
      <c r="AC46" s="1955"/>
      <c r="AD46" s="1955"/>
      <c r="AE46" s="1955"/>
      <c r="AF46" s="1955"/>
      <c r="AG46" s="1955"/>
      <c r="AH46" s="1955"/>
      <c r="AI46" s="1955"/>
      <c r="AJ46" s="1955"/>
      <c r="AK46" s="1955"/>
      <c r="AL46" s="1955"/>
      <c r="AM46" s="1955"/>
      <c r="AN46" s="1955"/>
      <c r="AO46" s="1955"/>
      <c r="AP46" s="1955"/>
    </row>
    <row r="47" spans="1:43" s="410" customFormat="1">
      <c r="A47" s="1955"/>
      <c r="B47" s="1955"/>
      <c r="C47" s="1955"/>
      <c r="D47" s="1955"/>
      <c r="E47" s="1955"/>
      <c r="F47" s="1955"/>
      <c r="G47" s="1955"/>
      <c r="H47" s="1955"/>
      <c r="I47" s="1955"/>
      <c r="J47" s="1955"/>
      <c r="K47" s="1955"/>
      <c r="L47" s="1955"/>
      <c r="M47" s="1955"/>
      <c r="N47" s="1955"/>
      <c r="O47" s="1955"/>
      <c r="P47" s="1955"/>
      <c r="Q47" s="1955"/>
      <c r="R47" s="1955"/>
      <c r="S47" s="1955"/>
      <c r="T47" s="1955"/>
      <c r="U47" s="1955"/>
      <c r="V47" s="1955"/>
      <c r="W47" s="1955"/>
      <c r="X47" s="1955"/>
      <c r="Y47" s="1955"/>
      <c r="Z47" s="1955"/>
      <c r="AA47" s="1955"/>
      <c r="AB47" s="1955"/>
      <c r="AC47" s="1955"/>
      <c r="AD47" s="1955"/>
      <c r="AE47" s="1955"/>
      <c r="AF47" s="1955"/>
      <c r="AG47" s="1955"/>
      <c r="AH47" s="1955"/>
      <c r="AI47" s="1955"/>
      <c r="AJ47" s="1955"/>
      <c r="AK47" s="1955"/>
      <c r="AL47" s="1955"/>
      <c r="AM47" s="1955"/>
      <c r="AN47" s="1955"/>
      <c r="AO47" s="1955"/>
      <c r="AP47" s="1955"/>
    </row>
    <row r="48" spans="1:43" s="410" customFormat="1">
      <c r="A48" s="1955"/>
      <c r="B48" s="1955"/>
      <c r="C48" s="1955"/>
      <c r="D48" s="1955"/>
      <c r="E48" s="1955"/>
      <c r="F48" s="1955"/>
      <c r="G48" s="1955"/>
      <c r="H48" s="1955"/>
      <c r="I48" s="1955"/>
      <c r="J48" s="1955"/>
      <c r="K48" s="1955"/>
      <c r="L48" s="1955"/>
      <c r="M48" s="1955"/>
      <c r="N48" s="1955"/>
      <c r="O48" s="1955"/>
      <c r="P48" s="1955"/>
      <c r="Q48" s="1955"/>
      <c r="R48" s="1955"/>
      <c r="S48" s="1955"/>
      <c r="T48" s="1955"/>
      <c r="U48" s="1955"/>
      <c r="V48" s="1955"/>
      <c r="W48" s="1955"/>
      <c r="X48" s="1955"/>
      <c r="Y48" s="1955"/>
      <c r="Z48" s="1955"/>
      <c r="AA48" s="1955"/>
      <c r="AB48" s="1955"/>
      <c r="AC48" s="1955"/>
      <c r="AD48" s="1955"/>
      <c r="AE48" s="1955"/>
      <c r="AF48" s="1955"/>
      <c r="AG48" s="1955"/>
      <c r="AH48" s="1955"/>
      <c r="AI48" s="1955"/>
      <c r="AJ48" s="1955"/>
      <c r="AK48" s="1955"/>
      <c r="AL48" s="1955"/>
      <c r="AM48" s="1955"/>
      <c r="AN48" s="1955"/>
      <c r="AO48" s="1955"/>
      <c r="AP48" s="1955"/>
    </row>
    <row r="49" spans="1:42" s="410" customFormat="1">
      <c r="A49" s="1955"/>
      <c r="B49" s="1955"/>
      <c r="C49" s="1955"/>
      <c r="D49" s="1955"/>
      <c r="E49" s="1955"/>
      <c r="F49" s="1955"/>
      <c r="G49" s="1955"/>
      <c r="H49" s="1955"/>
      <c r="I49" s="1955"/>
      <c r="J49" s="1955"/>
      <c r="K49" s="1955"/>
      <c r="L49" s="1955"/>
      <c r="M49" s="1955"/>
      <c r="N49" s="1955"/>
      <c r="O49" s="1955"/>
      <c r="P49" s="1955"/>
      <c r="Q49" s="1955"/>
      <c r="R49" s="1955"/>
      <c r="S49" s="1955"/>
      <c r="T49" s="1955"/>
      <c r="U49" s="1955"/>
      <c r="V49" s="1955"/>
      <c r="W49" s="1955"/>
      <c r="X49" s="1955"/>
      <c r="Y49" s="1955"/>
      <c r="Z49" s="1955"/>
      <c r="AA49" s="1955"/>
      <c r="AB49" s="1955"/>
      <c r="AC49" s="1955"/>
      <c r="AD49" s="1955"/>
      <c r="AE49" s="1955"/>
      <c r="AF49" s="1955"/>
      <c r="AG49" s="1955"/>
      <c r="AH49" s="1955"/>
      <c r="AI49" s="1955"/>
      <c r="AJ49" s="1955"/>
      <c r="AK49" s="1955"/>
      <c r="AL49" s="1955"/>
      <c r="AM49" s="1955"/>
      <c r="AN49" s="1955"/>
      <c r="AO49" s="1955"/>
      <c r="AP49" s="1955"/>
    </row>
    <row r="50" spans="1:42" s="410" customFormat="1">
      <c r="A50" s="1955"/>
      <c r="B50" s="1955"/>
      <c r="C50" s="1955"/>
      <c r="D50" s="1955"/>
      <c r="E50" s="1955"/>
      <c r="F50" s="1955"/>
      <c r="G50" s="1955"/>
      <c r="H50" s="1955"/>
      <c r="I50" s="1955"/>
      <c r="J50" s="1955"/>
      <c r="K50" s="1955"/>
      <c r="L50" s="1955"/>
      <c r="M50" s="1955"/>
      <c r="N50" s="1955"/>
      <c r="O50" s="1955"/>
      <c r="P50" s="1955"/>
      <c r="Q50" s="1955"/>
      <c r="R50" s="1955"/>
      <c r="S50" s="1955"/>
      <c r="T50" s="1955"/>
      <c r="U50" s="1955"/>
      <c r="V50" s="1955"/>
      <c r="W50" s="1955"/>
      <c r="X50" s="1955"/>
      <c r="Y50" s="1955"/>
      <c r="Z50" s="1955"/>
      <c r="AA50" s="1955"/>
      <c r="AB50" s="1955"/>
      <c r="AC50" s="1955"/>
      <c r="AD50" s="1955"/>
      <c r="AE50" s="1955"/>
      <c r="AF50" s="1955"/>
      <c r="AG50" s="1955"/>
      <c r="AH50" s="1955"/>
      <c r="AI50" s="1955"/>
      <c r="AJ50" s="1955"/>
      <c r="AK50" s="1955"/>
      <c r="AL50" s="1955"/>
      <c r="AM50" s="1955"/>
      <c r="AN50" s="1955"/>
      <c r="AO50" s="1955"/>
      <c r="AP50" s="1955"/>
    </row>
    <row r="51" spans="1:42" s="410" customFormat="1">
      <c r="A51" s="1955"/>
      <c r="B51" s="1955"/>
      <c r="C51" s="1955"/>
      <c r="D51" s="1955"/>
      <c r="E51" s="1955"/>
      <c r="F51" s="1955"/>
      <c r="G51" s="1955"/>
      <c r="H51" s="1955"/>
      <c r="I51" s="1955"/>
      <c r="J51" s="1955"/>
      <c r="K51" s="1955"/>
      <c r="L51" s="1955"/>
      <c r="M51" s="1955"/>
      <c r="N51" s="1955"/>
      <c r="O51" s="1955"/>
      <c r="P51" s="1955"/>
      <c r="Q51" s="1955"/>
      <c r="R51" s="1955"/>
      <c r="S51" s="1955"/>
      <c r="T51" s="1955"/>
      <c r="U51" s="1955"/>
      <c r="V51" s="1955"/>
      <c r="W51" s="1955"/>
      <c r="X51" s="1955"/>
      <c r="Y51" s="1955"/>
      <c r="Z51" s="1955"/>
      <c r="AA51" s="1955"/>
      <c r="AB51" s="1955"/>
      <c r="AC51" s="1955"/>
      <c r="AD51" s="1955"/>
      <c r="AE51" s="1955"/>
      <c r="AF51" s="1955"/>
      <c r="AG51" s="1955"/>
      <c r="AH51" s="1955"/>
      <c r="AI51" s="1955"/>
      <c r="AJ51" s="1955"/>
      <c r="AK51" s="1955"/>
      <c r="AL51" s="1955"/>
      <c r="AM51" s="1955"/>
      <c r="AN51" s="1955"/>
      <c r="AO51" s="1955"/>
      <c r="AP51" s="1955"/>
    </row>
    <row r="52" spans="1:42" s="410" customFormat="1">
      <c r="A52" s="1955"/>
      <c r="B52" s="1955"/>
      <c r="C52" s="1955"/>
      <c r="D52" s="1955"/>
      <c r="E52" s="1955"/>
      <c r="F52" s="1955"/>
      <c r="G52" s="1955"/>
      <c r="H52" s="1955"/>
      <c r="I52" s="1955"/>
      <c r="J52" s="1955"/>
      <c r="K52" s="1955"/>
      <c r="L52" s="1955"/>
      <c r="M52" s="1955"/>
      <c r="N52" s="1955"/>
      <c r="O52" s="1955"/>
      <c r="P52" s="1955"/>
      <c r="Q52" s="1955"/>
      <c r="R52" s="1955"/>
      <c r="S52" s="1955"/>
      <c r="T52" s="1955"/>
      <c r="U52" s="1955"/>
      <c r="V52" s="1955"/>
      <c r="W52" s="1955"/>
      <c r="X52" s="1955"/>
      <c r="Y52" s="1955"/>
      <c r="Z52" s="1955"/>
      <c r="AA52" s="1955"/>
      <c r="AB52" s="1955"/>
      <c r="AC52" s="1955"/>
      <c r="AD52" s="1955"/>
      <c r="AE52" s="1955"/>
      <c r="AF52" s="1955"/>
      <c r="AG52" s="1955"/>
      <c r="AH52" s="1955"/>
      <c r="AI52" s="1955"/>
      <c r="AJ52" s="1955"/>
      <c r="AK52" s="1955"/>
      <c r="AL52" s="1955"/>
      <c r="AM52" s="1955"/>
      <c r="AN52" s="1955"/>
      <c r="AO52" s="1955"/>
      <c r="AP52" s="1955"/>
    </row>
    <row r="53" spans="1:42" s="410" customFormat="1">
      <c r="A53" s="1955"/>
      <c r="B53" s="1955"/>
      <c r="C53" s="1955"/>
      <c r="D53" s="1955"/>
      <c r="E53" s="1955"/>
      <c r="F53" s="1955"/>
      <c r="G53" s="1955"/>
      <c r="H53" s="1955"/>
      <c r="I53" s="1955"/>
      <c r="J53" s="1955"/>
      <c r="K53" s="1955"/>
      <c r="L53" s="1955"/>
      <c r="M53" s="1955"/>
      <c r="N53" s="1955"/>
      <c r="O53" s="1955"/>
      <c r="P53" s="1955"/>
      <c r="Q53" s="1955"/>
      <c r="R53" s="1955"/>
      <c r="S53" s="1955"/>
      <c r="T53" s="1955"/>
      <c r="U53" s="1955"/>
      <c r="V53" s="1955"/>
      <c r="W53" s="1955"/>
      <c r="X53" s="1955"/>
      <c r="Y53" s="1955"/>
      <c r="Z53" s="1955"/>
      <c r="AA53" s="1955"/>
      <c r="AB53" s="1955"/>
      <c r="AC53" s="1955"/>
      <c r="AD53" s="1955"/>
      <c r="AE53" s="1955"/>
      <c r="AF53" s="1955"/>
      <c r="AG53" s="1955"/>
      <c r="AH53" s="1955"/>
      <c r="AI53" s="1955"/>
      <c r="AJ53" s="1955"/>
      <c r="AK53" s="1955"/>
      <c r="AL53" s="1955"/>
      <c r="AM53" s="1955"/>
      <c r="AN53" s="1955"/>
      <c r="AO53" s="1955"/>
      <c r="AP53" s="1955"/>
    </row>
    <row r="54" spans="1:42" s="410" customFormat="1">
      <c r="A54" s="1955"/>
      <c r="B54" s="1955"/>
      <c r="C54" s="1955"/>
      <c r="D54" s="1955"/>
      <c r="E54" s="1955"/>
      <c r="F54" s="1955"/>
      <c r="G54" s="1955"/>
      <c r="H54" s="1955"/>
      <c r="I54" s="1955"/>
      <c r="J54" s="1955"/>
      <c r="K54" s="1955"/>
      <c r="L54" s="1955"/>
      <c r="M54" s="1955"/>
      <c r="N54" s="1955"/>
      <c r="O54" s="1955"/>
      <c r="P54" s="1955"/>
      <c r="Q54" s="1955"/>
      <c r="R54" s="1955"/>
      <c r="S54" s="1955"/>
      <c r="T54" s="1955"/>
      <c r="U54" s="1955"/>
      <c r="V54" s="1955"/>
      <c r="W54" s="1955"/>
      <c r="X54" s="1955"/>
      <c r="Y54" s="1955"/>
      <c r="Z54" s="1955"/>
      <c r="AA54" s="1955"/>
      <c r="AB54" s="1955"/>
      <c r="AC54" s="1955"/>
      <c r="AD54" s="1955"/>
      <c r="AE54" s="1955"/>
      <c r="AF54" s="1955"/>
      <c r="AG54" s="1955"/>
      <c r="AH54" s="1955"/>
      <c r="AI54" s="1955"/>
      <c r="AJ54" s="1955"/>
      <c r="AK54" s="1955"/>
      <c r="AL54" s="1955"/>
      <c r="AM54" s="1955"/>
      <c r="AN54" s="1955"/>
      <c r="AO54" s="1955"/>
      <c r="AP54" s="1955"/>
    </row>
    <row r="55" spans="1:42" s="410" customFormat="1">
      <c r="A55" s="1955"/>
      <c r="B55" s="1955"/>
      <c r="C55" s="1955"/>
      <c r="D55" s="1955"/>
      <c r="E55" s="1955"/>
      <c r="F55" s="1955"/>
      <c r="G55" s="1955"/>
      <c r="H55" s="1955"/>
      <c r="I55" s="1955"/>
      <c r="J55" s="1955"/>
      <c r="K55" s="1955"/>
      <c r="L55" s="1955"/>
      <c r="M55" s="1955"/>
      <c r="N55" s="1955"/>
      <c r="O55" s="1955"/>
      <c r="P55" s="1955"/>
      <c r="Q55" s="1955"/>
      <c r="R55" s="1955"/>
      <c r="S55" s="1955"/>
      <c r="T55" s="1955"/>
      <c r="U55" s="1955"/>
      <c r="V55" s="1955"/>
      <c r="W55" s="1955"/>
      <c r="X55" s="1955"/>
      <c r="Y55" s="1955"/>
      <c r="Z55" s="1955"/>
      <c r="AA55" s="1955"/>
      <c r="AB55" s="1955"/>
      <c r="AC55" s="1955"/>
      <c r="AD55" s="1955"/>
      <c r="AE55" s="1955"/>
      <c r="AF55" s="1955"/>
      <c r="AG55" s="1955"/>
      <c r="AH55" s="1955"/>
      <c r="AI55" s="1955"/>
      <c r="AJ55" s="1955"/>
      <c r="AK55" s="1955"/>
      <c r="AL55" s="1955"/>
      <c r="AM55" s="1955"/>
      <c r="AN55" s="1955"/>
      <c r="AO55" s="1955"/>
      <c r="AP55" s="1955"/>
    </row>
    <row r="56" spans="1:42" s="410" customFormat="1">
      <c r="A56" s="1955"/>
      <c r="B56" s="1955"/>
      <c r="C56" s="1955"/>
      <c r="D56" s="1955"/>
      <c r="E56" s="1955"/>
      <c r="F56" s="1955"/>
      <c r="G56" s="1955"/>
      <c r="H56" s="1955"/>
      <c r="I56" s="1955"/>
      <c r="J56" s="1955"/>
      <c r="K56" s="1955"/>
      <c r="L56" s="1955"/>
      <c r="M56" s="1955"/>
      <c r="N56" s="1955"/>
      <c r="O56" s="1955"/>
      <c r="P56" s="1955"/>
      <c r="Q56" s="1955"/>
      <c r="R56" s="1955"/>
      <c r="S56" s="1955"/>
      <c r="T56" s="1955"/>
      <c r="U56" s="1955"/>
      <c r="V56" s="1955"/>
      <c r="W56" s="1955"/>
      <c r="X56" s="1955"/>
      <c r="Y56" s="1955"/>
      <c r="Z56" s="1955"/>
      <c r="AA56" s="1955"/>
      <c r="AB56" s="1955"/>
      <c r="AC56" s="1955"/>
      <c r="AD56" s="1955"/>
      <c r="AE56" s="1955"/>
      <c r="AF56" s="1955"/>
      <c r="AG56" s="1955"/>
      <c r="AH56" s="1955"/>
      <c r="AI56" s="1955"/>
      <c r="AJ56" s="1955"/>
      <c r="AK56" s="1955"/>
      <c r="AL56" s="1955"/>
      <c r="AM56" s="1955"/>
      <c r="AN56" s="1955"/>
      <c r="AO56" s="1955"/>
      <c r="AP56" s="1955"/>
    </row>
    <row r="57" spans="1:42" s="410" customFormat="1">
      <c r="A57" s="1955"/>
      <c r="B57" s="1955"/>
      <c r="C57" s="1955"/>
      <c r="D57" s="1955"/>
      <c r="E57" s="1955"/>
      <c r="F57" s="1955"/>
      <c r="G57" s="1955"/>
      <c r="H57" s="1955"/>
      <c r="I57" s="1955"/>
      <c r="J57" s="1955"/>
      <c r="K57" s="1955"/>
      <c r="L57" s="1955"/>
      <c r="M57" s="1955"/>
      <c r="N57" s="1955"/>
      <c r="O57" s="1955"/>
      <c r="P57" s="1955"/>
      <c r="Q57" s="1955"/>
      <c r="R57" s="1955"/>
      <c r="S57" s="1955"/>
      <c r="T57" s="1955"/>
      <c r="U57" s="1955"/>
      <c r="V57" s="1955"/>
      <c r="W57" s="1955"/>
      <c r="X57" s="1955"/>
      <c r="Y57" s="1955"/>
      <c r="Z57" s="1955"/>
      <c r="AA57" s="1955"/>
      <c r="AB57" s="1955"/>
      <c r="AC57" s="1955"/>
      <c r="AD57" s="1955"/>
      <c r="AE57" s="1955"/>
      <c r="AF57" s="1955"/>
      <c r="AG57" s="1955"/>
      <c r="AH57" s="1955"/>
      <c r="AI57" s="1955"/>
      <c r="AJ57" s="1955"/>
      <c r="AK57" s="1955"/>
      <c r="AL57" s="1955"/>
      <c r="AM57" s="1955"/>
      <c r="AN57" s="1955"/>
      <c r="AO57" s="1955"/>
      <c r="AP57" s="1955"/>
    </row>
    <row r="58" spans="1:42" s="410" customFormat="1">
      <c r="A58" s="1955"/>
      <c r="B58" s="1955"/>
      <c r="C58" s="1955"/>
      <c r="D58" s="1955"/>
      <c r="E58" s="1955"/>
      <c r="F58" s="1955"/>
      <c r="G58" s="1955"/>
      <c r="H58" s="1955"/>
      <c r="I58" s="1955"/>
      <c r="J58" s="1955"/>
      <c r="K58" s="1955"/>
      <c r="L58" s="1955"/>
      <c r="M58" s="1955"/>
      <c r="N58" s="1955"/>
      <c r="O58" s="1955"/>
      <c r="P58" s="1955"/>
      <c r="Q58" s="1955"/>
      <c r="R58" s="1955"/>
      <c r="S58" s="1955"/>
      <c r="T58" s="1955"/>
      <c r="U58" s="1955"/>
      <c r="V58" s="1955"/>
      <c r="W58" s="1955"/>
      <c r="X58" s="1955"/>
      <c r="Y58" s="1955"/>
      <c r="Z58" s="1955"/>
      <c r="AA58" s="1955"/>
      <c r="AB58" s="1955"/>
      <c r="AC58" s="1955"/>
      <c r="AD58" s="1955"/>
      <c r="AE58" s="1955"/>
      <c r="AF58" s="1955"/>
      <c r="AG58" s="1955"/>
      <c r="AH58" s="1955"/>
      <c r="AI58" s="1955"/>
      <c r="AJ58" s="1955"/>
      <c r="AK58" s="1955"/>
      <c r="AL58" s="1955"/>
      <c r="AM58" s="1955"/>
      <c r="AN58" s="1955"/>
      <c r="AO58" s="1955"/>
      <c r="AP58" s="1955"/>
    </row>
    <row r="59" spans="1:42" s="410" customFormat="1">
      <c r="A59" s="1955"/>
      <c r="B59" s="1955"/>
      <c r="C59" s="1955"/>
      <c r="D59" s="1955"/>
      <c r="E59" s="1955"/>
      <c r="F59" s="1955"/>
      <c r="G59" s="1955"/>
      <c r="H59" s="1955"/>
      <c r="I59" s="1955"/>
      <c r="J59" s="1955"/>
      <c r="K59" s="1955"/>
      <c r="L59" s="1955"/>
      <c r="M59" s="1955"/>
      <c r="N59" s="1955"/>
      <c r="O59" s="1955"/>
      <c r="P59" s="1955"/>
      <c r="Q59" s="1955"/>
      <c r="R59" s="1955"/>
      <c r="S59" s="1955"/>
      <c r="T59" s="1955"/>
      <c r="U59" s="1955"/>
      <c r="V59" s="1955"/>
      <c r="W59" s="1955"/>
      <c r="X59" s="1955"/>
      <c r="Y59" s="1955"/>
      <c r="Z59" s="1955"/>
      <c r="AA59" s="1955"/>
      <c r="AB59" s="1955"/>
      <c r="AC59" s="1955"/>
      <c r="AD59" s="1955"/>
      <c r="AE59" s="1955"/>
      <c r="AF59" s="1955"/>
      <c r="AG59" s="1955"/>
      <c r="AH59" s="1955"/>
      <c r="AI59" s="1955"/>
      <c r="AJ59" s="1955"/>
      <c r="AK59" s="1955"/>
      <c r="AL59" s="1955"/>
      <c r="AM59" s="1955"/>
      <c r="AN59" s="1955"/>
      <c r="AO59" s="1955"/>
      <c r="AP59" s="1955"/>
    </row>
    <row r="60" spans="1:42" s="410" customFormat="1">
      <c r="A60" s="1955"/>
      <c r="B60" s="1955"/>
      <c r="C60" s="1955"/>
      <c r="D60" s="1955"/>
      <c r="E60" s="1955"/>
      <c r="F60" s="1955"/>
      <c r="G60" s="1955"/>
      <c r="H60" s="1955"/>
      <c r="I60" s="1955"/>
      <c r="J60" s="1955"/>
      <c r="K60" s="1955"/>
      <c r="L60" s="1955"/>
      <c r="M60" s="1955"/>
      <c r="N60" s="1955"/>
      <c r="O60" s="1955"/>
      <c r="P60" s="1955"/>
      <c r="Q60" s="1955"/>
      <c r="R60" s="1955"/>
      <c r="S60" s="1955"/>
      <c r="T60" s="1955"/>
      <c r="U60" s="1955"/>
      <c r="V60" s="1955"/>
      <c r="W60" s="1955"/>
      <c r="X60" s="1955"/>
      <c r="Y60" s="1955"/>
      <c r="Z60" s="1955"/>
      <c r="AA60" s="1955"/>
      <c r="AB60" s="1955"/>
      <c r="AC60" s="1955"/>
      <c r="AD60" s="1955"/>
      <c r="AE60" s="1955"/>
      <c r="AF60" s="1955"/>
      <c r="AG60" s="1955"/>
      <c r="AH60" s="1955"/>
      <c r="AI60" s="1955"/>
      <c r="AJ60" s="1955"/>
      <c r="AK60" s="1955"/>
      <c r="AL60" s="1955"/>
      <c r="AM60" s="1955"/>
      <c r="AN60" s="1955"/>
      <c r="AO60" s="1955"/>
      <c r="AP60" s="1955"/>
    </row>
    <row r="61" spans="1:42" s="410" customFormat="1">
      <c r="A61" s="1955"/>
      <c r="B61" s="1955"/>
      <c r="C61" s="1955"/>
      <c r="D61" s="1955"/>
      <c r="E61" s="1955"/>
      <c r="F61" s="1955"/>
      <c r="G61" s="1955"/>
      <c r="H61" s="1955"/>
      <c r="I61" s="1955"/>
      <c r="J61" s="1955"/>
      <c r="K61" s="1955"/>
      <c r="L61" s="1955"/>
      <c r="M61" s="1955"/>
      <c r="N61" s="1955"/>
      <c r="O61" s="1955"/>
      <c r="P61" s="1955"/>
      <c r="Q61" s="1955"/>
      <c r="R61" s="1955"/>
      <c r="S61" s="1955"/>
      <c r="T61" s="1955"/>
      <c r="U61" s="1955"/>
      <c r="V61" s="1955"/>
      <c r="W61" s="1955"/>
      <c r="X61" s="1955"/>
      <c r="Y61" s="1955"/>
      <c r="Z61" s="1955"/>
      <c r="AA61" s="1955"/>
      <c r="AB61" s="1955"/>
      <c r="AC61" s="1955"/>
      <c r="AD61" s="1955"/>
      <c r="AE61" s="1955"/>
      <c r="AF61" s="1955"/>
      <c r="AG61" s="1955"/>
      <c r="AH61" s="1955"/>
      <c r="AI61" s="1955"/>
      <c r="AJ61" s="1955"/>
      <c r="AK61" s="1955"/>
      <c r="AL61" s="1955"/>
      <c r="AM61" s="1955"/>
      <c r="AN61" s="1955"/>
      <c r="AO61" s="1955"/>
      <c r="AP61" s="1955"/>
    </row>
    <row r="62" spans="1:42" s="410" customFormat="1">
      <c r="A62" s="1955"/>
      <c r="B62" s="1955"/>
      <c r="C62" s="1955"/>
      <c r="D62" s="1955"/>
      <c r="E62" s="1955"/>
      <c r="F62" s="1955"/>
      <c r="G62" s="1955"/>
      <c r="H62" s="1955"/>
      <c r="I62" s="1955"/>
      <c r="J62" s="1955"/>
      <c r="K62" s="1955"/>
      <c r="L62" s="1955"/>
      <c r="M62" s="1955"/>
      <c r="N62" s="1955"/>
      <c r="O62" s="1955"/>
      <c r="P62" s="1955"/>
      <c r="Q62" s="1955"/>
      <c r="R62" s="1955"/>
      <c r="S62" s="1955"/>
      <c r="T62" s="1955"/>
      <c r="U62" s="1955"/>
      <c r="V62" s="1955"/>
      <c r="W62" s="1955"/>
      <c r="X62" s="1955"/>
      <c r="Y62" s="1955"/>
      <c r="Z62" s="1955"/>
      <c r="AA62" s="1955"/>
      <c r="AB62" s="1955"/>
      <c r="AC62" s="1955"/>
      <c r="AD62" s="1955"/>
      <c r="AE62" s="1955"/>
      <c r="AF62" s="1955"/>
      <c r="AG62" s="1955"/>
      <c r="AH62" s="1955"/>
      <c r="AI62" s="1955"/>
      <c r="AJ62" s="1955"/>
      <c r="AK62" s="1955"/>
      <c r="AL62" s="1955"/>
      <c r="AM62" s="1955"/>
      <c r="AN62" s="1955"/>
      <c r="AO62" s="1955"/>
      <c r="AP62" s="1955"/>
    </row>
    <row r="63" spans="1:42" s="410" customFormat="1">
      <c r="A63" s="1955"/>
      <c r="B63" s="1955"/>
      <c r="C63" s="1955"/>
      <c r="D63" s="1955"/>
      <c r="E63" s="1955"/>
      <c r="F63" s="1955"/>
      <c r="G63" s="1955"/>
      <c r="H63" s="1955"/>
      <c r="I63" s="1955"/>
      <c r="J63" s="1955"/>
      <c r="K63" s="1955"/>
      <c r="L63" s="1955"/>
      <c r="M63" s="1955"/>
      <c r="N63" s="1955"/>
      <c r="O63" s="1955"/>
      <c r="P63" s="1955"/>
      <c r="Q63" s="1955"/>
      <c r="R63" s="1955"/>
      <c r="S63" s="1955"/>
      <c r="T63" s="1955"/>
      <c r="U63" s="1955"/>
      <c r="V63" s="1955"/>
      <c r="W63" s="1955"/>
      <c r="X63" s="1955"/>
      <c r="Y63" s="1955"/>
      <c r="Z63" s="1955"/>
      <c r="AA63" s="1955"/>
      <c r="AB63" s="1955"/>
      <c r="AC63" s="1955"/>
      <c r="AD63" s="1955"/>
      <c r="AE63" s="1955"/>
      <c r="AF63" s="1955"/>
      <c r="AG63" s="1955"/>
      <c r="AH63" s="1955"/>
      <c r="AI63" s="1955"/>
      <c r="AJ63" s="1955"/>
      <c r="AK63" s="1955"/>
      <c r="AL63" s="1955"/>
      <c r="AM63" s="1955"/>
      <c r="AN63" s="1955"/>
      <c r="AO63" s="1955"/>
      <c r="AP63" s="1955"/>
    </row>
    <row r="64" spans="1:42" s="410" customFormat="1">
      <c r="A64" s="1955"/>
      <c r="B64" s="1955"/>
      <c r="C64" s="1955"/>
      <c r="D64" s="1955"/>
      <c r="E64" s="1955"/>
      <c r="F64" s="1955"/>
      <c r="G64" s="1955"/>
      <c r="H64" s="1955"/>
      <c r="I64" s="1955"/>
      <c r="J64" s="1955"/>
      <c r="K64" s="1955"/>
      <c r="L64" s="1955"/>
      <c r="M64" s="1955"/>
      <c r="N64" s="1955"/>
      <c r="O64" s="1955"/>
      <c r="P64" s="1955"/>
      <c r="Q64" s="1955"/>
      <c r="R64" s="1955"/>
      <c r="S64" s="1955"/>
      <c r="T64" s="1955"/>
      <c r="U64" s="1955"/>
      <c r="V64" s="1955"/>
      <c r="W64" s="1955"/>
      <c r="X64" s="1955"/>
      <c r="Y64" s="1955"/>
      <c r="Z64" s="1955"/>
      <c r="AA64" s="1955"/>
      <c r="AB64" s="1955"/>
      <c r="AC64" s="1955"/>
      <c r="AD64" s="1955"/>
      <c r="AE64" s="1955"/>
      <c r="AF64" s="1955"/>
      <c r="AG64" s="1955"/>
      <c r="AH64" s="1955"/>
      <c r="AI64" s="1955"/>
      <c r="AJ64" s="1955"/>
      <c r="AK64" s="1955"/>
      <c r="AL64" s="1955"/>
      <c r="AM64" s="1955"/>
      <c r="AN64" s="1955"/>
      <c r="AO64" s="1955"/>
      <c r="AP64" s="1955"/>
    </row>
    <row r="65" spans="1:42" s="410" customFormat="1">
      <c r="A65" s="1955"/>
      <c r="B65" s="1955"/>
      <c r="C65" s="1955"/>
      <c r="D65" s="1955"/>
      <c r="E65" s="1955"/>
      <c r="F65" s="1955"/>
      <c r="G65" s="1955"/>
      <c r="H65" s="1955"/>
      <c r="I65" s="1955"/>
      <c r="J65" s="1955"/>
      <c r="K65" s="1955"/>
      <c r="L65" s="1955"/>
      <c r="M65" s="1955"/>
      <c r="N65" s="1955"/>
      <c r="O65" s="1955"/>
      <c r="P65" s="1955"/>
      <c r="Q65" s="1955"/>
      <c r="R65" s="1955"/>
      <c r="S65" s="1955"/>
      <c r="T65" s="1955"/>
      <c r="U65" s="1955"/>
      <c r="V65" s="1955"/>
      <c r="W65" s="1955"/>
      <c r="X65" s="1955"/>
      <c r="Y65" s="1955"/>
      <c r="Z65" s="1955"/>
      <c r="AA65" s="1955"/>
      <c r="AB65" s="1955"/>
      <c r="AC65" s="1955"/>
      <c r="AD65" s="1955"/>
      <c r="AE65" s="1955"/>
      <c r="AF65" s="1955"/>
      <c r="AG65" s="1955"/>
      <c r="AH65" s="1955"/>
      <c r="AI65" s="1955"/>
      <c r="AJ65" s="1955"/>
      <c r="AK65" s="1955"/>
      <c r="AL65" s="1955"/>
      <c r="AM65" s="1955"/>
      <c r="AN65" s="1955"/>
      <c r="AO65" s="1955"/>
      <c r="AP65" s="1955"/>
    </row>
    <row r="66" spans="1:42" s="410" customFormat="1">
      <c r="A66" s="1955"/>
      <c r="B66" s="1955"/>
      <c r="C66" s="1955"/>
      <c r="D66" s="1955"/>
      <c r="E66" s="1955"/>
      <c r="F66" s="1955"/>
      <c r="G66" s="1955"/>
      <c r="H66" s="1955"/>
      <c r="I66" s="1955"/>
      <c r="J66" s="1955"/>
      <c r="K66" s="1955"/>
      <c r="L66" s="1955"/>
      <c r="M66" s="1955"/>
      <c r="N66" s="1955"/>
      <c r="O66" s="1955"/>
      <c r="P66" s="1955"/>
      <c r="Q66" s="1955"/>
      <c r="R66" s="1955"/>
      <c r="S66" s="1955"/>
      <c r="T66" s="1955"/>
      <c r="U66" s="1955"/>
      <c r="V66" s="1955"/>
      <c r="W66" s="1955"/>
      <c r="X66" s="1955"/>
      <c r="Y66" s="1955"/>
      <c r="Z66" s="1955"/>
      <c r="AA66" s="1955"/>
      <c r="AB66" s="1955"/>
      <c r="AC66" s="1955"/>
      <c r="AD66" s="1955"/>
      <c r="AE66" s="1955"/>
      <c r="AF66" s="1955"/>
      <c r="AG66" s="1955"/>
      <c r="AH66" s="1955"/>
      <c r="AI66" s="1955"/>
      <c r="AJ66" s="1955"/>
      <c r="AK66" s="1955"/>
      <c r="AL66" s="1955"/>
      <c r="AM66" s="1955"/>
      <c r="AN66" s="1955"/>
      <c r="AO66" s="1955"/>
      <c r="AP66" s="1955"/>
    </row>
    <row r="67" spans="1:42" s="410" customFormat="1">
      <c r="A67" s="1955"/>
      <c r="B67" s="1955"/>
      <c r="C67" s="1955"/>
      <c r="D67" s="1955"/>
      <c r="E67" s="1955"/>
      <c r="F67" s="1955"/>
      <c r="G67" s="1955"/>
      <c r="H67" s="1955"/>
      <c r="I67" s="1955"/>
      <c r="J67" s="1955"/>
      <c r="K67" s="1955"/>
      <c r="L67" s="1955"/>
      <c r="M67" s="1955"/>
      <c r="N67" s="1955"/>
      <c r="O67" s="1955"/>
      <c r="P67" s="1955"/>
      <c r="Q67" s="1955"/>
      <c r="R67" s="1955"/>
      <c r="S67" s="1955"/>
      <c r="T67" s="1955"/>
      <c r="U67" s="1955"/>
      <c r="V67" s="1955"/>
      <c r="W67" s="1955"/>
      <c r="X67" s="1955"/>
      <c r="Y67" s="1955"/>
      <c r="Z67" s="1955"/>
      <c r="AA67" s="1955"/>
      <c r="AB67" s="1955"/>
      <c r="AC67" s="1955"/>
      <c r="AD67" s="1955"/>
      <c r="AE67" s="1955"/>
      <c r="AF67" s="1955"/>
      <c r="AG67" s="1955"/>
      <c r="AH67" s="1955"/>
      <c r="AI67" s="1955"/>
      <c r="AJ67" s="1955"/>
      <c r="AK67" s="1955"/>
      <c r="AL67" s="1955"/>
      <c r="AM67" s="1955"/>
      <c r="AN67" s="1955"/>
      <c r="AO67" s="1955"/>
      <c r="AP67" s="1955"/>
    </row>
    <row r="68" spans="1:42" s="410" customFormat="1">
      <c r="A68" s="1955"/>
      <c r="B68" s="1955"/>
      <c r="C68" s="1955"/>
      <c r="D68" s="1955"/>
      <c r="E68" s="1955"/>
      <c r="F68" s="1955"/>
      <c r="G68" s="1955"/>
      <c r="H68" s="1955"/>
      <c r="I68" s="1955"/>
      <c r="J68" s="1955"/>
      <c r="K68" s="1955"/>
      <c r="L68" s="1955"/>
      <c r="M68" s="1955"/>
      <c r="N68" s="1955"/>
      <c r="O68" s="1955"/>
      <c r="P68" s="1955"/>
      <c r="Q68" s="1955"/>
      <c r="R68" s="1955"/>
      <c r="S68" s="1955"/>
      <c r="T68" s="1955"/>
      <c r="U68" s="1955"/>
      <c r="V68" s="1955"/>
      <c r="W68" s="1955"/>
      <c r="X68" s="1955"/>
      <c r="Y68" s="1955"/>
      <c r="Z68" s="1955"/>
      <c r="AA68" s="1955"/>
      <c r="AB68" s="1955"/>
      <c r="AC68" s="1955"/>
      <c r="AD68" s="1955"/>
      <c r="AE68" s="1955"/>
      <c r="AF68" s="1955"/>
      <c r="AG68" s="1955"/>
      <c r="AH68" s="1955"/>
      <c r="AI68" s="1955"/>
      <c r="AJ68" s="1955"/>
      <c r="AK68" s="1955"/>
      <c r="AL68" s="1955"/>
      <c r="AM68" s="1955"/>
      <c r="AN68" s="1955"/>
      <c r="AO68" s="1955"/>
      <c r="AP68" s="1955"/>
    </row>
    <row r="69" spans="1:42" s="410" customFormat="1">
      <c r="A69" s="1955"/>
      <c r="B69" s="1955"/>
      <c r="C69" s="1955"/>
      <c r="D69" s="1955"/>
      <c r="E69" s="1955"/>
      <c r="F69" s="1955"/>
      <c r="G69" s="1955"/>
      <c r="H69" s="1955"/>
      <c r="I69" s="1955"/>
      <c r="J69" s="1955"/>
      <c r="K69" s="1955"/>
      <c r="L69" s="1955"/>
      <c r="M69" s="1955"/>
      <c r="N69" s="1955"/>
      <c r="O69" s="1955"/>
      <c r="P69" s="1955"/>
      <c r="Q69" s="1955"/>
      <c r="R69" s="1955"/>
      <c r="S69" s="1955"/>
      <c r="T69" s="1955"/>
      <c r="U69" s="1955"/>
      <c r="V69" s="1955"/>
      <c r="W69" s="1955"/>
      <c r="X69" s="1955"/>
      <c r="Y69" s="1955"/>
      <c r="Z69" s="1955"/>
      <c r="AA69" s="1955"/>
      <c r="AB69" s="1955"/>
      <c r="AC69" s="1955"/>
      <c r="AD69" s="1955"/>
      <c r="AE69" s="1955"/>
      <c r="AF69" s="1955"/>
      <c r="AG69" s="1955"/>
      <c r="AH69" s="1955"/>
      <c r="AI69" s="1955"/>
      <c r="AJ69" s="1955"/>
      <c r="AK69" s="1955"/>
      <c r="AL69" s="1955"/>
      <c r="AM69" s="1955"/>
      <c r="AN69" s="1955"/>
      <c r="AO69" s="1955"/>
      <c r="AP69" s="1955"/>
    </row>
    <row r="70" spans="1:42" s="410" customFormat="1">
      <c r="A70" s="1955"/>
      <c r="B70" s="1955"/>
      <c r="C70" s="1955"/>
      <c r="D70" s="1955"/>
      <c r="E70" s="1955"/>
      <c r="F70" s="1955"/>
      <c r="G70" s="1955"/>
      <c r="H70" s="1955"/>
      <c r="I70" s="1955"/>
      <c r="J70" s="1955"/>
      <c r="K70" s="1955"/>
      <c r="L70" s="1955"/>
      <c r="M70" s="1955"/>
      <c r="N70" s="1955"/>
      <c r="O70" s="1955"/>
      <c r="P70" s="1955"/>
      <c r="Q70" s="1955"/>
      <c r="R70" s="1955"/>
      <c r="S70" s="1955"/>
      <c r="T70" s="1955"/>
      <c r="U70" s="1955"/>
      <c r="V70" s="1955"/>
      <c r="W70" s="1955"/>
      <c r="X70" s="1955"/>
      <c r="Y70" s="1955"/>
      <c r="Z70" s="1955"/>
      <c r="AA70" s="1955"/>
      <c r="AB70" s="1955"/>
      <c r="AC70" s="1955"/>
      <c r="AD70" s="1955"/>
      <c r="AE70" s="1955"/>
      <c r="AF70" s="1955"/>
      <c r="AG70" s="1955"/>
      <c r="AH70" s="1955"/>
      <c r="AI70" s="1955"/>
      <c r="AJ70" s="1955"/>
      <c r="AK70" s="1955"/>
      <c r="AL70" s="1955"/>
      <c r="AM70" s="1955"/>
      <c r="AN70" s="1955"/>
      <c r="AO70" s="1955"/>
      <c r="AP70" s="1955"/>
    </row>
    <row r="71" spans="1:42" s="410" customFormat="1">
      <c r="A71" s="1955"/>
      <c r="B71" s="1955"/>
      <c r="C71" s="1955"/>
      <c r="D71" s="1955"/>
      <c r="E71" s="1955"/>
      <c r="F71" s="1955"/>
      <c r="G71" s="1955"/>
      <c r="H71" s="1955"/>
      <c r="I71" s="1955"/>
      <c r="J71" s="1955"/>
      <c r="K71" s="1955"/>
      <c r="L71" s="1955"/>
      <c r="M71" s="1955"/>
      <c r="N71" s="1955"/>
      <c r="O71" s="1955"/>
      <c r="P71" s="1955"/>
      <c r="Q71" s="1955"/>
      <c r="R71" s="1955"/>
      <c r="S71" s="1955"/>
      <c r="T71" s="1955"/>
      <c r="U71" s="1955"/>
      <c r="V71" s="1955"/>
      <c r="W71" s="1955"/>
      <c r="X71" s="1955"/>
      <c r="Y71" s="1955"/>
      <c r="Z71" s="1955"/>
      <c r="AA71" s="1955"/>
      <c r="AB71" s="1955"/>
      <c r="AC71" s="1955"/>
      <c r="AD71" s="1955"/>
      <c r="AE71" s="1955"/>
      <c r="AF71" s="1955"/>
      <c r="AG71" s="1955"/>
      <c r="AH71" s="1955"/>
      <c r="AI71" s="1955"/>
      <c r="AJ71" s="1955"/>
      <c r="AK71" s="1955"/>
      <c r="AL71" s="1955"/>
      <c r="AM71" s="1955"/>
      <c r="AN71" s="1955"/>
      <c r="AO71" s="1955"/>
      <c r="AP71" s="1955"/>
    </row>
    <row r="72" spans="1:42" s="410" customFormat="1">
      <c r="A72" s="1955"/>
      <c r="B72" s="1955"/>
      <c r="C72" s="1955"/>
      <c r="D72" s="1955"/>
      <c r="E72" s="1955"/>
      <c r="F72" s="1955"/>
      <c r="G72" s="1955"/>
      <c r="H72" s="1955"/>
      <c r="I72" s="1955"/>
      <c r="J72" s="1955"/>
      <c r="K72" s="1955"/>
      <c r="L72" s="1955"/>
      <c r="M72" s="1955"/>
      <c r="N72" s="1955"/>
      <c r="O72" s="1955"/>
      <c r="P72" s="1955"/>
      <c r="Q72" s="1955"/>
      <c r="R72" s="1955"/>
      <c r="S72" s="1955"/>
      <c r="T72" s="1955"/>
      <c r="U72" s="1955"/>
      <c r="V72" s="1955"/>
      <c r="W72" s="1955"/>
      <c r="X72" s="1955"/>
      <c r="Y72" s="1955"/>
      <c r="Z72" s="1955"/>
      <c r="AA72" s="1955"/>
      <c r="AB72" s="1955"/>
      <c r="AC72" s="1955"/>
      <c r="AD72" s="1955"/>
      <c r="AE72" s="1955"/>
      <c r="AF72" s="1955"/>
      <c r="AG72" s="1955"/>
      <c r="AH72" s="1955"/>
      <c r="AI72" s="1955"/>
      <c r="AJ72" s="1955"/>
      <c r="AK72" s="1955"/>
      <c r="AL72" s="1955"/>
      <c r="AM72" s="1955"/>
      <c r="AN72" s="1955"/>
      <c r="AO72" s="1955"/>
      <c r="AP72" s="1955"/>
    </row>
    <row r="73" spans="1:42" s="410" customFormat="1">
      <c r="A73" s="1955"/>
      <c r="B73" s="1955"/>
      <c r="C73" s="1955"/>
      <c r="D73" s="1955"/>
      <c r="E73" s="1955"/>
      <c r="F73" s="1955"/>
      <c r="G73" s="1955"/>
      <c r="H73" s="1955"/>
      <c r="I73" s="1955"/>
      <c r="J73" s="1955"/>
      <c r="K73" s="1955"/>
      <c r="L73" s="1955"/>
      <c r="M73" s="1955"/>
      <c r="N73" s="1955"/>
      <c r="O73" s="1955"/>
      <c r="P73" s="1955"/>
      <c r="Q73" s="1955"/>
      <c r="R73" s="1955"/>
      <c r="S73" s="1955"/>
      <c r="T73" s="1955"/>
      <c r="U73" s="1955"/>
      <c r="V73" s="1955"/>
      <c r="W73" s="1955"/>
      <c r="X73" s="1955"/>
      <c r="Y73" s="1955"/>
      <c r="Z73" s="1955"/>
      <c r="AA73" s="1955"/>
      <c r="AB73" s="1955"/>
      <c r="AC73" s="1955"/>
      <c r="AD73" s="1955"/>
      <c r="AE73" s="1955"/>
      <c r="AF73" s="1955"/>
      <c r="AG73" s="1955"/>
      <c r="AH73" s="1955"/>
      <c r="AI73" s="1955"/>
      <c r="AJ73" s="1955"/>
      <c r="AK73" s="1955"/>
      <c r="AL73" s="1955"/>
      <c r="AM73" s="1955"/>
      <c r="AN73" s="1955"/>
      <c r="AO73" s="1955"/>
      <c r="AP73" s="1955"/>
    </row>
    <row r="74" spans="1:42" s="410" customFormat="1">
      <c r="A74" s="1955"/>
      <c r="B74" s="1955"/>
      <c r="C74" s="1955"/>
      <c r="D74" s="1955"/>
      <c r="E74" s="1955"/>
      <c r="F74" s="1955"/>
      <c r="G74" s="1955"/>
      <c r="H74" s="1955"/>
      <c r="I74" s="1955"/>
      <c r="J74" s="1955"/>
      <c r="K74" s="1955"/>
      <c r="L74" s="1955"/>
      <c r="M74" s="1955"/>
      <c r="N74" s="1955"/>
      <c r="O74" s="1955"/>
      <c r="P74" s="1955"/>
      <c r="Q74" s="1955"/>
      <c r="R74" s="1955"/>
      <c r="S74" s="1955"/>
      <c r="T74" s="1955"/>
      <c r="U74" s="1955"/>
      <c r="V74" s="1955"/>
      <c r="W74" s="1955"/>
      <c r="X74" s="1955"/>
      <c r="Y74" s="1955"/>
      <c r="Z74" s="1955"/>
      <c r="AA74" s="1955"/>
      <c r="AB74" s="1955"/>
      <c r="AC74" s="1955"/>
      <c r="AD74" s="1955"/>
      <c r="AE74" s="1955"/>
      <c r="AF74" s="1955"/>
      <c r="AG74" s="1955"/>
      <c r="AH74" s="1955"/>
      <c r="AI74" s="1955"/>
      <c r="AJ74" s="1955"/>
      <c r="AK74" s="1955"/>
      <c r="AL74" s="1955"/>
      <c r="AM74" s="1955"/>
      <c r="AN74" s="1955"/>
      <c r="AO74" s="1955"/>
      <c r="AP74" s="1955"/>
    </row>
    <row r="75" spans="1:42" s="410" customFormat="1">
      <c r="A75" s="1955"/>
      <c r="B75" s="1955"/>
      <c r="C75" s="1955"/>
      <c r="D75" s="1955"/>
      <c r="E75" s="1955"/>
      <c r="F75" s="1955"/>
      <c r="G75" s="1955"/>
      <c r="H75" s="1955"/>
      <c r="I75" s="1955"/>
      <c r="J75" s="1955"/>
      <c r="K75" s="1955"/>
      <c r="L75" s="1955"/>
      <c r="M75" s="1955"/>
      <c r="N75" s="1955"/>
      <c r="O75" s="1955"/>
      <c r="P75" s="1955"/>
      <c r="Q75" s="1955"/>
      <c r="R75" s="1955"/>
      <c r="S75" s="1955"/>
      <c r="T75" s="1955"/>
      <c r="U75" s="1955"/>
      <c r="V75" s="1955"/>
      <c r="W75" s="1955"/>
      <c r="X75" s="1955"/>
      <c r="Y75" s="1955"/>
      <c r="Z75" s="1955"/>
      <c r="AA75" s="1955"/>
      <c r="AB75" s="1955"/>
      <c r="AC75" s="1955"/>
      <c r="AD75" s="1955"/>
      <c r="AE75" s="1955"/>
      <c r="AF75" s="1955"/>
      <c r="AG75" s="1955"/>
      <c r="AH75" s="1955"/>
      <c r="AI75" s="1955"/>
      <c r="AJ75" s="1955"/>
      <c r="AK75" s="1955"/>
      <c r="AL75" s="1955"/>
      <c r="AM75" s="1955"/>
      <c r="AN75" s="1955"/>
      <c r="AO75" s="1955"/>
      <c r="AP75" s="1955"/>
    </row>
  </sheetData>
  <sheetProtection algorithmName="SHA-512" hashValue="NrsByhDcLu99FwQXfGQcKB/uh5riXatswP0GGlMNUsY+mzKFFdfZ6O4tWohi3u2YmJlKDA3u+Z+Ir9MVUtNDBg==" saltValue="hTxpmZxn644zuHO7Gxrm3g==" spinCount="100000" sheet="1" selectLockedCells="1" autoFilter="0"/>
  <dataConsolidate/>
  <mergeCells count="44">
    <mergeCell ref="H44:O44"/>
    <mergeCell ref="P44:R44"/>
    <mergeCell ref="S44:T44"/>
    <mergeCell ref="U44:AA46"/>
    <mergeCell ref="A42:E42"/>
    <mergeCell ref="H40:O40"/>
    <mergeCell ref="P40:R40"/>
    <mergeCell ref="S40:T40"/>
    <mergeCell ref="H42:O42"/>
    <mergeCell ref="P42:R42"/>
    <mergeCell ref="S42:T42"/>
    <mergeCell ref="A41:E41"/>
    <mergeCell ref="B30:E30"/>
    <mergeCell ref="B32:C32"/>
    <mergeCell ref="B34:E34"/>
    <mergeCell ref="B37:E37"/>
    <mergeCell ref="A40:E40"/>
    <mergeCell ref="C26:E26"/>
    <mergeCell ref="J26:AD26"/>
    <mergeCell ref="D28:E28"/>
    <mergeCell ref="AB22:AD22"/>
    <mergeCell ref="D23:E23"/>
    <mergeCell ref="J23:L23"/>
    <mergeCell ref="M23:O23"/>
    <mergeCell ref="P23:R23"/>
    <mergeCell ref="S23:U23"/>
    <mergeCell ref="V23:X23"/>
    <mergeCell ref="Y23:AA23"/>
    <mergeCell ref="AB23:AD23"/>
    <mergeCell ref="J22:L22"/>
    <mergeCell ref="M22:O22"/>
    <mergeCell ref="P22:R22"/>
    <mergeCell ref="S22:U22"/>
    <mergeCell ref="V22:X22"/>
    <mergeCell ref="Y22:AA22"/>
    <mergeCell ref="AE13:AI13"/>
    <mergeCell ref="AE14:AI14"/>
    <mergeCell ref="AE15:AI15"/>
    <mergeCell ref="AB21:AD21"/>
    <mergeCell ref="M21:O21"/>
    <mergeCell ref="P21:R21"/>
    <mergeCell ref="S21:U21"/>
    <mergeCell ref="V21:X21"/>
    <mergeCell ref="Y21:AA21"/>
  </mergeCells>
  <dataValidations count="4">
    <dataValidation type="list" allowBlank="1" showInputMessage="1" showErrorMessage="1" sqref="E32" xr:uid="{2826ABDE-4D38-4DCF-B477-8C7D89E2F237}">
      <formula1>$F$42:$F$44</formula1>
    </dataValidation>
    <dataValidation type="list" allowBlank="1" showInputMessage="1" showErrorMessage="1" sqref="F28" xr:uid="{64E7C189-4A2A-4E67-8F09-C8D76BCECFC3}">
      <formula1>$M$24:$Q$24</formula1>
    </dataValidation>
    <dataValidation type="list" allowBlank="1" showInputMessage="1" showErrorMessage="1" sqref="F26" xr:uid="{E12DE2C8-86F4-4139-8F62-86C6980A60B4}">
      <formula1>$K$30:$AA$30</formula1>
    </dataValidation>
    <dataValidation type="list" allowBlank="1" showInputMessage="1" showErrorMessage="1" sqref="E13" xr:uid="{FB5A9941-4509-4B63-AEE4-F8B95FF08055}">
      <formula1>$AI$18:$AI$23</formula1>
    </dataValidation>
  </dataValidations>
  <pageMargins left="0.7" right="0.7" top="0.75" bottom="0.75" header="0.5" footer="0.5"/>
  <pageSetup paperSize="9" orientation="portrait" verticalDpi="300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B4C1-B913-4FCE-9011-76D807D01E5C}">
  <dimension ref="A1:IW28"/>
  <sheetViews>
    <sheetView showRowColHeaders="0" zoomScale="96" zoomScaleNormal="96" workbookViewId="0">
      <selection activeCell="E12" sqref="E12:F12"/>
    </sheetView>
  </sheetViews>
  <sheetFormatPr defaultColWidth="9" defaultRowHeight="15"/>
  <cols>
    <col min="1" max="1" width="9.140625" style="2160" customWidth="1"/>
    <col min="2" max="2" width="2.5703125" style="2160" customWidth="1"/>
    <col min="3" max="3" width="3.140625" style="2160" customWidth="1"/>
    <col min="4" max="4" width="27.5703125" style="2160" customWidth="1"/>
    <col min="5" max="5" width="4.7109375" style="2160" customWidth="1"/>
    <col min="6" max="6" width="5.140625" style="2160" customWidth="1"/>
    <col min="7" max="7" width="7.5703125" style="2160" customWidth="1"/>
    <col min="8" max="8" width="9.140625" style="2160" customWidth="1"/>
    <col min="9" max="9" width="6" style="2160" customWidth="1"/>
    <col min="10" max="10" width="5.85546875" style="2160" customWidth="1"/>
    <col min="11" max="11" width="3" style="2160" customWidth="1"/>
    <col min="12" max="12" width="7" style="2160" customWidth="1"/>
    <col min="13" max="13" width="9.140625" style="2160" customWidth="1"/>
    <col min="14" max="14" width="2.5703125" style="2160" customWidth="1"/>
    <col min="15" max="15" width="10.7109375" style="2160" customWidth="1"/>
    <col min="16" max="16" width="4.85546875" style="2160" customWidth="1"/>
    <col min="17" max="17" width="8.42578125" style="2160" customWidth="1"/>
    <col min="18" max="18" width="4.140625" style="2160" customWidth="1"/>
    <col min="19" max="21" width="6.28515625" style="2160" customWidth="1"/>
    <col min="22" max="22" width="4.7109375" style="2160" customWidth="1"/>
    <col min="23" max="23" width="6" style="2160" customWidth="1"/>
    <col min="24" max="24" width="2.5703125" style="2160" customWidth="1"/>
    <col min="25" max="26" width="9.140625" style="2160" customWidth="1"/>
    <col min="27" max="27" width="10.28515625" style="2160" customWidth="1"/>
    <col min="28" max="28" width="9.140625" style="2160" customWidth="1"/>
    <col min="29" max="29" width="3.85546875" style="2160" customWidth="1"/>
    <col min="30" max="257" width="9.140625" style="2160" customWidth="1"/>
    <col min="258" max="16384" width="9" style="1177"/>
  </cols>
  <sheetData>
    <row r="1" spans="3:30" ht="6.75" customHeight="1"/>
    <row r="2" spans="3:30">
      <c r="S2" s="2161"/>
      <c r="T2" s="2161"/>
      <c r="U2" s="2161"/>
      <c r="V2" s="2161"/>
      <c r="W2" s="2162"/>
      <c r="X2" s="2162"/>
    </row>
    <row r="3" spans="3:30">
      <c r="S3" s="2161"/>
      <c r="T3" s="2161"/>
      <c r="U3" s="2161"/>
      <c r="V3" s="2162"/>
      <c r="W3" s="2162"/>
      <c r="X3" s="2162"/>
    </row>
    <row r="4" spans="3:30" ht="48">
      <c r="C4" s="2211" t="s">
        <v>2255</v>
      </c>
      <c r="D4" s="2212"/>
      <c r="E4" s="2212"/>
      <c r="F4" s="2212"/>
      <c r="G4" s="2212"/>
      <c r="H4" s="2212"/>
      <c r="K4" s="2163" t="s">
        <v>895</v>
      </c>
      <c r="P4" s="2164"/>
      <c r="Q4" s="2164"/>
      <c r="R4" s="2164"/>
      <c r="S4" s="2165"/>
      <c r="T4" s="2165"/>
      <c r="U4" s="2165"/>
      <c r="V4" s="2166"/>
      <c r="W4" s="2166"/>
      <c r="X4" s="2166"/>
      <c r="Y4" s="2164"/>
      <c r="Z4" s="2164"/>
      <c r="AA4" s="2164"/>
      <c r="AB4" s="2164"/>
      <c r="AC4" s="2164"/>
    </row>
    <row r="5" spans="3:30" ht="15.75" thickBot="1">
      <c r="K5" s="2167"/>
      <c r="M5" s="2168"/>
      <c r="N5" s="2168"/>
      <c r="O5" s="2168"/>
      <c r="P5" s="2169"/>
      <c r="Q5" s="2164"/>
      <c r="R5" s="3167"/>
      <c r="S5" s="3167"/>
      <c r="T5" s="3167"/>
      <c r="U5" s="3167"/>
      <c r="V5" s="3167"/>
      <c r="W5" s="3167"/>
      <c r="X5" s="2166"/>
      <c r="Y5" s="2164"/>
      <c r="Z5" s="2164"/>
      <c r="AA5" s="2164"/>
      <c r="AB5" s="2164"/>
      <c r="AC5" s="2164"/>
    </row>
    <row r="6" spans="3:30" ht="15.75" thickBot="1">
      <c r="D6" s="2184" t="s">
        <v>134</v>
      </c>
      <c r="E6" s="2185">
        <f>L6*L7</f>
        <v>106</v>
      </c>
      <c r="F6" s="2186" t="s">
        <v>3</v>
      </c>
      <c r="J6" s="2170" t="s">
        <v>273</v>
      </c>
      <c r="L6" s="82">
        <v>10</v>
      </c>
      <c r="M6" s="2160" t="s">
        <v>163</v>
      </c>
      <c r="P6" s="2164"/>
      <c r="Q6" s="3167"/>
      <c r="R6" s="3167"/>
      <c r="S6" s="3167"/>
      <c r="T6" s="3167"/>
      <c r="U6" s="3167"/>
      <c r="V6" s="3167"/>
      <c r="W6" s="2164"/>
      <c r="X6" s="2164"/>
      <c r="Y6" s="2164"/>
      <c r="Z6" s="2164"/>
      <c r="AA6" s="2164"/>
      <c r="AB6" s="2164"/>
      <c r="AC6" s="2164"/>
    </row>
    <row r="7" spans="3:30" ht="15.75" thickBot="1">
      <c r="D7" s="2171"/>
      <c r="E7" s="2172"/>
      <c r="F7" s="2173"/>
      <c r="I7" s="2174"/>
      <c r="J7" s="2170" t="s">
        <v>822</v>
      </c>
      <c r="L7" s="82">
        <v>10.6</v>
      </c>
      <c r="M7" s="2160" t="s">
        <v>163</v>
      </c>
      <c r="P7" s="2175"/>
      <c r="Q7" s="2164"/>
      <c r="R7" s="2164"/>
      <c r="S7" s="2164"/>
      <c r="T7" s="2164"/>
      <c r="U7" s="2164"/>
      <c r="V7" s="2164"/>
      <c r="W7" s="2164"/>
      <c r="X7" s="2164"/>
      <c r="Y7" s="2164"/>
      <c r="Z7" s="2164"/>
      <c r="AA7" s="2164"/>
      <c r="AB7" s="2164"/>
      <c r="AC7" s="2164"/>
    </row>
    <row r="8" spans="3:30" ht="15.75" thickBot="1">
      <c r="D8" s="2184" t="s">
        <v>135</v>
      </c>
      <c r="E8" s="2185">
        <f>E6*L8</f>
        <v>159</v>
      </c>
      <c r="F8" s="2186" t="s">
        <v>133</v>
      </c>
      <c r="J8" s="2170" t="s">
        <v>896</v>
      </c>
      <c r="L8" s="82">
        <v>1.5</v>
      </c>
      <c r="M8" s="2160" t="s">
        <v>163</v>
      </c>
      <c r="P8" s="2164"/>
      <c r="Q8" s="2164"/>
      <c r="R8" s="2164"/>
      <c r="S8" s="2164"/>
      <c r="T8" s="2164"/>
      <c r="U8" s="2164"/>
      <c r="V8" s="2164"/>
      <c r="W8" s="2164"/>
      <c r="X8" s="2164"/>
      <c r="Y8" s="2164"/>
      <c r="Z8" s="2164"/>
      <c r="AA8" s="2164"/>
      <c r="AB8" s="2164"/>
      <c r="AC8" s="2164"/>
    </row>
    <row r="9" spans="3:30">
      <c r="P9" s="2164"/>
      <c r="Q9" s="2166"/>
      <c r="R9" s="2166"/>
      <c r="S9" s="2166"/>
      <c r="T9" s="2166"/>
      <c r="U9" s="2166"/>
      <c r="V9" s="2166"/>
      <c r="W9" s="2166"/>
      <c r="X9" s="2166"/>
      <c r="Y9" s="2164"/>
      <c r="Z9" s="2164"/>
      <c r="AA9" s="2164"/>
      <c r="AB9" s="2164"/>
      <c r="AC9" s="2164"/>
    </row>
    <row r="10" spans="3:30">
      <c r="E10" s="2172"/>
      <c r="I10" s="2174"/>
      <c r="L10" s="2172"/>
      <c r="P10" s="2164"/>
      <c r="Q10" s="2164"/>
      <c r="R10" s="2166"/>
      <c r="S10" s="2166"/>
      <c r="T10" s="2166"/>
      <c r="U10" s="2166"/>
      <c r="V10" s="2166"/>
      <c r="W10" s="2166"/>
      <c r="X10" s="2164"/>
      <c r="Y10" s="2164"/>
      <c r="Z10" s="2164"/>
      <c r="AA10" s="2164"/>
      <c r="AB10" s="2164"/>
      <c r="AC10" s="2164"/>
    </row>
    <row r="11" spans="3:30">
      <c r="R11" s="2162"/>
      <c r="S11" s="2162"/>
      <c r="T11" s="2162"/>
      <c r="U11" s="2162"/>
      <c r="V11" s="2162"/>
      <c r="W11" s="2162"/>
    </row>
    <row r="12" spans="3:30" ht="15.75">
      <c r="D12" s="2187" t="s">
        <v>2260</v>
      </c>
      <c r="E12" s="3159" t="s">
        <v>2263</v>
      </c>
      <c r="F12" s="3160"/>
      <c r="T12" s="2188"/>
      <c r="U12" s="2189"/>
      <c r="V12" s="2189"/>
      <c r="W12" s="2189"/>
      <c r="X12" s="2189"/>
      <c r="Y12" s="2189"/>
      <c r="Z12" s="2189"/>
      <c r="AA12" s="2189"/>
      <c r="AB12" s="2189"/>
      <c r="AC12" s="2189"/>
      <c r="AD12" s="2190"/>
    </row>
    <row r="13" spans="3:30" ht="21.75" thickBot="1">
      <c r="T13" s="3164" t="s">
        <v>2268</v>
      </c>
      <c r="U13" s="3165"/>
      <c r="V13" s="3165"/>
      <c r="W13" s="3165"/>
      <c r="X13" s="3165"/>
      <c r="Y13" s="3165"/>
      <c r="Z13" s="3165"/>
      <c r="AA13" s="3165"/>
      <c r="AB13" s="3165"/>
      <c r="AC13" s="3165"/>
      <c r="AD13" s="3166"/>
    </row>
    <row r="14" spans="3:30" ht="15.75" thickBot="1">
      <c r="C14" s="3161" t="s">
        <v>2256</v>
      </c>
      <c r="D14" s="3162"/>
      <c r="E14" s="3162"/>
      <c r="F14" s="3162"/>
      <c r="G14" s="3162"/>
      <c r="H14" s="3162"/>
      <c r="I14" s="3162"/>
      <c r="J14" s="3162"/>
      <c r="K14" s="3163"/>
      <c r="T14" s="2191"/>
      <c r="AD14" s="2192"/>
    </row>
    <row r="15" spans="3:30">
      <c r="C15" s="3168" t="s">
        <v>2256</v>
      </c>
      <c r="D15" s="2176"/>
      <c r="E15" s="861"/>
      <c r="F15" s="861"/>
      <c r="G15" s="861"/>
      <c r="H15" s="861"/>
      <c r="I15" s="861"/>
      <c r="J15" s="2177"/>
      <c r="K15" s="3168" t="s">
        <v>2256</v>
      </c>
      <c r="T15" s="2191"/>
      <c r="AD15" s="2192"/>
    </row>
    <row r="16" spans="3:30" ht="15.75">
      <c r="C16" s="3169"/>
      <c r="D16" s="2176"/>
      <c r="E16" s="861"/>
      <c r="F16" s="861"/>
      <c r="G16" s="861"/>
      <c r="H16" s="861"/>
      <c r="I16" s="861"/>
      <c r="J16" s="2177"/>
      <c r="K16" s="3169"/>
      <c r="M16" s="3171" t="s">
        <v>2257</v>
      </c>
      <c r="N16" s="3172"/>
      <c r="O16" s="3173"/>
      <c r="P16" s="1580">
        <v>20</v>
      </c>
      <c r="Q16" s="890" t="s">
        <v>255</v>
      </c>
      <c r="T16" s="2191"/>
      <c r="AA16" s="2196" t="s">
        <v>823</v>
      </c>
      <c r="AB16" s="2204">
        <v>3</v>
      </c>
      <c r="AC16" s="2197" t="s">
        <v>156</v>
      </c>
      <c r="AD16" s="2192"/>
    </row>
    <row r="17" spans="3:44" ht="15.75">
      <c r="C17" s="3169"/>
      <c r="D17" s="2176"/>
      <c r="E17" s="861"/>
      <c r="F17" s="861"/>
      <c r="G17" s="861"/>
      <c r="H17" s="861"/>
      <c r="I17" s="861"/>
      <c r="J17" s="2177"/>
      <c r="K17" s="3169"/>
      <c r="M17" s="3174" t="s">
        <v>2267</v>
      </c>
      <c r="N17" s="3175"/>
      <c r="O17" s="3176"/>
      <c r="P17" s="1580">
        <v>30</v>
      </c>
      <c r="Q17" s="890" t="s">
        <v>255</v>
      </c>
      <c r="T17" s="2191"/>
      <c r="AA17" s="2196" t="s">
        <v>1202</v>
      </c>
      <c r="AB17" s="2204">
        <v>4</v>
      </c>
      <c r="AC17" s="2197" t="s">
        <v>156</v>
      </c>
      <c r="AD17" s="2192"/>
    </row>
    <row r="18" spans="3:44" ht="21.6" customHeight="1" thickBot="1">
      <c r="C18" s="3169"/>
      <c r="D18" s="3177" t="s">
        <v>2259</v>
      </c>
      <c r="E18" s="3178"/>
      <c r="F18" s="3178"/>
      <c r="G18" s="3178"/>
      <c r="H18" s="3178"/>
      <c r="I18" s="3178"/>
      <c r="J18" s="3179"/>
      <c r="K18" s="3169"/>
      <c r="T18" s="2191"/>
      <c r="AA18" s="2198" t="s">
        <v>1203</v>
      </c>
      <c r="AB18" s="2199">
        <f>Q23/(AB16*AB17)</f>
        <v>2.4475000000000002</v>
      </c>
      <c r="AC18" s="2200" t="s">
        <v>156</v>
      </c>
      <c r="AD18" s="2192"/>
    </row>
    <row r="19" spans="3:44" ht="15.75" thickBot="1">
      <c r="C19" s="3169"/>
      <c r="D19" s="2176"/>
      <c r="E19" s="2178">
        <f>E8</f>
        <v>159</v>
      </c>
      <c r="F19" s="2179" t="s">
        <v>133</v>
      </c>
      <c r="G19" s="861"/>
      <c r="H19" s="861"/>
      <c r="I19" s="861"/>
      <c r="J19" s="2177"/>
      <c r="K19" s="3169"/>
      <c r="T19" s="2191"/>
      <c r="AD19" s="2192"/>
    </row>
    <row r="20" spans="3:44">
      <c r="C20" s="3169"/>
      <c r="D20" s="2176"/>
      <c r="E20" s="861"/>
      <c r="F20" s="861"/>
      <c r="G20" s="861"/>
      <c r="H20" s="861"/>
      <c r="I20" s="861"/>
      <c r="J20" s="2177"/>
      <c r="K20" s="3169"/>
      <c r="M20" s="2180" t="s">
        <v>2258</v>
      </c>
      <c r="N20" s="2181"/>
      <c r="O20" s="2181"/>
      <c r="P20" s="2181"/>
      <c r="Q20" s="2182">
        <f>((L6*2+L7*2)+((P16/100)*4))*0.3*0.2</f>
        <v>2.52</v>
      </c>
      <c r="R20" s="2183" t="s">
        <v>133</v>
      </c>
      <c r="T20" s="2191"/>
      <c r="AD20" s="2192"/>
    </row>
    <row r="21" spans="3:44">
      <c r="C21" s="3169"/>
      <c r="D21" s="2176"/>
      <c r="E21" s="861"/>
      <c r="F21" s="861"/>
      <c r="G21" s="861"/>
      <c r="H21" s="861"/>
      <c r="I21" s="861"/>
      <c r="J21" s="2177"/>
      <c r="K21" s="3169"/>
      <c r="M21" s="2157" t="s">
        <v>2264</v>
      </c>
      <c r="N21" s="2158"/>
      <c r="O21" s="2158"/>
      <c r="P21" s="2158"/>
      <c r="Q21" s="2158">
        <f>IF(E12=D26,0.25,IF(E12=D27,0.5,IF(E12=D28,3,"Hatalı Giriş")))</f>
        <v>3</v>
      </c>
      <c r="R21" s="2159" t="s">
        <v>133</v>
      </c>
      <c r="T21" s="2191"/>
      <c r="AD21" s="2192"/>
    </row>
    <row r="22" spans="3:44" ht="15.75" thickBot="1">
      <c r="C22" s="3170"/>
      <c r="D22" s="2176"/>
      <c r="E22" s="861"/>
      <c r="F22" s="861"/>
      <c r="G22" s="861"/>
      <c r="H22" s="861"/>
      <c r="I22" s="861"/>
      <c r="J22" s="2177"/>
      <c r="K22" s="3170"/>
      <c r="M22" s="2154" t="s">
        <v>2265</v>
      </c>
      <c r="N22" s="2155"/>
      <c r="O22" s="2155"/>
      <c r="P22" s="2155"/>
      <c r="Q22" s="2155">
        <f>IF(E12=D26,(E8*10/100),IF(E12=D27,(E8*12.5/100),IF(E12=D28,(E8*15/100),"Hatalı Giriş")))</f>
        <v>23.85</v>
      </c>
      <c r="R22" s="2156" t="s">
        <v>133</v>
      </c>
      <c r="T22" s="2191"/>
      <c r="AD22" s="2192"/>
      <c r="AR22" s="2206"/>
    </row>
    <row r="23" spans="3:44" ht="15.75" thickBot="1">
      <c r="C23" s="3161" t="s">
        <v>2256</v>
      </c>
      <c r="D23" s="3162"/>
      <c r="E23" s="3162"/>
      <c r="F23" s="3162"/>
      <c r="G23" s="3162"/>
      <c r="H23" s="3162"/>
      <c r="I23" s="3162"/>
      <c r="J23" s="3162"/>
      <c r="K23" s="3163"/>
      <c r="M23" s="2150" t="s">
        <v>2266</v>
      </c>
      <c r="N23" s="2151"/>
      <c r="O23" s="2151"/>
      <c r="P23" s="2151"/>
      <c r="Q23" s="2152">
        <f>SUM(Q20:Q22)</f>
        <v>29.37</v>
      </c>
      <c r="R23" s="2153" t="s">
        <v>133</v>
      </c>
      <c r="T23" s="2193"/>
      <c r="U23" s="2194"/>
      <c r="V23" s="2194"/>
      <c r="W23" s="2194"/>
      <c r="X23" s="2194"/>
      <c r="Y23" s="2194"/>
      <c r="Z23" s="2194"/>
      <c r="AA23" s="2194"/>
      <c r="AB23" s="2194"/>
      <c r="AC23" s="2194"/>
      <c r="AD23" s="2195"/>
    </row>
    <row r="26" spans="3:44">
      <c r="D26" s="2205" t="s">
        <v>2261</v>
      </c>
      <c r="AB26" s="2201" t="s">
        <v>141</v>
      </c>
      <c r="AG26" s="2201"/>
      <c r="AH26" s="2201"/>
    </row>
    <row r="27" spans="3:44">
      <c r="D27" s="2205" t="s">
        <v>2262</v>
      </c>
      <c r="AB27" s="2202" t="s">
        <v>17</v>
      </c>
      <c r="AG27" s="2202"/>
      <c r="AH27" s="2202"/>
    </row>
    <row r="28" spans="3:44">
      <c r="D28" s="2205" t="s">
        <v>2263</v>
      </c>
      <c r="AB28" s="2203">
        <v>2026</v>
      </c>
      <c r="AG28" s="2203"/>
      <c r="AH28" s="2203"/>
    </row>
  </sheetData>
  <sheetProtection algorithmName="SHA-512" hashValue="zTAGOjmw55u2WQ1qNIwbl/7opAp4bvbD5a1GlKZu5t4IUJFkC8ibAridMD5Mu5sthcdiSGjA1whp6g90KY7Tpw==" saltValue="0xgAjoFrZHJPBqh8lCa2ZA==" spinCount="100000" sheet="1" objects="1" selectLockedCells="1"/>
  <mergeCells count="11">
    <mergeCell ref="C23:K23"/>
    <mergeCell ref="C15:C22"/>
    <mergeCell ref="M16:O16"/>
    <mergeCell ref="M17:O17"/>
    <mergeCell ref="D18:J18"/>
    <mergeCell ref="K15:K22"/>
    <mergeCell ref="E12:F12"/>
    <mergeCell ref="C14:K14"/>
    <mergeCell ref="T13:AD13"/>
    <mergeCell ref="R5:W5"/>
    <mergeCell ref="Q6:V6"/>
  </mergeCells>
  <phoneticPr fontId="274" type="noConversion"/>
  <dataValidations count="1">
    <dataValidation type="list" allowBlank="1" showInputMessage="1" showErrorMessage="1" sqref="E12" xr:uid="{597F01B3-E559-4C86-A6AE-2F5C7DD5A7A4}">
      <formula1>$D$26:$D$28</formula1>
    </dataValidation>
  </dataValidation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ayfa7"/>
  <dimension ref="A1:IV51"/>
  <sheetViews>
    <sheetView showRowColHeaders="0" zoomScale="77" zoomScaleNormal="77" workbookViewId="0">
      <selection activeCell="E13" sqref="E13"/>
    </sheetView>
  </sheetViews>
  <sheetFormatPr defaultColWidth="9" defaultRowHeight="15"/>
  <cols>
    <col min="1" max="1" width="9.140625" style="129" customWidth="1"/>
    <col min="2" max="2" width="2.5703125" style="129" customWidth="1"/>
    <col min="3" max="3" width="9.140625" style="129" customWidth="1"/>
    <col min="4" max="4" width="27.5703125" style="129" customWidth="1"/>
    <col min="5" max="5" width="4.7109375" style="129" customWidth="1"/>
    <col min="6" max="6" width="5.140625" style="129" customWidth="1"/>
    <col min="7" max="7" width="7.5703125" style="129" customWidth="1"/>
    <col min="8" max="8" width="9.140625" style="129" customWidth="1"/>
    <col min="9" max="9" width="6" style="129" customWidth="1"/>
    <col min="10" max="10" width="5.85546875" style="129" customWidth="1"/>
    <col min="11" max="11" width="3" style="129" customWidth="1"/>
    <col min="12" max="12" width="7" style="129" customWidth="1"/>
    <col min="13" max="13" width="9.140625" style="129" customWidth="1"/>
    <col min="14" max="14" width="2.5703125" style="129" customWidth="1"/>
    <col min="15" max="15" width="9.140625" style="129" customWidth="1"/>
    <col min="16" max="16" width="27.5703125" style="129" customWidth="1"/>
    <col min="17" max="17" width="4.7109375" style="129" customWidth="1"/>
    <col min="18" max="18" width="5.140625" style="129" customWidth="1"/>
    <col min="19" max="19" width="7.5703125" style="129" customWidth="1"/>
    <col min="20" max="20" width="9.140625" style="129" customWidth="1"/>
    <col min="21" max="21" width="4.7109375" style="129" customWidth="1"/>
    <col min="22" max="22" width="6" style="129" customWidth="1"/>
    <col min="23" max="23" width="2.5703125" style="129" customWidth="1"/>
    <col min="24" max="256" width="9.140625" style="129" customWidth="1"/>
  </cols>
  <sheetData>
    <row r="1" spans="3:28" ht="6.75" customHeight="1"/>
    <row r="2" spans="3:28">
      <c r="T2" s="127"/>
      <c r="U2" s="127"/>
      <c r="V2" s="128"/>
      <c r="W2" s="128"/>
    </row>
    <row r="3" spans="3:28">
      <c r="S3" s="127"/>
      <c r="T3" s="127"/>
      <c r="U3" s="128"/>
      <c r="V3" s="128"/>
      <c r="W3" s="128"/>
    </row>
    <row r="4" spans="3:28" ht="48">
      <c r="C4" s="3180" t="s">
        <v>126</v>
      </c>
      <c r="D4" s="3180"/>
      <c r="E4" s="3180"/>
      <c r="F4" s="3180"/>
      <c r="G4" s="3180"/>
      <c r="H4" s="3180"/>
      <c r="K4" s="1698" t="s">
        <v>895</v>
      </c>
      <c r="P4" s="2140"/>
      <c r="Q4" s="2140"/>
      <c r="R4" s="2140"/>
      <c r="S4" s="2141"/>
      <c r="T4" s="2142"/>
      <c r="U4" s="2143"/>
      <c r="V4" s="2143"/>
      <c r="W4" s="2143"/>
      <c r="X4" s="2140"/>
      <c r="Y4" s="2140"/>
      <c r="Z4" s="2140"/>
      <c r="AA4" s="2140"/>
      <c r="AB4" s="2140"/>
    </row>
    <row r="5" spans="3:28" ht="15.75" thickBot="1">
      <c r="K5" s="860"/>
      <c r="M5" s="130"/>
      <c r="N5" s="130"/>
      <c r="O5" s="130"/>
      <c r="P5" s="2144"/>
      <c r="Q5" s="2140"/>
      <c r="R5" s="3187"/>
      <c r="S5" s="3187"/>
      <c r="T5" s="3187"/>
      <c r="U5" s="3187"/>
      <c r="V5" s="3187"/>
      <c r="W5" s="2143"/>
      <c r="X5" s="2140"/>
      <c r="Y5" s="2140"/>
      <c r="Z5" s="2140"/>
      <c r="AA5" s="2140"/>
      <c r="AB5" s="2140"/>
    </row>
    <row r="6" spans="3:28" ht="15.75" thickBot="1">
      <c r="D6" s="132" t="s">
        <v>134</v>
      </c>
      <c r="E6" s="83">
        <f>L6*L7</f>
        <v>23.369999999999997</v>
      </c>
      <c r="F6" s="98" t="s">
        <v>3</v>
      </c>
      <c r="J6" s="856" t="s">
        <v>273</v>
      </c>
      <c r="L6" s="82">
        <v>4.0999999999999996</v>
      </c>
      <c r="M6" s="129" t="s">
        <v>163</v>
      </c>
      <c r="P6" s="2140"/>
      <c r="Q6" s="3187"/>
      <c r="R6" s="3187"/>
      <c r="S6" s="3187"/>
      <c r="T6" s="3187"/>
      <c r="U6" s="3187"/>
      <c r="V6" s="2140"/>
      <c r="W6" s="2140"/>
      <c r="X6" s="2140"/>
      <c r="Y6" s="2140"/>
      <c r="Z6" s="2140"/>
      <c r="AA6" s="2140"/>
      <c r="AB6" s="2140"/>
    </row>
    <row r="7" spans="3:28" ht="15.75" thickBot="1">
      <c r="D7" s="131"/>
      <c r="E7" s="184"/>
      <c r="F7" s="148"/>
      <c r="I7" s="133"/>
      <c r="J7" s="856" t="s">
        <v>822</v>
      </c>
      <c r="L7" s="82">
        <v>5.7</v>
      </c>
      <c r="M7" s="129" t="s">
        <v>163</v>
      </c>
      <c r="P7" s="2145"/>
      <c r="Q7" s="2140"/>
      <c r="R7" s="2140"/>
      <c r="S7" s="2140"/>
      <c r="T7" s="2140"/>
      <c r="U7" s="2140"/>
      <c r="V7" s="2140"/>
      <c r="W7" s="2140"/>
      <c r="X7" s="2140"/>
      <c r="Y7" s="2140"/>
      <c r="Z7" s="2140"/>
      <c r="AA7" s="2140"/>
      <c r="AB7" s="2140"/>
    </row>
    <row r="8" spans="3:28" ht="15.75" thickBot="1">
      <c r="D8" s="132" t="s">
        <v>135</v>
      </c>
      <c r="E8" s="83">
        <f>E6*L8</f>
        <v>35.054999999999993</v>
      </c>
      <c r="F8" s="98" t="s">
        <v>133</v>
      </c>
      <c r="J8" s="856" t="s">
        <v>896</v>
      </c>
      <c r="L8" s="82">
        <v>1.5</v>
      </c>
      <c r="M8" s="129" t="s">
        <v>163</v>
      </c>
      <c r="P8" s="2140"/>
      <c r="Q8" s="2140"/>
      <c r="R8" s="2140"/>
      <c r="S8" s="2140"/>
      <c r="T8" s="2140"/>
      <c r="U8" s="2140"/>
      <c r="V8" s="2140"/>
      <c r="W8" s="2140"/>
      <c r="X8" s="2140"/>
      <c r="Y8" s="2140"/>
      <c r="Z8" s="2140"/>
      <c r="AA8" s="2140"/>
      <c r="AB8" s="2140"/>
    </row>
    <row r="9" spans="3:28">
      <c r="P9" s="2140"/>
      <c r="Q9" s="2146"/>
      <c r="R9" s="2146"/>
      <c r="S9" s="2146"/>
      <c r="T9" s="2146"/>
      <c r="U9" s="2146"/>
      <c r="V9" s="2146"/>
      <c r="W9" s="2146"/>
      <c r="X9" s="2140"/>
      <c r="Y9" s="2140"/>
      <c r="Z9" s="2140"/>
      <c r="AA9" s="2140"/>
      <c r="AB9" s="2140"/>
    </row>
    <row r="10" spans="3:28" ht="15.75" thickBot="1">
      <c r="E10" s="184"/>
      <c r="I10" s="133"/>
      <c r="L10" s="184"/>
      <c r="P10" s="2140"/>
      <c r="Q10" s="2147"/>
      <c r="R10" s="2146"/>
      <c r="S10" s="2148"/>
      <c r="T10" s="2146"/>
      <c r="U10" s="2146"/>
      <c r="V10" s="2146"/>
      <c r="W10" s="2147"/>
      <c r="X10" s="2140"/>
      <c r="Y10" s="2140"/>
      <c r="Z10" s="2140"/>
      <c r="AA10" s="2140"/>
      <c r="AB10" s="2140"/>
    </row>
    <row r="11" spans="3:28" ht="15.75" thickBot="1">
      <c r="D11" s="132" t="s">
        <v>129</v>
      </c>
      <c r="E11" s="82">
        <v>28</v>
      </c>
      <c r="F11" s="148" t="s">
        <v>19</v>
      </c>
      <c r="L11" s="184"/>
      <c r="P11" s="2140"/>
      <c r="Q11" s="3189"/>
      <c r="R11" s="3189"/>
      <c r="S11" s="3189"/>
      <c r="T11" s="3189"/>
      <c r="U11" s="3189"/>
      <c r="V11" s="3189"/>
      <c r="W11" s="3189"/>
      <c r="X11" s="2140"/>
      <c r="Y11" s="2140"/>
      <c r="Z11" s="2140"/>
      <c r="AA11" s="2140"/>
      <c r="AB11" s="2140"/>
    </row>
    <row r="12" spans="3:28" ht="15.75" thickBot="1">
      <c r="L12" s="184"/>
      <c r="P12" s="2140"/>
      <c r="Q12" s="2140"/>
      <c r="R12" s="2140"/>
      <c r="S12" s="2140"/>
      <c r="T12" s="2140"/>
      <c r="U12" s="2140"/>
      <c r="V12" s="2140"/>
      <c r="W12" s="2140"/>
      <c r="X12" s="2140"/>
      <c r="Y12" s="2140"/>
      <c r="Z12" s="2140"/>
      <c r="AA12" s="2140"/>
      <c r="AB12" s="2140"/>
    </row>
    <row r="13" spans="3:28" ht="15.75" thickBot="1">
      <c r="D13" s="132" t="s">
        <v>130</v>
      </c>
      <c r="E13" s="82">
        <v>24</v>
      </c>
      <c r="F13" s="129" t="s">
        <v>19</v>
      </c>
      <c r="P13" s="2140"/>
      <c r="Q13" s="2140"/>
      <c r="R13" s="2140"/>
      <c r="S13" s="2140"/>
      <c r="T13" s="2140"/>
      <c r="U13" s="2140"/>
      <c r="V13" s="2140"/>
      <c r="W13" s="2140"/>
      <c r="X13" s="2140"/>
      <c r="Y13" s="2140"/>
      <c r="Z13" s="2140"/>
      <c r="AA13" s="2140"/>
      <c r="AB13" s="2140"/>
    </row>
    <row r="14" spans="3:28" ht="15.75" thickBot="1">
      <c r="P14" s="2140"/>
      <c r="Q14" s="2140"/>
      <c r="R14" s="2140"/>
      <c r="S14" s="2140"/>
      <c r="T14" s="2140"/>
      <c r="U14" s="2140"/>
      <c r="V14" s="2140"/>
      <c r="W14" s="2140"/>
      <c r="X14" s="2140"/>
      <c r="Y14" s="2140"/>
      <c r="Z14" s="2140"/>
      <c r="AA14" s="2140"/>
      <c r="AB14" s="2140"/>
    </row>
    <row r="15" spans="3:28" ht="15.75" thickBot="1">
      <c r="D15" s="133" t="s">
        <v>92</v>
      </c>
      <c r="E15" s="862">
        <f>E11-E13</f>
        <v>4</v>
      </c>
      <c r="F15" s="129" t="s">
        <v>19</v>
      </c>
      <c r="I15" s="133"/>
      <c r="J15" s="132"/>
      <c r="L15" s="184"/>
      <c r="N15" s="184"/>
      <c r="P15" s="2145"/>
      <c r="Q15" s="2149"/>
      <c r="R15" s="2140"/>
      <c r="S15" s="2140"/>
      <c r="T15" s="2140"/>
      <c r="U15" s="2140"/>
      <c r="V15" s="2140"/>
      <c r="W15" s="2140"/>
      <c r="X15" s="2140"/>
      <c r="Y15" s="2140"/>
      <c r="Z15" s="2140"/>
      <c r="AA15" s="2140"/>
      <c r="AB15" s="2140"/>
    </row>
    <row r="16" spans="3:28" ht="15.75" thickBot="1">
      <c r="D16" s="2510"/>
      <c r="E16" s="2511"/>
      <c r="F16" s="861"/>
      <c r="G16" s="861"/>
      <c r="I16" s="133"/>
      <c r="J16" s="132"/>
      <c r="L16" s="184"/>
      <c r="N16" s="184"/>
      <c r="P16" s="2145"/>
      <c r="Q16" s="2149"/>
      <c r="R16" s="2140"/>
      <c r="S16" s="2140"/>
      <c r="T16" s="2140"/>
      <c r="U16" s="2140"/>
      <c r="V16" s="2140"/>
      <c r="W16" s="2140"/>
      <c r="X16" s="2140"/>
      <c r="Y16" s="2140"/>
      <c r="Z16" s="2140"/>
      <c r="AA16" s="2140"/>
      <c r="AB16" s="2140"/>
    </row>
    <row r="17" spans="2:28" hidden="1">
      <c r="D17" s="2510"/>
      <c r="E17" s="2511"/>
      <c r="F17" s="861"/>
      <c r="G17" s="861"/>
      <c r="I17" s="133"/>
      <c r="J17" s="132"/>
      <c r="L17" s="184"/>
      <c r="N17" s="184"/>
      <c r="P17" s="2145"/>
      <c r="Q17" s="2149"/>
      <c r="R17" s="2140"/>
      <c r="S17" s="2140"/>
      <c r="T17" s="2140"/>
      <c r="U17" s="2140"/>
      <c r="V17" s="2140"/>
      <c r="W17" s="2140"/>
      <c r="X17" s="2140"/>
      <c r="Y17" s="2140"/>
      <c r="Z17" s="2140"/>
      <c r="AA17" s="2140"/>
      <c r="AB17" s="2140"/>
    </row>
    <row r="18" spans="2:28" hidden="1">
      <c r="D18" s="2510"/>
      <c r="E18" s="2511"/>
      <c r="F18" s="861"/>
      <c r="G18" s="861"/>
      <c r="I18" s="133"/>
      <c r="J18" s="132"/>
      <c r="L18" s="184"/>
      <c r="N18" s="184"/>
      <c r="P18" s="2145"/>
      <c r="Q18" s="2149"/>
      <c r="R18" s="2140"/>
      <c r="S18" s="2140"/>
      <c r="T18" s="2140"/>
      <c r="U18" s="2140"/>
      <c r="V18" s="2140"/>
      <c r="W18" s="2140"/>
      <c r="X18" s="2140"/>
      <c r="Y18" s="2140"/>
      <c r="Z18" s="2140"/>
      <c r="AA18" s="2140"/>
      <c r="AB18" s="2140"/>
    </row>
    <row r="19" spans="2:28" hidden="1">
      <c r="D19" s="2510"/>
      <c r="E19" s="2511"/>
      <c r="F19" s="861"/>
      <c r="G19" s="861"/>
      <c r="I19" s="133"/>
      <c r="J19" s="132"/>
      <c r="L19" s="184"/>
      <c r="N19" s="184"/>
      <c r="P19" s="2145"/>
      <c r="Q19" s="2149"/>
      <c r="R19" s="2140"/>
      <c r="S19" s="2140"/>
      <c r="T19" s="2140"/>
      <c r="U19" s="2140"/>
      <c r="V19" s="2140"/>
      <c r="W19" s="2140"/>
      <c r="X19" s="2140"/>
      <c r="Y19" s="2140"/>
      <c r="Z19" s="2140"/>
      <c r="AA19" s="2140"/>
      <c r="AB19" s="2140"/>
    </row>
    <row r="20" spans="2:28" hidden="1">
      <c r="D20" s="2510"/>
      <c r="E20" s="2511"/>
      <c r="F20" s="861"/>
      <c r="G20" s="861"/>
      <c r="I20" s="133"/>
      <c r="J20" s="132"/>
      <c r="L20" s="184"/>
      <c r="N20" s="184"/>
      <c r="P20" s="2145"/>
      <c r="Q20" s="2149"/>
      <c r="R20" s="2140"/>
      <c r="S20" s="2140"/>
      <c r="T20" s="2140"/>
      <c r="U20" s="2140"/>
      <c r="V20" s="2140"/>
      <c r="W20" s="2140"/>
      <c r="X20" s="2140"/>
      <c r="Y20" s="2140"/>
      <c r="Z20" s="2140"/>
      <c r="AA20" s="2140"/>
      <c r="AB20" s="2140"/>
    </row>
    <row r="21" spans="2:28" ht="15.75" hidden="1" thickBot="1">
      <c r="D21" s="2510"/>
      <c r="E21" s="2511"/>
      <c r="F21" s="861"/>
      <c r="G21" s="861"/>
      <c r="I21" s="133"/>
      <c r="J21" s="132"/>
      <c r="L21" s="184"/>
      <c r="N21" s="184"/>
      <c r="P21" s="2145"/>
      <c r="Q21" s="2149"/>
      <c r="R21" s="2140"/>
      <c r="S21" s="2140"/>
      <c r="T21" s="2140"/>
      <c r="U21" s="2140"/>
      <c r="V21" s="2140"/>
      <c r="W21" s="2140"/>
      <c r="X21" s="2140"/>
      <c r="Y21" s="2140"/>
      <c r="Z21" s="2140"/>
      <c r="AA21" s="2140"/>
      <c r="AB21" s="2140"/>
    </row>
    <row r="22" spans="2:28" ht="15.75" thickBot="1">
      <c r="B22" s="135"/>
      <c r="C22" s="3190" t="s">
        <v>127</v>
      </c>
      <c r="D22" s="3190"/>
      <c r="E22" s="136" t="s">
        <v>128</v>
      </c>
      <c r="F22" s="136"/>
      <c r="G22" s="137"/>
      <c r="H22" s="137"/>
      <c r="I22" s="137"/>
      <c r="J22" s="137"/>
      <c r="K22" s="138"/>
      <c r="L22" s="184"/>
      <c r="N22" s="2503"/>
      <c r="O22" s="3190" t="s">
        <v>139</v>
      </c>
      <c r="P22" s="3190"/>
      <c r="Q22" s="136" t="s">
        <v>140</v>
      </c>
      <c r="R22" s="136"/>
      <c r="S22" s="137"/>
      <c r="T22" s="137"/>
      <c r="U22" s="2504"/>
      <c r="V22" s="2504"/>
      <c r="W22" s="2505"/>
      <c r="X22" s="2140"/>
      <c r="Y22" s="2140"/>
      <c r="Z22" s="2140"/>
      <c r="AA22" s="2140"/>
      <c r="AB22" s="2140"/>
    </row>
    <row r="23" spans="2:28">
      <c r="B23" s="139"/>
      <c r="C23" s="3185" t="s">
        <v>131</v>
      </c>
      <c r="D23" s="3186"/>
      <c r="E23" s="3186"/>
      <c r="F23" s="140">
        <v>12</v>
      </c>
      <c r="G23" s="137" t="s">
        <v>132</v>
      </c>
      <c r="H23" s="137"/>
      <c r="I23" s="137"/>
      <c r="J23" s="138"/>
      <c r="K23" s="141"/>
      <c r="L23" s="184"/>
      <c r="N23" s="2506"/>
      <c r="O23" s="3185" t="s">
        <v>131</v>
      </c>
      <c r="P23" s="3186"/>
      <c r="Q23" s="3186"/>
      <c r="R23" s="140">
        <v>12</v>
      </c>
      <c r="S23" s="137" t="s">
        <v>132</v>
      </c>
      <c r="T23" s="137"/>
      <c r="U23" s="137"/>
      <c r="V23" s="138"/>
      <c r="W23" s="2507"/>
      <c r="X23" s="2140"/>
      <c r="Y23" s="2140"/>
      <c r="Z23" s="2140"/>
      <c r="AA23" s="2140"/>
      <c r="AB23" s="2140"/>
    </row>
    <row r="24" spans="2:28">
      <c r="B24" s="139"/>
      <c r="C24" s="139"/>
      <c r="D24" s="2502">
        <f>(E8*1000*E15)/F23</f>
        <v>11684.999999999998</v>
      </c>
      <c r="E24" s="3184" t="s">
        <v>42</v>
      </c>
      <c r="F24" s="3184"/>
      <c r="I24" s="133"/>
      <c r="J24" s="142"/>
      <c r="K24" s="141"/>
      <c r="L24" s="184"/>
      <c r="N24" s="2506"/>
      <c r="O24" s="139"/>
      <c r="P24" s="2502">
        <f>(E8*1000*E15)/R23</f>
        <v>11684.999999999998</v>
      </c>
      <c r="Q24" s="3184" t="s">
        <v>42</v>
      </c>
      <c r="R24" s="3184"/>
      <c r="U24" s="133"/>
      <c r="V24" s="142"/>
      <c r="W24" s="2507"/>
      <c r="X24" s="2140"/>
      <c r="Y24" s="2140"/>
      <c r="Z24" s="2140"/>
      <c r="AA24" s="2140"/>
      <c r="AB24" s="2140"/>
    </row>
    <row r="25" spans="2:28">
      <c r="B25" s="139"/>
      <c r="C25" s="139"/>
      <c r="D25" s="129">
        <f>375*E6</f>
        <v>8763.7499999999982</v>
      </c>
      <c r="E25" s="3184" t="s">
        <v>42</v>
      </c>
      <c r="F25" s="3184"/>
      <c r="I25" s="133"/>
      <c r="J25" s="141"/>
      <c r="K25" s="141"/>
      <c r="L25" s="184"/>
      <c r="N25" s="2506"/>
      <c r="O25" s="139"/>
      <c r="P25" s="129">
        <f>104*E6</f>
        <v>2430.4799999999996</v>
      </c>
      <c r="Q25" s="3184" t="s">
        <v>42</v>
      </c>
      <c r="R25" s="3184"/>
      <c r="U25" s="133"/>
      <c r="V25" s="141"/>
      <c r="W25" s="2507"/>
      <c r="X25" s="2140"/>
      <c r="Y25" s="2140"/>
      <c r="Z25" s="2140"/>
      <c r="AA25" s="2140"/>
      <c r="AB25" s="2140"/>
    </row>
    <row r="26" spans="2:28">
      <c r="B26" s="139"/>
      <c r="C26" s="139"/>
      <c r="D26" s="129">
        <f>SUM(D24:D25)</f>
        <v>20448.749999999996</v>
      </c>
      <c r="E26" s="3184" t="s">
        <v>42</v>
      </c>
      <c r="F26" s="3184"/>
      <c r="J26" s="141"/>
      <c r="K26" s="141"/>
      <c r="L26" s="184"/>
      <c r="N26" s="139"/>
      <c r="O26" s="139"/>
      <c r="P26" s="129">
        <f>SUM(P24:P25)</f>
        <v>14115.479999999998</v>
      </c>
      <c r="Q26" s="3184" t="s">
        <v>42</v>
      </c>
      <c r="R26" s="3184"/>
      <c r="V26" s="141"/>
      <c r="W26" s="2507"/>
      <c r="X26" s="2140"/>
      <c r="Y26" s="2140"/>
      <c r="Z26" s="2140"/>
      <c r="AA26" s="2140"/>
      <c r="AB26" s="2140"/>
    </row>
    <row r="27" spans="2:28" ht="15.75" thickBot="1">
      <c r="B27" s="139"/>
      <c r="C27" s="143"/>
      <c r="D27" s="144" t="s">
        <v>136</v>
      </c>
      <c r="E27" s="145">
        <f>D26/860</f>
        <v>23.777616279069765</v>
      </c>
      <c r="F27" s="145" t="s">
        <v>77</v>
      </c>
      <c r="G27" s="146"/>
      <c r="H27" s="146"/>
      <c r="I27" s="146"/>
      <c r="J27" s="147"/>
      <c r="K27" s="141"/>
      <c r="L27" s="184"/>
      <c r="M27" s="134"/>
      <c r="N27" s="2508"/>
      <c r="O27" s="143"/>
      <c r="P27" s="144" t="s">
        <v>136</v>
      </c>
      <c r="Q27" s="145">
        <f>P26/860</f>
        <v>16.413348837209298</v>
      </c>
      <c r="R27" s="145" t="s">
        <v>77</v>
      </c>
      <c r="S27" s="146"/>
      <c r="T27" s="146"/>
      <c r="U27" s="146"/>
      <c r="V27" s="147"/>
      <c r="W27" s="141"/>
    </row>
    <row r="28" spans="2:28" ht="15.75" thickBot="1">
      <c r="B28" s="139"/>
      <c r="C28" s="3188"/>
      <c r="D28" s="3188"/>
      <c r="E28" s="2509"/>
      <c r="F28" s="2509"/>
      <c r="K28" s="141"/>
      <c r="N28" s="139"/>
      <c r="W28" s="141"/>
    </row>
    <row r="29" spans="2:28">
      <c r="B29" s="139"/>
      <c r="C29" s="3185" t="s">
        <v>137</v>
      </c>
      <c r="D29" s="3186"/>
      <c r="E29" s="3186"/>
      <c r="F29" s="140">
        <v>24</v>
      </c>
      <c r="G29" s="137" t="s">
        <v>132</v>
      </c>
      <c r="H29" s="137"/>
      <c r="I29" s="137"/>
      <c r="J29" s="138"/>
      <c r="K29" s="141"/>
      <c r="N29" s="139"/>
      <c r="O29" s="3185" t="s">
        <v>137</v>
      </c>
      <c r="P29" s="3186"/>
      <c r="Q29" s="3186"/>
      <c r="R29" s="140">
        <v>24</v>
      </c>
      <c r="S29" s="137" t="s">
        <v>132</v>
      </c>
      <c r="T29" s="137"/>
      <c r="U29" s="137"/>
      <c r="V29" s="138"/>
      <c r="W29" s="141"/>
    </row>
    <row r="30" spans="2:28">
      <c r="B30" s="139"/>
      <c r="C30" s="139"/>
      <c r="D30" s="2502">
        <f>(E8*1000*E15)/F29</f>
        <v>5842.4999999999991</v>
      </c>
      <c r="E30" s="3184" t="s">
        <v>42</v>
      </c>
      <c r="F30" s="3184"/>
      <c r="I30" s="133"/>
      <c r="J30" s="142"/>
      <c r="K30" s="141"/>
      <c r="L30" s="184"/>
      <c r="N30" s="139"/>
      <c r="O30" s="139"/>
      <c r="P30" s="2502">
        <f>(E8*1000*E15)/R29</f>
        <v>5842.4999999999991</v>
      </c>
      <c r="Q30" s="3184" t="s">
        <v>42</v>
      </c>
      <c r="R30" s="3184"/>
      <c r="U30" s="133"/>
      <c r="V30" s="142"/>
      <c r="W30" s="141"/>
    </row>
    <row r="31" spans="2:28">
      <c r="B31" s="139"/>
      <c r="C31" s="139"/>
      <c r="D31" s="129">
        <f>375*E6</f>
        <v>8763.7499999999982</v>
      </c>
      <c r="E31" s="3184" t="s">
        <v>42</v>
      </c>
      <c r="F31" s="3184"/>
      <c r="I31" s="133"/>
      <c r="J31" s="141"/>
      <c r="K31" s="141"/>
      <c r="L31" s="184"/>
      <c r="N31" s="139"/>
      <c r="O31" s="139"/>
      <c r="P31" s="129">
        <f>104*E6</f>
        <v>2430.4799999999996</v>
      </c>
      <c r="Q31" s="3184" t="s">
        <v>42</v>
      </c>
      <c r="R31" s="3184"/>
      <c r="U31" s="133"/>
      <c r="V31" s="141"/>
      <c r="W31" s="141"/>
    </row>
    <row r="32" spans="2:28">
      <c r="B32" s="139"/>
      <c r="C32" s="139"/>
      <c r="D32" s="129">
        <f>SUM(D30:D31)</f>
        <v>14606.249999999996</v>
      </c>
      <c r="E32" s="3184" t="s">
        <v>42</v>
      </c>
      <c r="F32" s="3184"/>
      <c r="J32" s="141"/>
      <c r="K32" s="141"/>
      <c r="L32" s="184"/>
      <c r="M32" s="134"/>
      <c r="N32" s="139"/>
      <c r="O32" s="139"/>
      <c r="P32" s="129">
        <f>SUM(P30:P31)</f>
        <v>8272.98</v>
      </c>
      <c r="Q32" s="3184" t="s">
        <v>42</v>
      </c>
      <c r="R32" s="3184"/>
      <c r="V32" s="141"/>
      <c r="W32" s="141"/>
    </row>
    <row r="33" spans="2:23" ht="15.75" thickBot="1">
      <c r="B33" s="139"/>
      <c r="C33" s="143"/>
      <c r="D33" s="144" t="s">
        <v>136</v>
      </c>
      <c r="E33" s="145">
        <f>D32/860</f>
        <v>16.984011627906973</v>
      </c>
      <c r="F33" s="145" t="s">
        <v>77</v>
      </c>
      <c r="G33" s="146"/>
      <c r="H33" s="146"/>
      <c r="I33" s="146"/>
      <c r="J33" s="147"/>
      <c r="K33" s="141"/>
      <c r="N33" s="139"/>
      <c r="O33" s="143"/>
      <c r="P33" s="144" t="s">
        <v>136</v>
      </c>
      <c r="Q33" s="145">
        <f>P32/860</f>
        <v>9.6197441860465105</v>
      </c>
      <c r="R33" s="145" t="s">
        <v>77</v>
      </c>
      <c r="S33" s="146"/>
      <c r="T33" s="146"/>
      <c r="U33" s="146"/>
      <c r="V33" s="147"/>
      <c r="W33" s="141"/>
    </row>
    <row r="34" spans="2:23" ht="15.75" thickBot="1">
      <c r="B34" s="139"/>
      <c r="D34" s="2501"/>
      <c r="K34" s="141"/>
      <c r="N34" s="139"/>
      <c r="P34" s="2501"/>
      <c r="W34" s="141"/>
    </row>
    <row r="35" spans="2:23">
      <c r="B35" s="139"/>
      <c r="C35" s="3185" t="s">
        <v>138</v>
      </c>
      <c r="D35" s="3186"/>
      <c r="E35" s="3186"/>
      <c r="F35" s="140">
        <v>48</v>
      </c>
      <c r="G35" s="137" t="s">
        <v>132</v>
      </c>
      <c r="H35" s="137"/>
      <c r="I35" s="137"/>
      <c r="J35" s="138"/>
      <c r="K35" s="141"/>
      <c r="N35" s="139"/>
      <c r="O35" s="3185" t="s">
        <v>138</v>
      </c>
      <c r="P35" s="3186"/>
      <c r="Q35" s="3186"/>
      <c r="R35" s="140">
        <v>48</v>
      </c>
      <c r="S35" s="137" t="s">
        <v>132</v>
      </c>
      <c r="T35" s="137"/>
      <c r="U35" s="137"/>
      <c r="V35" s="138"/>
      <c r="W35" s="141"/>
    </row>
    <row r="36" spans="2:23">
      <c r="B36" s="139"/>
      <c r="C36" s="139"/>
      <c r="D36" s="2502">
        <f>(E8*1000*E15)/F35</f>
        <v>2921.2499999999995</v>
      </c>
      <c r="E36" s="3184" t="s">
        <v>42</v>
      </c>
      <c r="F36" s="3184"/>
      <c r="I36" s="133"/>
      <c r="J36" s="142"/>
      <c r="K36" s="141"/>
      <c r="L36" s="184"/>
      <c r="M36" s="148"/>
      <c r="N36" s="139"/>
      <c r="O36" s="139"/>
      <c r="P36" s="2502">
        <f>(E8*1000*E15)/R35</f>
        <v>2921.2499999999995</v>
      </c>
      <c r="Q36" s="3184" t="s">
        <v>42</v>
      </c>
      <c r="R36" s="3184"/>
      <c r="U36" s="133"/>
      <c r="V36" s="142"/>
      <c r="W36" s="141"/>
    </row>
    <row r="37" spans="2:23">
      <c r="B37" s="139"/>
      <c r="C37" s="139"/>
      <c r="D37" s="129">
        <f>375*E6</f>
        <v>8763.7499999999982</v>
      </c>
      <c r="E37" s="3184" t="s">
        <v>42</v>
      </c>
      <c r="F37" s="3184"/>
      <c r="I37" s="133"/>
      <c r="J37" s="141"/>
      <c r="K37" s="141"/>
      <c r="L37" s="184"/>
      <c r="N37" s="139"/>
      <c r="O37" s="139"/>
      <c r="P37" s="129">
        <f>104*E6</f>
        <v>2430.4799999999996</v>
      </c>
      <c r="Q37" s="3184" t="s">
        <v>42</v>
      </c>
      <c r="R37" s="3184"/>
      <c r="U37" s="133"/>
      <c r="V37" s="141"/>
      <c r="W37" s="141"/>
    </row>
    <row r="38" spans="2:23">
      <c r="B38" s="139"/>
      <c r="C38" s="139"/>
      <c r="D38" s="129">
        <f>SUM(D36:D37)</f>
        <v>11684.999999999998</v>
      </c>
      <c r="E38" s="3184" t="s">
        <v>42</v>
      </c>
      <c r="F38" s="3184"/>
      <c r="J38" s="141"/>
      <c r="K38" s="141"/>
      <c r="L38" s="184"/>
      <c r="M38" s="134"/>
      <c r="N38" s="139"/>
      <c r="O38" s="139"/>
      <c r="P38" s="129">
        <f>SUM(P36:P37)</f>
        <v>5351.73</v>
      </c>
      <c r="Q38" s="3184" t="s">
        <v>42</v>
      </c>
      <c r="R38" s="3184"/>
      <c r="V38" s="141"/>
      <c r="W38" s="141"/>
    </row>
    <row r="39" spans="2:23" ht="15.75" thickBot="1">
      <c r="B39" s="139"/>
      <c r="C39" s="143"/>
      <c r="D39" s="144" t="s">
        <v>136</v>
      </c>
      <c r="E39" s="149">
        <f>D38/860</f>
        <v>13.587209302325579</v>
      </c>
      <c r="F39" s="149" t="s">
        <v>77</v>
      </c>
      <c r="G39" s="146"/>
      <c r="H39" s="146"/>
      <c r="I39" s="146"/>
      <c r="J39" s="147"/>
      <c r="K39" s="141"/>
      <c r="N39" s="139"/>
      <c r="O39" s="143"/>
      <c r="P39" s="144" t="s">
        <v>136</v>
      </c>
      <c r="Q39" s="149">
        <f>P38/860</f>
        <v>6.2229418604651157</v>
      </c>
      <c r="R39" s="149" t="s">
        <v>77</v>
      </c>
      <c r="S39" s="146"/>
      <c r="T39" s="146"/>
      <c r="U39" s="146"/>
      <c r="V39" s="147"/>
      <c r="W39" s="141"/>
    </row>
    <row r="40" spans="2:23" ht="15.75" thickBot="1">
      <c r="B40" s="139"/>
      <c r="D40" s="2501"/>
      <c r="K40" s="141"/>
      <c r="N40" s="139"/>
      <c r="P40" s="2501"/>
      <c r="W40" s="141"/>
    </row>
    <row r="41" spans="2:23">
      <c r="B41" s="139"/>
      <c r="C41" s="3185" t="s">
        <v>2450</v>
      </c>
      <c r="D41" s="3186"/>
      <c r="E41" s="3186"/>
      <c r="F41" s="140">
        <v>72</v>
      </c>
      <c r="G41" s="137" t="s">
        <v>132</v>
      </c>
      <c r="H41" s="137"/>
      <c r="I41" s="137"/>
      <c r="J41" s="138"/>
      <c r="K41" s="141"/>
      <c r="N41" s="139"/>
      <c r="O41" s="3185" t="s">
        <v>2450</v>
      </c>
      <c r="P41" s="3186"/>
      <c r="Q41" s="3186"/>
      <c r="R41" s="140">
        <v>72</v>
      </c>
      <c r="S41" s="137" t="s">
        <v>132</v>
      </c>
      <c r="T41" s="137"/>
      <c r="U41" s="137"/>
      <c r="V41" s="138"/>
      <c r="W41" s="141"/>
    </row>
    <row r="42" spans="2:23">
      <c r="B42" s="139"/>
      <c r="C42" s="139"/>
      <c r="D42" s="2502">
        <f>(E8*1000*E15)/F41</f>
        <v>1947.4999999999995</v>
      </c>
      <c r="E42" s="3184" t="s">
        <v>42</v>
      </c>
      <c r="F42" s="3184"/>
      <c r="I42" s="133"/>
      <c r="J42" s="141"/>
      <c r="K42" s="141"/>
      <c r="N42" s="139"/>
      <c r="O42" s="139"/>
      <c r="P42" s="2502">
        <f>(E8*1000*E15)/R41</f>
        <v>1947.4999999999995</v>
      </c>
      <c r="Q42" s="3184" t="s">
        <v>42</v>
      </c>
      <c r="R42" s="3184"/>
      <c r="U42" s="133"/>
      <c r="V42" s="141"/>
      <c r="W42" s="141"/>
    </row>
    <row r="43" spans="2:23">
      <c r="B43" s="139"/>
      <c r="C43" s="139"/>
      <c r="D43" s="129">
        <f>375*E6</f>
        <v>8763.7499999999982</v>
      </c>
      <c r="E43" s="3184" t="s">
        <v>42</v>
      </c>
      <c r="F43" s="3184"/>
      <c r="I43" s="133"/>
      <c r="J43" s="141"/>
      <c r="K43" s="141"/>
      <c r="N43" s="139"/>
      <c r="O43" s="139"/>
      <c r="P43" s="129">
        <f>104*E6</f>
        <v>2430.4799999999996</v>
      </c>
      <c r="Q43" s="3184" t="s">
        <v>42</v>
      </c>
      <c r="R43" s="3184"/>
      <c r="U43" s="133"/>
      <c r="V43" s="141"/>
      <c r="W43" s="141"/>
    </row>
    <row r="44" spans="2:23">
      <c r="B44" s="139"/>
      <c r="C44" s="139"/>
      <c r="D44" s="134">
        <f>SUM(D42:D43)</f>
        <v>10711.249999999998</v>
      </c>
      <c r="E44" s="3184" t="s">
        <v>42</v>
      </c>
      <c r="F44" s="3184"/>
      <c r="J44" s="141"/>
      <c r="K44" s="141"/>
      <c r="N44" s="139"/>
      <c r="O44" s="139"/>
      <c r="P44" s="134">
        <f>SUM(P42:P43)</f>
        <v>4377.9799999999996</v>
      </c>
      <c r="Q44" s="3184" t="s">
        <v>42</v>
      </c>
      <c r="R44" s="3184"/>
      <c r="V44" s="141"/>
      <c r="W44" s="141"/>
    </row>
    <row r="45" spans="2:23" ht="15.75" thickBot="1">
      <c r="B45" s="139"/>
      <c r="C45" s="143"/>
      <c r="D45" s="144" t="s">
        <v>136</v>
      </c>
      <c r="E45" s="149">
        <f>D44/860</f>
        <v>12.454941860465114</v>
      </c>
      <c r="F45" s="149" t="s">
        <v>77</v>
      </c>
      <c r="G45" s="146"/>
      <c r="H45" s="146"/>
      <c r="I45" s="146"/>
      <c r="J45" s="147"/>
      <c r="K45" s="141"/>
      <c r="N45" s="139"/>
      <c r="O45" s="143"/>
      <c r="P45" s="144" t="s">
        <v>136</v>
      </c>
      <c r="Q45" s="149">
        <f>P44/860</f>
        <v>5.0906744186046504</v>
      </c>
      <c r="R45" s="149" t="s">
        <v>77</v>
      </c>
      <c r="S45" s="146"/>
      <c r="T45" s="146"/>
      <c r="U45" s="146"/>
      <c r="V45" s="147"/>
      <c r="W45" s="141"/>
    </row>
    <row r="46" spans="2:23" ht="15.75" thickBot="1">
      <c r="B46" s="143"/>
      <c r="C46" s="146"/>
      <c r="D46" s="146"/>
      <c r="E46" s="146"/>
      <c r="F46" s="146"/>
      <c r="G46" s="146"/>
      <c r="H46" s="146"/>
      <c r="I46" s="146"/>
      <c r="J46" s="146"/>
      <c r="K46" s="147"/>
      <c r="N46" s="143"/>
      <c r="O46" s="146"/>
      <c r="P46" s="146"/>
      <c r="Q46" s="146"/>
      <c r="R46" s="146"/>
      <c r="S46" s="146"/>
      <c r="T46" s="146"/>
      <c r="U46" s="146"/>
      <c r="V46" s="146"/>
      <c r="W46" s="147"/>
    </row>
    <row r="47" spans="2:23">
      <c r="S47" s="3191"/>
      <c r="T47" s="3192"/>
      <c r="U47" s="3192"/>
      <c r="V47" s="3192"/>
    </row>
    <row r="48" spans="2:23">
      <c r="R48" s="1697"/>
      <c r="S48" s="1697"/>
      <c r="T48" s="1697"/>
      <c r="U48" s="1697"/>
      <c r="V48" s="1697"/>
    </row>
    <row r="49" spans="16:45">
      <c r="P49" s="3181" t="s">
        <v>141</v>
      </c>
      <c r="Q49" s="3181"/>
      <c r="R49" s="3181"/>
      <c r="S49" s="3181"/>
      <c r="T49" s="3181"/>
      <c r="U49" s="3181"/>
      <c r="V49" s="3181"/>
      <c r="W49" s="3181"/>
    </row>
    <row r="50" spans="16:45">
      <c r="P50" s="3182" t="s">
        <v>17</v>
      </c>
      <c r="Q50" s="3182"/>
      <c r="R50" s="3182"/>
      <c r="S50" s="3182"/>
      <c r="T50" s="3182"/>
      <c r="U50" s="3182"/>
      <c r="V50" s="3182"/>
      <c r="W50" s="3182"/>
      <c r="AS50" s="2210"/>
    </row>
    <row r="51" spans="16:45">
      <c r="P51" s="3183">
        <v>2026</v>
      </c>
      <c r="Q51" s="3183"/>
      <c r="R51" s="3183"/>
      <c r="S51" s="3183"/>
      <c r="T51" s="3183"/>
      <c r="U51" s="3183"/>
      <c r="V51" s="3183"/>
      <c r="W51" s="3183"/>
    </row>
  </sheetData>
  <sheetProtection algorithmName="SHA-512" hashValue="SrdRg0nzdZgREzJYSLZs4YJ0qvP9titQUKisedFbFo1yEGaJT9mz8Eq3OKC7dKfOlWZn6p0PnXizIzN03wQj5A==" saltValue="IqiXGF9paJGCPiQzEwaH4g==" spinCount="100000" sheet="1" objects="1" selectLockedCells="1"/>
  <mergeCells count="43">
    <mergeCell ref="Q26:R26"/>
    <mergeCell ref="C22:D22"/>
    <mergeCell ref="C23:E23"/>
    <mergeCell ref="E24:F24"/>
    <mergeCell ref="E25:F25"/>
    <mergeCell ref="E26:F26"/>
    <mergeCell ref="Q24:R24"/>
    <mergeCell ref="Q25:R25"/>
    <mergeCell ref="O23:Q23"/>
    <mergeCell ref="E42:F42"/>
    <mergeCell ref="E44:F44"/>
    <mergeCell ref="E43:F43"/>
    <mergeCell ref="C41:E41"/>
    <mergeCell ref="E38:F38"/>
    <mergeCell ref="S47:V47"/>
    <mergeCell ref="Q43:R43"/>
    <mergeCell ref="Q44:R44"/>
    <mergeCell ref="Q36:R36"/>
    <mergeCell ref="Q37:R37"/>
    <mergeCell ref="Q38:R38"/>
    <mergeCell ref="Q42:R42"/>
    <mergeCell ref="O41:Q41"/>
    <mergeCell ref="Q30:R30"/>
    <mergeCell ref="E31:F31"/>
    <mergeCell ref="E32:F32"/>
    <mergeCell ref="Q32:R32"/>
    <mergeCell ref="E37:F37"/>
    <mergeCell ref="C4:H4"/>
    <mergeCell ref="P49:W49"/>
    <mergeCell ref="P50:W50"/>
    <mergeCell ref="P51:W51"/>
    <mergeCell ref="E36:F36"/>
    <mergeCell ref="C29:E29"/>
    <mergeCell ref="Q6:U6"/>
    <mergeCell ref="R5:V5"/>
    <mergeCell ref="C28:D28"/>
    <mergeCell ref="Q11:W11"/>
    <mergeCell ref="O29:Q29"/>
    <mergeCell ref="Q31:R31"/>
    <mergeCell ref="C35:E35"/>
    <mergeCell ref="O35:Q35"/>
    <mergeCell ref="E30:F30"/>
    <mergeCell ref="O22:P22"/>
  </mergeCells>
  <pageMargins left="0.7" right="0.7" top="0.75" bottom="0.75" header="0.3" footer="0.3"/>
  <pageSetup paperSize="9" orientation="portrait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C3:P33"/>
  <sheetViews>
    <sheetView showGridLines="0" showRowColHeaders="0" zoomScale="118" zoomScaleNormal="118" workbookViewId="0">
      <selection activeCell="E22" sqref="E22"/>
    </sheetView>
  </sheetViews>
  <sheetFormatPr defaultRowHeight="15.75"/>
  <cols>
    <col min="1" max="2" width="9.140625" style="1205"/>
    <col min="3" max="3" width="5.140625" style="1206" bestFit="1" customWidth="1"/>
    <col min="4" max="4" width="43.140625" style="1205" bestFit="1" customWidth="1"/>
    <col min="5" max="5" width="12.28515625" style="1207" customWidth="1"/>
    <col min="6" max="6" width="8.85546875" style="1205" bestFit="1" customWidth="1"/>
    <col min="7" max="7" width="9.140625" style="1205"/>
    <col min="8" max="8" width="27.28515625" style="1205" bestFit="1" customWidth="1"/>
    <col min="9" max="258" width="9.140625" style="1205"/>
    <col min="259" max="259" width="5.140625" style="1205" bestFit="1" customWidth="1"/>
    <col min="260" max="260" width="32.42578125" style="1205" bestFit="1" customWidth="1"/>
    <col min="261" max="261" width="12.28515625" style="1205" customWidth="1"/>
    <col min="262" max="262" width="8.85546875" style="1205" bestFit="1" customWidth="1"/>
    <col min="263" max="263" width="9.140625" style="1205"/>
    <col min="264" max="264" width="27.28515625" style="1205" bestFit="1" customWidth="1"/>
    <col min="265" max="514" width="9.140625" style="1205"/>
    <col min="515" max="515" width="5.140625" style="1205" bestFit="1" customWidth="1"/>
    <col min="516" max="516" width="32.42578125" style="1205" bestFit="1" customWidth="1"/>
    <col min="517" max="517" width="12.28515625" style="1205" customWidth="1"/>
    <col min="518" max="518" width="8.85546875" style="1205" bestFit="1" customWidth="1"/>
    <col min="519" max="519" width="9.140625" style="1205"/>
    <col min="520" max="520" width="27.28515625" style="1205" bestFit="1" customWidth="1"/>
    <col min="521" max="770" width="9.140625" style="1205"/>
    <col min="771" max="771" width="5.140625" style="1205" bestFit="1" customWidth="1"/>
    <col min="772" max="772" width="32.42578125" style="1205" bestFit="1" customWidth="1"/>
    <col min="773" max="773" width="12.28515625" style="1205" customWidth="1"/>
    <col min="774" max="774" width="8.85546875" style="1205" bestFit="1" customWidth="1"/>
    <col min="775" max="775" width="9.140625" style="1205"/>
    <col min="776" max="776" width="27.28515625" style="1205" bestFit="1" customWidth="1"/>
    <col min="777" max="1026" width="9.140625" style="1205"/>
    <col min="1027" max="1027" width="5.140625" style="1205" bestFit="1" customWidth="1"/>
    <col min="1028" max="1028" width="32.42578125" style="1205" bestFit="1" customWidth="1"/>
    <col min="1029" max="1029" width="12.28515625" style="1205" customWidth="1"/>
    <col min="1030" max="1030" width="8.85546875" style="1205" bestFit="1" customWidth="1"/>
    <col min="1031" max="1031" width="9.140625" style="1205"/>
    <col min="1032" max="1032" width="27.28515625" style="1205" bestFit="1" customWidth="1"/>
    <col min="1033" max="1282" width="9.140625" style="1205"/>
    <col min="1283" max="1283" width="5.140625" style="1205" bestFit="1" customWidth="1"/>
    <col min="1284" max="1284" width="32.42578125" style="1205" bestFit="1" customWidth="1"/>
    <col min="1285" max="1285" width="12.28515625" style="1205" customWidth="1"/>
    <col min="1286" max="1286" width="8.85546875" style="1205" bestFit="1" customWidth="1"/>
    <col min="1287" max="1287" width="9.140625" style="1205"/>
    <col min="1288" max="1288" width="27.28515625" style="1205" bestFit="1" customWidth="1"/>
    <col min="1289" max="1538" width="9.140625" style="1205"/>
    <col min="1539" max="1539" width="5.140625" style="1205" bestFit="1" customWidth="1"/>
    <col min="1540" max="1540" width="32.42578125" style="1205" bestFit="1" customWidth="1"/>
    <col min="1541" max="1541" width="12.28515625" style="1205" customWidth="1"/>
    <col min="1542" max="1542" width="8.85546875" style="1205" bestFit="1" customWidth="1"/>
    <col min="1543" max="1543" width="9.140625" style="1205"/>
    <col min="1544" max="1544" width="27.28515625" style="1205" bestFit="1" customWidth="1"/>
    <col min="1545" max="1794" width="9.140625" style="1205"/>
    <col min="1795" max="1795" width="5.140625" style="1205" bestFit="1" customWidth="1"/>
    <col min="1796" max="1796" width="32.42578125" style="1205" bestFit="1" customWidth="1"/>
    <col min="1797" max="1797" width="12.28515625" style="1205" customWidth="1"/>
    <col min="1798" max="1798" width="8.85546875" style="1205" bestFit="1" customWidth="1"/>
    <col min="1799" max="1799" width="9.140625" style="1205"/>
    <col min="1800" max="1800" width="27.28515625" style="1205" bestFit="1" customWidth="1"/>
    <col min="1801" max="2050" width="9.140625" style="1205"/>
    <col min="2051" max="2051" width="5.140625" style="1205" bestFit="1" customWidth="1"/>
    <col min="2052" max="2052" width="32.42578125" style="1205" bestFit="1" customWidth="1"/>
    <col min="2053" max="2053" width="12.28515625" style="1205" customWidth="1"/>
    <col min="2054" max="2054" width="8.85546875" style="1205" bestFit="1" customWidth="1"/>
    <col min="2055" max="2055" width="9.140625" style="1205"/>
    <col min="2056" max="2056" width="27.28515625" style="1205" bestFit="1" customWidth="1"/>
    <col min="2057" max="2306" width="9.140625" style="1205"/>
    <col min="2307" max="2307" width="5.140625" style="1205" bestFit="1" customWidth="1"/>
    <col min="2308" max="2308" width="32.42578125" style="1205" bestFit="1" customWidth="1"/>
    <col min="2309" max="2309" width="12.28515625" style="1205" customWidth="1"/>
    <col min="2310" max="2310" width="8.85546875" style="1205" bestFit="1" customWidth="1"/>
    <col min="2311" max="2311" width="9.140625" style="1205"/>
    <col min="2312" max="2312" width="27.28515625" style="1205" bestFit="1" customWidth="1"/>
    <col min="2313" max="2562" width="9.140625" style="1205"/>
    <col min="2563" max="2563" width="5.140625" style="1205" bestFit="1" customWidth="1"/>
    <col min="2564" max="2564" width="32.42578125" style="1205" bestFit="1" customWidth="1"/>
    <col min="2565" max="2565" width="12.28515625" style="1205" customWidth="1"/>
    <col min="2566" max="2566" width="8.85546875" style="1205" bestFit="1" customWidth="1"/>
    <col min="2567" max="2567" width="9.140625" style="1205"/>
    <col min="2568" max="2568" width="27.28515625" style="1205" bestFit="1" customWidth="1"/>
    <col min="2569" max="2818" width="9.140625" style="1205"/>
    <col min="2819" max="2819" width="5.140625" style="1205" bestFit="1" customWidth="1"/>
    <col min="2820" max="2820" width="32.42578125" style="1205" bestFit="1" customWidth="1"/>
    <col min="2821" max="2821" width="12.28515625" style="1205" customWidth="1"/>
    <col min="2822" max="2822" width="8.85546875" style="1205" bestFit="1" customWidth="1"/>
    <col min="2823" max="2823" width="9.140625" style="1205"/>
    <col min="2824" max="2824" width="27.28515625" style="1205" bestFit="1" customWidth="1"/>
    <col min="2825" max="3074" width="9.140625" style="1205"/>
    <col min="3075" max="3075" width="5.140625" style="1205" bestFit="1" customWidth="1"/>
    <col min="3076" max="3076" width="32.42578125" style="1205" bestFit="1" customWidth="1"/>
    <col min="3077" max="3077" width="12.28515625" style="1205" customWidth="1"/>
    <col min="3078" max="3078" width="8.85546875" style="1205" bestFit="1" customWidth="1"/>
    <col min="3079" max="3079" width="9.140625" style="1205"/>
    <col min="3080" max="3080" width="27.28515625" style="1205" bestFit="1" customWidth="1"/>
    <col min="3081" max="3330" width="9.140625" style="1205"/>
    <col min="3331" max="3331" width="5.140625" style="1205" bestFit="1" customWidth="1"/>
    <col min="3332" max="3332" width="32.42578125" style="1205" bestFit="1" customWidth="1"/>
    <col min="3333" max="3333" width="12.28515625" style="1205" customWidth="1"/>
    <col min="3334" max="3334" width="8.85546875" style="1205" bestFit="1" customWidth="1"/>
    <col min="3335" max="3335" width="9.140625" style="1205"/>
    <col min="3336" max="3336" width="27.28515625" style="1205" bestFit="1" customWidth="1"/>
    <col min="3337" max="3586" width="9.140625" style="1205"/>
    <col min="3587" max="3587" width="5.140625" style="1205" bestFit="1" customWidth="1"/>
    <col min="3588" max="3588" width="32.42578125" style="1205" bestFit="1" customWidth="1"/>
    <col min="3589" max="3589" width="12.28515625" style="1205" customWidth="1"/>
    <col min="3590" max="3590" width="8.85546875" style="1205" bestFit="1" customWidth="1"/>
    <col min="3591" max="3591" width="9.140625" style="1205"/>
    <col min="3592" max="3592" width="27.28515625" style="1205" bestFit="1" customWidth="1"/>
    <col min="3593" max="3842" width="9.140625" style="1205"/>
    <col min="3843" max="3843" width="5.140625" style="1205" bestFit="1" customWidth="1"/>
    <col min="3844" max="3844" width="32.42578125" style="1205" bestFit="1" customWidth="1"/>
    <col min="3845" max="3845" width="12.28515625" style="1205" customWidth="1"/>
    <col min="3846" max="3846" width="8.85546875" style="1205" bestFit="1" customWidth="1"/>
    <col min="3847" max="3847" width="9.140625" style="1205"/>
    <col min="3848" max="3848" width="27.28515625" style="1205" bestFit="1" customWidth="1"/>
    <col min="3849" max="4098" width="9.140625" style="1205"/>
    <col min="4099" max="4099" width="5.140625" style="1205" bestFit="1" customWidth="1"/>
    <col min="4100" max="4100" width="32.42578125" style="1205" bestFit="1" customWidth="1"/>
    <col min="4101" max="4101" width="12.28515625" style="1205" customWidth="1"/>
    <col min="4102" max="4102" width="8.85546875" style="1205" bestFit="1" customWidth="1"/>
    <col min="4103" max="4103" width="9.140625" style="1205"/>
    <col min="4104" max="4104" width="27.28515625" style="1205" bestFit="1" customWidth="1"/>
    <col min="4105" max="4354" width="9.140625" style="1205"/>
    <col min="4355" max="4355" width="5.140625" style="1205" bestFit="1" customWidth="1"/>
    <col min="4356" max="4356" width="32.42578125" style="1205" bestFit="1" customWidth="1"/>
    <col min="4357" max="4357" width="12.28515625" style="1205" customWidth="1"/>
    <col min="4358" max="4358" width="8.85546875" style="1205" bestFit="1" customWidth="1"/>
    <col min="4359" max="4359" width="9.140625" style="1205"/>
    <col min="4360" max="4360" width="27.28515625" style="1205" bestFit="1" customWidth="1"/>
    <col min="4361" max="4610" width="9.140625" style="1205"/>
    <col min="4611" max="4611" width="5.140625" style="1205" bestFit="1" customWidth="1"/>
    <col min="4612" max="4612" width="32.42578125" style="1205" bestFit="1" customWidth="1"/>
    <col min="4613" max="4613" width="12.28515625" style="1205" customWidth="1"/>
    <col min="4614" max="4614" width="8.85546875" style="1205" bestFit="1" customWidth="1"/>
    <col min="4615" max="4615" width="9.140625" style="1205"/>
    <col min="4616" max="4616" width="27.28515625" style="1205" bestFit="1" customWidth="1"/>
    <col min="4617" max="4866" width="9.140625" style="1205"/>
    <col min="4867" max="4867" width="5.140625" style="1205" bestFit="1" customWidth="1"/>
    <col min="4868" max="4868" width="32.42578125" style="1205" bestFit="1" customWidth="1"/>
    <col min="4869" max="4869" width="12.28515625" style="1205" customWidth="1"/>
    <col min="4870" max="4870" width="8.85546875" style="1205" bestFit="1" customWidth="1"/>
    <col min="4871" max="4871" width="9.140625" style="1205"/>
    <col min="4872" max="4872" width="27.28515625" style="1205" bestFit="1" customWidth="1"/>
    <col min="4873" max="5122" width="9.140625" style="1205"/>
    <col min="5123" max="5123" width="5.140625" style="1205" bestFit="1" customWidth="1"/>
    <col min="5124" max="5124" width="32.42578125" style="1205" bestFit="1" customWidth="1"/>
    <col min="5125" max="5125" width="12.28515625" style="1205" customWidth="1"/>
    <col min="5126" max="5126" width="8.85546875" style="1205" bestFit="1" customWidth="1"/>
    <col min="5127" max="5127" width="9.140625" style="1205"/>
    <col min="5128" max="5128" width="27.28515625" style="1205" bestFit="1" customWidth="1"/>
    <col min="5129" max="5378" width="9.140625" style="1205"/>
    <col min="5379" max="5379" width="5.140625" style="1205" bestFit="1" customWidth="1"/>
    <col min="5380" max="5380" width="32.42578125" style="1205" bestFit="1" customWidth="1"/>
    <col min="5381" max="5381" width="12.28515625" style="1205" customWidth="1"/>
    <col min="5382" max="5382" width="8.85546875" style="1205" bestFit="1" customWidth="1"/>
    <col min="5383" max="5383" width="9.140625" style="1205"/>
    <col min="5384" max="5384" width="27.28515625" style="1205" bestFit="1" customWidth="1"/>
    <col min="5385" max="5634" width="9.140625" style="1205"/>
    <col min="5635" max="5635" width="5.140625" style="1205" bestFit="1" customWidth="1"/>
    <col min="5636" max="5636" width="32.42578125" style="1205" bestFit="1" customWidth="1"/>
    <col min="5637" max="5637" width="12.28515625" style="1205" customWidth="1"/>
    <col min="5638" max="5638" width="8.85546875" style="1205" bestFit="1" customWidth="1"/>
    <col min="5639" max="5639" width="9.140625" style="1205"/>
    <col min="5640" max="5640" width="27.28515625" style="1205" bestFit="1" customWidth="1"/>
    <col min="5641" max="5890" width="9.140625" style="1205"/>
    <col min="5891" max="5891" width="5.140625" style="1205" bestFit="1" customWidth="1"/>
    <col min="5892" max="5892" width="32.42578125" style="1205" bestFit="1" customWidth="1"/>
    <col min="5893" max="5893" width="12.28515625" style="1205" customWidth="1"/>
    <col min="5894" max="5894" width="8.85546875" style="1205" bestFit="1" customWidth="1"/>
    <col min="5895" max="5895" width="9.140625" style="1205"/>
    <col min="5896" max="5896" width="27.28515625" style="1205" bestFit="1" customWidth="1"/>
    <col min="5897" max="6146" width="9.140625" style="1205"/>
    <col min="6147" max="6147" width="5.140625" style="1205" bestFit="1" customWidth="1"/>
    <col min="6148" max="6148" width="32.42578125" style="1205" bestFit="1" customWidth="1"/>
    <col min="6149" max="6149" width="12.28515625" style="1205" customWidth="1"/>
    <col min="6150" max="6150" width="8.85546875" style="1205" bestFit="1" customWidth="1"/>
    <col min="6151" max="6151" width="9.140625" style="1205"/>
    <col min="6152" max="6152" width="27.28515625" style="1205" bestFit="1" customWidth="1"/>
    <col min="6153" max="6402" width="9.140625" style="1205"/>
    <col min="6403" max="6403" width="5.140625" style="1205" bestFit="1" customWidth="1"/>
    <col min="6404" max="6404" width="32.42578125" style="1205" bestFit="1" customWidth="1"/>
    <col min="6405" max="6405" width="12.28515625" style="1205" customWidth="1"/>
    <col min="6406" max="6406" width="8.85546875" style="1205" bestFit="1" customWidth="1"/>
    <col min="6407" max="6407" width="9.140625" style="1205"/>
    <col min="6408" max="6408" width="27.28515625" style="1205" bestFit="1" customWidth="1"/>
    <col min="6409" max="6658" width="9.140625" style="1205"/>
    <col min="6659" max="6659" width="5.140625" style="1205" bestFit="1" customWidth="1"/>
    <col min="6660" max="6660" width="32.42578125" style="1205" bestFit="1" customWidth="1"/>
    <col min="6661" max="6661" width="12.28515625" style="1205" customWidth="1"/>
    <col min="6662" max="6662" width="8.85546875" style="1205" bestFit="1" customWidth="1"/>
    <col min="6663" max="6663" width="9.140625" style="1205"/>
    <col min="6664" max="6664" width="27.28515625" style="1205" bestFit="1" customWidth="1"/>
    <col min="6665" max="6914" width="9.140625" style="1205"/>
    <col min="6915" max="6915" width="5.140625" style="1205" bestFit="1" customWidth="1"/>
    <col min="6916" max="6916" width="32.42578125" style="1205" bestFit="1" customWidth="1"/>
    <col min="6917" max="6917" width="12.28515625" style="1205" customWidth="1"/>
    <col min="6918" max="6918" width="8.85546875" style="1205" bestFit="1" customWidth="1"/>
    <col min="6919" max="6919" width="9.140625" style="1205"/>
    <col min="6920" max="6920" width="27.28515625" style="1205" bestFit="1" customWidth="1"/>
    <col min="6921" max="7170" width="9.140625" style="1205"/>
    <col min="7171" max="7171" width="5.140625" style="1205" bestFit="1" customWidth="1"/>
    <col min="7172" max="7172" width="32.42578125" style="1205" bestFit="1" customWidth="1"/>
    <col min="7173" max="7173" width="12.28515625" style="1205" customWidth="1"/>
    <col min="7174" max="7174" width="8.85546875" style="1205" bestFit="1" customWidth="1"/>
    <col min="7175" max="7175" width="9.140625" style="1205"/>
    <col min="7176" max="7176" width="27.28515625" style="1205" bestFit="1" customWidth="1"/>
    <col min="7177" max="7426" width="9.140625" style="1205"/>
    <col min="7427" max="7427" width="5.140625" style="1205" bestFit="1" customWidth="1"/>
    <col min="7428" max="7428" width="32.42578125" style="1205" bestFit="1" customWidth="1"/>
    <col min="7429" max="7429" width="12.28515625" style="1205" customWidth="1"/>
    <col min="7430" max="7430" width="8.85546875" style="1205" bestFit="1" customWidth="1"/>
    <col min="7431" max="7431" width="9.140625" style="1205"/>
    <col min="7432" max="7432" width="27.28515625" style="1205" bestFit="1" customWidth="1"/>
    <col min="7433" max="7682" width="9.140625" style="1205"/>
    <col min="7683" max="7683" width="5.140625" style="1205" bestFit="1" customWidth="1"/>
    <col min="7684" max="7684" width="32.42578125" style="1205" bestFit="1" customWidth="1"/>
    <col min="7685" max="7685" width="12.28515625" style="1205" customWidth="1"/>
    <col min="7686" max="7686" width="8.85546875" style="1205" bestFit="1" customWidth="1"/>
    <col min="7687" max="7687" width="9.140625" style="1205"/>
    <col min="7688" max="7688" width="27.28515625" style="1205" bestFit="1" customWidth="1"/>
    <col min="7689" max="7938" width="9.140625" style="1205"/>
    <col min="7939" max="7939" width="5.140625" style="1205" bestFit="1" customWidth="1"/>
    <col min="7940" max="7940" width="32.42578125" style="1205" bestFit="1" customWidth="1"/>
    <col min="7941" max="7941" width="12.28515625" style="1205" customWidth="1"/>
    <col min="7942" max="7942" width="8.85546875" style="1205" bestFit="1" customWidth="1"/>
    <col min="7943" max="7943" width="9.140625" style="1205"/>
    <col min="7944" max="7944" width="27.28515625" style="1205" bestFit="1" customWidth="1"/>
    <col min="7945" max="8194" width="9.140625" style="1205"/>
    <col min="8195" max="8195" width="5.140625" style="1205" bestFit="1" customWidth="1"/>
    <col min="8196" max="8196" width="32.42578125" style="1205" bestFit="1" customWidth="1"/>
    <col min="8197" max="8197" width="12.28515625" style="1205" customWidth="1"/>
    <col min="8198" max="8198" width="8.85546875" style="1205" bestFit="1" customWidth="1"/>
    <col min="8199" max="8199" width="9.140625" style="1205"/>
    <col min="8200" max="8200" width="27.28515625" style="1205" bestFit="1" customWidth="1"/>
    <col min="8201" max="8450" width="9.140625" style="1205"/>
    <col min="8451" max="8451" width="5.140625" style="1205" bestFit="1" customWidth="1"/>
    <col min="8452" max="8452" width="32.42578125" style="1205" bestFit="1" customWidth="1"/>
    <col min="8453" max="8453" width="12.28515625" style="1205" customWidth="1"/>
    <col min="8454" max="8454" width="8.85546875" style="1205" bestFit="1" customWidth="1"/>
    <col min="8455" max="8455" width="9.140625" style="1205"/>
    <col min="8456" max="8456" width="27.28515625" style="1205" bestFit="1" customWidth="1"/>
    <col min="8457" max="8706" width="9.140625" style="1205"/>
    <col min="8707" max="8707" width="5.140625" style="1205" bestFit="1" customWidth="1"/>
    <col min="8708" max="8708" width="32.42578125" style="1205" bestFit="1" customWidth="1"/>
    <col min="8709" max="8709" width="12.28515625" style="1205" customWidth="1"/>
    <col min="8710" max="8710" width="8.85546875" style="1205" bestFit="1" customWidth="1"/>
    <col min="8711" max="8711" width="9.140625" style="1205"/>
    <col min="8712" max="8712" width="27.28515625" style="1205" bestFit="1" customWidth="1"/>
    <col min="8713" max="8962" width="9.140625" style="1205"/>
    <col min="8963" max="8963" width="5.140625" style="1205" bestFit="1" customWidth="1"/>
    <col min="8964" max="8964" width="32.42578125" style="1205" bestFit="1" customWidth="1"/>
    <col min="8965" max="8965" width="12.28515625" style="1205" customWidth="1"/>
    <col min="8966" max="8966" width="8.85546875" style="1205" bestFit="1" customWidth="1"/>
    <col min="8967" max="8967" width="9.140625" style="1205"/>
    <col min="8968" max="8968" width="27.28515625" style="1205" bestFit="1" customWidth="1"/>
    <col min="8969" max="9218" width="9.140625" style="1205"/>
    <col min="9219" max="9219" width="5.140625" style="1205" bestFit="1" customWidth="1"/>
    <col min="9220" max="9220" width="32.42578125" style="1205" bestFit="1" customWidth="1"/>
    <col min="9221" max="9221" width="12.28515625" style="1205" customWidth="1"/>
    <col min="9222" max="9222" width="8.85546875" style="1205" bestFit="1" customWidth="1"/>
    <col min="9223" max="9223" width="9.140625" style="1205"/>
    <col min="9224" max="9224" width="27.28515625" style="1205" bestFit="1" customWidth="1"/>
    <col min="9225" max="9474" width="9.140625" style="1205"/>
    <col min="9475" max="9475" width="5.140625" style="1205" bestFit="1" customWidth="1"/>
    <col min="9476" max="9476" width="32.42578125" style="1205" bestFit="1" customWidth="1"/>
    <col min="9477" max="9477" width="12.28515625" style="1205" customWidth="1"/>
    <col min="9478" max="9478" width="8.85546875" style="1205" bestFit="1" customWidth="1"/>
    <col min="9479" max="9479" width="9.140625" style="1205"/>
    <col min="9480" max="9480" width="27.28515625" style="1205" bestFit="1" customWidth="1"/>
    <col min="9481" max="9730" width="9.140625" style="1205"/>
    <col min="9731" max="9731" width="5.140625" style="1205" bestFit="1" customWidth="1"/>
    <col min="9732" max="9732" width="32.42578125" style="1205" bestFit="1" customWidth="1"/>
    <col min="9733" max="9733" width="12.28515625" style="1205" customWidth="1"/>
    <col min="9734" max="9734" width="8.85546875" style="1205" bestFit="1" customWidth="1"/>
    <col min="9735" max="9735" width="9.140625" style="1205"/>
    <col min="9736" max="9736" width="27.28515625" style="1205" bestFit="1" customWidth="1"/>
    <col min="9737" max="9986" width="9.140625" style="1205"/>
    <col min="9987" max="9987" width="5.140625" style="1205" bestFit="1" customWidth="1"/>
    <col min="9988" max="9988" width="32.42578125" style="1205" bestFit="1" customWidth="1"/>
    <col min="9989" max="9989" width="12.28515625" style="1205" customWidth="1"/>
    <col min="9990" max="9990" width="8.85546875" style="1205" bestFit="1" customWidth="1"/>
    <col min="9991" max="9991" width="9.140625" style="1205"/>
    <col min="9992" max="9992" width="27.28515625" style="1205" bestFit="1" customWidth="1"/>
    <col min="9993" max="10242" width="9.140625" style="1205"/>
    <col min="10243" max="10243" width="5.140625" style="1205" bestFit="1" customWidth="1"/>
    <col min="10244" max="10244" width="32.42578125" style="1205" bestFit="1" customWidth="1"/>
    <col min="10245" max="10245" width="12.28515625" style="1205" customWidth="1"/>
    <col min="10246" max="10246" width="8.85546875" style="1205" bestFit="1" customWidth="1"/>
    <col min="10247" max="10247" width="9.140625" style="1205"/>
    <col min="10248" max="10248" width="27.28515625" style="1205" bestFit="1" customWidth="1"/>
    <col min="10249" max="10498" width="9.140625" style="1205"/>
    <col min="10499" max="10499" width="5.140625" style="1205" bestFit="1" customWidth="1"/>
    <col min="10500" max="10500" width="32.42578125" style="1205" bestFit="1" customWidth="1"/>
    <col min="10501" max="10501" width="12.28515625" style="1205" customWidth="1"/>
    <col min="10502" max="10502" width="8.85546875" style="1205" bestFit="1" customWidth="1"/>
    <col min="10503" max="10503" width="9.140625" style="1205"/>
    <col min="10504" max="10504" width="27.28515625" style="1205" bestFit="1" customWidth="1"/>
    <col min="10505" max="10754" width="9.140625" style="1205"/>
    <col min="10755" max="10755" width="5.140625" style="1205" bestFit="1" customWidth="1"/>
    <col min="10756" max="10756" width="32.42578125" style="1205" bestFit="1" customWidth="1"/>
    <col min="10757" max="10757" width="12.28515625" style="1205" customWidth="1"/>
    <col min="10758" max="10758" width="8.85546875" style="1205" bestFit="1" customWidth="1"/>
    <col min="10759" max="10759" width="9.140625" style="1205"/>
    <col min="10760" max="10760" width="27.28515625" style="1205" bestFit="1" customWidth="1"/>
    <col min="10761" max="11010" width="9.140625" style="1205"/>
    <col min="11011" max="11011" width="5.140625" style="1205" bestFit="1" customWidth="1"/>
    <col min="11012" max="11012" width="32.42578125" style="1205" bestFit="1" customWidth="1"/>
    <col min="11013" max="11013" width="12.28515625" style="1205" customWidth="1"/>
    <col min="11014" max="11014" width="8.85546875" style="1205" bestFit="1" customWidth="1"/>
    <col min="11015" max="11015" width="9.140625" style="1205"/>
    <col min="11016" max="11016" width="27.28515625" style="1205" bestFit="1" customWidth="1"/>
    <col min="11017" max="11266" width="9.140625" style="1205"/>
    <col min="11267" max="11267" width="5.140625" style="1205" bestFit="1" customWidth="1"/>
    <col min="11268" max="11268" width="32.42578125" style="1205" bestFit="1" customWidth="1"/>
    <col min="11269" max="11269" width="12.28515625" style="1205" customWidth="1"/>
    <col min="11270" max="11270" width="8.85546875" style="1205" bestFit="1" customWidth="1"/>
    <col min="11271" max="11271" width="9.140625" style="1205"/>
    <col min="11272" max="11272" width="27.28515625" style="1205" bestFit="1" customWidth="1"/>
    <col min="11273" max="11522" width="9.140625" style="1205"/>
    <col min="11523" max="11523" width="5.140625" style="1205" bestFit="1" customWidth="1"/>
    <col min="11524" max="11524" width="32.42578125" style="1205" bestFit="1" customWidth="1"/>
    <col min="11525" max="11525" width="12.28515625" style="1205" customWidth="1"/>
    <col min="11526" max="11526" width="8.85546875" style="1205" bestFit="1" customWidth="1"/>
    <col min="11527" max="11527" width="9.140625" style="1205"/>
    <col min="11528" max="11528" width="27.28515625" style="1205" bestFit="1" customWidth="1"/>
    <col min="11529" max="11778" width="9.140625" style="1205"/>
    <col min="11779" max="11779" width="5.140625" style="1205" bestFit="1" customWidth="1"/>
    <col min="11780" max="11780" width="32.42578125" style="1205" bestFit="1" customWidth="1"/>
    <col min="11781" max="11781" width="12.28515625" style="1205" customWidth="1"/>
    <col min="11782" max="11782" width="8.85546875" style="1205" bestFit="1" customWidth="1"/>
    <col min="11783" max="11783" width="9.140625" style="1205"/>
    <col min="11784" max="11784" width="27.28515625" style="1205" bestFit="1" customWidth="1"/>
    <col min="11785" max="12034" width="9.140625" style="1205"/>
    <col min="12035" max="12035" width="5.140625" style="1205" bestFit="1" customWidth="1"/>
    <col min="12036" max="12036" width="32.42578125" style="1205" bestFit="1" customWidth="1"/>
    <col min="12037" max="12037" width="12.28515625" style="1205" customWidth="1"/>
    <col min="12038" max="12038" width="8.85546875" style="1205" bestFit="1" customWidth="1"/>
    <col min="12039" max="12039" width="9.140625" style="1205"/>
    <col min="12040" max="12040" width="27.28515625" style="1205" bestFit="1" customWidth="1"/>
    <col min="12041" max="12290" width="9.140625" style="1205"/>
    <col min="12291" max="12291" width="5.140625" style="1205" bestFit="1" customWidth="1"/>
    <col min="12292" max="12292" width="32.42578125" style="1205" bestFit="1" customWidth="1"/>
    <col min="12293" max="12293" width="12.28515625" style="1205" customWidth="1"/>
    <col min="12294" max="12294" width="8.85546875" style="1205" bestFit="1" customWidth="1"/>
    <col min="12295" max="12295" width="9.140625" style="1205"/>
    <col min="12296" max="12296" width="27.28515625" style="1205" bestFit="1" customWidth="1"/>
    <col min="12297" max="12546" width="9.140625" style="1205"/>
    <col min="12547" max="12547" width="5.140625" style="1205" bestFit="1" customWidth="1"/>
    <col min="12548" max="12548" width="32.42578125" style="1205" bestFit="1" customWidth="1"/>
    <col min="12549" max="12549" width="12.28515625" style="1205" customWidth="1"/>
    <col min="12550" max="12550" width="8.85546875" style="1205" bestFit="1" customWidth="1"/>
    <col min="12551" max="12551" width="9.140625" style="1205"/>
    <col min="12552" max="12552" width="27.28515625" style="1205" bestFit="1" customWidth="1"/>
    <col min="12553" max="12802" width="9.140625" style="1205"/>
    <col min="12803" max="12803" width="5.140625" style="1205" bestFit="1" customWidth="1"/>
    <col min="12804" max="12804" width="32.42578125" style="1205" bestFit="1" customWidth="1"/>
    <col min="12805" max="12805" width="12.28515625" style="1205" customWidth="1"/>
    <col min="12806" max="12806" width="8.85546875" style="1205" bestFit="1" customWidth="1"/>
    <col min="12807" max="12807" width="9.140625" style="1205"/>
    <col min="12808" max="12808" width="27.28515625" style="1205" bestFit="1" customWidth="1"/>
    <col min="12809" max="13058" width="9.140625" style="1205"/>
    <col min="13059" max="13059" width="5.140625" style="1205" bestFit="1" customWidth="1"/>
    <col min="13060" max="13060" width="32.42578125" style="1205" bestFit="1" customWidth="1"/>
    <col min="13061" max="13061" width="12.28515625" style="1205" customWidth="1"/>
    <col min="13062" max="13062" width="8.85546875" style="1205" bestFit="1" customWidth="1"/>
    <col min="13063" max="13063" width="9.140625" style="1205"/>
    <col min="13064" max="13064" width="27.28515625" style="1205" bestFit="1" customWidth="1"/>
    <col min="13065" max="13314" width="9.140625" style="1205"/>
    <col min="13315" max="13315" width="5.140625" style="1205" bestFit="1" customWidth="1"/>
    <col min="13316" max="13316" width="32.42578125" style="1205" bestFit="1" customWidth="1"/>
    <col min="13317" max="13317" width="12.28515625" style="1205" customWidth="1"/>
    <col min="13318" max="13318" width="8.85546875" style="1205" bestFit="1" customWidth="1"/>
    <col min="13319" max="13319" width="9.140625" style="1205"/>
    <col min="13320" max="13320" width="27.28515625" style="1205" bestFit="1" customWidth="1"/>
    <col min="13321" max="13570" width="9.140625" style="1205"/>
    <col min="13571" max="13571" width="5.140625" style="1205" bestFit="1" customWidth="1"/>
    <col min="13572" max="13572" width="32.42578125" style="1205" bestFit="1" customWidth="1"/>
    <col min="13573" max="13573" width="12.28515625" style="1205" customWidth="1"/>
    <col min="13574" max="13574" width="8.85546875" style="1205" bestFit="1" customWidth="1"/>
    <col min="13575" max="13575" width="9.140625" style="1205"/>
    <col min="13576" max="13576" width="27.28515625" style="1205" bestFit="1" customWidth="1"/>
    <col min="13577" max="13826" width="9.140625" style="1205"/>
    <col min="13827" max="13827" width="5.140625" style="1205" bestFit="1" customWidth="1"/>
    <col min="13828" max="13828" width="32.42578125" style="1205" bestFit="1" customWidth="1"/>
    <col min="13829" max="13829" width="12.28515625" style="1205" customWidth="1"/>
    <col min="13830" max="13830" width="8.85546875" style="1205" bestFit="1" customWidth="1"/>
    <col min="13831" max="13831" width="9.140625" style="1205"/>
    <col min="13832" max="13832" width="27.28515625" style="1205" bestFit="1" customWidth="1"/>
    <col min="13833" max="14082" width="9.140625" style="1205"/>
    <col min="14083" max="14083" width="5.140625" style="1205" bestFit="1" customWidth="1"/>
    <col min="14084" max="14084" width="32.42578125" style="1205" bestFit="1" customWidth="1"/>
    <col min="14085" max="14085" width="12.28515625" style="1205" customWidth="1"/>
    <col min="14086" max="14086" width="8.85546875" style="1205" bestFit="1" customWidth="1"/>
    <col min="14087" max="14087" width="9.140625" style="1205"/>
    <col min="14088" max="14088" width="27.28515625" style="1205" bestFit="1" customWidth="1"/>
    <col min="14089" max="14338" width="9.140625" style="1205"/>
    <col min="14339" max="14339" width="5.140625" style="1205" bestFit="1" customWidth="1"/>
    <col min="14340" max="14340" width="32.42578125" style="1205" bestFit="1" customWidth="1"/>
    <col min="14341" max="14341" width="12.28515625" style="1205" customWidth="1"/>
    <col min="14342" max="14342" width="8.85546875" style="1205" bestFit="1" customWidth="1"/>
    <col min="14343" max="14343" width="9.140625" style="1205"/>
    <col min="14344" max="14344" width="27.28515625" style="1205" bestFit="1" customWidth="1"/>
    <col min="14345" max="14594" width="9.140625" style="1205"/>
    <col min="14595" max="14595" width="5.140625" style="1205" bestFit="1" customWidth="1"/>
    <col min="14596" max="14596" width="32.42578125" style="1205" bestFit="1" customWidth="1"/>
    <col min="14597" max="14597" width="12.28515625" style="1205" customWidth="1"/>
    <col min="14598" max="14598" width="8.85546875" style="1205" bestFit="1" customWidth="1"/>
    <col min="14599" max="14599" width="9.140625" style="1205"/>
    <col min="14600" max="14600" width="27.28515625" style="1205" bestFit="1" customWidth="1"/>
    <col min="14601" max="14850" width="9.140625" style="1205"/>
    <col min="14851" max="14851" width="5.140625" style="1205" bestFit="1" customWidth="1"/>
    <col min="14852" max="14852" width="32.42578125" style="1205" bestFit="1" customWidth="1"/>
    <col min="14853" max="14853" width="12.28515625" style="1205" customWidth="1"/>
    <col min="14854" max="14854" width="8.85546875" style="1205" bestFit="1" customWidth="1"/>
    <col min="14855" max="14855" width="9.140625" style="1205"/>
    <col min="14856" max="14856" width="27.28515625" style="1205" bestFit="1" customWidth="1"/>
    <col min="14857" max="15106" width="9.140625" style="1205"/>
    <col min="15107" max="15107" width="5.140625" style="1205" bestFit="1" customWidth="1"/>
    <col min="15108" max="15108" width="32.42578125" style="1205" bestFit="1" customWidth="1"/>
    <col min="15109" max="15109" width="12.28515625" style="1205" customWidth="1"/>
    <col min="15110" max="15110" width="8.85546875" style="1205" bestFit="1" customWidth="1"/>
    <col min="15111" max="15111" width="9.140625" style="1205"/>
    <col min="15112" max="15112" width="27.28515625" style="1205" bestFit="1" customWidth="1"/>
    <col min="15113" max="15362" width="9.140625" style="1205"/>
    <col min="15363" max="15363" width="5.140625" style="1205" bestFit="1" customWidth="1"/>
    <col min="15364" max="15364" width="32.42578125" style="1205" bestFit="1" customWidth="1"/>
    <col min="15365" max="15365" width="12.28515625" style="1205" customWidth="1"/>
    <col min="15366" max="15366" width="8.85546875" style="1205" bestFit="1" customWidth="1"/>
    <col min="15367" max="15367" width="9.140625" style="1205"/>
    <col min="15368" max="15368" width="27.28515625" style="1205" bestFit="1" customWidth="1"/>
    <col min="15369" max="15618" width="9.140625" style="1205"/>
    <col min="15619" max="15619" width="5.140625" style="1205" bestFit="1" customWidth="1"/>
    <col min="15620" max="15620" width="32.42578125" style="1205" bestFit="1" customWidth="1"/>
    <col min="15621" max="15621" width="12.28515625" style="1205" customWidth="1"/>
    <col min="15622" max="15622" width="8.85546875" style="1205" bestFit="1" customWidth="1"/>
    <col min="15623" max="15623" width="9.140625" style="1205"/>
    <col min="15624" max="15624" width="27.28515625" style="1205" bestFit="1" customWidth="1"/>
    <col min="15625" max="15874" width="9.140625" style="1205"/>
    <col min="15875" max="15875" width="5.140625" style="1205" bestFit="1" customWidth="1"/>
    <col min="15876" max="15876" width="32.42578125" style="1205" bestFit="1" customWidth="1"/>
    <col min="15877" max="15877" width="12.28515625" style="1205" customWidth="1"/>
    <col min="15878" max="15878" width="8.85546875" style="1205" bestFit="1" customWidth="1"/>
    <col min="15879" max="15879" width="9.140625" style="1205"/>
    <col min="15880" max="15880" width="27.28515625" style="1205" bestFit="1" customWidth="1"/>
    <col min="15881" max="16130" width="9.140625" style="1205"/>
    <col min="16131" max="16131" width="5.140625" style="1205" bestFit="1" customWidth="1"/>
    <col min="16132" max="16132" width="32.42578125" style="1205" bestFit="1" customWidth="1"/>
    <col min="16133" max="16133" width="12.28515625" style="1205" customWidth="1"/>
    <col min="16134" max="16134" width="8.85546875" style="1205" bestFit="1" customWidth="1"/>
    <col min="16135" max="16135" width="9.140625" style="1205"/>
    <col min="16136" max="16136" width="27.28515625" style="1205" bestFit="1" customWidth="1"/>
    <col min="16137" max="16384" width="9.140625" style="1205"/>
  </cols>
  <sheetData>
    <row r="3" spans="3:6" ht="21.75">
      <c r="C3" s="3193" t="s">
        <v>1193</v>
      </c>
      <c r="D3" s="3193"/>
      <c r="E3" s="3193"/>
      <c r="F3" s="3193"/>
    </row>
    <row r="5" spans="3:6">
      <c r="D5" s="1208" t="s">
        <v>1160</v>
      </c>
      <c r="F5" s="1208" t="s">
        <v>1161</v>
      </c>
    </row>
    <row r="6" spans="3:6">
      <c r="D6" s="1228" t="s">
        <v>823</v>
      </c>
      <c r="E6" s="1226">
        <v>1.5</v>
      </c>
      <c r="F6" s="1216" t="s">
        <v>156</v>
      </c>
    </row>
    <row r="7" spans="3:6">
      <c r="D7" s="1228" t="s">
        <v>1162</v>
      </c>
      <c r="E7" s="1226">
        <v>5.7</v>
      </c>
      <c r="F7" s="1216" t="s">
        <v>156</v>
      </c>
    </row>
    <row r="8" spans="3:6">
      <c r="D8" s="1228" t="s">
        <v>822</v>
      </c>
      <c r="E8" s="1226">
        <v>4.0999999999999996</v>
      </c>
      <c r="F8" s="1216" t="s">
        <v>156</v>
      </c>
    </row>
    <row r="10" spans="3:6">
      <c r="C10" s="1206" t="s">
        <v>156</v>
      </c>
      <c r="D10" s="1229" t="s">
        <v>1163</v>
      </c>
      <c r="E10" s="1215">
        <f>E6*E7*E8</f>
        <v>35.055</v>
      </c>
      <c r="F10" s="1210" t="s">
        <v>1164</v>
      </c>
    </row>
    <row r="11" spans="3:6">
      <c r="C11" s="1206" t="s">
        <v>1073</v>
      </c>
      <c r="D11" s="1209" t="s">
        <v>1165</v>
      </c>
      <c r="E11" s="1215">
        <f>2*(E6*E7+E6*E8+E7*E8)</f>
        <v>76.139999999999986</v>
      </c>
      <c r="F11" s="1210" t="s">
        <v>1166</v>
      </c>
    </row>
    <row r="13" spans="3:6" ht="18.75">
      <c r="C13" s="1206" t="s">
        <v>1167</v>
      </c>
      <c r="D13" s="1228" t="s">
        <v>1168</v>
      </c>
      <c r="E13" s="1227">
        <v>12</v>
      </c>
      <c r="F13" s="1216" t="s">
        <v>1169</v>
      </c>
    </row>
    <row r="15" spans="3:6" ht="18.75">
      <c r="C15" s="1206" t="s">
        <v>1170</v>
      </c>
      <c r="D15" s="1228" t="s">
        <v>1171</v>
      </c>
      <c r="E15" s="1227">
        <v>28</v>
      </c>
      <c r="F15" s="1216" t="s">
        <v>1172</v>
      </c>
    </row>
    <row r="16" spans="3:6" ht="18.75">
      <c r="C16" s="1206" t="s">
        <v>1173</v>
      </c>
      <c r="D16" s="1228" t="s">
        <v>1174</v>
      </c>
      <c r="E16" s="1227">
        <v>24</v>
      </c>
      <c r="F16" s="1216" t="s">
        <v>1172</v>
      </c>
    </row>
    <row r="18" spans="3:16" ht="18.75">
      <c r="C18" s="1206" t="s">
        <v>1175</v>
      </c>
      <c r="D18" s="1209" t="s">
        <v>1176</v>
      </c>
      <c r="E18" s="1215">
        <v>1000</v>
      </c>
      <c r="F18" s="1210" t="s">
        <v>1177</v>
      </c>
    </row>
    <row r="20" spans="3:16" ht="18.75">
      <c r="C20" s="1206" t="s">
        <v>1178</v>
      </c>
      <c r="D20" s="1209" t="s">
        <v>1179</v>
      </c>
      <c r="E20" s="1215">
        <f>E10*E18*(E15-E16)/E13</f>
        <v>11685</v>
      </c>
      <c r="F20" s="1210" t="s">
        <v>42</v>
      </c>
    </row>
    <row r="21" spans="3:16">
      <c r="H21" s="1225" t="s">
        <v>1194</v>
      </c>
    </row>
    <row r="22" spans="3:16">
      <c r="C22" s="1206" t="s">
        <v>1180</v>
      </c>
      <c r="D22" s="1228" t="s">
        <v>1191</v>
      </c>
      <c r="E22" s="1227">
        <v>103.2</v>
      </c>
      <c r="F22" s="1216" t="s">
        <v>1181</v>
      </c>
      <c r="H22" s="1221" t="s">
        <v>1185</v>
      </c>
      <c r="I22" s="1222" t="s">
        <v>1186</v>
      </c>
      <c r="J22" s="1223" t="s">
        <v>1181</v>
      </c>
      <c r="L22" s="1230"/>
      <c r="M22" s="1231"/>
      <c r="N22" s="1231"/>
      <c r="O22" s="1231"/>
      <c r="P22" s="1232" t="s">
        <v>818</v>
      </c>
    </row>
    <row r="23" spans="3:16">
      <c r="H23" s="1211" t="s">
        <v>1187</v>
      </c>
      <c r="I23" s="1212">
        <v>120</v>
      </c>
      <c r="J23" s="1224">
        <v>103.2</v>
      </c>
      <c r="L23" s="1230"/>
      <c r="M23" s="1231"/>
      <c r="N23" s="1231"/>
      <c r="O23" s="1231"/>
      <c r="P23" s="1233" t="s">
        <v>17</v>
      </c>
    </row>
    <row r="24" spans="3:16" ht="18.75">
      <c r="C24" s="1206" t="s">
        <v>1182</v>
      </c>
      <c r="D24" s="1209" t="s">
        <v>1183</v>
      </c>
      <c r="E24" s="1215">
        <f>E22*E11</f>
        <v>7857.6479999999992</v>
      </c>
      <c r="F24" s="1210" t="s">
        <v>42</v>
      </c>
      <c r="H24" s="1211" t="s">
        <v>1188</v>
      </c>
      <c r="I24" s="1212">
        <v>750</v>
      </c>
      <c r="J24" s="1224">
        <v>645</v>
      </c>
      <c r="L24" s="1230"/>
      <c r="M24" s="1231"/>
      <c r="N24" s="1231"/>
      <c r="O24" s="3196">
        <v>2026</v>
      </c>
      <c r="P24" s="3196"/>
    </row>
    <row r="25" spans="3:16">
      <c r="H25" s="1211" t="s">
        <v>1189</v>
      </c>
      <c r="I25" s="1212">
        <v>280</v>
      </c>
      <c r="J25" s="1224">
        <v>240.8</v>
      </c>
      <c r="L25" s="1234"/>
      <c r="M25" s="1230"/>
      <c r="N25" s="1230"/>
      <c r="O25" s="1235"/>
      <c r="P25" s="1230"/>
    </row>
    <row r="26" spans="3:16">
      <c r="C26" s="1206" t="s">
        <v>1184</v>
      </c>
      <c r="D26" s="3194" t="s">
        <v>1192</v>
      </c>
      <c r="E26" s="1218">
        <f>E20+E24</f>
        <v>19542.648000000001</v>
      </c>
      <c r="F26" s="1219" t="s">
        <v>42</v>
      </c>
      <c r="H26" s="1211" t="s">
        <v>1190</v>
      </c>
      <c r="I26" s="1212">
        <v>433</v>
      </c>
      <c r="J26" s="1224">
        <v>372.38</v>
      </c>
    </row>
    <row r="27" spans="3:16">
      <c r="D27" s="3195"/>
      <c r="E27" s="1217">
        <f>E26/860</f>
        <v>22.724009302325584</v>
      </c>
      <c r="F27" s="1220" t="s">
        <v>725</v>
      </c>
    </row>
    <row r="29" spans="3:16">
      <c r="D29" s="1208"/>
      <c r="E29" s="1213"/>
      <c r="F29" s="1214"/>
    </row>
    <row r="30" spans="3:16">
      <c r="F30" s="1207"/>
    </row>
    <row r="31" spans="3:16">
      <c r="F31" s="1207"/>
    </row>
    <row r="32" spans="3:16">
      <c r="F32" s="1207"/>
    </row>
    <row r="33" spans="6:6">
      <c r="F33" s="1207"/>
    </row>
  </sheetData>
  <sheetProtection algorithmName="SHA-512" hashValue="HVXIjpljkVODz9fyeN5EOH+wf0UrIslI5A4stw+0kQvIlTjDQlNxTGl6KyxcpoNu3hExuTzneVfSGHGtJcjC0A==" saltValue="eYKho8+CfNZEeAEt0rvlGQ==" spinCount="100000" sheet="1" objects="1" selectLockedCells="1"/>
  <mergeCells count="3">
    <mergeCell ref="C3:F3"/>
    <mergeCell ref="D26:D27"/>
    <mergeCell ref="O24:P24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66"/>
  <sheetViews>
    <sheetView showGridLines="0" showRowColHeaders="0" zoomScale="93" zoomScaleNormal="93" workbookViewId="0">
      <selection activeCell="C9" sqref="C9"/>
    </sheetView>
  </sheetViews>
  <sheetFormatPr defaultRowHeight="15"/>
  <cols>
    <col min="2" max="2" width="15.140625" bestFit="1" customWidth="1"/>
  </cols>
  <sheetData>
    <row r="1" spans="1:47">
      <c r="A1" s="1179"/>
      <c r="B1" s="1179"/>
      <c r="C1" s="1179"/>
      <c r="D1" s="1179"/>
      <c r="E1" s="1179"/>
      <c r="F1" s="1179"/>
      <c r="G1" s="1179"/>
      <c r="H1" s="1179"/>
      <c r="I1" s="1179"/>
      <c r="J1" s="1179"/>
      <c r="K1" s="1179"/>
      <c r="L1" s="1179"/>
      <c r="M1" s="1179"/>
      <c r="N1" s="1179"/>
      <c r="O1" s="1179"/>
      <c r="P1" s="1179"/>
      <c r="Q1" s="1179"/>
      <c r="R1" s="1179"/>
      <c r="S1" s="1179"/>
      <c r="T1" s="1179"/>
      <c r="U1" s="1179"/>
      <c r="V1" s="1179"/>
      <c r="W1" s="1179"/>
      <c r="X1" s="1179"/>
      <c r="Y1" s="1179"/>
      <c r="Z1" s="1179"/>
      <c r="AA1" s="1179"/>
      <c r="AB1" s="1179"/>
      <c r="AC1" s="1179"/>
      <c r="AD1" s="1179"/>
      <c r="AE1" s="1179"/>
      <c r="AF1" s="1179"/>
      <c r="AG1" s="1179"/>
      <c r="AH1" s="1179"/>
      <c r="AI1" s="1179"/>
      <c r="AJ1" s="1179"/>
      <c r="AK1" s="1179"/>
      <c r="AL1" s="1179"/>
      <c r="AM1" s="1179"/>
      <c r="AN1" s="1179"/>
      <c r="AO1" s="1179"/>
      <c r="AP1" s="1179"/>
      <c r="AQ1" s="1179"/>
      <c r="AR1" s="1179"/>
      <c r="AS1" s="1179"/>
      <c r="AT1" s="1179"/>
      <c r="AU1" s="1179"/>
    </row>
    <row r="2" spans="1:47" ht="15.75" thickBot="1">
      <c r="A2" s="1179"/>
      <c r="B2" s="1179"/>
      <c r="C2" s="1179"/>
      <c r="D2" s="1179"/>
      <c r="E2" s="1179"/>
      <c r="F2" s="1179"/>
      <c r="G2" s="1179"/>
      <c r="H2" s="1179"/>
      <c r="I2" s="1179"/>
      <c r="J2" s="1179"/>
      <c r="K2" s="1179"/>
      <c r="L2" s="1179"/>
      <c r="M2" s="1179"/>
      <c r="N2" s="1179"/>
      <c r="O2" s="1179"/>
      <c r="P2" s="1179"/>
      <c r="Q2" s="1179"/>
      <c r="R2" s="1179"/>
      <c r="S2" s="1179"/>
      <c r="T2" s="1179"/>
      <c r="U2" s="1179"/>
      <c r="V2" s="1179"/>
      <c r="W2" s="1179"/>
      <c r="X2" s="1179"/>
      <c r="Y2" s="1179"/>
      <c r="Z2" s="1179"/>
      <c r="AA2" s="1179"/>
      <c r="AB2" s="1179"/>
      <c r="AC2" s="1179"/>
      <c r="AD2" s="1179"/>
      <c r="AE2" s="1179"/>
      <c r="AF2" s="1179"/>
      <c r="AG2" s="1179"/>
      <c r="AH2" s="1179"/>
      <c r="AI2" s="1179"/>
      <c r="AJ2" s="1179"/>
    </row>
    <row r="3" spans="1:47">
      <c r="A3" s="1179"/>
      <c r="B3" s="3200" t="s">
        <v>1154</v>
      </c>
      <c r="C3" s="3201"/>
      <c r="D3" s="3201"/>
      <c r="E3" s="3201"/>
      <c r="F3" s="3202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179"/>
      <c r="U3" s="1179"/>
      <c r="V3" s="1179"/>
      <c r="W3" s="1179"/>
      <c r="X3" s="1179"/>
      <c r="Y3" s="1179"/>
      <c r="Z3" s="1179"/>
      <c r="AA3" s="1179"/>
      <c r="AB3" s="1179"/>
      <c r="AC3" s="1179"/>
      <c r="AD3" s="1179"/>
      <c r="AE3" s="1179"/>
      <c r="AF3" s="1179"/>
      <c r="AG3" s="1179"/>
      <c r="AH3" s="1179"/>
    </row>
    <row r="4" spans="1:47" ht="15.75" thickBot="1">
      <c r="A4" s="1179"/>
      <c r="B4" s="3203"/>
      <c r="C4" s="3204"/>
      <c r="D4" s="3204"/>
      <c r="E4" s="3204"/>
      <c r="F4" s="3205"/>
      <c r="G4" s="1179"/>
      <c r="H4" s="1179"/>
      <c r="I4" s="1179"/>
      <c r="J4" s="1179"/>
      <c r="K4" s="1179"/>
      <c r="L4" s="1179"/>
      <c r="M4" s="1179"/>
      <c r="N4" s="1179"/>
      <c r="O4" s="1179"/>
      <c r="P4" s="1179"/>
      <c r="Q4" s="1179"/>
      <c r="R4" s="1179"/>
      <c r="S4" s="1179"/>
      <c r="T4" s="1179"/>
      <c r="U4" s="1179"/>
      <c r="V4" s="1179"/>
      <c r="W4" s="1179"/>
      <c r="X4" s="1179"/>
      <c r="Y4" s="1179"/>
      <c r="Z4" s="1179"/>
      <c r="AA4" s="1179"/>
      <c r="AB4" s="1179"/>
      <c r="AC4" s="1179"/>
      <c r="AD4" s="1179"/>
      <c r="AE4" s="1179"/>
      <c r="AF4" s="1179"/>
      <c r="AG4" s="1179"/>
      <c r="AH4" s="1179"/>
    </row>
    <row r="5" spans="1:47" s="1179" customFormat="1">
      <c r="B5" s="3197"/>
      <c r="C5" s="3198"/>
      <c r="D5" s="3198"/>
      <c r="E5" s="3198"/>
      <c r="F5" s="3198"/>
    </row>
    <row r="6" spans="1:47" s="1179" customFormat="1" ht="18" customHeight="1">
      <c r="B6" s="3198"/>
      <c r="C6" s="3198"/>
      <c r="D6" s="3198"/>
      <c r="E6" s="3198"/>
      <c r="F6" s="3198"/>
    </row>
    <row r="7" spans="1:47" s="1179" customFormat="1">
      <c r="E7" s="1180"/>
    </row>
    <row r="8" spans="1:47" s="1179" customFormat="1" ht="15.75" thickBot="1">
      <c r="B8" s="1182" t="s">
        <v>1149</v>
      </c>
      <c r="C8" s="1182">
        <v>5</v>
      </c>
      <c r="D8" s="1182" t="s">
        <v>163</v>
      </c>
      <c r="E8" s="1183" t="s">
        <v>1151</v>
      </c>
    </row>
    <row r="9" spans="1:47" s="1179" customFormat="1" ht="15.75" thickBot="1">
      <c r="A9" s="1181"/>
      <c r="B9" s="1184" t="s">
        <v>1152</v>
      </c>
      <c r="C9" s="1201">
        <v>63</v>
      </c>
      <c r="D9" s="1173" t="s">
        <v>163</v>
      </c>
    </row>
    <row r="10" spans="1:47" s="1179" customFormat="1" ht="15.75" thickBot="1">
      <c r="B10" s="1185" t="s">
        <v>1147</v>
      </c>
      <c r="C10" s="1201">
        <v>3</v>
      </c>
      <c r="D10" s="1173" t="s">
        <v>163</v>
      </c>
    </row>
    <row r="11" spans="1:47" s="1179" customFormat="1" ht="15.75" thickBot="1">
      <c r="B11" s="1185" t="s">
        <v>1144</v>
      </c>
      <c r="C11" s="1201">
        <v>7</v>
      </c>
      <c r="D11" s="1173" t="s">
        <v>88</v>
      </c>
      <c r="E11" s="1203">
        <f>C11*0.5</f>
        <v>3.5</v>
      </c>
    </row>
    <row r="12" spans="1:47" s="1179" customFormat="1" ht="15.75" thickBot="1">
      <c r="B12" s="1185" t="s">
        <v>1145</v>
      </c>
      <c r="C12" s="1201">
        <v>1</v>
      </c>
      <c r="D12" s="1173" t="s">
        <v>88</v>
      </c>
      <c r="E12" s="1203">
        <f>C12*1</f>
        <v>1</v>
      </c>
    </row>
    <row r="13" spans="1:47" s="1179" customFormat="1" ht="15.75" thickBot="1">
      <c r="B13" s="1185" t="s">
        <v>1146</v>
      </c>
      <c r="C13" s="1202">
        <v>1</v>
      </c>
      <c r="D13" s="1186" t="s">
        <v>88</v>
      </c>
      <c r="E13" s="1203">
        <f>C13*0.5</f>
        <v>0.5</v>
      </c>
    </row>
    <row r="14" spans="1:47" s="1179" customFormat="1" ht="15.75" thickBot="1">
      <c r="C14" s="1188" t="s">
        <v>1148</v>
      </c>
      <c r="D14" s="1189"/>
      <c r="E14" s="1192">
        <f>C9+C10+E11+E12+E13</f>
        <v>71</v>
      </c>
      <c r="F14" s="1193" t="s">
        <v>163</v>
      </c>
    </row>
    <row r="15" spans="1:47" s="1179" customFormat="1" ht="15.75" thickBot="1">
      <c r="C15" s="1190" t="s">
        <v>1153</v>
      </c>
      <c r="D15" s="1191"/>
      <c r="E15" s="1191" t="str">
        <f>IF(E14&lt;41,"2000",IF(E14&lt;71,"3000","4000"))</f>
        <v>4000</v>
      </c>
      <c r="F15" s="1187"/>
    </row>
    <row r="16" spans="1:47" s="1179" customFormat="1"/>
    <row r="17" spans="1:1" s="1179" customFormat="1"/>
    <row r="18" spans="1:1" s="1179" customFormat="1"/>
    <row r="19" spans="1:1" s="1179" customFormat="1"/>
    <row r="20" spans="1:1" s="1179" customFormat="1"/>
    <row r="21" spans="1:1" s="1179" customFormat="1"/>
    <row r="22" spans="1:1" s="1179" customFormat="1"/>
    <row r="23" spans="1:1" s="1179" customFormat="1"/>
    <row r="24" spans="1:1" s="1179" customFormat="1"/>
    <row r="25" spans="1:1" s="1179" customFormat="1"/>
    <row r="26" spans="1:1" s="1179" customFormat="1"/>
    <row r="27" spans="1:1" s="1179" customFormat="1"/>
    <row r="28" spans="1:1" s="1179" customFormat="1">
      <c r="A28" s="1194" t="s">
        <v>1150</v>
      </c>
    </row>
    <row r="29" spans="1:1" s="1179" customFormat="1"/>
    <row r="30" spans="1:1" s="1179" customFormat="1"/>
    <row r="31" spans="1:1" s="1179" customFormat="1"/>
    <row r="32" spans="1:1" s="1179" customFormat="1"/>
    <row r="33" spans="19:25" s="1179" customFormat="1"/>
    <row r="34" spans="19:25" s="1179" customFormat="1">
      <c r="S34" s="1195"/>
      <c r="T34" s="1195"/>
      <c r="U34" s="1195"/>
      <c r="V34" s="1195"/>
      <c r="W34" s="1195"/>
      <c r="X34" s="1195"/>
      <c r="Y34" s="1195"/>
    </row>
    <row r="35" spans="19:25" s="1179" customFormat="1">
      <c r="S35" s="1195"/>
      <c r="T35" s="1195"/>
      <c r="U35" s="1196"/>
      <c r="V35" s="1196"/>
      <c r="W35" s="1196"/>
      <c r="X35" s="1197" t="s">
        <v>818</v>
      </c>
      <c r="Y35" s="1195"/>
    </row>
    <row r="36" spans="19:25" s="1179" customFormat="1">
      <c r="S36" s="1195"/>
      <c r="T36" s="1195"/>
      <c r="U36" s="1196"/>
      <c r="V36" s="1196"/>
      <c r="W36" s="1196"/>
      <c r="X36" s="1198" t="s">
        <v>17</v>
      </c>
      <c r="Y36" s="1195"/>
    </row>
    <row r="37" spans="19:25" s="1179" customFormat="1">
      <c r="S37" s="1195"/>
      <c r="T37" s="1195"/>
      <c r="U37" s="1196"/>
      <c r="V37" s="1196"/>
      <c r="W37" s="3199">
        <v>2026</v>
      </c>
      <c r="X37" s="3199"/>
      <c r="Y37" s="1195"/>
    </row>
    <row r="38" spans="19:25" s="1179" customFormat="1">
      <c r="S38" s="1199"/>
      <c r="T38" s="1199"/>
      <c r="U38" s="1195"/>
      <c r="V38" s="1195"/>
      <c r="W38" s="1200"/>
      <c r="X38" s="1195"/>
      <c r="Y38" s="1195"/>
    </row>
    <row r="39" spans="19:25" s="1179" customFormat="1"/>
    <row r="40" spans="19:25" s="1179" customFormat="1"/>
    <row r="41" spans="19:25" s="1179" customFormat="1"/>
    <row r="42" spans="19:25" s="1179" customFormat="1"/>
    <row r="43" spans="19:25" s="1179" customFormat="1"/>
    <row r="44" spans="19:25" s="1179" customFormat="1"/>
    <row r="45" spans="19:25" s="1179" customFormat="1"/>
    <row r="46" spans="19:25" s="1179" customFormat="1"/>
    <row r="47" spans="19:25" s="1179" customFormat="1"/>
    <row r="48" spans="19:25" s="1179" customFormat="1"/>
    <row r="49" spans="1:51" s="1179" customFormat="1"/>
    <row r="50" spans="1:51" s="1179" customFormat="1"/>
    <row r="51" spans="1:51" s="1179" customFormat="1"/>
    <row r="52" spans="1:51" s="1179" customFormat="1"/>
    <row r="53" spans="1:51" s="1179" customFormat="1"/>
    <row r="54" spans="1:51" s="1179" customFormat="1"/>
    <row r="55" spans="1:51" s="1179" customFormat="1"/>
    <row r="56" spans="1:51" s="1179" customFormat="1"/>
    <row r="57" spans="1:51">
      <c r="A57" s="1179"/>
      <c r="B57" s="1179"/>
      <c r="C57" s="1179"/>
      <c r="D57" s="1179"/>
      <c r="E57" s="1179"/>
      <c r="F57" s="1179"/>
      <c r="G57" s="1179"/>
      <c r="H57" s="1179"/>
      <c r="I57" s="1179"/>
      <c r="J57" s="1179"/>
      <c r="K57" s="1179"/>
      <c r="L57" s="1179"/>
      <c r="M57" s="1179"/>
      <c r="N57" s="1179"/>
      <c r="O57" s="1179"/>
      <c r="P57" s="1179"/>
      <c r="Q57" s="1179"/>
      <c r="R57" s="1179"/>
      <c r="S57" s="1179"/>
      <c r="T57" s="1179"/>
      <c r="U57" s="1179"/>
      <c r="V57" s="1179"/>
      <c r="W57" s="1179"/>
      <c r="X57" s="1179"/>
      <c r="Y57" s="1179"/>
      <c r="Z57" s="1179"/>
      <c r="AA57" s="1179"/>
      <c r="AB57" s="1179"/>
      <c r="AC57" s="1179"/>
      <c r="AD57" s="1179"/>
      <c r="AE57" s="1179"/>
      <c r="AF57" s="1179"/>
      <c r="AG57" s="1179"/>
      <c r="AH57" s="1179"/>
      <c r="AI57" s="1179"/>
      <c r="AJ57" s="1179"/>
      <c r="AK57" s="1179"/>
      <c r="AL57" s="1179"/>
      <c r="AM57" s="1179"/>
      <c r="AN57" s="1179"/>
      <c r="AO57" s="1179"/>
      <c r="AP57" s="1179"/>
      <c r="AQ57" s="1179"/>
      <c r="AR57" s="1179"/>
      <c r="AS57" s="1179"/>
      <c r="AT57" s="1179"/>
      <c r="AU57" s="1179"/>
      <c r="AV57" s="1179"/>
      <c r="AW57" s="1179"/>
      <c r="AX57" s="1179"/>
      <c r="AY57" s="1179"/>
    </row>
    <row r="58" spans="1:51">
      <c r="A58" s="1179"/>
      <c r="B58" s="1179"/>
      <c r="C58" s="1179"/>
      <c r="D58" s="1179"/>
      <c r="E58" s="1179"/>
      <c r="F58" s="1179"/>
      <c r="G58" s="1179"/>
      <c r="H58" s="1179"/>
      <c r="I58" s="1179"/>
      <c r="J58" s="1179"/>
      <c r="K58" s="1179"/>
      <c r="L58" s="1179"/>
      <c r="M58" s="1179"/>
      <c r="N58" s="1179"/>
      <c r="O58" s="1179"/>
      <c r="P58" s="1179"/>
      <c r="Q58" s="1179"/>
      <c r="R58" s="1179"/>
      <c r="S58" s="1179"/>
      <c r="T58" s="1179"/>
      <c r="U58" s="1179"/>
      <c r="V58" s="1179"/>
      <c r="W58" s="1179"/>
      <c r="X58" s="1179"/>
      <c r="Y58" s="1179"/>
      <c r="Z58" s="1179"/>
      <c r="AA58" s="1179"/>
      <c r="AB58" s="1179"/>
      <c r="AC58" s="1179"/>
      <c r="AD58" s="1179"/>
      <c r="AE58" s="1179"/>
      <c r="AF58" s="1179"/>
      <c r="AG58" s="1179"/>
      <c r="AH58" s="1179"/>
      <c r="AI58" s="1179"/>
      <c r="AJ58" s="1179"/>
      <c r="AK58" s="1179"/>
      <c r="AL58" s="1179"/>
      <c r="AM58" s="1179"/>
      <c r="AN58" s="1179"/>
      <c r="AO58" s="1179"/>
      <c r="AP58" s="1179"/>
      <c r="AQ58" s="1179"/>
      <c r="AR58" s="1179"/>
      <c r="AS58" s="1179"/>
      <c r="AT58" s="1179"/>
      <c r="AU58" s="1179"/>
      <c r="AV58" s="1179"/>
      <c r="AW58" s="1179"/>
      <c r="AX58" s="1179"/>
      <c r="AY58" s="1179"/>
    </row>
    <row r="59" spans="1:51">
      <c r="A59" s="1179"/>
      <c r="B59" s="1179"/>
      <c r="C59" s="1179"/>
      <c r="D59" s="1179"/>
      <c r="E59" s="1179"/>
      <c r="F59" s="1179"/>
      <c r="G59" s="1179"/>
      <c r="H59" s="1179"/>
      <c r="I59" s="1179"/>
      <c r="J59" s="1179"/>
      <c r="K59" s="1179"/>
      <c r="L59" s="1179"/>
      <c r="M59" s="1179"/>
      <c r="N59" s="1179"/>
      <c r="O59" s="1179"/>
      <c r="P59" s="1179"/>
      <c r="Q59" s="1179"/>
      <c r="R59" s="1179"/>
      <c r="S59" s="1179"/>
      <c r="T59" s="1179"/>
      <c r="U59" s="1179"/>
      <c r="V59" s="1179"/>
      <c r="W59" s="1179"/>
      <c r="X59" s="1179"/>
      <c r="Y59" s="1179"/>
      <c r="Z59" s="1179"/>
      <c r="AA59" s="1179"/>
      <c r="AB59" s="1179"/>
      <c r="AC59" s="1179"/>
      <c r="AD59" s="1179"/>
      <c r="AE59" s="1179"/>
      <c r="AF59" s="1179"/>
      <c r="AG59" s="1179"/>
      <c r="AH59" s="1179"/>
      <c r="AI59" s="1179"/>
      <c r="AJ59" s="1179"/>
      <c r="AK59" s="1179"/>
      <c r="AL59" s="1179"/>
      <c r="AM59" s="1179"/>
      <c r="AN59" s="1179"/>
      <c r="AO59" s="1179"/>
      <c r="AP59" s="1179"/>
      <c r="AQ59" s="1179"/>
      <c r="AR59" s="1179"/>
      <c r="AS59" s="1179"/>
      <c r="AT59" s="1179"/>
      <c r="AU59" s="1179"/>
      <c r="AV59" s="1179"/>
      <c r="AW59" s="1179"/>
      <c r="AX59" s="1179"/>
      <c r="AY59" s="1179"/>
    </row>
    <row r="60" spans="1:51">
      <c r="A60" s="1179"/>
      <c r="B60" s="1179"/>
      <c r="C60" s="1179"/>
      <c r="D60" s="1179"/>
      <c r="E60" s="1179"/>
      <c r="F60" s="1179"/>
      <c r="G60" s="1179"/>
      <c r="H60" s="1179"/>
      <c r="I60" s="1179"/>
      <c r="J60" s="1179"/>
      <c r="K60" s="1179"/>
      <c r="L60" s="1179"/>
      <c r="M60" s="1179"/>
      <c r="N60" s="1179"/>
      <c r="O60" s="1179"/>
      <c r="P60" s="1179"/>
      <c r="Q60" s="1179"/>
      <c r="R60" s="1179"/>
      <c r="S60" s="1179"/>
      <c r="T60" s="1179"/>
      <c r="U60" s="1179"/>
      <c r="V60" s="1179"/>
      <c r="W60" s="1179"/>
      <c r="X60" s="1179"/>
      <c r="Y60" s="1179"/>
      <c r="Z60" s="1179"/>
      <c r="AA60" s="1179"/>
      <c r="AB60" s="1179"/>
      <c r="AC60" s="1179"/>
      <c r="AD60" s="1179"/>
      <c r="AE60" s="1179"/>
      <c r="AF60" s="1179"/>
      <c r="AG60" s="1179"/>
      <c r="AH60" s="1179"/>
      <c r="AI60" s="1179"/>
      <c r="AJ60" s="1179"/>
      <c r="AK60" s="1179"/>
      <c r="AL60" s="1179"/>
      <c r="AM60" s="1179"/>
      <c r="AN60" s="1179"/>
      <c r="AO60" s="1179"/>
      <c r="AP60" s="1179"/>
      <c r="AQ60" s="1179"/>
      <c r="AR60" s="1179"/>
      <c r="AS60" s="1179"/>
      <c r="AT60" s="1179"/>
      <c r="AU60" s="1179"/>
      <c r="AV60" s="1179"/>
      <c r="AW60" s="1179"/>
      <c r="AX60" s="1179"/>
      <c r="AY60" s="1179"/>
    </row>
    <row r="61" spans="1:51">
      <c r="A61" s="1179"/>
      <c r="B61" s="1179"/>
      <c r="C61" s="1179"/>
      <c r="D61" s="1179"/>
      <c r="E61" s="1179"/>
      <c r="F61" s="1179"/>
      <c r="G61" s="1179"/>
      <c r="H61" s="1179"/>
      <c r="I61" s="1179"/>
      <c r="J61" s="1179"/>
      <c r="K61" s="1179"/>
      <c r="L61" s="1179"/>
      <c r="M61" s="1179"/>
      <c r="N61" s="1179"/>
      <c r="O61" s="1179"/>
      <c r="P61" s="1179"/>
      <c r="Q61" s="1179"/>
      <c r="R61" s="1179"/>
      <c r="S61" s="1179"/>
      <c r="T61" s="1179"/>
      <c r="U61" s="1179"/>
      <c r="V61" s="1179"/>
      <c r="W61" s="1179"/>
      <c r="X61" s="1179"/>
      <c r="Y61" s="1179"/>
      <c r="Z61" s="1179"/>
      <c r="AA61" s="1179"/>
      <c r="AB61" s="1179"/>
      <c r="AC61" s="1179"/>
      <c r="AD61" s="1179"/>
      <c r="AE61" s="1179"/>
      <c r="AF61" s="1179"/>
      <c r="AG61" s="1179"/>
      <c r="AH61" s="1179"/>
      <c r="AI61" s="1179"/>
      <c r="AJ61" s="1179"/>
      <c r="AK61" s="1179"/>
      <c r="AL61" s="1179"/>
      <c r="AM61" s="1179"/>
      <c r="AN61" s="1179"/>
      <c r="AO61" s="1179"/>
      <c r="AP61" s="1179"/>
      <c r="AQ61" s="1179"/>
      <c r="AR61" s="1179"/>
      <c r="AS61" s="1179"/>
      <c r="AT61" s="1179"/>
      <c r="AU61" s="1179"/>
      <c r="AV61" s="1179"/>
      <c r="AW61" s="1179"/>
      <c r="AX61" s="1179"/>
      <c r="AY61" s="1179"/>
    </row>
    <row r="62" spans="1:51">
      <c r="A62" s="1179"/>
      <c r="B62" s="1179"/>
      <c r="C62" s="1179"/>
      <c r="D62" s="1179"/>
      <c r="E62" s="1179"/>
      <c r="F62" s="1179"/>
      <c r="G62" s="1179"/>
      <c r="H62" s="1179"/>
      <c r="I62" s="1179"/>
      <c r="J62" s="1179"/>
      <c r="K62" s="1179"/>
      <c r="L62" s="1179"/>
      <c r="M62" s="1179"/>
      <c r="N62" s="1179"/>
      <c r="O62" s="1179"/>
      <c r="P62" s="1179"/>
      <c r="Q62" s="1179"/>
      <c r="R62" s="1179"/>
      <c r="S62" s="1179"/>
      <c r="T62" s="1179"/>
      <c r="U62" s="1179"/>
      <c r="V62" s="1179"/>
      <c r="W62" s="1179"/>
      <c r="X62" s="1179"/>
      <c r="Y62" s="1179"/>
      <c r="Z62" s="1179"/>
      <c r="AA62" s="1179"/>
      <c r="AB62" s="1179"/>
      <c r="AC62" s="1179"/>
      <c r="AD62" s="1179"/>
      <c r="AE62" s="1179"/>
      <c r="AF62" s="1179"/>
      <c r="AG62" s="1179"/>
      <c r="AH62" s="1179"/>
      <c r="AI62" s="1179"/>
      <c r="AJ62" s="1179"/>
      <c r="AK62" s="1179"/>
      <c r="AL62" s="1179"/>
      <c r="AM62" s="1179"/>
      <c r="AN62" s="1179"/>
      <c r="AO62" s="1179"/>
      <c r="AP62" s="1179"/>
      <c r="AQ62" s="1179"/>
      <c r="AR62" s="1179"/>
      <c r="AS62" s="1179"/>
      <c r="AT62" s="1179"/>
      <c r="AU62" s="1179"/>
      <c r="AV62" s="1179"/>
      <c r="AW62" s="1179"/>
      <c r="AX62" s="1179"/>
      <c r="AY62" s="1179"/>
    </row>
    <row r="63" spans="1:51">
      <c r="A63" s="1179"/>
      <c r="B63" s="1179"/>
      <c r="C63" s="1179"/>
      <c r="D63" s="1179"/>
      <c r="E63" s="1179"/>
      <c r="F63" s="1179"/>
      <c r="G63" s="1179"/>
      <c r="H63" s="1179"/>
      <c r="I63" s="1179"/>
      <c r="J63" s="1179"/>
      <c r="K63" s="1179"/>
      <c r="L63" s="1179"/>
      <c r="M63" s="1179"/>
      <c r="N63" s="1179"/>
      <c r="O63" s="1179"/>
      <c r="P63" s="1179"/>
      <c r="Q63" s="1179"/>
      <c r="R63" s="1179"/>
      <c r="S63" s="1179"/>
      <c r="T63" s="1179"/>
      <c r="U63" s="1179"/>
      <c r="V63" s="1179"/>
      <c r="W63" s="1179"/>
      <c r="X63" s="1179"/>
      <c r="Y63" s="1179"/>
      <c r="Z63" s="1179"/>
      <c r="AA63" s="1179"/>
      <c r="AB63" s="1179"/>
      <c r="AC63" s="1179"/>
      <c r="AD63" s="1179"/>
      <c r="AE63" s="1179"/>
      <c r="AF63" s="1179"/>
      <c r="AG63" s="1179"/>
      <c r="AH63" s="1179"/>
      <c r="AI63" s="1179"/>
      <c r="AJ63" s="1179"/>
      <c r="AK63" s="1179"/>
      <c r="AL63" s="1179"/>
      <c r="AM63" s="1179"/>
      <c r="AN63" s="1179"/>
      <c r="AO63" s="1179"/>
      <c r="AP63" s="1179"/>
      <c r="AQ63" s="1179"/>
      <c r="AR63" s="1179"/>
      <c r="AS63" s="1179"/>
      <c r="AT63" s="1179"/>
      <c r="AU63" s="1179"/>
      <c r="AV63" s="1179"/>
      <c r="AW63" s="1179"/>
      <c r="AX63" s="1179"/>
      <c r="AY63" s="1179"/>
    </row>
    <row r="64" spans="1:51">
      <c r="A64" s="1179"/>
      <c r="B64" s="1179"/>
      <c r="C64" s="1179"/>
      <c r="D64" s="1179"/>
      <c r="E64" s="1179"/>
      <c r="F64" s="1179"/>
      <c r="G64" s="1179"/>
      <c r="H64" s="1179"/>
      <c r="I64" s="1179"/>
      <c r="J64" s="1179"/>
      <c r="K64" s="1179"/>
      <c r="L64" s="1179"/>
      <c r="M64" s="1179"/>
      <c r="N64" s="1179"/>
      <c r="O64" s="1179"/>
      <c r="P64" s="1179"/>
      <c r="Q64" s="1179"/>
      <c r="R64" s="1179"/>
      <c r="S64" s="1179"/>
      <c r="T64" s="1179"/>
      <c r="U64" s="1179"/>
      <c r="V64" s="1179"/>
      <c r="W64" s="1179"/>
      <c r="X64" s="1179"/>
      <c r="Y64" s="1179"/>
      <c r="Z64" s="1179"/>
      <c r="AA64" s="1179"/>
      <c r="AB64" s="1179"/>
      <c r="AC64" s="1179"/>
      <c r="AD64" s="1179"/>
      <c r="AE64" s="1179"/>
      <c r="AF64" s="1179"/>
      <c r="AG64" s="1179"/>
      <c r="AH64" s="1179"/>
      <c r="AI64" s="1179"/>
      <c r="AJ64" s="1179"/>
      <c r="AK64" s="1179"/>
      <c r="AL64" s="1179"/>
      <c r="AM64" s="1179"/>
      <c r="AN64" s="1179"/>
      <c r="AO64" s="1179"/>
      <c r="AP64" s="1179"/>
      <c r="AQ64" s="1179"/>
      <c r="AR64" s="1179"/>
      <c r="AS64" s="1179"/>
      <c r="AT64" s="1179"/>
      <c r="AU64" s="1179"/>
      <c r="AV64" s="1179"/>
      <c r="AW64" s="1179"/>
      <c r="AX64" s="1179"/>
      <c r="AY64" s="1179"/>
    </row>
    <row r="65" spans="1:51">
      <c r="A65" s="1179"/>
      <c r="B65" s="1179"/>
      <c r="C65" s="1179"/>
      <c r="D65" s="1179"/>
      <c r="E65" s="1179"/>
      <c r="F65" s="1179"/>
      <c r="G65" s="1179"/>
      <c r="H65" s="1179"/>
      <c r="I65" s="1179"/>
      <c r="J65" s="1179"/>
      <c r="K65" s="1179"/>
      <c r="L65" s="1179"/>
      <c r="M65" s="1179"/>
      <c r="N65" s="1179"/>
      <c r="O65" s="1179"/>
      <c r="P65" s="1179"/>
      <c r="Q65" s="1179"/>
      <c r="R65" s="1179"/>
      <c r="S65" s="1179"/>
      <c r="T65" s="1179"/>
      <c r="U65" s="1179"/>
      <c r="V65" s="1179"/>
      <c r="W65" s="1179"/>
      <c r="X65" s="1179"/>
      <c r="Y65" s="1179"/>
      <c r="Z65" s="1179"/>
      <c r="AA65" s="1179"/>
      <c r="AB65" s="1179"/>
      <c r="AC65" s="1179"/>
      <c r="AD65" s="1179"/>
      <c r="AE65" s="1179"/>
      <c r="AF65" s="1179"/>
      <c r="AG65" s="1179"/>
      <c r="AH65" s="1179"/>
      <c r="AI65" s="1179"/>
      <c r="AJ65" s="1179"/>
      <c r="AK65" s="1179"/>
      <c r="AL65" s="1179"/>
      <c r="AM65" s="1179"/>
      <c r="AN65" s="1179"/>
      <c r="AO65" s="1179"/>
      <c r="AP65" s="1179"/>
      <c r="AQ65" s="1179"/>
      <c r="AR65" s="1179"/>
      <c r="AS65" s="1179"/>
      <c r="AT65" s="1179"/>
      <c r="AU65" s="1179"/>
      <c r="AV65" s="1179"/>
      <c r="AW65" s="1179"/>
      <c r="AX65" s="1179"/>
      <c r="AY65" s="1179"/>
    </row>
    <row r="66" spans="1:51">
      <c r="A66" s="1179"/>
      <c r="B66" s="1179"/>
      <c r="C66" s="1179"/>
      <c r="D66" s="1179"/>
      <c r="E66" s="1179"/>
      <c r="F66" s="1179"/>
      <c r="G66" s="1179"/>
      <c r="H66" s="1179"/>
      <c r="I66" s="1179"/>
      <c r="J66" s="1179"/>
      <c r="K66" s="1179"/>
      <c r="L66" s="1179"/>
      <c r="M66" s="1179"/>
      <c r="N66" s="1179"/>
      <c r="O66" s="1179"/>
      <c r="P66" s="1179"/>
      <c r="Q66" s="1179"/>
      <c r="R66" s="1179"/>
      <c r="S66" s="1179"/>
      <c r="T66" s="1179"/>
      <c r="U66" s="1179"/>
      <c r="V66" s="1179"/>
      <c r="W66" s="1179"/>
      <c r="X66" s="1179"/>
      <c r="Y66" s="1179"/>
      <c r="Z66" s="1179"/>
      <c r="AA66" s="1179"/>
      <c r="AB66" s="1179"/>
      <c r="AC66" s="1179"/>
      <c r="AD66" s="1179"/>
      <c r="AE66" s="1179"/>
      <c r="AF66" s="1179"/>
      <c r="AG66" s="1179"/>
      <c r="AH66" s="1179"/>
      <c r="AI66" s="1179"/>
      <c r="AJ66" s="1179"/>
      <c r="AK66" s="1179"/>
      <c r="AL66" s="1179"/>
      <c r="AM66" s="1179"/>
      <c r="AN66" s="1179"/>
      <c r="AO66" s="1179"/>
      <c r="AP66" s="1179"/>
      <c r="AQ66" s="1179"/>
      <c r="AR66" s="1179"/>
      <c r="AS66" s="1179"/>
      <c r="AT66" s="1179"/>
      <c r="AU66" s="1179"/>
      <c r="AV66" s="1179"/>
      <c r="AW66" s="1179"/>
      <c r="AX66" s="1179"/>
      <c r="AY66" s="1179"/>
    </row>
  </sheetData>
  <sheetProtection algorithmName="SHA-512" hashValue="SOB5mMwwEatyg8jVz2CAV4ozVXESAeg0yLEAlTkcQiJojOQ/X+wGyzKTj3wescXsHLPf7BC7ludlZrkDQeSj6A==" saltValue="51aTQnq3Of6PGSIEVxYt1g==" spinCount="100000" sheet="1" objects="1" selectLockedCells="1"/>
  <mergeCells count="3">
    <mergeCell ref="B5:F6"/>
    <mergeCell ref="W37:X37"/>
    <mergeCell ref="B3:F4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AP122"/>
  <sheetViews>
    <sheetView showGridLines="0" showRowColHeaders="0" zoomScale="78" zoomScaleNormal="78" workbookViewId="0">
      <selection activeCell="D6" sqref="D6"/>
    </sheetView>
  </sheetViews>
  <sheetFormatPr defaultRowHeight="12.75"/>
  <cols>
    <col min="1" max="1" width="3.28515625" style="1077" customWidth="1"/>
    <col min="2" max="2" width="1.7109375" style="1076" customWidth="1"/>
    <col min="3" max="3" width="5.7109375" style="1076" customWidth="1"/>
    <col min="4" max="4" width="7.28515625" style="1076" bestFit="1" customWidth="1"/>
    <col min="5" max="5" width="8.28515625" style="1076" customWidth="1"/>
    <col min="6" max="6" width="6.28515625" style="1076" bestFit="1" customWidth="1"/>
    <col min="7" max="8" width="5.7109375" style="1076" customWidth="1"/>
    <col min="9" max="9" width="6.28515625" style="1076" customWidth="1"/>
    <col min="10" max="12" width="5.7109375" style="1076" customWidth="1"/>
    <col min="13" max="13" width="7.85546875" style="1076" bestFit="1" customWidth="1"/>
    <col min="14" max="14" width="9.5703125" style="1076" customWidth="1"/>
    <col min="15" max="15" width="6.7109375" style="1076" customWidth="1"/>
    <col min="16" max="16" width="7.28515625" style="1077" bestFit="1" customWidth="1"/>
    <col min="17" max="17" width="8.28515625" style="1077" bestFit="1" customWidth="1"/>
    <col min="18" max="18" width="10.42578125" style="1077" bestFit="1" customWidth="1"/>
    <col min="19" max="19" width="2.7109375" style="1077" customWidth="1"/>
    <col min="20" max="20" width="5.42578125" style="1077" bestFit="1" customWidth="1"/>
    <col min="21" max="21" width="4.140625" style="1077" bestFit="1" customWidth="1"/>
    <col min="22" max="22" width="15.140625" style="1077" bestFit="1" customWidth="1"/>
    <col min="23" max="23" width="8.7109375" style="1077" bestFit="1" customWidth="1"/>
    <col min="24" max="24" width="5" style="1077" bestFit="1" customWidth="1"/>
    <col min="25" max="25" width="1.7109375" style="1077" customWidth="1"/>
    <col min="26" max="26" width="5.42578125" style="1077" bestFit="1" customWidth="1"/>
    <col min="27" max="27" width="4.140625" style="1077" bestFit="1" customWidth="1"/>
    <col min="28" max="28" width="23.7109375" style="1077" bestFit="1" customWidth="1"/>
    <col min="29" max="29" width="4.85546875" style="1077" bestFit="1" customWidth="1"/>
    <col min="30" max="30" width="5" style="1077" bestFit="1" customWidth="1"/>
    <col min="31" max="31" width="1.7109375" style="1077" customWidth="1"/>
    <col min="32" max="32" width="9.140625" style="1077"/>
    <col min="33" max="33" width="23.5703125" style="1077" bestFit="1" customWidth="1"/>
    <col min="34" max="256" width="9.140625" style="1077"/>
    <col min="257" max="257" width="3.28515625" style="1077" customWidth="1"/>
    <col min="258" max="258" width="1.7109375" style="1077" customWidth="1"/>
    <col min="259" max="259" width="5.7109375" style="1077" customWidth="1"/>
    <col min="260" max="260" width="7.28515625" style="1077" bestFit="1" customWidth="1"/>
    <col min="261" max="261" width="5.7109375" style="1077" customWidth="1"/>
    <col min="262" max="262" width="6.28515625" style="1077" bestFit="1" customWidth="1"/>
    <col min="263" max="264" width="5.7109375" style="1077" customWidth="1"/>
    <col min="265" max="265" width="6.28515625" style="1077" customWidth="1"/>
    <col min="266" max="268" width="5.7109375" style="1077" customWidth="1"/>
    <col min="269" max="269" width="7.85546875" style="1077" bestFit="1" customWidth="1"/>
    <col min="270" max="270" width="9.5703125" style="1077" customWidth="1"/>
    <col min="271" max="272" width="6.7109375" style="1077" customWidth="1"/>
    <col min="273" max="273" width="8.28515625" style="1077" bestFit="1" customWidth="1"/>
    <col min="274" max="274" width="10.42578125" style="1077" bestFit="1" customWidth="1"/>
    <col min="275" max="275" width="2.7109375" style="1077" customWidth="1"/>
    <col min="276" max="276" width="5.42578125" style="1077" bestFit="1" customWidth="1"/>
    <col min="277" max="277" width="4.140625" style="1077" bestFit="1" customWidth="1"/>
    <col min="278" max="278" width="15.140625" style="1077" bestFit="1" customWidth="1"/>
    <col min="279" max="279" width="8.7109375" style="1077" bestFit="1" customWidth="1"/>
    <col min="280" max="280" width="5" style="1077" bestFit="1" customWidth="1"/>
    <col min="281" max="281" width="1.7109375" style="1077" customWidth="1"/>
    <col min="282" max="282" width="5.42578125" style="1077" bestFit="1" customWidth="1"/>
    <col min="283" max="283" width="4.140625" style="1077" bestFit="1" customWidth="1"/>
    <col min="284" max="284" width="23.7109375" style="1077" bestFit="1" customWidth="1"/>
    <col min="285" max="285" width="4.85546875" style="1077" bestFit="1" customWidth="1"/>
    <col min="286" max="286" width="5" style="1077" bestFit="1" customWidth="1"/>
    <col min="287" max="287" width="1.7109375" style="1077" customWidth="1"/>
    <col min="288" max="288" width="9.140625" style="1077"/>
    <col min="289" max="289" width="23.5703125" style="1077" bestFit="1" customWidth="1"/>
    <col min="290" max="512" width="9.140625" style="1077"/>
    <col min="513" max="513" width="3.28515625" style="1077" customWidth="1"/>
    <col min="514" max="514" width="1.7109375" style="1077" customWidth="1"/>
    <col min="515" max="515" width="5.7109375" style="1077" customWidth="1"/>
    <col min="516" max="516" width="7.28515625" style="1077" bestFit="1" customWidth="1"/>
    <col min="517" max="517" width="5.7109375" style="1077" customWidth="1"/>
    <col min="518" max="518" width="6.28515625" style="1077" bestFit="1" customWidth="1"/>
    <col min="519" max="520" width="5.7109375" style="1077" customWidth="1"/>
    <col min="521" max="521" width="6.28515625" style="1077" customWidth="1"/>
    <col min="522" max="524" width="5.7109375" style="1077" customWidth="1"/>
    <col min="525" max="525" width="7.85546875" style="1077" bestFit="1" customWidth="1"/>
    <col min="526" max="526" width="9.5703125" style="1077" customWidth="1"/>
    <col min="527" max="528" width="6.7109375" style="1077" customWidth="1"/>
    <col min="529" max="529" width="8.28515625" style="1077" bestFit="1" customWidth="1"/>
    <col min="530" max="530" width="10.42578125" style="1077" bestFit="1" customWidth="1"/>
    <col min="531" max="531" width="2.7109375" style="1077" customWidth="1"/>
    <col min="532" max="532" width="5.42578125" style="1077" bestFit="1" customWidth="1"/>
    <col min="533" max="533" width="4.140625" style="1077" bestFit="1" customWidth="1"/>
    <col min="534" max="534" width="15.140625" style="1077" bestFit="1" customWidth="1"/>
    <col min="535" max="535" width="8.7109375" style="1077" bestFit="1" customWidth="1"/>
    <col min="536" max="536" width="5" style="1077" bestFit="1" customWidth="1"/>
    <col min="537" max="537" width="1.7109375" style="1077" customWidth="1"/>
    <col min="538" max="538" width="5.42578125" style="1077" bestFit="1" customWidth="1"/>
    <col min="539" max="539" width="4.140625" style="1077" bestFit="1" customWidth="1"/>
    <col min="540" max="540" width="23.7109375" style="1077" bestFit="1" customWidth="1"/>
    <col min="541" max="541" width="4.85546875" style="1077" bestFit="1" customWidth="1"/>
    <col min="542" max="542" width="5" style="1077" bestFit="1" customWidth="1"/>
    <col min="543" max="543" width="1.7109375" style="1077" customWidth="1"/>
    <col min="544" max="544" width="9.140625" style="1077"/>
    <col min="545" max="545" width="23.5703125" style="1077" bestFit="1" customWidth="1"/>
    <col min="546" max="768" width="9.140625" style="1077"/>
    <col min="769" max="769" width="3.28515625" style="1077" customWidth="1"/>
    <col min="770" max="770" width="1.7109375" style="1077" customWidth="1"/>
    <col min="771" max="771" width="5.7109375" style="1077" customWidth="1"/>
    <col min="772" max="772" width="7.28515625" style="1077" bestFit="1" customWidth="1"/>
    <col min="773" max="773" width="5.7109375" style="1077" customWidth="1"/>
    <col min="774" max="774" width="6.28515625" style="1077" bestFit="1" customWidth="1"/>
    <col min="775" max="776" width="5.7109375" style="1077" customWidth="1"/>
    <col min="777" max="777" width="6.28515625" style="1077" customWidth="1"/>
    <col min="778" max="780" width="5.7109375" style="1077" customWidth="1"/>
    <col min="781" max="781" width="7.85546875" style="1077" bestFit="1" customWidth="1"/>
    <col min="782" max="782" width="9.5703125" style="1077" customWidth="1"/>
    <col min="783" max="784" width="6.7109375" style="1077" customWidth="1"/>
    <col min="785" max="785" width="8.28515625" style="1077" bestFit="1" customWidth="1"/>
    <col min="786" max="786" width="10.42578125" style="1077" bestFit="1" customWidth="1"/>
    <col min="787" max="787" width="2.7109375" style="1077" customWidth="1"/>
    <col min="788" max="788" width="5.42578125" style="1077" bestFit="1" customWidth="1"/>
    <col min="789" max="789" width="4.140625" style="1077" bestFit="1" customWidth="1"/>
    <col min="790" max="790" width="15.140625" style="1077" bestFit="1" customWidth="1"/>
    <col min="791" max="791" width="8.7109375" style="1077" bestFit="1" customWidth="1"/>
    <col min="792" max="792" width="5" style="1077" bestFit="1" customWidth="1"/>
    <col min="793" max="793" width="1.7109375" style="1077" customWidth="1"/>
    <col min="794" max="794" width="5.42578125" style="1077" bestFit="1" customWidth="1"/>
    <col min="795" max="795" width="4.140625" style="1077" bestFit="1" customWidth="1"/>
    <col min="796" max="796" width="23.7109375" style="1077" bestFit="1" customWidth="1"/>
    <col min="797" max="797" width="4.85546875" style="1077" bestFit="1" customWidth="1"/>
    <col min="798" max="798" width="5" style="1077" bestFit="1" customWidth="1"/>
    <col min="799" max="799" width="1.7109375" style="1077" customWidth="1"/>
    <col min="800" max="800" width="9.140625" style="1077"/>
    <col min="801" max="801" width="23.5703125" style="1077" bestFit="1" customWidth="1"/>
    <col min="802" max="1024" width="9.140625" style="1077"/>
    <col min="1025" max="1025" width="3.28515625" style="1077" customWidth="1"/>
    <col min="1026" max="1026" width="1.7109375" style="1077" customWidth="1"/>
    <col min="1027" max="1027" width="5.7109375" style="1077" customWidth="1"/>
    <col min="1028" max="1028" width="7.28515625" style="1077" bestFit="1" customWidth="1"/>
    <col min="1029" max="1029" width="5.7109375" style="1077" customWidth="1"/>
    <col min="1030" max="1030" width="6.28515625" style="1077" bestFit="1" customWidth="1"/>
    <col min="1031" max="1032" width="5.7109375" style="1077" customWidth="1"/>
    <col min="1033" max="1033" width="6.28515625" style="1077" customWidth="1"/>
    <col min="1034" max="1036" width="5.7109375" style="1077" customWidth="1"/>
    <col min="1037" max="1037" width="7.85546875" style="1077" bestFit="1" customWidth="1"/>
    <col min="1038" max="1038" width="9.5703125" style="1077" customWidth="1"/>
    <col min="1039" max="1040" width="6.7109375" style="1077" customWidth="1"/>
    <col min="1041" max="1041" width="8.28515625" style="1077" bestFit="1" customWidth="1"/>
    <col min="1042" max="1042" width="10.42578125" style="1077" bestFit="1" customWidth="1"/>
    <col min="1043" max="1043" width="2.7109375" style="1077" customWidth="1"/>
    <col min="1044" max="1044" width="5.42578125" style="1077" bestFit="1" customWidth="1"/>
    <col min="1045" max="1045" width="4.140625" style="1077" bestFit="1" customWidth="1"/>
    <col min="1046" max="1046" width="15.140625" style="1077" bestFit="1" customWidth="1"/>
    <col min="1047" max="1047" width="8.7109375" style="1077" bestFit="1" customWidth="1"/>
    <col min="1048" max="1048" width="5" style="1077" bestFit="1" customWidth="1"/>
    <col min="1049" max="1049" width="1.7109375" style="1077" customWidth="1"/>
    <col min="1050" max="1050" width="5.42578125" style="1077" bestFit="1" customWidth="1"/>
    <col min="1051" max="1051" width="4.140625" style="1077" bestFit="1" customWidth="1"/>
    <col min="1052" max="1052" width="23.7109375" style="1077" bestFit="1" customWidth="1"/>
    <col min="1053" max="1053" width="4.85546875" style="1077" bestFit="1" customWidth="1"/>
    <col min="1054" max="1054" width="5" style="1077" bestFit="1" customWidth="1"/>
    <col min="1055" max="1055" width="1.7109375" style="1077" customWidth="1"/>
    <col min="1056" max="1056" width="9.140625" style="1077"/>
    <col min="1057" max="1057" width="23.5703125" style="1077" bestFit="1" customWidth="1"/>
    <col min="1058" max="1280" width="9.140625" style="1077"/>
    <col min="1281" max="1281" width="3.28515625" style="1077" customWidth="1"/>
    <col min="1282" max="1282" width="1.7109375" style="1077" customWidth="1"/>
    <col min="1283" max="1283" width="5.7109375" style="1077" customWidth="1"/>
    <col min="1284" max="1284" width="7.28515625" style="1077" bestFit="1" customWidth="1"/>
    <col min="1285" max="1285" width="5.7109375" style="1077" customWidth="1"/>
    <col min="1286" max="1286" width="6.28515625" style="1077" bestFit="1" customWidth="1"/>
    <col min="1287" max="1288" width="5.7109375" style="1077" customWidth="1"/>
    <col min="1289" max="1289" width="6.28515625" style="1077" customWidth="1"/>
    <col min="1290" max="1292" width="5.7109375" style="1077" customWidth="1"/>
    <col min="1293" max="1293" width="7.85546875" style="1077" bestFit="1" customWidth="1"/>
    <col min="1294" max="1294" width="9.5703125" style="1077" customWidth="1"/>
    <col min="1295" max="1296" width="6.7109375" style="1077" customWidth="1"/>
    <col min="1297" max="1297" width="8.28515625" style="1077" bestFit="1" customWidth="1"/>
    <col min="1298" max="1298" width="10.42578125" style="1077" bestFit="1" customWidth="1"/>
    <col min="1299" max="1299" width="2.7109375" style="1077" customWidth="1"/>
    <col min="1300" max="1300" width="5.42578125" style="1077" bestFit="1" customWidth="1"/>
    <col min="1301" max="1301" width="4.140625" style="1077" bestFit="1" customWidth="1"/>
    <col min="1302" max="1302" width="15.140625" style="1077" bestFit="1" customWidth="1"/>
    <col min="1303" max="1303" width="8.7109375" style="1077" bestFit="1" customWidth="1"/>
    <col min="1304" max="1304" width="5" style="1077" bestFit="1" customWidth="1"/>
    <col min="1305" max="1305" width="1.7109375" style="1077" customWidth="1"/>
    <col min="1306" max="1306" width="5.42578125" style="1077" bestFit="1" customWidth="1"/>
    <col min="1307" max="1307" width="4.140625" style="1077" bestFit="1" customWidth="1"/>
    <col min="1308" max="1308" width="23.7109375" style="1077" bestFit="1" customWidth="1"/>
    <col min="1309" max="1309" width="4.85546875" style="1077" bestFit="1" customWidth="1"/>
    <col min="1310" max="1310" width="5" style="1077" bestFit="1" customWidth="1"/>
    <col min="1311" max="1311" width="1.7109375" style="1077" customWidth="1"/>
    <col min="1312" max="1312" width="9.140625" style="1077"/>
    <col min="1313" max="1313" width="23.5703125" style="1077" bestFit="1" customWidth="1"/>
    <col min="1314" max="1536" width="9.140625" style="1077"/>
    <col min="1537" max="1537" width="3.28515625" style="1077" customWidth="1"/>
    <col min="1538" max="1538" width="1.7109375" style="1077" customWidth="1"/>
    <col min="1539" max="1539" width="5.7109375" style="1077" customWidth="1"/>
    <col min="1540" max="1540" width="7.28515625" style="1077" bestFit="1" customWidth="1"/>
    <col min="1541" max="1541" width="5.7109375" style="1077" customWidth="1"/>
    <col min="1542" max="1542" width="6.28515625" style="1077" bestFit="1" customWidth="1"/>
    <col min="1543" max="1544" width="5.7109375" style="1077" customWidth="1"/>
    <col min="1545" max="1545" width="6.28515625" style="1077" customWidth="1"/>
    <col min="1546" max="1548" width="5.7109375" style="1077" customWidth="1"/>
    <col min="1549" max="1549" width="7.85546875" style="1077" bestFit="1" customWidth="1"/>
    <col min="1550" max="1550" width="9.5703125" style="1077" customWidth="1"/>
    <col min="1551" max="1552" width="6.7109375" style="1077" customWidth="1"/>
    <col min="1553" max="1553" width="8.28515625" style="1077" bestFit="1" customWidth="1"/>
    <col min="1554" max="1554" width="10.42578125" style="1077" bestFit="1" customWidth="1"/>
    <col min="1555" max="1555" width="2.7109375" style="1077" customWidth="1"/>
    <col min="1556" max="1556" width="5.42578125" style="1077" bestFit="1" customWidth="1"/>
    <col min="1557" max="1557" width="4.140625" style="1077" bestFit="1" customWidth="1"/>
    <col min="1558" max="1558" width="15.140625" style="1077" bestFit="1" customWidth="1"/>
    <col min="1559" max="1559" width="8.7109375" style="1077" bestFit="1" customWidth="1"/>
    <col min="1560" max="1560" width="5" style="1077" bestFit="1" customWidth="1"/>
    <col min="1561" max="1561" width="1.7109375" style="1077" customWidth="1"/>
    <col min="1562" max="1562" width="5.42578125" style="1077" bestFit="1" customWidth="1"/>
    <col min="1563" max="1563" width="4.140625" style="1077" bestFit="1" customWidth="1"/>
    <col min="1564" max="1564" width="23.7109375" style="1077" bestFit="1" customWidth="1"/>
    <col min="1565" max="1565" width="4.85546875" style="1077" bestFit="1" customWidth="1"/>
    <col min="1566" max="1566" width="5" style="1077" bestFit="1" customWidth="1"/>
    <col min="1567" max="1567" width="1.7109375" style="1077" customWidth="1"/>
    <col min="1568" max="1568" width="9.140625" style="1077"/>
    <col min="1569" max="1569" width="23.5703125" style="1077" bestFit="1" customWidth="1"/>
    <col min="1570" max="1792" width="9.140625" style="1077"/>
    <col min="1793" max="1793" width="3.28515625" style="1077" customWidth="1"/>
    <col min="1794" max="1794" width="1.7109375" style="1077" customWidth="1"/>
    <col min="1795" max="1795" width="5.7109375" style="1077" customWidth="1"/>
    <col min="1796" max="1796" width="7.28515625" style="1077" bestFit="1" customWidth="1"/>
    <col min="1797" max="1797" width="5.7109375" style="1077" customWidth="1"/>
    <col min="1798" max="1798" width="6.28515625" style="1077" bestFit="1" customWidth="1"/>
    <col min="1799" max="1800" width="5.7109375" style="1077" customWidth="1"/>
    <col min="1801" max="1801" width="6.28515625" style="1077" customWidth="1"/>
    <col min="1802" max="1804" width="5.7109375" style="1077" customWidth="1"/>
    <col min="1805" max="1805" width="7.85546875" style="1077" bestFit="1" customWidth="1"/>
    <col min="1806" max="1806" width="9.5703125" style="1077" customWidth="1"/>
    <col min="1807" max="1808" width="6.7109375" style="1077" customWidth="1"/>
    <col min="1809" max="1809" width="8.28515625" style="1077" bestFit="1" customWidth="1"/>
    <col min="1810" max="1810" width="10.42578125" style="1077" bestFit="1" customWidth="1"/>
    <col min="1811" max="1811" width="2.7109375" style="1077" customWidth="1"/>
    <col min="1812" max="1812" width="5.42578125" style="1077" bestFit="1" customWidth="1"/>
    <col min="1813" max="1813" width="4.140625" style="1077" bestFit="1" customWidth="1"/>
    <col min="1814" max="1814" width="15.140625" style="1077" bestFit="1" customWidth="1"/>
    <col min="1815" max="1815" width="8.7109375" style="1077" bestFit="1" customWidth="1"/>
    <col min="1816" max="1816" width="5" style="1077" bestFit="1" customWidth="1"/>
    <col min="1817" max="1817" width="1.7109375" style="1077" customWidth="1"/>
    <col min="1818" max="1818" width="5.42578125" style="1077" bestFit="1" customWidth="1"/>
    <col min="1819" max="1819" width="4.140625" style="1077" bestFit="1" customWidth="1"/>
    <col min="1820" max="1820" width="23.7109375" style="1077" bestFit="1" customWidth="1"/>
    <col min="1821" max="1821" width="4.85546875" style="1077" bestFit="1" customWidth="1"/>
    <col min="1822" max="1822" width="5" style="1077" bestFit="1" customWidth="1"/>
    <col min="1823" max="1823" width="1.7109375" style="1077" customWidth="1"/>
    <col min="1824" max="1824" width="9.140625" style="1077"/>
    <col min="1825" max="1825" width="23.5703125" style="1077" bestFit="1" customWidth="1"/>
    <col min="1826" max="2048" width="9.140625" style="1077"/>
    <col min="2049" max="2049" width="3.28515625" style="1077" customWidth="1"/>
    <col min="2050" max="2050" width="1.7109375" style="1077" customWidth="1"/>
    <col min="2051" max="2051" width="5.7109375" style="1077" customWidth="1"/>
    <col min="2052" max="2052" width="7.28515625" style="1077" bestFit="1" customWidth="1"/>
    <col min="2053" max="2053" width="5.7109375" style="1077" customWidth="1"/>
    <col min="2054" max="2054" width="6.28515625" style="1077" bestFit="1" customWidth="1"/>
    <col min="2055" max="2056" width="5.7109375" style="1077" customWidth="1"/>
    <col min="2057" max="2057" width="6.28515625" style="1077" customWidth="1"/>
    <col min="2058" max="2060" width="5.7109375" style="1077" customWidth="1"/>
    <col min="2061" max="2061" width="7.85546875" style="1077" bestFit="1" customWidth="1"/>
    <col min="2062" max="2062" width="9.5703125" style="1077" customWidth="1"/>
    <col min="2063" max="2064" width="6.7109375" style="1077" customWidth="1"/>
    <col min="2065" max="2065" width="8.28515625" style="1077" bestFit="1" customWidth="1"/>
    <col min="2066" max="2066" width="10.42578125" style="1077" bestFit="1" customWidth="1"/>
    <col min="2067" max="2067" width="2.7109375" style="1077" customWidth="1"/>
    <col min="2068" max="2068" width="5.42578125" style="1077" bestFit="1" customWidth="1"/>
    <col min="2069" max="2069" width="4.140625" style="1077" bestFit="1" customWidth="1"/>
    <col min="2070" max="2070" width="15.140625" style="1077" bestFit="1" customWidth="1"/>
    <col min="2071" max="2071" width="8.7109375" style="1077" bestFit="1" customWidth="1"/>
    <col min="2072" max="2072" width="5" style="1077" bestFit="1" customWidth="1"/>
    <col min="2073" max="2073" width="1.7109375" style="1077" customWidth="1"/>
    <col min="2074" max="2074" width="5.42578125" style="1077" bestFit="1" customWidth="1"/>
    <col min="2075" max="2075" width="4.140625" style="1077" bestFit="1" customWidth="1"/>
    <col min="2076" max="2076" width="23.7109375" style="1077" bestFit="1" customWidth="1"/>
    <col min="2077" max="2077" width="4.85546875" style="1077" bestFit="1" customWidth="1"/>
    <col min="2078" max="2078" width="5" style="1077" bestFit="1" customWidth="1"/>
    <col min="2079" max="2079" width="1.7109375" style="1077" customWidth="1"/>
    <col min="2080" max="2080" width="9.140625" style="1077"/>
    <col min="2081" max="2081" width="23.5703125" style="1077" bestFit="1" customWidth="1"/>
    <col min="2082" max="2304" width="9.140625" style="1077"/>
    <col min="2305" max="2305" width="3.28515625" style="1077" customWidth="1"/>
    <col min="2306" max="2306" width="1.7109375" style="1077" customWidth="1"/>
    <col min="2307" max="2307" width="5.7109375" style="1077" customWidth="1"/>
    <col min="2308" max="2308" width="7.28515625" style="1077" bestFit="1" customWidth="1"/>
    <col min="2309" max="2309" width="5.7109375" style="1077" customWidth="1"/>
    <col min="2310" max="2310" width="6.28515625" style="1077" bestFit="1" customWidth="1"/>
    <col min="2311" max="2312" width="5.7109375" style="1077" customWidth="1"/>
    <col min="2313" max="2313" width="6.28515625" style="1077" customWidth="1"/>
    <col min="2314" max="2316" width="5.7109375" style="1077" customWidth="1"/>
    <col min="2317" max="2317" width="7.85546875" style="1077" bestFit="1" customWidth="1"/>
    <col min="2318" max="2318" width="9.5703125" style="1077" customWidth="1"/>
    <col min="2319" max="2320" width="6.7109375" style="1077" customWidth="1"/>
    <col min="2321" max="2321" width="8.28515625" style="1077" bestFit="1" customWidth="1"/>
    <col min="2322" max="2322" width="10.42578125" style="1077" bestFit="1" customWidth="1"/>
    <col min="2323" max="2323" width="2.7109375" style="1077" customWidth="1"/>
    <col min="2324" max="2324" width="5.42578125" style="1077" bestFit="1" customWidth="1"/>
    <col min="2325" max="2325" width="4.140625" style="1077" bestFit="1" customWidth="1"/>
    <col min="2326" max="2326" width="15.140625" style="1077" bestFit="1" customWidth="1"/>
    <col min="2327" max="2327" width="8.7109375" style="1077" bestFit="1" customWidth="1"/>
    <col min="2328" max="2328" width="5" style="1077" bestFit="1" customWidth="1"/>
    <col min="2329" max="2329" width="1.7109375" style="1077" customWidth="1"/>
    <col min="2330" max="2330" width="5.42578125" style="1077" bestFit="1" customWidth="1"/>
    <col min="2331" max="2331" width="4.140625" style="1077" bestFit="1" customWidth="1"/>
    <col min="2332" max="2332" width="23.7109375" style="1077" bestFit="1" customWidth="1"/>
    <col min="2333" max="2333" width="4.85546875" style="1077" bestFit="1" customWidth="1"/>
    <col min="2334" max="2334" width="5" style="1077" bestFit="1" customWidth="1"/>
    <col min="2335" max="2335" width="1.7109375" style="1077" customWidth="1"/>
    <col min="2336" max="2336" width="9.140625" style="1077"/>
    <col min="2337" max="2337" width="23.5703125" style="1077" bestFit="1" customWidth="1"/>
    <col min="2338" max="2560" width="9.140625" style="1077"/>
    <col min="2561" max="2561" width="3.28515625" style="1077" customWidth="1"/>
    <col min="2562" max="2562" width="1.7109375" style="1077" customWidth="1"/>
    <col min="2563" max="2563" width="5.7109375" style="1077" customWidth="1"/>
    <col min="2564" max="2564" width="7.28515625" style="1077" bestFit="1" customWidth="1"/>
    <col min="2565" max="2565" width="5.7109375" style="1077" customWidth="1"/>
    <col min="2566" max="2566" width="6.28515625" style="1077" bestFit="1" customWidth="1"/>
    <col min="2567" max="2568" width="5.7109375" style="1077" customWidth="1"/>
    <col min="2569" max="2569" width="6.28515625" style="1077" customWidth="1"/>
    <col min="2570" max="2572" width="5.7109375" style="1077" customWidth="1"/>
    <col min="2573" max="2573" width="7.85546875" style="1077" bestFit="1" customWidth="1"/>
    <col min="2574" max="2574" width="9.5703125" style="1077" customWidth="1"/>
    <col min="2575" max="2576" width="6.7109375" style="1077" customWidth="1"/>
    <col min="2577" max="2577" width="8.28515625" style="1077" bestFit="1" customWidth="1"/>
    <col min="2578" max="2578" width="10.42578125" style="1077" bestFit="1" customWidth="1"/>
    <col min="2579" max="2579" width="2.7109375" style="1077" customWidth="1"/>
    <col min="2580" max="2580" width="5.42578125" style="1077" bestFit="1" customWidth="1"/>
    <col min="2581" max="2581" width="4.140625" style="1077" bestFit="1" customWidth="1"/>
    <col min="2582" max="2582" width="15.140625" style="1077" bestFit="1" customWidth="1"/>
    <col min="2583" max="2583" width="8.7109375" style="1077" bestFit="1" customWidth="1"/>
    <col min="2584" max="2584" width="5" style="1077" bestFit="1" customWidth="1"/>
    <col min="2585" max="2585" width="1.7109375" style="1077" customWidth="1"/>
    <col min="2586" max="2586" width="5.42578125" style="1077" bestFit="1" customWidth="1"/>
    <col min="2587" max="2587" width="4.140625" style="1077" bestFit="1" customWidth="1"/>
    <col min="2588" max="2588" width="23.7109375" style="1077" bestFit="1" customWidth="1"/>
    <col min="2589" max="2589" width="4.85546875" style="1077" bestFit="1" customWidth="1"/>
    <col min="2590" max="2590" width="5" style="1077" bestFit="1" customWidth="1"/>
    <col min="2591" max="2591" width="1.7109375" style="1077" customWidth="1"/>
    <col min="2592" max="2592" width="9.140625" style="1077"/>
    <col min="2593" max="2593" width="23.5703125" style="1077" bestFit="1" customWidth="1"/>
    <col min="2594" max="2816" width="9.140625" style="1077"/>
    <col min="2817" max="2817" width="3.28515625" style="1077" customWidth="1"/>
    <col min="2818" max="2818" width="1.7109375" style="1077" customWidth="1"/>
    <col min="2819" max="2819" width="5.7109375" style="1077" customWidth="1"/>
    <col min="2820" max="2820" width="7.28515625" style="1077" bestFit="1" customWidth="1"/>
    <col min="2821" max="2821" width="5.7109375" style="1077" customWidth="1"/>
    <col min="2822" max="2822" width="6.28515625" style="1077" bestFit="1" customWidth="1"/>
    <col min="2823" max="2824" width="5.7109375" style="1077" customWidth="1"/>
    <col min="2825" max="2825" width="6.28515625" style="1077" customWidth="1"/>
    <col min="2826" max="2828" width="5.7109375" style="1077" customWidth="1"/>
    <col min="2829" max="2829" width="7.85546875" style="1077" bestFit="1" customWidth="1"/>
    <col min="2830" max="2830" width="9.5703125" style="1077" customWidth="1"/>
    <col min="2831" max="2832" width="6.7109375" style="1077" customWidth="1"/>
    <col min="2833" max="2833" width="8.28515625" style="1077" bestFit="1" customWidth="1"/>
    <col min="2834" max="2834" width="10.42578125" style="1077" bestFit="1" customWidth="1"/>
    <col min="2835" max="2835" width="2.7109375" style="1077" customWidth="1"/>
    <col min="2836" max="2836" width="5.42578125" style="1077" bestFit="1" customWidth="1"/>
    <col min="2837" max="2837" width="4.140625" style="1077" bestFit="1" customWidth="1"/>
    <col min="2838" max="2838" width="15.140625" style="1077" bestFit="1" customWidth="1"/>
    <col min="2839" max="2839" width="8.7109375" style="1077" bestFit="1" customWidth="1"/>
    <col min="2840" max="2840" width="5" style="1077" bestFit="1" customWidth="1"/>
    <col min="2841" max="2841" width="1.7109375" style="1077" customWidth="1"/>
    <col min="2842" max="2842" width="5.42578125" style="1077" bestFit="1" customWidth="1"/>
    <col min="2843" max="2843" width="4.140625" style="1077" bestFit="1" customWidth="1"/>
    <col min="2844" max="2844" width="23.7109375" style="1077" bestFit="1" customWidth="1"/>
    <col min="2845" max="2845" width="4.85546875" style="1077" bestFit="1" customWidth="1"/>
    <col min="2846" max="2846" width="5" style="1077" bestFit="1" customWidth="1"/>
    <col min="2847" max="2847" width="1.7109375" style="1077" customWidth="1"/>
    <col min="2848" max="2848" width="9.140625" style="1077"/>
    <col min="2849" max="2849" width="23.5703125" style="1077" bestFit="1" customWidth="1"/>
    <col min="2850" max="3072" width="9.140625" style="1077"/>
    <col min="3073" max="3073" width="3.28515625" style="1077" customWidth="1"/>
    <col min="3074" max="3074" width="1.7109375" style="1077" customWidth="1"/>
    <col min="3075" max="3075" width="5.7109375" style="1077" customWidth="1"/>
    <col min="3076" max="3076" width="7.28515625" style="1077" bestFit="1" customWidth="1"/>
    <col min="3077" max="3077" width="5.7109375" style="1077" customWidth="1"/>
    <col min="3078" max="3078" width="6.28515625" style="1077" bestFit="1" customWidth="1"/>
    <col min="3079" max="3080" width="5.7109375" style="1077" customWidth="1"/>
    <col min="3081" max="3081" width="6.28515625" style="1077" customWidth="1"/>
    <col min="3082" max="3084" width="5.7109375" style="1077" customWidth="1"/>
    <col min="3085" max="3085" width="7.85546875" style="1077" bestFit="1" customWidth="1"/>
    <col min="3086" max="3086" width="9.5703125" style="1077" customWidth="1"/>
    <col min="3087" max="3088" width="6.7109375" style="1077" customWidth="1"/>
    <col min="3089" max="3089" width="8.28515625" style="1077" bestFit="1" customWidth="1"/>
    <col min="3090" max="3090" width="10.42578125" style="1077" bestFit="1" customWidth="1"/>
    <col min="3091" max="3091" width="2.7109375" style="1077" customWidth="1"/>
    <col min="3092" max="3092" width="5.42578125" style="1077" bestFit="1" customWidth="1"/>
    <col min="3093" max="3093" width="4.140625" style="1077" bestFit="1" customWidth="1"/>
    <col min="3094" max="3094" width="15.140625" style="1077" bestFit="1" customWidth="1"/>
    <col min="3095" max="3095" width="8.7109375" style="1077" bestFit="1" customWidth="1"/>
    <col min="3096" max="3096" width="5" style="1077" bestFit="1" customWidth="1"/>
    <col min="3097" max="3097" width="1.7109375" style="1077" customWidth="1"/>
    <col min="3098" max="3098" width="5.42578125" style="1077" bestFit="1" customWidth="1"/>
    <col min="3099" max="3099" width="4.140625" style="1077" bestFit="1" customWidth="1"/>
    <col min="3100" max="3100" width="23.7109375" style="1077" bestFit="1" customWidth="1"/>
    <col min="3101" max="3101" width="4.85546875" style="1077" bestFit="1" customWidth="1"/>
    <col min="3102" max="3102" width="5" style="1077" bestFit="1" customWidth="1"/>
    <col min="3103" max="3103" width="1.7109375" style="1077" customWidth="1"/>
    <col min="3104" max="3104" width="9.140625" style="1077"/>
    <col min="3105" max="3105" width="23.5703125" style="1077" bestFit="1" customWidth="1"/>
    <col min="3106" max="3328" width="9.140625" style="1077"/>
    <col min="3329" max="3329" width="3.28515625" style="1077" customWidth="1"/>
    <col min="3330" max="3330" width="1.7109375" style="1077" customWidth="1"/>
    <col min="3331" max="3331" width="5.7109375" style="1077" customWidth="1"/>
    <col min="3332" max="3332" width="7.28515625" style="1077" bestFit="1" customWidth="1"/>
    <col min="3333" max="3333" width="5.7109375" style="1077" customWidth="1"/>
    <col min="3334" max="3334" width="6.28515625" style="1077" bestFit="1" customWidth="1"/>
    <col min="3335" max="3336" width="5.7109375" style="1077" customWidth="1"/>
    <col min="3337" max="3337" width="6.28515625" style="1077" customWidth="1"/>
    <col min="3338" max="3340" width="5.7109375" style="1077" customWidth="1"/>
    <col min="3341" max="3341" width="7.85546875" style="1077" bestFit="1" customWidth="1"/>
    <col min="3342" max="3342" width="9.5703125" style="1077" customWidth="1"/>
    <col min="3343" max="3344" width="6.7109375" style="1077" customWidth="1"/>
    <col min="3345" max="3345" width="8.28515625" style="1077" bestFit="1" customWidth="1"/>
    <col min="3346" max="3346" width="10.42578125" style="1077" bestFit="1" customWidth="1"/>
    <col min="3347" max="3347" width="2.7109375" style="1077" customWidth="1"/>
    <col min="3348" max="3348" width="5.42578125" style="1077" bestFit="1" customWidth="1"/>
    <col min="3349" max="3349" width="4.140625" style="1077" bestFit="1" customWidth="1"/>
    <col min="3350" max="3350" width="15.140625" style="1077" bestFit="1" customWidth="1"/>
    <col min="3351" max="3351" width="8.7109375" style="1077" bestFit="1" customWidth="1"/>
    <col min="3352" max="3352" width="5" style="1077" bestFit="1" customWidth="1"/>
    <col min="3353" max="3353" width="1.7109375" style="1077" customWidth="1"/>
    <col min="3354" max="3354" width="5.42578125" style="1077" bestFit="1" customWidth="1"/>
    <col min="3355" max="3355" width="4.140625" style="1077" bestFit="1" customWidth="1"/>
    <col min="3356" max="3356" width="23.7109375" style="1077" bestFit="1" customWidth="1"/>
    <col min="3357" max="3357" width="4.85546875" style="1077" bestFit="1" customWidth="1"/>
    <col min="3358" max="3358" width="5" style="1077" bestFit="1" customWidth="1"/>
    <col min="3359" max="3359" width="1.7109375" style="1077" customWidth="1"/>
    <col min="3360" max="3360" width="9.140625" style="1077"/>
    <col min="3361" max="3361" width="23.5703125" style="1077" bestFit="1" customWidth="1"/>
    <col min="3362" max="3584" width="9.140625" style="1077"/>
    <col min="3585" max="3585" width="3.28515625" style="1077" customWidth="1"/>
    <col min="3586" max="3586" width="1.7109375" style="1077" customWidth="1"/>
    <col min="3587" max="3587" width="5.7109375" style="1077" customWidth="1"/>
    <col min="3588" max="3588" width="7.28515625" style="1077" bestFit="1" customWidth="1"/>
    <col min="3589" max="3589" width="5.7109375" style="1077" customWidth="1"/>
    <col min="3590" max="3590" width="6.28515625" style="1077" bestFit="1" customWidth="1"/>
    <col min="3591" max="3592" width="5.7109375" style="1077" customWidth="1"/>
    <col min="3593" max="3593" width="6.28515625" style="1077" customWidth="1"/>
    <col min="3594" max="3596" width="5.7109375" style="1077" customWidth="1"/>
    <col min="3597" max="3597" width="7.85546875" style="1077" bestFit="1" customWidth="1"/>
    <col min="3598" max="3598" width="9.5703125" style="1077" customWidth="1"/>
    <col min="3599" max="3600" width="6.7109375" style="1077" customWidth="1"/>
    <col min="3601" max="3601" width="8.28515625" style="1077" bestFit="1" customWidth="1"/>
    <col min="3602" max="3602" width="10.42578125" style="1077" bestFit="1" customWidth="1"/>
    <col min="3603" max="3603" width="2.7109375" style="1077" customWidth="1"/>
    <col min="3604" max="3604" width="5.42578125" style="1077" bestFit="1" customWidth="1"/>
    <col min="3605" max="3605" width="4.140625" style="1077" bestFit="1" customWidth="1"/>
    <col min="3606" max="3606" width="15.140625" style="1077" bestFit="1" customWidth="1"/>
    <col min="3607" max="3607" width="8.7109375" style="1077" bestFit="1" customWidth="1"/>
    <col min="3608" max="3608" width="5" style="1077" bestFit="1" customWidth="1"/>
    <col min="3609" max="3609" width="1.7109375" style="1077" customWidth="1"/>
    <col min="3610" max="3610" width="5.42578125" style="1077" bestFit="1" customWidth="1"/>
    <col min="3611" max="3611" width="4.140625" style="1077" bestFit="1" customWidth="1"/>
    <col min="3612" max="3612" width="23.7109375" style="1077" bestFit="1" customWidth="1"/>
    <col min="3613" max="3613" width="4.85546875" style="1077" bestFit="1" customWidth="1"/>
    <col min="3614" max="3614" width="5" style="1077" bestFit="1" customWidth="1"/>
    <col min="3615" max="3615" width="1.7109375" style="1077" customWidth="1"/>
    <col min="3616" max="3616" width="9.140625" style="1077"/>
    <col min="3617" max="3617" width="23.5703125" style="1077" bestFit="1" customWidth="1"/>
    <col min="3618" max="3840" width="9.140625" style="1077"/>
    <col min="3841" max="3841" width="3.28515625" style="1077" customWidth="1"/>
    <col min="3842" max="3842" width="1.7109375" style="1077" customWidth="1"/>
    <col min="3843" max="3843" width="5.7109375" style="1077" customWidth="1"/>
    <col min="3844" max="3844" width="7.28515625" style="1077" bestFit="1" customWidth="1"/>
    <col min="3845" max="3845" width="5.7109375" style="1077" customWidth="1"/>
    <col min="3846" max="3846" width="6.28515625" style="1077" bestFit="1" customWidth="1"/>
    <col min="3847" max="3848" width="5.7109375" style="1077" customWidth="1"/>
    <col min="3849" max="3849" width="6.28515625" style="1077" customWidth="1"/>
    <col min="3850" max="3852" width="5.7109375" style="1077" customWidth="1"/>
    <col min="3853" max="3853" width="7.85546875" style="1077" bestFit="1" customWidth="1"/>
    <col min="3854" max="3854" width="9.5703125" style="1077" customWidth="1"/>
    <col min="3855" max="3856" width="6.7109375" style="1077" customWidth="1"/>
    <col min="3857" max="3857" width="8.28515625" style="1077" bestFit="1" customWidth="1"/>
    <col min="3858" max="3858" width="10.42578125" style="1077" bestFit="1" customWidth="1"/>
    <col min="3859" max="3859" width="2.7109375" style="1077" customWidth="1"/>
    <col min="3860" max="3860" width="5.42578125" style="1077" bestFit="1" customWidth="1"/>
    <col min="3861" max="3861" width="4.140625" style="1077" bestFit="1" customWidth="1"/>
    <col min="3862" max="3862" width="15.140625" style="1077" bestFit="1" customWidth="1"/>
    <col min="3863" max="3863" width="8.7109375" style="1077" bestFit="1" customWidth="1"/>
    <col min="3864" max="3864" width="5" style="1077" bestFit="1" customWidth="1"/>
    <col min="3865" max="3865" width="1.7109375" style="1077" customWidth="1"/>
    <col min="3866" max="3866" width="5.42578125" style="1077" bestFit="1" customWidth="1"/>
    <col min="3867" max="3867" width="4.140625" style="1077" bestFit="1" customWidth="1"/>
    <col min="3868" max="3868" width="23.7109375" style="1077" bestFit="1" customWidth="1"/>
    <col min="3869" max="3869" width="4.85546875" style="1077" bestFit="1" customWidth="1"/>
    <col min="3870" max="3870" width="5" style="1077" bestFit="1" customWidth="1"/>
    <col min="3871" max="3871" width="1.7109375" style="1077" customWidth="1"/>
    <col min="3872" max="3872" width="9.140625" style="1077"/>
    <col min="3873" max="3873" width="23.5703125" style="1077" bestFit="1" customWidth="1"/>
    <col min="3874" max="4096" width="9.140625" style="1077"/>
    <col min="4097" max="4097" width="3.28515625" style="1077" customWidth="1"/>
    <col min="4098" max="4098" width="1.7109375" style="1077" customWidth="1"/>
    <col min="4099" max="4099" width="5.7109375" style="1077" customWidth="1"/>
    <col min="4100" max="4100" width="7.28515625" style="1077" bestFit="1" customWidth="1"/>
    <col min="4101" max="4101" width="5.7109375" style="1077" customWidth="1"/>
    <col min="4102" max="4102" width="6.28515625" style="1077" bestFit="1" customWidth="1"/>
    <col min="4103" max="4104" width="5.7109375" style="1077" customWidth="1"/>
    <col min="4105" max="4105" width="6.28515625" style="1077" customWidth="1"/>
    <col min="4106" max="4108" width="5.7109375" style="1077" customWidth="1"/>
    <col min="4109" max="4109" width="7.85546875" style="1077" bestFit="1" customWidth="1"/>
    <col min="4110" max="4110" width="9.5703125" style="1077" customWidth="1"/>
    <col min="4111" max="4112" width="6.7109375" style="1077" customWidth="1"/>
    <col min="4113" max="4113" width="8.28515625" style="1077" bestFit="1" customWidth="1"/>
    <col min="4114" max="4114" width="10.42578125" style="1077" bestFit="1" customWidth="1"/>
    <col min="4115" max="4115" width="2.7109375" style="1077" customWidth="1"/>
    <col min="4116" max="4116" width="5.42578125" style="1077" bestFit="1" customWidth="1"/>
    <col min="4117" max="4117" width="4.140625" style="1077" bestFit="1" customWidth="1"/>
    <col min="4118" max="4118" width="15.140625" style="1077" bestFit="1" customWidth="1"/>
    <col min="4119" max="4119" width="8.7109375" style="1077" bestFit="1" customWidth="1"/>
    <col min="4120" max="4120" width="5" style="1077" bestFit="1" customWidth="1"/>
    <col min="4121" max="4121" width="1.7109375" style="1077" customWidth="1"/>
    <col min="4122" max="4122" width="5.42578125" style="1077" bestFit="1" customWidth="1"/>
    <col min="4123" max="4123" width="4.140625" style="1077" bestFit="1" customWidth="1"/>
    <col min="4124" max="4124" width="23.7109375" style="1077" bestFit="1" customWidth="1"/>
    <col min="4125" max="4125" width="4.85546875" style="1077" bestFit="1" customWidth="1"/>
    <col min="4126" max="4126" width="5" style="1077" bestFit="1" customWidth="1"/>
    <col min="4127" max="4127" width="1.7109375" style="1077" customWidth="1"/>
    <col min="4128" max="4128" width="9.140625" style="1077"/>
    <col min="4129" max="4129" width="23.5703125" style="1077" bestFit="1" customWidth="1"/>
    <col min="4130" max="4352" width="9.140625" style="1077"/>
    <col min="4353" max="4353" width="3.28515625" style="1077" customWidth="1"/>
    <col min="4354" max="4354" width="1.7109375" style="1077" customWidth="1"/>
    <col min="4355" max="4355" width="5.7109375" style="1077" customWidth="1"/>
    <col min="4356" max="4356" width="7.28515625" style="1077" bestFit="1" customWidth="1"/>
    <col min="4357" max="4357" width="5.7109375" style="1077" customWidth="1"/>
    <col min="4358" max="4358" width="6.28515625" style="1077" bestFit="1" customWidth="1"/>
    <col min="4359" max="4360" width="5.7109375" style="1077" customWidth="1"/>
    <col min="4361" max="4361" width="6.28515625" style="1077" customWidth="1"/>
    <col min="4362" max="4364" width="5.7109375" style="1077" customWidth="1"/>
    <col min="4365" max="4365" width="7.85546875" style="1077" bestFit="1" customWidth="1"/>
    <col min="4366" max="4366" width="9.5703125" style="1077" customWidth="1"/>
    <col min="4367" max="4368" width="6.7109375" style="1077" customWidth="1"/>
    <col min="4369" max="4369" width="8.28515625" style="1077" bestFit="1" customWidth="1"/>
    <col min="4370" max="4370" width="10.42578125" style="1077" bestFit="1" customWidth="1"/>
    <col min="4371" max="4371" width="2.7109375" style="1077" customWidth="1"/>
    <col min="4372" max="4372" width="5.42578125" style="1077" bestFit="1" customWidth="1"/>
    <col min="4373" max="4373" width="4.140625" style="1077" bestFit="1" customWidth="1"/>
    <col min="4374" max="4374" width="15.140625" style="1077" bestFit="1" customWidth="1"/>
    <col min="4375" max="4375" width="8.7109375" style="1077" bestFit="1" customWidth="1"/>
    <col min="4376" max="4376" width="5" style="1077" bestFit="1" customWidth="1"/>
    <col min="4377" max="4377" width="1.7109375" style="1077" customWidth="1"/>
    <col min="4378" max="4378" width="5.42578125" style="1077" bestFit="1" customWidth="1"/>
    <col min="4379" max="4379" width="4.140625" style="1077" bestFit="1" customWidth="1"/>
    <col min="4380" max="4380" width="23.7109375" style="1077" bestFit="1" customWidth="1"/>
    <col min="4381" max="4381" width="4.85546875" style="1077" bestFit="1" customWidth="1"/>
    <col min="4382" max="4382" width="5" style="1077" bestFit="1" customWidth="1"/>
    <col min="4383" max="4383" width="1.7109375" style="1077" customWidth="1"/>
    <col min="4384" max="4384" width="9.140625" style="1077"/>
    <col min="4385" max="4385" width="23.5703125" style="1077" bestFit="1" customWidth="1"/>
    <col min="4386" max="4608" width="9.140625" style="1077"/>
    <col min="4609" max="4609" width="3.28515625" style="1077" customWidth="1"/>
    <col min="4610" max="4610" width="1.7109375" style="1077" customWidth="1"/>
    <col min="4611" max="4611" width="5.7109375" style="1077" customWidth="1"/>
    <col min="4612" max="4612" width="7.28515625" style="1077" bestFit="1" customWidth="1"/>
    <col min="4613" max="4613" width="5.7109375" style="1077" customWidth="1"/>
    <col min="4614" max="4614" width="6.28515625" style="1077" bestFit="1" customWidth="1"/>
    <col min="4615" max="4616" width="5.7109375" style="1077" customWidth="1"/>
    <col min="4617" max="4617" width="6.28515625" style="1077" customWidth="1"/>
    <col min="4618" max="4620" width="5.7109375" style="1077" customWidth="1"/>
    <col min="4621" max="4621" width="7.85546875" style="1077" bestFit="1" customWidth="1"/>
    <col min="4622" max="4622" width="9.5703125" style="1077" customWidth="1"/>
    <col min="4623" max="4624" width="6.7109375" style="1077" customWidth="1"/>
    <col min="4625" max="4625" width="8.28515625" style="1077" bestFit="1" customWidth="1"/>
    <col min="4626" max="4626" width="10.42578125" style="1077" bestFit="1" customWidth="1"/>
    <col min="4627" max="4627" width="2.7109375" style="1077" customWidth="1"/>
    <col min="4628" max="4628" width="5.42578125" style="1077" bestFit="1" customWidth="1"/>
    <col min="4629" max="4629" width="4.140625" style="1077" bestFit="1" customWidth="1"/>
    <col min="4630" max="4630" width="15.140625" style="1077" bestFit="1" customWidth="1"/>
    <col min="4631" max="4631" width="8.7109375" style="1077" bestFit="1" customWidth="1"/>
    <col min="4632" max="4632" width="5" style="1077" bestFit="1" customWidth="1"/>
    <col min="4633" max="4633" width="1.7109375" style="1077" customWidth="1"/>
    <col min="4634" max="4634" width="5.42578125" style="1077" bestFit="1" customWidth="1"/>
    <col min="4635" max="4635" width="4.140625" style="1077" bestFit="1" customWidth="1"/>
    <col min="4636" max="4636" width="23.7109375" style="1077" bestFit="1" customWidth="1"/>
    <col min="4637" max="4637" width="4.85546875" style="1077" bestFit="1" customWidth="1"/>
    <col min="4638" max="4638" width="5" style="1077" bestFit="1" customWidth="1"/>
    <col min="4639" max="4639" width="1.7109375" style="1077" customWidth="1"/>
    <col min="4640" max="4640" width="9.140625" style="1077"/>
    <col min="4641" max="4641" width="23.5703125" style="1077" bestFit="1" customWidth="1"/>
    <col min="4642" max="4864" width="9.140625" style="1077"/>
    <col min="4865" max="4865" width="3.28515625" style="1077" customWidth="1"/>
    <col min="4866" max="4866" width="1.7109375" style="1077" customWidth="1"/>
    <col min="4867" max="4867" width="5.7109375" style="1077" customWidth="1"/>
    <col min="4868" max="4868" width="7.28515625" style="1077" bestFit="1" customWidth="1"/>
    <col min="4869" max="4869" width="5.7109375" style="1077" customWidth="1"/>
    <col min="4870" max="4870" width="6.28515625" style="1077" bestFit="1" customWidth="1"/>
    <col min="4871" max="4872" width="5.7109375" style="1077" customWidth="1"/>
    <col min="4873" max="4873" width="6.28515625" style="1077" customWidth="1"/>
    <col min="4874" max="4876" width="5.7109375" style="1077" customWidth="1"/>
    <col min="4877" max="4877" width="7.85546875" style="1077" bestFit="1" customWidth="1"/>
    <col min="4878" max="4878" width="9.5703125" style="1077" customWidth="1"/>
    <col min="4879" max="4880" width="6.7109375" style="1077" customWidth="1"/>
    <col min="4881" max="4881" width="8.28515625" style="1077" bestFit="1" customWidth="1"/>
    <col min="4882" max="4882" width="10.42578125" style="1077" bestFit="1" customWidth="1"/>
    <col min="4883" max="4883" width="2.7109375" style="1077" customWidth="1"/>
    <col min="4884" max="4884" width="5.42578125" style="1077" bestFit="1" customWidth="1"/>
    <col min="4885" max="4885" width="4.140625" style="1077" bestFit="1" customWidth="1"/>
    <col min="4886" max="4886" width="15.140625" style="1077" bestFit="1" customWidth="1"/>
    <col min="4887" max="4887" width="8.7109375" style="1077" bestFit="1" customWidth="1"/>
    <col min="4888" max="4888" width="5" style="1077" bestFit="1" customWidth="1"/>
    <col min="4889" max="4889" width="1.7109375" style="1077" customWidth="1"/>
    <col min="4890" max="4890" width="5.42578125" style="1077" bestFit="1" customWidth="1"/>
    <col min="4891" max="4891" width="4.140625" style="1077" bestFit="1" customWidth="1"/>
    <col min="4892" max="4892" width="23.7109375" style="1077" bestFit="1" customWidth="1"/>
    <col min="4893" max="4893" width="4.85546875" style="1077" bestFit="1" customWidth="1"/>
    <col min="4894" max="4894" width="5" style="1077" bestFit="1" customWidth="1"/>
    <col min="4895" max="4895" width="1.7109375" style="1077" customWidth="1"/>
    <col min="4896" max="4896" width="9.140625" style="1077"/>
    <col min="4897" max="4897" width="23.5703125" style="1077" bestFit="1" customWidth="1"/>
    <col min="4898" max="5120" width="9.140625" style="1077"/>
    <col min="5121" max="5121" width="3.28515625" style="1077" customWidth="1"/>
    <col min="5122" max="5122" width="1.7109375" style="1077" customWidth="1"/>
    <col min="5123" max="5123" width="5.7109375" style="1077" customWidth="1"/>
    <col min="5124" max="5124" width="7.28515625" style="1077" bestFit="1" customWidth="1"/>
    <col min="5125" max="5125" width="5.7109375" style="1077" customWidth="1"/>
    <col min="5126" max="5126" width="6.28515625" style="1077" bestFit="1" customWidth="1"/>
    <col min="5127" max="5128" width="5.7109375" style="1077" customWidth="1"/>
    <col min="5129" max="5129" width="6.28515625" style="1077" customWidth="1"/>
    <col min="5130" max="5132" width="5.7109375" style="1077" customWidth="1"/>
    <col min="5133" max="5133" width="7.85546875" style="1077" bestFit="1" customWidth="1"/>
    <col min="5134" max="5134" width="9.5703125" style="1077" customWidth="1"/>
    <col min="5135" max="5136" width="6.7109375" style="1077" customWidth="1"/>
    <col min="5137" max="5137" width="8.28515625" style="1077" bestFit="1" customWidth="1"/>
    <col min="5138" max="5138" width="10.42578125" style="1077" bestFit="1" customWidth="1"/>
    <col min="5139" max="5139" width="2.7109375" style="1077" customWidth="1"/>
    <col min="5140" max="5140" width="5.42578125" style="1077" bestFit="1" customWidth="1"/>
    <col min="5141" max="5141" width="4.140625" style="1077" bestFit="1" customWidth="1"/>
    <col min="5142" max="5142" width="15.140625" style="1077" bestFit="1" customWidth="1"/>
    <col min="5143" max="5143" width="8.7109375" style="1077" bestFit="1" customWidth="1"/>
    <col min="5144" max="5144" width="5" style="1077" bestFit="1" customWidth="1"/>
    <col min="5145" max="5145" width="1.7109375" style="1077" customWidth="1"/>
    <col min="5146" max="5146" width="5.42578125" style="1077" bestFit="1" customWidth="1"/>
    <col min="5147" max="5147" width="4.140625" style="1077" bestFit="1" customWidth="1"/>
    <col min="5148" max="5148" width="23.7109375" style="1077" bestFit="1" customWidth="1"/>
    <col min="5149" max="5149" width="4.85546875" style="1077" bestFit="1" customWidth="1"/>
    <col min="5150" max="5150" width="5" style="1077" bestFit="1" customWidth="1"/>
    <col min="5151" max="5151" width="1.7109375" style="1077" customWidth="1"/>
    <col min="5152" max="5152" width="9.140625" style="1077"/>
    <col min="5153" max="5153" width="23.5703125" style="1077" bestFit="1" customWidth="1"/>
    <col min="5154" max="5376" width="9.140625" style="1077"/>
    <col min="5377" max="5377" width="3.28515625" style="1077" customWidth="1"/>
    <col min="5378" max="5378" width="1.7109375" style="1077" customWidth="1"/>
    <col min="5379" max="5379" width="5.7109375" style="1077" customWidth="1"/>
    <col min="5380" max="5380" width="7.28515625" style="1077" bestFit="1" customWidth="1"/>
    <col min="5381" max="5381" width="5.7109375" style="1077" customWidth="1"/>
    <col min="5382" max="5382" width="6.28515625" style="1077" bestFit="1" customWidth="1"/>
    <col min="5383" max="5384" width="5.7109375" style="1077" customWidth="1"/>
    <col min="5385" max="5385" width="6.28515625" style="1077" customWidth="1"/>
    <col min="5386" max="5388" width="5.7109375" style="1077" customWidth="1"/>
    <col min="5389" max="5389" width="7.85546875" style="1077" bestFit="1" customWidth="1"/>
    <col min="5390" max="5390" width="9.5703125" style="1077" customWidth="1"/>
    <col min="5391" max="5392" width="6.7109375" style="1077" customWidth="1"/>
    <col min="5393" max="5393" width="8.28515625" style="1077" bestFit="1" customWidth="1"/>
    <col min="5394" max="5394" width="10.42578125" style="1077" bestFit="1" customWidth="1"/>
    <col min="5395" max="5395" width="2.7109375" style="1077" customWidth="1"/>
    <col min="5396" max="5396" width="5.42578125" style="1077" bestFit="1" customWidth="1"/>
    <col min="5397" max="5397" width="4.140625" style="1077" bestFit="1" customWidth="1"/>
    <col min="5398" max="5398" width="15.140625" style="1077" bestFit="1" customWidth="1"/>
    <col min="5399" max="5399" width="8.7109375" style="1077" bestFit="1" customWidth="1"/>
    <col min="5400" max="5400" width="5" style="1077" bestFit="1" customWidth="1"/>
    <col min="5401" max="5401" width="1.7109375" style="1077" customWidth="1"/>
    <col min="5402" max="5402" width="5.42578125" style="1077" bestFit="1" customWidth="1"/>
    <col min="5403" max="5403" width="4.140625" style="1077" bestFit="1" customWidth="1"/>
    <col min="5404" max="5404" width="23.7109375" style="1077" bestFit="1" customWidth="1"/>
    <col min="5405" max="5405" width="4.85546875" style="1077" bestFit="1" customWidth="1"/>
    <col min="5406" max="5406" width="5" style="1077" bestFit="1" customWidth="1"/>
    <col min="5407" max="5407" width="1.7109375" style="1077" customWidth="1"/>
    <col min="5408" max="5408" width="9.140625" style="1077"/>
    <col min="5409" max="5409" width="23.5703125" style="1077" bestFit="1" customWidth="1"/>
    <col min="5410" max="5632" width="9.140625" style="1077"/>
    <col min="5633" max="5633" width="3.28515625" style="1077" customWidth="1"/>
    <col min="5634" max="5634" width="1.7109375" style="1077" customWidth="1"/>
    <col min="5635" max="5635" width="5.7109375" style="1077" customWidth="1"/>
    <col min="5636" max="5636" width="7.28515625" style="1077" bestFit="1" customWidth="1"/>
    <col min="5637" max="5637" width="5.7109375" style="1077" customWidth="1"/>
    <col min="5638" max="5638" width="6.28515625" style="1077" bestFit="1" customWidth="1"/>
    <col min="5639" max="5640" width="5.7109375" style="1077" customWidth="1"/>
    <col min="5641" max="5641" width="6.28515625" style="1077" customWidth="1"/>
    <col min="5642" max="5644" width="5.7109375" style="1077" customWidth="1"/>
    <col min="5645" max="5645" width="7.85546875" style="1077" bestFit="1" customWidth="1"/>
    <col min="5646" max="5646" width="9.5703125" style="1077" customWidth="1"/>
    <col min="5647" max="5648" width="6.7109375" style="1077" customWidth="1"/>
    <col min="5649" max="5649" width="8.28515625" style="1077" bestFit="1" customWidth="1"/>
    <col min="5650" max="5650" width="10.42578125" style="1077" bestFit="1" customWidth="1"/>
    <col min="5651" max="5651" width="2.7109375" style="1077" customWidth="1"/>
    <col min="5652" max="5652" width="5.42578125" style="1077" bestFit="1" customWidth="1"/>
    <col min="5653" max="5653" width="4.140625" style="1077" bestFit="1" customWidth="1"/>
    <col min="5654" max="5654" width="15.140625" style="1077" bestFit="1" customWidth="1"/>
    <col min="5655" max="5655" width="8.7109375" style="1077" bestFit="1" customWidth="1"/>
    <col min="5656" max="5656" width="5" style="1077" bestFit="1" customWidth="1"/>
    <col min="5657" max="5657" width="1.7109375" style="1077" customWidth="1"/>
    <col min="5658" max="5658" width="5.42578125" style="1077" bestFit="1" customWidth="1"/>
    <col min="5659" max="5659" width="4.140625" style="1077" bestFit="1" customWidth="1"/>
    <col min="5660" max="5660" width="23.7109375" style="1077" bestFit="1" customWidth="1"/>
    <col min="5661" max="5661" width="4.85546875" style="1077" bestFit="1" customWidth="1"/>
    <col min="5662" max="5662" width="5" style="1077" bestFit="1" customWidth="1"/>
    <col min="5663" max="5663" width="1.7109375" style="1077" customWidth="1"/>
    <col min="5664" max="5664" width="9.140625" style="1077"/>
    <col min="5665" max="5665" width="23.5703125" style="1077" bestFit="1" customWidth="1"/>
    <col min="5666" max="5888" width="9.140625" style="1077"/>
    <col min="5889" max="5889" width="3.28515625" style="1077" customWidth="1"/>
    <col min="5890" max="5890" width="1.7109375" style="1077" customWidth="1"/>
    <col min="5891" max="5891" width="5.7109375" style="1077" customWidth="1"/>
    <col min="5892" max="5892" width="7.28515625" style="1077" bestFit="1" customWidth="1"/>
    <col min="5893" max="5893" width="5.7109375" style="1077" customWidth="1"/>
    <col min="5894" max="5894" width="6.28515625" style="1077" bestFit="1" customWidth="1"/>
    <col min="5895" max="5896" width="5.7109375" style="1077" customWidth="1"/>
    <col min="5897" max="5897" width="6.28515625" style="1077" customWidth="1"/>
    <col min="5898" max="5900" width="5.7109375" style="1077" customWidth="1"/>
    <col min="5901" max="5901" width="7.85546875" style="1077" bestFit="1" customWidth="1"/>
    <col min="5902" max="5902" width="9.5703125" style="1077" customWidth="1"/>
    <col min="5903" max="5904" width="6.7109375" style="1077" customWidth="1"/>
    <col min="5905" max="5905" width="8.28515625" style="1077" bestFit="1" customWidth="1"/>
    <col min="5906" max="5906" width="10.42578125" style="1077" bestFit="1" customWidth="1"/>
    <col min="5907" max="5907" width="2.7109375" style="1077" customWidth="1"/>
    <col min="5908" max="5908" width="5.42578125" style="1077" bestFit="1" customWidth="1"/>
    <col min="5909" max="5909" width="4.140625" style="1077" bestFit="1" customWidth="1"/>
    <col min="5910" max="5910" width="15.140625" style="1077" bestFit="1" customWidth="1"/>
    <col min="5911" max="5911" width="8.7109375" style="1077" bestFit="1" customWidth="1"/>
    <col min="5912" max="5912" width="5" style="1077" bestFit="1" customWidth="1"/>
    <col min="5913" max="5913" width="1.7109375" style="1077" customWidth="1"/>
    <col min="5914" max="5914" width="5.42578125" style="1077" bestFit="1" customWidth="1"/>
    <col min="5915" max="5915" width="4.140625" style="1077" bestFit="1" customWidth="1"/>
    <col min="5916" max="5916" width="23.7109375" style="1077" bestFit="1" customWidth="1"/>
    <col min="5917" max="5917" width="4.85546875" style="1077" bestFit="1" customWidth="1"/>
    <col min="5918" max="5918" width="5" style="1077" bestFit="1" customWidth="1"/>
    <col min="5919" max="5919" width="1.7109375" style="1077" customWidth="1"/>
    <col min="5920" max="5920" width="9.140625" style="1077"/>
    <col min="5921" max="5921" width="23.5703125" style="1077" bestFit="1" customWidth="1"/>
    <col min="5922" max="6144" width="9.140625" style="1077"/>
    <col min="6145" max="6145" width="3.28515625" style="1077" customWidth="1"/>
    <col min="6146" max="6146" width="1.7109375" style="1077" customWidth="1"/>
    <col min="6147" max="6147" width="5.7109375" style="1077" customWidth="1"/>
    <col min="6148" max="6148" width="7.28515625" style="1077" bestFit="1" customWidth="1"/>
    <col min="6149" max="6149" width="5.7109375" style="1077" customWidth="1"/>
    <col min="6150" max="6150" width="6.28515625" style="1077" bestFit="1" customWidth="1"/>
    <col min="6151" max="6152" width="5.7109375" style="1077" customWidth="1"/>
    <col min="6153" max="6153" width="6.28515625" style="1077" customWidth="1"/>
    <col min="6154" max="6156" width="5.7109375" style="1077" customWidth="1"/>
    <col min="6157" max="6157" width="7.85546875" style="1077" bestFit="1" customWidth="1"/>
    <col min="6158" max="6158" width="9.5703125" style="1077" customWidth="1"/>
    <col min="6159" max="6160" width="6.7109375" style="1077" customWidth="1"/>
    <col min="6161" max="6161" width="8.28515625" style="1077" bestFit="1" customWidth="1"/>
    <col min="6162" max="6162" width="10.42578125" style="1077" bestFit="1" customWidth="1"/>
    <col min="6163" max="6163" width="2.7109375" style="1077" customWidth="1"/>
    <col min="6164" max="6164" width="5.42578125" style="1077" bestFit="1" customWidth="1"/>
    <col min="6165" max="6165" width="4.140625" style="1077" bestFit="1" customWidth="1"/>
    <col min="6166" max="6166" width="15.140625" style="1077" bestFit="1" customWidth="1"/>
    <col min="6167" max="6167" width="8.7109375" style="1077" bestFit="1" customWidth="1"/>
    <col min="6168" max="6168" width="5" style="1077" bestFit="1" customWidth="1"/>
    <col min="6169" max="6169" width="1.7109375" style="1077" customWidth="1"/>
    <col min="6170" max="6170" width="5.42578125" style="1077" bestFit="1" customWidth="1"/>
    <col min="6171" max="6171" width="4.140625" style="1077" bestFit="1" customWidth="1"/>
    <col min="6172" max="6172" width="23.7109375" style="1077" bestFit="1" customWidth="1"/>
    <col min="6173" max="6173" width="4.85546875" style="1077" bestFit="1" customWidth="1"/>
    <col min="6174" max="6174" width="5" style="1077" bestFit="1" customWidth="1"/>
    <col min="6175" max="6175" width="1.7109375" style="1077" customWidth="1"/>
    <col min="6176" max="6176" width="9.140625" style="1077"/>
    <col min="6177" max="6177" width="23.5703125" style="1077" bestFit="1" customWidth="1"/>
    <col min="6178" max="6400" width="9.140625" style="1077"/>
    <col min="6401" max="6401" width="3.28515625" style="1077" customWidth="1"/>
    <col min="6402" max="6402" width="1.7109375" style="1077" customWidth="1"/>
    <col min="6403" max="6403" width="5.7109375" style="1077" customWidth="1"/>
    <col min="6404" max="6404" width="7.28515625" style="1077" bestFit="1" customWidth="1"/>
    <col min="6405" max="6405" width="5.7109375" style="1077" customWidth="1"/>
    <col min="6406" max="6406" width="6.28515625" style="1077" bestFit="1" customWidth="1"/>
    <col min="6407" max="6408" width="5.7109375" style="1077" customWidth="1"/>
    <col min="6409" max="6409" width="6.28515625" style="1077" customWidth="1"/>
    <col min="6410" max="6412" width="5.7109375" style="1077" customWidth="1"/>
    <col min="6413" max="6413" width="7.85546875" style="1077" bestFit="1" customWidth="1"/>
    <col min="6414" max="6414" width="9.5703125" style="1077" customWidth="1"/>
    <col min="6415" max="6416" width="6.7109375" style="1077" customWidth="1"/>
    <col min="6417" max="6417" width="8.28515625" style="1077" bestFit="1" customWidth="1"/>
    <col min="6418" max="6418" width="10.42578125" style="1077" bestFit="1" customWidth="1"/>
    <col min="6419" max="6419" width="2.7109375" style="1077" customWidth="1"/>
    <col min="6420" max="6420" width="5.42578125" style="1077" bestFit="1" customWidth="1"/>
    <col min="6421" max="6421" width="4.140625" style="1077" bestFit="1" customWidth="1"/>
    <col min="6422" max="6422" width="15.140625" style="1077" bestFit="1" customWidth="1"/>
    <col min="6423" max="6423" width="8.7109375" style="1077" bestFit="1" customWidth="1"/>
    <col min="6424" max="6424" width="5" style="1077" bestFit="1" customWidth="1"/>
    <col min="6425" max="6425" width="1.7109375" style="1077" customWidth="1"/>
    <col min="6426" max="6426" width="5.42578125" style="1077" bestFit="1" customWidth="1"/>
    <col min="6427" max="6427" width="4.140625" style="1077" bestFit="1" customWidth="1"/>
    <col min="6428" max="6428" width="23.7109375" style="1077" bestFit="1" customWidth="1"/>
    <col min="6429" max="6429" width="4.85546875" style="1077" bestFit="1" customWidth="1"/>
    <col min="6430" max="6430" width="5" style="1077" bestFit="1" customWidth="1"/>
    <col min="6431" max="6431" width="1.7109375" style="1077" customWidth="1"/>
    <col min="6432" max="6432" width="9.140625" style="1077"/>
    <col min="6433" max="6433" width="23.5703125" style="1077" bestFit="1" customWidth="1"/>
    <col min="6434" max="6656" width="9.140625" style="1077"/>
    <col min="6657" max="6657" width="3.28515625" style="1077" customWidth="1"/>
    <col min="6658" max="6658" width="1.7109375" style="1077" customWidth="1"/>
    <col min="6659" max="6659" width="5.7109375" style="1077" customWidth="1"/>
    <col min="6660" max="6660" width="7.28515625" style="1077" bestFit="1" customWidth="1"/>
    <col min="6661" max="6661" width="5.7109375" style="1077" customWidth="1"/>
    <col min="6662" max="6662" width="6.28515625" style="1077" bestFit="1" customWidth="1"/>
    <col min="6663" max="6664" width="5.7109375" style="1077" customWidth="1"/>
    <col min="6665" max="6665" width="6.28515625" style="1077" customWidth="1"/>
    <col min="6666" max="6668" width="5.7109375" style="1077" customWidth="1"/>
    <col min="6669" max="6669" width="7.85546875" style="1077" bestFit="1" customWidth="1"/>
    <col min="6670" max="6670" width="9.5703125" style="1077" customWidth="1"/>
    <col min="6671" max="6672" width="6.7109375" style="1077" customWidth="1"/>
    <col min="6673" max="6673" width="8.28515625" style="1077" bestFit="1" customWidth="1"/>
    <col min="6674" max="6674" width="10.42578125" style="1077" bestFit="1" customWidth="1"/>
    <col min="6675" max="6675" width="2.7109375" style="1077" customWidth="1"/>
    <col min="6676" max="6676" width="5.42578125" style="1077" bestFit="1" customWidth="1"/>
    <col min="6677" max="6677" width="4.140625" style="1077" bestFit="1" customWidth="1"/>
    <col min="6678" max="6678" width="15.140625" style="1077" bestFit="1" customWidth="1"/>
    <col min="6679" max="6679" width="8.7109375" style="1077" bestFit="1" customWidth="1"/>
    <col min="6680" max="6680" width="5" style="1077" bestFit="1" customWidth="1"/>
    <col min="6681" max="6681" width="1.7109375" style="1077" customWidth="1"/>
    <col min="6682" max="6682" width="5.42578125" style="1077" bestFit="1" customWidth="1"/>
    <col min="6683" max="6683" width="4.140625" style="1077" bestFit="1" customWidth="1"/>
    <col min="6684" max="6684" width="23.7109375" style="1077" bestFit="1" customWidth="1"/>
    <col min="6685" max="6685" width="4.85546875" style="1077" bestFit="1" customWidth="1"/>
    <col min="6686" max="6686" width="5" style="1077" bestFit="1" customWidth="1"/>
    <col min="6687" max="6687" width="1.7109375" style="1077" customWidth="1"/>
    <col min="6688" max="6688" width="9.140625" style="1077"/>
    <col min="6689" max="6689" width="23.5703125" style="1077" bestFit="1" customWidth="1"/>
    <col min="6690" max="6912" width="9.140625" style="1077"/>
    <col min="6913" max="6913" width="3.28515625" style="1077" customWidth="1"/>
    <col min="6914" max="6914" width="1.7109375" style="1077" customWidth="1"/>
    <col min="6915" max="6915" width="5.7109375" style="1077" customWidth="1"/>
    <col min="6916" max="6916" width="7.28515625" style="1077" bestFit="1" customWidth="1"/>
    <col min="6917" max="6917" width="5.7109375" style="1077" customWidth="1"/>
    <col min="6918" max="6918" width="6.28515625" style="1077" bestFit="1" customWidth="1"/>
    <col min="6919" max="6920" width="5.7109375" style="1077" customWidth="1"/>
    <col min="6921" max="6921" width="6.28515625" style="1077" customWidth="1"/>
    <col min="6922" max="6924" width="5.7109375" style="1077" customWidth="1"/>
    <col min="6925" max="6925" width="7.85546875" style="1077" bestFit="1" customWidth="1"/>
    <col min="6926" max="6926" width="9.5703125" style="1077" customWidth="1"/>
    <col min="6927" max="6928" width="6.7109375" style="1077" customWidth="1"/>
    <col min="6929" max="6929" width="8.28515625" style="1077" bestFit="1" customWidth="1"/>
    <col min="6930" max="6930" width="10.42578125" style="1077" bestFit="1" customWidth="1"/>
    <col min="6931" max="6931" width="2.7109375" style="1077" customWidth="1"/>
    <col min="6932" max="6932" width="5.42578125" style="1077" bestFit="1" customWidth="1"/>
    <col min="6933" max="6933" width="4.140625" style="1077" bestFit="1" customWidth="1"/>
    <col min="6934" max="6934" width="15.140625" style="1077" bestFit="1" customWidth="1"/>
    <col min="6935" max="6935" width="8.7109375" style="1077" bestFit="1" customWidth="1"/>
    <col min="6936" max="6936" width="5" style="1077" bestFit="1" customWidth="1"/>
    <col min="6937" max="6937" width="1.7109375" style="1077" customWidth="1"/>
    <col min="6938" max="6938" width="5.42578125" style="1077" bestFit="1" customWidth="1"/>
    <col min="6939" max="6939" width="4.140625" style="1077" bestFit="1" customWidth="1"/>
    <col min="6940" max="6940" width="23.7109375" style="1077" bestFit="1" customWidth="1"/>
    <col min="6941" max="6941" width="4.85546875" style="1077" bestFit="1" customWidth="1"/>
    <col min="6942" max="6942" width="5" style="1077" bestFit="1" customWidth="1"/>
    <col min="6943" max="6943" width="1.7109375" style="1077" customWidth="1"/>
    <col min="6944" max="6944" width="9.140625" style="1077"/>
    <col min="6945" max="6945" width="23.5703125" style="1077" bestFit="1" customWidth="1"/>
    <col min="6946" max="7168" width="9.140625" style="1077"/>
    <col min="7169" max="7169" width="3.28515625" style="1077" customWidth="1"/>
    <col min="7170" max="7170" width="1.7109375" style="1077" customWidth="1"/>
    <col min="7171" max="7171" width="5.7109375" style="1077" customWidth="1"/>
    <col min="7172" max="7172" width="7.28515625" style="1077" bestFit="1" customWidth="1"/>
    <col min="7173" max="7173" width="5.7109375" style="1077" customWidth="1"/>
    <col min="7174" max="7174" width="6.28515625" style="1077" bestFit="1" customWidth="1"/>
    <col min="7175" max="7176" width="5.7109375" style="1077" customWidth="1"/>
    <col min="7177" max="7177" width="6.28515625" style="1077" customWidth="1"/>
    <col min="7178" max="7180" width="5.7109375" style="1077" customWidth="1"/>
    <col min="7181" max="7181" width="7.85546875" style="1077" bestFit="1" customWidth="1"/>
    <col min="7182" max="7182" width="9.5703125" style="1077" customWidth="1"/>
    <col min="7183" max="7184" width="6.7109375" style="1077" customWidth="1"/>
    <col min="7185" max="7185" width="8.28515625" style="1077" bestFit="1" customWidth="1"/>
    <col min="7186" max="7186" width="10.42578125" style="1077" bestFit="1" customWidth="1"/>
    <col min="7187" max="7187" width="2.7109375" style="1077" customWidth="1"/>
    <col min="7188" max="7188" width="5.42578125" style="1077" bestFit="1" customWidth="1"/>
    <col min="7189" max="7189" width="4.140625" style="1077" bestFit="1" customWidth="1"/>
    <col min="7190" max="7190" width="15.140625" style="1077" bestFit="1" customWidth="1"/>
    <col min="7191" max="7191" width="8.7109375" style="1077" bestFit="1" customWidth="1"/>
    <col min="7192" max="7192" width="5" style="1077" bestFit="1" customWidth="1"/>
    <col min="7193" max="7193" width="1.7109375" style="1077" customWidth="1"/>
    <col min="7194" max="7194" width="5.42578125" style="1077" bestFit="1" customWidth="1"/>
    <col min="7195" max="7195" width="4.140625" style="1077" bestFit="1" customWidth="1"/>
    <col min="7196" max="7196" width="23.7109375" style="1077" bestFit="1" customWidth="1"/>
    <col min="7197" max="7197" width="4.85546875" style="1077" bestFit="1" customWidth="1"/>
    <col min="7198" max="7198" width="5" style="1077" bestFit="1" customWidth="1"/>
    <col min="7199" max="7199" width="1.7109375" style="1077" customWidth="1"/>
    <col min="7200" max="7200" width="9.140625" style="1077"/>
    <col min="7201" max="7201" width="23.5703125" style="1077" bestFit="1" customWidth="1"/>
    <col min="7202" max="7424" width="9.140625" style="1077"/>
    <col min="7425" max="7425" width="3.28515625" style="1077" customWidth="1"/>
    <col min="7426" max="7426" width="1.7109375" style="1077" customWidth="1"/>
    <col min="7427" max="7427" width="5.7109375" style="1077" customWidth="1"/>
    <col min="7428" max="7428" width="7.28515625" style="1077" bestFit="1" customWidth="1"/>
    <col min="7429" max="7429" width="5.7109375" style="1077" customWidth="1"/>
    <col min="7430" max="7430" width="6.28515625" style="1077" bestFit="1" customWidth="1"/>
    <col min="7431" max="7432" width="5.7109375" style="1077" customWidth="1"/>
    <col min="7433" max="7433" width="6.28515625" style="1077" customWidth="1"/>
    <col min="7434" max="7436" width="5.7109375" style="1077" customWidth="1"/>
    <col min="7437" max="7437" width="7.85546875" style="1077" bestFit="1" customWidth="1"/>
    <col min="7438" max="7438" width="9.5703125" style="1077" customWidth="1"/>
    <col min="7439" max="7440" width="6.7109375" style="1077" customWidth="1"/>
    <col min="7441" max="7441" width="8.28515625" style="1077" bestFit="1" customWidth="1"/>
    <col min="7442" max="7442" width="10.42578125" style="1077" bestFit="1" customWidth="1"/>
    <col min="7443" max="7443" width="2.7109375" style="1077" customWidth="1"/>
    <col min="7444" max="7444" width="5.42578125" style="1077" bestFit="1" customWidth="1"/>
    <col min="7445" max="7445" width="4.140625" style="1077" bestFit="1" customWidth="1"/>
    <col min="7446" max="7446" width="15.140625" style="1077" bestFit="1" customWidth="1"/>
    <col min="7447" max="7447" width="8.7109375" style="1077" bestFit="1" customWidth="1"/>
    <col min="7448" max="7448" width="5" style="1077" bestFit="1" customWidth="1"/>
    <col min="7449" max="7449" width="1.7109375" style="1077" customWidth="1"/>
    <col min="7450" max="7450" width="5.42578125" style="1077" bestFit="1" customWidth="1"/>
    <col min="7451" max="7451" width="4.140625" style="1077" bestFit="1" customWidth="1"/>
    <col min="7452" max="7452" width="23.7109375" style="1077" bestFit="1" customWidth="1"/>
    <col min="7453" max="7453" width="4.85546875" style="1077" bestFit="1" customWidth="1"/>
    <col min="7454" max="7454" width="5" style="1077" bestFit="1" customWidth="1"/>
    <col min="7455" max="7455" width="1.7109375" style="1077" customWidth="1"/>
    <col min="7456" max="7456" width="9.140625" style="1077"/>
    <col min="7457" max="7457" width="23.5703125" style="1077" bestFit="1" customWidth="1"/>
    <col min="7458" max="7680" width="9.140625" style="1077"/>
    <col min="7681" max="7681" width="3.28515625" style="1077" customWidth="1"/>
    <col min="7682" max="7682" width="1.7109375" style="1077" customWidth="1"/>
    <col min="7683" max="7683" width="5.7109375" style="1077" customWidth="1"/>
    <col min="7684" max="7684" width="7.28515625" style="1077" bestFit="1" customWidth="1"/>
    <col min="7685" max="7685" width="5.7109375" style="1077" customWidth="1"/>
    <col min="7686" max="7686" width="6.28515625" style="1077" bestFit="1" customWidth="1"/>
    <col min="7687" max="7688" width="5.7109375" style="1077" customWidth="1"/>
    <col min="7689" max="7689" width="6.28515625" style="1077" customWidth="1"/>
    <col min="7690" max="7692" width="5.7109375" style="1077" customWidth="1"/>
    <col min="7693" max="7693" width="7.85546875" style="1077" bestFit="1" customWidth="1"/>
    <col min="7694" max="7694" width="9.5703125" style="1077" customWidth="1"/>
    <col min="7695" max="7696" width="6.7109375" style="1077" customWidth="1"/>
    <col min="7697" max="7697" width="8.28515625" style="1077" bestFit="1" customWidth="1"/>
    <col min="7698" max="7698" width="10.42578125" style="1077" bestFit="1" customWidth="1"/>
    <col min="7699" max="7699" width="2.7109375" style="1077" customWidth="1"/>
    <col min="7700" max="7700" width="5.42578125" style="1077" bestFit="1" customWidth="1"/>
    <col min="7701" max="7701" width="4.140625" style="1077" bestFit="1" customWidth="1"/>
    <col min="7702" max="7702" width="15.140625" style="1077" bestFit="1" customWidth="1"/>
    <col min="7703" max="7703" width="8.7109375" style="1077" bestFit="1" customWidth="1"/>
    <col min="7704" max="7704" width="5" style="1077" bestFit="1" customWidth="1"/>
    <col min="7705" max="7705" width="1.7109375" style="1077" customWidth="1"/>
    <col min="7706" max="7706" width="5.42578125" style="1077" bestFit="1" customWidth="1"/>
    <col min="7707" max="7707" width="4.140625" style="1077" bestFit="1" customWidth="1"/>
    <col min="7708" max="7708" width="23.7109375" style="1077" bestFit="1" customWidth="1"/>
    <col min="7709" max="7709" width="4.85546875" style="1077" bestFit="1" customWidth="1"/>
    <col min="7710" max="7710" width="5" style="1077" bestFit="1" customWidth="1"/>
    <col min="7711" max="7711" width="1.7109375" style="1077" customWidth="1"/>
    <col min="7712" max="7712" width="9.140625" style="1077"/>
    <col min="7713" max="7713" width="23.5703125" style="1077" bestFit="1" customWidth="1"/>
    <col min="7714" max="7936" width="9.140625" style="1077"/>
    <col min="7937" max="7937" width="3.28515625" style="1077" customWidth="1"/>
    <col min="7938" max="7938" width="1.7109375" style="1077" customWidth="1"/>
    <col min="7939" max="7939" width="5.7109375" style="1077" customWidth="1"/>
    <col min="7940" max="7940" width="7.28515625" style="1077" bestFit="1" customWidth="1"/>
    <col min="7941" max="7941" width="5.7109375" style="1077" customWidth="1"/>
    <col min="7942" max="7942" width="6.28515625" style="1077" bestFit="1" customWidth="1"/>
    <col min="7943" max="7944" width="5.7109375" style="1077" customWidth="1"/>
    <col min="7945" max="7945" width="6.28515625" style="1077" customWidth="1"/>
    <col min="7946" max="7948" width="5.7109375" style="1077" customWidth="1"/>
    <col min="7949" max="7949" width="7.85546875" style="1077" bestFit="1" customWidth="1"/>
    <col min="7950" max="7950" width="9.5703125" style="1077" customWidth="1"/>
    <col min="7951" max="7952" width="6.7109375" style="1077" customWidth="1"/>
    <col min="7953" max="7953" width="8.28515625" style="1077" bestFit="1" customWidth="1"/>
    <col min="7954" max="7954" width="10.42578125" style="1077" bestFit="1" customWidth="1"/>
    <col min="7955" max="7955" width="2.7109375" style="1077" customWidth="1"/>
    <col min="7956" max="7956" width="5.42578125" style="1077" bestFit="1" customWidth="1"/>
    <col min="7957" max="7957" width="4.140625" style="1077" bestFit="1" customWidth="1"/>
    <col min="7958" max="7958" width="15.140625" style="1077" bestFit="1" customWidth="1"/>
    <col min="7959" max="7959" width="8.7109375" style="1077" bestFit="1" customWidth="1"/>
    <col min="7960" max="7960" width="5" style="1077" bestFit="1" customWidth="1"/>
    <col min="7961" max="7961" width="1.7109375" style="1077" customWidth="1"/>
    <col min="7962" max="7962" width="5.42578125" style="1077" bestFit="1" customWidth="1"/>
    <col min="7963" max="7963" width="4.140625" style="1077" bestFit="1" customWidth="1"/>
    <col min="7964" max="7964" width="23.7109375" style="1077" bestFit="1" customWidth="1"/>
    <col min="7965" max="7965" width="4.85546875" style="1077" bestFit="1" customWidth="1"/>
    <col min="7966" max="7966" width="5" style="1077" bestFit="1" customWidth="1"/>
    <col min="7967" max="7967" width="1.7109375" style="1077" customWidth="1"/>
    <col min="7968" max="7968" width="9.140625" style="1077"/>
    <col min="7969" max="7969" width="23.5703125" style="1077" bestFit="1" customWidth="1"/>
    <col min="7970" max="8192" width="9.140625" style="1077"/>
    <col min="8193" max="8193" width="3.28515625" style="1077" customWidth="1"/>
    <col min="8194" max="8194" width="1.7109375" style="1077" customWidth="1"/>
    <col min="8195" max="8195" width="5.7109375" style="1077" customWidth="1"/>
    <col min="8196" max="8196" width="7.28515625" style="1077" bestFit="1" customWidth="1"/>
    <col min="8197" max="8197" width="5.7109375" style="1077" customWidth="1"/>
    <col min="8198" max="8198" width="6.28515625" style="1077" bestFit="1" customWidth="1"/>
    <col min="8199" max="8200" width="5.7109375" style="1077" customWidth="1"/>
    <col min="8201" max="8201" width="6.28515625" style="1077" customWidth="1"/>
    <col min="8202" max="8204" width="5.7109375" style="1077" customWidth="1"/>
    <col min="8205" max="8205" width="7.85546875" style="1077" bestFit="1" customWidth="1"/>
    <col min="8206" max="8206" width="9.5703125" style="1077" customWidth="1"/>
    <col min="8207" max="8208" width="6.7109375" style="1077" customWidth="1"/>
    <col min="8209" max="8209" width="8.28515625" style="1077" bestFit="1" customWidth="1"/>
    <col min="8210" max="8210" width="10.42578125" style="1077" bestFit="1" customWidth="1"/>
    <col min="8211" max="8211" width="2.7109375" style="1077" customWidth="1"/>
    <col min="8212" max="8212" width="5.42578125" style="1077" bestFit="1" customWidth="1"/>
    <col min="8213" max="8213" width="4.140625" style="1077" bestFit="1" customWidth="1"/>
    <col min="8214" max="8214" width="15.140625" style="1077" bestFit="1" customWidth="1"/>
    <col min="8215" max="8215" width="8.7109375" style="1077" bestFit="1" customWidth="1"/>
    <col min="8216" max="8216" width="5" style="1077" bestFit="1" customWidth="1"/>
    <col min="8217" max="8217" width="1.7109375" style="1077" customWidth="1"/>
    <col min="8218" max="8218" width="5.42578125" style="1077" bestFit="1" customWidth="1"/>
    <col min="8219" max="8219" width="4.140625" style="1077" bestFit="1" customWidth="1"/>
    <col min="8220" max="8220" width="23.7109375" style="1077" bestFit="1" customWidth="1"/>
    <col min="8221" max="8221" width="4.85546875" style="1077" bestFit="1" customWidth="1"/>
    <col min="8222" max="8222" width="5" style="1077" bestFit="1" customWidth="1"/>
    <col min="8223" max="8223" width="1.7109375" style="1077" customWidth="1"/>
    <col min="8224" max="8224" width="9.140625" style="1077"/>
    <col min="8225" max="8225" width="23.5703125" style="1077" bestFit="1" customWidth="1"/>
    <col min="8226" max="8448" width="9.140625" style="1077"/>
    <col min="8449" max="8449" width="3.28515625" style="1077" customWidth="1"/>
    <col min="8450" max="8450" width="1.7109375" style="1077" customWidth="1"/>
    <col min="8451" max="8451" width="5.7109375" style="1077" customWidth="1"/>
    <col min="8452" max="8452" width="7.28515625" style="1077" bestFit="1" customWidth="1"/>
    <col min="8453" max="8453" width="5.7109375" style="1077" customWidth="1"/>
    <col min="8454" max="8454" width="6.28515625" style="1077" bestFit="1" customWidth="1"/>
    <col min="8455" max="8456" width="5.7109375" style="1077" customWidth="1"/>
    <col min="8457" max="8457" width="6.28515625" style="1077" customWidth="1"/>
    <col min="8458" max="8460" width="5.7109375" style="1077" customWidth="1"/>
    <col min="8461" max="8461" width="7.85546875" style="1077" bestFit="1" customWidth="1"/>
    <col min="8462" max="8462" width="9.5703125" style="1077" customWidth="1"/>
    <col min="8463" max="8464" width="6.7109375" style="1077" customWidth="1"/>
    <col min="8465" max="8465" width="8.28515625" style="1077" bestFit="1" customWidth="1"/>
    <col min="8466" max="8466" width="10.42578125" style="1077" bestFit="1" customWidth="1"/>
    <col min="8467" max="8467" width="2.7109375" style="1077" customWidth="1"/>
    <col min="8468" max="8468" width="5.42578125" style="1077" bestFit="1" customWidth="1"/>
    <col min="8469" max="8469" width="4.140625" style="1077" bestFit="1" customWidth="1"/>
    <col min="8470" max="8470" width="15.140625" style="1077" bestFit="1" customWidth="1"/>
    <col min="8471" max="8471" width="8.7109375" style="1077" bestFit="1" customWidth="1"/>
    <col min="8472" max="8472" width="5" style="1077" bestFit="1" customWidth="1"/>
    <col min="8473" max="8473" width="1.7109375" style="1077" customWidth="1"/>
    <col min="8474" max="8474" width="5.42578125" style="1077" bestFit="1" customWidth="1"/>
    <col min="8475" max="8475" width="4.140625" style="1077" bestFit="1" customWidth="1"/>
    <col min="8476" max="8476" width="23.7109375" style="1077" bestFit="1" customWidth="1"/>
    <col min="8477" max="8477" width="4.85546875" style="1077" bestFit="1" customWidth="1"/>
    <col min="8478" max="8478" width="5" style="1077" bestFit="1" customWidth="1"/>
    <col min="8479" max="8479" width="1.7109375" style="1077" customWidth="1"/>
    <col min="8480" max="8480" width="9.140625" style="1077"/>
    <col min="8481" max="8481" width="23.5703125" style="1077" bestFit="1" customWidth="1"/>
    <col min="8482" max="8704" width="9.140625" style="1077"/>
    <col min="8705" max="8705" width="3.28515625" style="1077" customWidth="1"/>
    <col min="8706" max="8706" width="1.7109375" style="1077" customWidth="1"/>
    <col min="8707" max="8707" width="5.7109375" style="1077" customWidth="1"/>
    <col min="8708" max="8708" width="7.28515625" style="1077" bestFit="1" customWidth="1"/>
    <col min="8709" max="8709" width="5.7109375" style="1077" customWidth="1"/>
    <col min="8710" max="8710" width="6.28515625" style="1077" bestFit="1" customWidth="1"/>
    <col min="8711" max="8712" width="5.7109375" style="1077" customWidth="1"/>
    <col min="8713" max="8713" width="6.28515625" style="1077" customWidth="1"/>
    <col min="8714" max="8716" width="5.7109375" style="1077" customWidth="1"/>
    <col min="8717" max="8717" width="7.85546875" style="1077" bestFit="1" customWidth="1"/>
    <col min="8718" max="8718" width="9.5703125" style="1077" customWidth="1"/>
    <col min="8719" max="8720" width="6.7109375" style="1077" customWidth="1"/>
    <col min="8721" max="8721" width="8.28515625" style="1077" bestFit="1" customWidth="1"/>
    <col min="8722" max="8722" width="10.42578125" style="1077" bestFit="1" customWidth="1"/>
    <col min="8723" max="8723" width="2.7109375" style="1077" customWidth="1"/>
    <col min="8724" max="8724" width="5.42578125" style="1077" bestFit="1" customWidth="1"/>
    <col min="8725" max="8725" width="4.140625" style="1077" bestFit="1" customWidth="1"/>
    <col min="8726" max="8726" width="15.140625" style="1077" bestFit="1" customWidth="1"/>
    <col min="8727" max="8727" width="8.7109375" style="1077" bestFit="1" customWidth="1"/>
    <col min="8728" max="8728" width="5" style="1077" bestFit="1" customWidth="1"/>
    <col min="8729" max="8729" width="1.7109375" style="1077" customWidth="1"/>
    <col min="8730" max="8730" width="5.42578125" style="1077" bestFit="1" customWidth="1"/>
    <col min="8731" max="8731" width="4.140625" style="1077" bestFit="1" customWidth="1"/>
    <col min="8732" max="8732" width="23.7109375" style="1077" bestFit="1" customWidth="1"/>
    <col min="8733" max="8733" width="4.85546875" style="1077" bestFit="1" customWidth="1"/>
    <col min="8734" max="8734" width="5" style="1077" bestFit="1" customWidth="1"/>
    <col min="8735" max="8735" width="1.7109375" style="1077" customWidth="1"/>
    <col min="8736" max="8736" width="9.140625" style="1077"/>
    <col min="8737" max="8737" width="23.5703125" style="1077" bestFit="1" customWidth="1"/>
    <col min="8738" max="8960" width="9.140625" style="1077"/>
    <col min="8961" max="8961" width="3.28515625" style="1077" customWidth="1"/>
    <col min="8962" max="8962" width="1.7109375" style="1077" customWidth="1"/>
    <col min="8963" max="8963" width="5.7109375" style="1077" customWidth="1"/>
    <col min="8964" max="8964" width="7.28515625" style="1077" bestFit="1" customWidth="1"/>
    <col min="8965" max="8965" width="5.7109375" style="1077" customWidth="1"/>
    <col min="8966" max="8966" width="6.28515625" style="1077" bestFit="1" customWidth="1"/>
    <col min="8967" max="8968" width="5.7109375" style="1077" customWidth="1"/>
    <col min="8969" max="8969" width="6.28515625" style="1077" customWidth="1"/>
    <col min="8970" max="8972" width="5.7109375" style="1077" customWidth="1"/>
    <col min="8973" max="8973" width="7.85546875" style="1077" bestFit="1" customWidth="1"/>
    <col min="8974" max="8974" width="9.5703125" style="1077" customWidth="1"/>
    <col min="8975" max="8976" width="6.7109375" style="1077" customWidth="1"/>
    <col min="8977" max="8977" width="8.28515625" style="1077" bestFit="1" customWidth="1"/>
    <col min="8978" max="8978" width="10.42578125" style="1077" bestFit="1" customWidth="1"/>
    <col min="8979" max="8979" width="2.7109375" style="1077" customWidth="1"/>
    <col min="8980" max="8980" width="5.42578125" style="1077" bestFit="1" customWidth="1"/>
    <col min="8981" max="8981" width="4.140625" style="1077" bestFit="1" customWidth="1"/>
    <col min="8982" max="8982" width="15.140625" style="1077" bestFit="1" customWidth="1"/>
    <col min="8983" max="8983" width="8.7109375" style="1077" bestFit="1" customWidth="1"/>
    <col min="8984" max="8984" width="5" style="1077" bestFit="1" customWidth="1"/>
    <col min="8985" max="8985" width="1.7109375" style="1077" customWidth="1"/>
    <col min="8986" max="8986" width="5.42578125" style="1077" bestFit="1" customWidth="1"/>
    <col min="8987" max="8987" width="4.140625" style="1077" bestFit="1" customWidth="1"/>
    <col min="8988" max="8988" width="23.7109375" style="1077" bestFit="1" customWidth="1"/>
    <col min="8989" max="8989" width="4.85546875" style="1077" bestFit="1" customWidth="1"/>
    <col min="8990" max="8990" width="5" style="1077" bestFit="1" customWidth="1"/>
    <col min="8991" max="8991" width="1.7109375" style="1077" customWidth="1"/>
    <col min="8992" max="8992" width="9.140625" style="1077"/>
    <col min="8993" max="8993" width="23.5703125" style="1077" bestFit="1" customWidth="1"/>
    <col min="8994" max="9216" width="9.140625" style="1077"/>
    <col min="9217" max="9217" width="3.28515625" style="1077" customWidth="1"/>
    <col min="9218" max="9218" width="1.7109375" style="1077" customWidth="1"/>
    <col min="9219" max="9219" width="5.7109375" style="1077" customWidth="1"/>
    <col min="9220" max="9220" width="7.28515625" style="1077" bestFit="1" customWidth="1"/>
    <col min="9221" max="9221" width="5.7109375" style="1077" customWidth="1"/>
    <col min="9222" max="9222" width="6.28515625" style="1077" bestFit="1" customWidth="1"/>
    <col min="9223" max="9224" width="5.7109375" style="1077" customWidth="1"/>
    <col min="9225" max="9225" width="6.28515625" style="1077" customWidth="1"/>
    <col min="9226" max="9228" width="5.7109375" style="1077" customWidth="1"/>
    <col min="9229" max="9229" width="7.85546875" style="1077" bestFit="1" customWidth="1"/>
    <col min="9230" max="9230" width="9.5703125" style="1077" customWidth="1"/>
    <col min="9231" max="9232" width="6.7109375" style="1077" customWidth="1"/>
    <col min="9233" max="9233" width="8.28515625" style="1077" bestFit="1" customWidth="1"/>
    <col min="9234" max="9234" width="10.42578125" style="1077" bestFit="1" customWidth="1"/>
    <col min="9235" max="9235" width="2.7109375" style="1077" customWidth="1"/>
    <col min="9236" max="9236" width="5.42578125" style="1077" bestFit="1" customWidth="1"/>
    <col min="9237" max="9237" width="4.140625" style="1077" bestFit="1" customWidth="1"/>
    <col min="9238" max="9238" width="15.140625" style="1077" bestFit="1" customWidth="1"/>
    <col min="9239" max="9239" width="8.7109375" style="1077" bestFit="1" customWidth="1"/>
    <col min="9240" max="9240" width="5" style="1077" bestFit="1" customWidth="1"/>
    <col min="9241" max="9241" width="1.7109375" style="1077" customWidth="1"/>
    <col min="9242" max="9242" width="5.42578125" style="1077" bestFit="1" customWidth="1"/>
    <col min="9243" max="9243" width="4.140625" style="1077" bestFit="1" customWidth="1"/>
    <col min="9244" max="9244" width="23.7109375" style="1077" bestFit="1" customWidth="1"/>
    <col min="9245" max="9245" width="4.85546875" style="1077" bestFit="1" customWidth="1"/>
    <col min="9246" max="9246" width="5" style="1077" bestFit="1" customWidth="1"/>
    <col min="9247" max="9247" width="1.7109375" style="1077" customWidth="1"/>
    <col min="9248" max="9248" width="9.140625" style="1077"/>
    <col min="9249" max="9249" width="23.5703125" style="1077" bestFit="1" customWidth="1"/>
    <col min="9250" max="9472" width="9.140625" style="1077"/>
    <col min="9473" max="9473" width="3.28515625" style="1077" customWidth="1"/>
    <col min="9474" max="9474" width="1.7109375" style="1077" customWidth="1"/>
    <col min="9475" max="9475" width="5.7109375" style="1077" customWidth="1"/>
    <col min="9476" max="9476" width="7.28515625" style="1077" bestFit="1" customWidth="1"/>
    <col min="9477" max="9477" width="5.7109375" style="1077" customWidth="1"/>
    <col min="9478" max="9478" width="6.28515625" style="1077" bestFit="1" customWidth="1"/>
    <col min="9479" max="9480" width="5.7109375" style="1077" customWidth="1"/>
    <col min="9481" max="9481" width="6.28515625" style="1077" customWidth="1"/>
    <col min="9482" max="9484" width="5.7109375" style="1077" customWidth="1"/>
    <col min="9485" max="9485" width="7.85546875" style="1077" bestFit="1" customWidth="1"/>
    <col min="9486" max="9486" width="9.5703125" style="1077" customWidth="1"/>
    <col min="9487" max="9488" width="6.7109375" style="1077" customWidth="1"/>
    <col min="9489" max="9489" width="8.28515625" style="1077" bestFit="1" customWidth="1"/>
    <col min="9490" max="9490" width="10.42578125" style="1077" bestFit="1" customWidth="1"/>
    <col min="9491" max="9491" width="2.7109375" style="1077" customWidth="1"/>
    <col min="9492" max="9492" width="5.42578125" style="1077" bestFit="1" customWidth="1"/>
    <col min="9493" max="9493" width="4.140625" style="1077" bestFit="1" customWidth="1"/>
    <col min="9494" max="9494" width="15.140625" style="1077" bestFit="1" customWidth="1"/>
    <col min="9495" max="9495" width="8.7109375" style="1077" bestFit="1" customWidth="1"/>
    <col min="9496" max="9496" width="5" style="1077" bestFit="1" customWidth="1"/>
    <col min="9497" max="9497" width="1.7109375" style="1077" customWidth="1"/>
    <col min="9498" max="9498" width="5.42578125" style="1077" bestFit="1" customWidth="1"/>
    <col min="9499" max="9499" width="4.140625" style="1077" bestFit="1" customWidth="1"/>
    <col min="9500" max="9500" width="23.7109375" style="1077" bestFit="1" customWidth="1"/>
    <col min="9501" max="9501" width="4.85546875" style="1077" bestFit="1" customWidth="1"/>
    <col min="9502" max="9502" width="5" style="1077" bestFit="1" customWidth="1"/>
    <col min="9503" max="9503" width="1.7109375" style="1077" customWidth="1"/>
    <col min="9504" max="9504" width="9.140625" style="1077"/>
    <col min="9505" max="9505" width="23.5703125" style="1077" bestFit="1" customWidth="1"/>
    <col min="9506" max="9728" width="9.140625" style="1077"/>
    <col min="9729" max="9729" width="3.28515625" style="1077" customWidth="1"/>
    <col min="9730" max="9730" width="1.7109375" style="1077" customWidth="1"/>
    <col min="9731" max="9731" width="5.7109375" style="1077" customWidth="1"/>
    <col min="9732" max="9732" width="7.28515625" style="1077" bestFit="1" customWidth="1"/>
    <col min="9733" max="9733" width="5.7109375" style="1077" customWidth="1"/>
    <col min="9734" max="9734" width="6.28515625" style="1077" bestFit="1" customWidth="1"/>
    <col min="9735" max="9736" width="5.7109375" style="1077" customWidth="1"/>
    <col min="9737" max="9737" width="6.28515625" style="1077" customWidth="1"/>
    <col min="9738" max="9740" width="5.7109375" style="1077" customWidth="1"/>
    <col min="9741" max="9741" width="7.85546875" style="1077" bestFit="1" customWidth="1"/>
    <col min="9742" max="9742" width="9.5703125" style="1077" customWidth="1"/>
    <col min="9743" max="9744" width="6.7109375" style="1077" customWidth="1"/>
    <col min="9745" max="9745" width="8.28515625" style="1077" bestFit="1" customWidth="1"/>
    <col min="9746" max="9746" width="10.42578125" style="1077" bestFit="1" customWidth="1"/>
    <col min="9747" max="9747" width="2.7109375" style="1077" customWidth="1"/>
    <col min="9748" max="9748" width="5.42578125" style="1077" bestFit="1" customWidth="1"/>
    <col min="9749" max="9749" width="4.140625" style="1077" bestFit="1" customWidth="1"/>
    <col min="9750" max="9750" width="15.140625" style="1077" bestFit="1" customWidth="1"/>
    <col min="9751" max="9751" width="8.7109375" style="1077" bestFit="1" customWidth="1"/>
    <col min="9752" max="9752" width="5" style="1077" bestFit="1" customWidth="1"/>
    <col min="9753" max="9753" width="1.7109375" style="1077" customWidth="1"/>
    <col min="9754" max="9754" width="5.42578125" style="1077" bestFit="1" customWidth="1"/>
    <col min="9755" max="9755" width="4.140625" style="1077" bestFit="1" customWidth="1"/>
    <col min="9756" max="9756" width="23.7109375" style="1077" bestFit="1" customWidth="1"/>
    <col min="9757" max="9757" width="4.85546875" style="1077" bestFit="1" customWidth="1"/>
    <col min="9758" max="9758" width="5" style="1077" bestFit="1" customWidth="1"/>
    <col min="9759" max="9759" width="1.7109375" style="1077" customWidth="1"/>
    <col min="9760" max="9760" width="9.140625" style="1077"/>
    <col min="9761" max="9761" width="23.5703125" style="1077" bestFit="1" customWidth="1"/>
    <col min="9762" max="9984" width="9.140625" style="1077"/>
    <col min="9985" max="9985" width="3.28515625" style="1077" customWidth="1"/>
    <col min="9986" max="9986" width="1.7109375" style="1077" customWidth="1"/>
    <col min="9987" max="9987" width="5.7109375" style="1077" customWidth="1"/>
    <col min="9988" max="9988" width="7.28515625" style="1077" bestFit="1" customWidth="1"/>
    <col min="9989" max="9989" width="5.7109375" style="1077" customWidth="1"/>
    <col min="9990" max="9990" width="6.28515625" style="1077" bestFit="1" customWidth="1"/>
    <col min="9991" max="9992" width="5.7109375" style="1077" customWidth="1"/>
    <col min="9993" max="9993" width="6.28515625" style="1077" customWidth="1"/>
    <col min="9994" max="9996" width="5.7109375" style="1077" customWidth="1"/>
    <col min="9997" max="9997" width="7.85546875" style="1077" bestFit="1" customWidth="1"/>
    <col min="9998" max="9998" width="9.5703125" style="1077" customWidth="1"/>
    <col min="9999" max="10000" width="6.7109375" style="1077" customWidth="1"/>
    <col min="10001" max="10001" width="8.28515625" style="1077" bestFit="1" customWidth="1"/>
    <col min="10002" max="10002" width="10.42578125" style="1077" bestFit="1" customWidth="1"/>
    <col min="10003" max="10003" width="2.7109375" style="1077" customWidth="1"/>
    <col min="10004" max="10004" width="5.42578125" style="1077" bestFit="1" customWidth="1"/>
    <col min="10005" max="10005" width="4.140625" style="1077" bestFit="1" customWidth="1"/>
    <col min="10006" max="10006" width="15.140625" style="1077" bestFit="1" customWidth="1"/>
    <col min="10007" max="10007" width="8.7109375" style="1077" bestFit="1" customWidth="1"/>
    <col min="10008" max="10008" width="5" style="1077" bestFit="1" customWidth="1"/>
    <col min="10009" max="10009" width="1.7109375" style="1077" customWidth="1"/>
    <col min="10010" max="10010" width="5.42578125" style="1077" bestFit="1" customWidth="1"/>
    <col min="10011" max="10011" width="4.140625" style="1077" bestFit="1" customWidth="1"/>
    <col min="10012" max="10012" width="23.7109375" style="1077" bestFit="1" customWidth="1"/>
    <col min="10013" max="10013" width="4.85546875" style="1077" bestFit="1" customWidth="1"/>
    <col min="10014" max="10014" width="5" style="1077" bestFit="1" customWidth="1"/>
    <col min="10015" max="10015" width="1.7109375" style="1077" customWidth="1"/>
    <col min="10016" max="10016" width="9.140625" style="1077"/>
    <col min="10017" max="10017" width="23.5703125" style="1077" bestFit="1" customWidth="1"/>
    <col min="10018" max="10240" width="9.140625" style="1077"/>
    <col min="10241" max="10241" width="3.28515625" style="1077" customWidth="1"/>
    <col min="10242" max="10242" width="1.7109375" style="1077" customWidth="1"/>
    <col min="10243" max="10243" width="5.7109375" style="1077" customWidth="1"/>
    <col min="10244" max="10244" width="7.28515625" style="1077" bestFit="1" customWidth="1"/>
    <col min="10245" max="10245" width="5.7109375" style="1077" customWidth="1"/>
    <col min="10246" max="10246" width="6.28515625" style="1077" bestFit="1" customWidth="1"/>
    <col min="10247" max="10248" width="5.7109375" style="1077" customWidth="1"/>
    <col min="10249" max="10249" width="6.28515625" style="1077" customWidth="1"/>
    <col min="10250" max="10252" width="5.7109375" style="1077" customWidth="1"/>
    <col min="10253" max="10253" width="7.85546875" style="1077" bestFit="1" customWidth="1"/>
    <col min="10254" max="10254" width="9.5703125" style="1077" customWidth="1"/>
    <col min="10255" max="10256" width="6.7109375" style="1077" customWidth="1"/>
    <col min="10257" max="10257" width="8.28515625" style="1077" bestFit="1" customWidth="1"/>
    <col min="10258" max="10258" width="10.42578125" style="1077" bestFit="1" customWidth="1"/>
    <col min="10259" max="10259" width="2.7109375" style="1077" customWidth="1"/>
    <col min="10260" max="10260" width="5.42578125" style="1077" bestFit="1" customWidth="1"/>
    <col min="10261" max="10261" width="4.140625" style="1077" bestFit="1" customWidth="1"/>
    <col min="10262" max="10262" width="15.140625" style="1077" bestFit="1" customWidth="1"/>
    <col min="10263" max="10263" width="8.7109375" style="1077" bestFit="1" customWidth="1"/>
    <col min="10264" max="10264" width="5" style="1077" bestFit="1" customWidth="1"/>
    <col min="10265" max="10265" width="1.7109375" style="1077" customWidth="1"/>
    <col min="10266" max="10266" width="5.42578125" style="1077" bestFit="1" customWidth="1"/>
    <col min="10267" max="10267" width="4.140625" style="1077" bestFit="1" customWidth="1"/>
    <col min="10268" max="10268" width="23.7109375" style="1077" bestFit="1" customWidth="1"/>
    <col min="10269" max="10269" width="4.85546875" style="1077" bestFit="1" customWidth="1"/>
    <col min="10270" max="10270" width="5" style="1077" bestFit="1" customWidth="1"/>
    <col min="10271" max="10271" width="1.7109375" style="1077" customWidth="1"/>
    <col min="10272" max="10272" width="9.140625" style="1077"/>
    <col min="10273" max="10273" width="23.5703125" style="1077" bestFit="1" customWidth="1"/>
    <col min="10274" max="10496" width="9.140625" style="1077"/>
    <col min="10497" max="10497" width="3.28515625" style="1077" customWidth="1"/>
    <col min="10498" max="10498" width="1.7109375" style="1077" customWidth="1"/>
    <col min="10499" max="10499" width="5.7109375" style="1077" customWidth="1"/>
    <col min="10500" max="10500" width="7.28515625" style="1077" bestFit="1" customWidth="1"/>
    <col min="10501" max="10501" width="5.7109375" style="1077" customWidth="1"/>
    <col min="10502" max="10502" width="6.28515625" style="1077" bestFit="1" customWidth="1"/>
    <col min="10503" max="10504" width="5.7109375" style="1077" customWidth="1"/>
    <col min="10505" max="10505" width="6.28515625" style="1077" customWidth="1"/>
    <col min="10506" max="10508" width="5.7109375" style="1077" customWidth="1"/>
    <col min="10509" max="10509" width="7.85546875" style="1077" bestFit="1" customWidth="1"/>
    <col min="10510" max="10510" width="9.5703125" style="1077" customWidth="1"/>
    <col min="10511" max="10512" width="6.7109375" style="1077" customWidth="1"/>
    <col min="10513" max="10513" width="8.28515625" style="1077" bestFit="1" customWidth="1"/>
    <col min="10514" max="10514" width="10.42578125" style="1077" bestFit="1" customWidth="1"/>
    <col min="10515" max="10515" width="2.7109375" style="1077" customWidth="1"/>
    <col min="10516" max="10516" width="5.42578125" style="1077" bestFit="1" customWidth="1"/>
    <col min="10517" max="10517" width="4.140625" style="1077" bestFit="1" customWidth="1"/>
    <col min="10518" max="10518" width="15.140625" style="1077" bestFit="1" customWidth="1"/>
    <col min="10519" max="10519" width="8.7109375" style="1077" bestFit="1" customWidth="1"/>
    <col min="10520" max="10520" width="5" style="1077" bestFit="1" customWidth="1"/>
    <col min="10521" max="10521" width="1.7109375" style="1077" customWidth="1"/>
    <col min="10522" max="10522" width="5.42578125" style="1077" bestFit="1" customWidth="1"/>
    <col min="10523" max="10523" width="4.140625" style="1077" bestFit="1" customWidth="1"/>
    <col min="10524" max="10524" width="23.7109375" style="1077" bestFit="1" customWidth="1"/>
    <col min="10525" max="10525" width="4.85546875" style="1077" bestFit="1" customWidth="1"/>
    <col min="10526" max="10526" width="5" style="1077" bestFit="1" customWidth="1"/>
    <col min="10527" max="10527" width="1.7109375" style="1077" customWidth="1"/>
    <col min="10528" max="10528" width="9.140625" style="1077"/>
    <col min="10529" max="10529" width="23.5703125" style="1077" bestFit="1" customWidth="1"/>
    <col min="10530" max="10752" width="9.140625" style="1077"/>
    <col min="10753" max="10753" width="3.28515625" style="1077" customWidth="1"/>
    <col min="10754" max="10754" width="1.7109375" style="1077" customWidth="1"/>
    <col min="10755" max="10755" width="5.7109375" style="1077" customWidth="1"/>
    <col min="10756" max="10756" width="7.28515625" style="1077" bestFit="1" customWidth="1"/>
    <col min="10757" max="10757" width="5.7109375" style="1077" customWidth="1"/>
    <col min="10758" max="10758" width="6.28515625" style="1077" bestFit="1" customWidth="1"/>
    <col min="10759" max="10760" width="5.7109375" style="1077" customWidth="1"/>
    <col min="10761" max="10761" width="6.28515625" style="1077" customWidth="1"/>
    <col min="10762" max="10764" width="5.7109375" style="1077" customWidth="1"/>
    <col min="10765" max="10765" width="7.85546875" style="1077" bestFit="1" customWidth="1"/>
    <col min="10766" max="10766" width="9.5703125" style="1077" customWidth="1"/>
    <col min="10767" max="10768" width="6.7109375" style="1077" customWidth="1"/>
    <col min="10769" max="10769" width="8.28515625" style="1077" bestFit="1" customWidth="1"/>
    <col min="10770" max="10770" width="10.42578125" style="1077" bestFit="1" customWidth="1"/>
    <col min="10771" max="10771" width="2.7109375" style="1077" customWidth="1"/>
    <col min="10772" max="10772" width="5.42578125" style="1077" bestFit="1" customWidth="1"/>
    <col min="10773" max="10773" width="4.140625" style="1077" bestFit="1" customWidth="1"/>
    <col min="10774" max="10774" width="15.140625" style="1077" bestFit="1" customWidth="1"/>
    <col min="10775" max="10775" width="8.7109375" style="1077" bestFit="1" customWidth="1"/>
    <col min="10776" max="10776" width="5" style="1077" bestFit="1" customWidth="1"/>
    <col min="10777" max="10777" width="1.7109375" style="1077" customWidth="1"/>
    <col min="10778" max="10778" width="5.42578125" style="1077" bestFit="1" customWidth="1"/>
    <col min="10779" max="10779" width="4.140625" style="1077" bestFit="1" customWidth="1"/>
    <col min="10780" max="10780" width="23.7109375" style="1077" bestFit="1" customWidth="1"/>
    <col min="10781" max="10781" width="4.85546875" style="1077" bestFit="1" customWidth="1"/>
    <col min="10782" max="10782" width="5" style="1077" bestFit="1" customWidth="1"/>
    <col min="10783" max="10783" width="1.7109375" style="1077" customWidth="1"/>
    <col min="10784" max="10784" width="9.140625" style="1077"/>
    <col min="10785" max="10785" width="23.5703125" style="1077" bestFit="1" customWidth="1"/>
    <col min="10786" max="11008" width="9.140625" style="1077"/>
    <col min="11009" max="11009" width="3.28515625" style="1077" customWidth="1"/>
    <col min="11010" max="11010" width="1.7109375" style="1077" customWidth="1"/>
    <col min="11011" max="11011" width="5.7109375" style="1077" customWidth="1"/>
    <col min="11012" max="11012" width="7.28515625" style="1077" bestFit="1" customWidth="1"/>
    <col min="11013" max="11013" width="5.7109375" style="1077" customWidth="1"/>
    <col min="11014" max="11014" width="6.28515625" style="1077" bestFit="1" customWidth="1"/>
    <col min="11015" max="11016" width="5.7109375" style="1077" customWidth="1"/>
    <col min="11017" max="11017" width="6.28515625" style="1077" customWidth="1"/>
    <col min="11018" max="11020" width="5.7109375" style="1077" customWidth="1"/>
    <col min="11021" max="11021" width="7.85546875" style="1077" bestFit="1" customWidth="1"/>
    <col min="11022" max="11022" width="9.5703125" style="1077" customWidth="1"/>
    <col min="11023" max="11024" width="6.7109375" style="1077" customWidth="1"/>
    <col min="11025" max="11025" width="8.28515625" style="1077" bestFit="1" customWidth="1"/>
    <col min="11026" max="11026" width="10.42578125" style="1077" bestFit="1" customWidth="1"/>
    <col min="11027" max="11027" width="2.7109375" style="1077" customWidth="1"/>
    <col min="11028" max="11028" width="5.42578125" style="1077" bestFit="1" customWidth="1"/>
    <col min="11029" max="11029" width="4.140625" style="1077" bestFit="1" customWidth="1"/>
    <col min="11030" max="11030" width="15.140625" style="1077" bestFit="1" customWidth="1"/>
    <col min="11031" max="11031" width="8.7109375" style="1077" bestFit="1" customWidth="1"/>
    <col min="11032" max="11032" width="5" style="1077" bestFit="1" customWidth="1"/>
    <col min="11033" max="11033" width="1.7109375" style="1077" customWidth="1"/>
    <col min="11034" max="11034" width="5.42578125" style="1077" bestFit="1" customWidth="1"/>
    <col min="11035" max="11035" width="4.140625" style="1077" bestFit="1" customWidth="1"/>
    <col min="11036" max="11036" width="23.7109375" style="1077" bestFit="1" customWidth="1"/>
    <col min="11037" max="11037" width="4.85546875" style="1077" bestFit="1" customWidth="1"/>
    <col min="11038" max="11038" width="5" style="1077" bestFit="1" customWidth="1"/>
    <col min="11039" max="11039" width="1.7109375" style="1077" customWidth="1"/>
    <col min="11040" max="11040" width="9.140625" style="1077"/>
    <col min="11041" max="11041" width="23.5703125" style="1077" bestFit="1" customWidth="1"/>
    <col min="11042" max="11264" width="9.140625" style="1077"/>
    <col min="11265" max="11265" width="3.28515625" style="1077" customWidth="1"/>
    <col min="11266" max="11266" width="1.7109375" style="1077" customWidth="1"/>
    <col min="11267" max="11267" width="5.7109375" style="1077" customWidth="1"/>
    <col min="11268" max="11268" width="7.28515625" style="1077" bestFit="1" customWidth="1"/>
    <col min="11269" max="11269" width="5.7109375" style="1077" customWidth="1"/>
    <col min="11270" max="11270" width="6.28515625" style="1077" bestFit="1" customWidth="1"/>
    <col min="11271" max="11272" width="5.7109375" style="1077" customWidth="1"/>
    <col min="11273" max="11273" width="6.28515625" style="1077" customWidth="1"/>
    <col min="11274" max="11276" width="5.7109375" style="1077" customWidth="1"/>
    <col min="11277" max="11277" width="7.85546875" style="1077" bestFit="1" customWidth="1"/>
    <col min="11278" max="11278" width="9.5703125" style="1077" customWidth="1"/>
    <col min="11279" max="11280" width="6.7109375" style="1077" customWidth="1"/>
    <col min="11281" max="11281" width="8.28515625" style="1077" bestFit="1" customWidth="1"/>
    <col min="11282" max="11282" width="10.42578125" style="1077" bestFit="1" customWidth="1"/>
    <col min="11283" max="11283" width="2.7109375" style="1077" customWidth="1"/>
    <col min="11284" max="11284" width="5.42578125" style="1077" bestFit="1" customWidth="1"/>
    <col min="11285" max="11285" width="4.140625" style="1077" bestFit="1" customWidth="1"/>
    <col min="11286" max="11286" width="15.140625" style="1077" bestFit="1" customWidth="1"/>
    <col min="11287" max="11287" width="8.7109375" style="1077" bestFit="1" customWidth="1"/>
    <col min="11288" max="11288" width="5" style="1077" bestFit="1" customWidth="1"/>
    <col min="11289" max="11289" width="1.7109375" style="1077" customWidth="1"/>
    <col min="11290" max="11290" width="5.42578125" style="1077" bestFit="1" customWidth="1"/>
    <col min="11291" max="11291" width="4.140625" style="1077" bestFit="1" customWidth="1"/>
    <col min="11292" max="11292" width="23.7109375" style="1077" bestFit="1" customWidth="1"/>
    <col min="11293" max="11293" width="4.85546875" style="1077" bestFit="1" customWidth="1"/>
    <col min="11294" max="11294" width="5" style="1077" bestFit="1" customWidth="1"/>
    <col min="11295" max="11295" width="1.7109375" style="1077" customWidth="1"/>
    <col min="11296" max="11296" width="9.140625" style="1077"/>
    <col min="11297" max="11297" width="23.5703125" style="1077" bestFit="1" customWidth="1"/>
    <col min="11298" max="11520" width="9.140625" style="1077"/>
    <col min="11521" max="11521" width="3.28515625" style="1077" customWidth="1"/>
    <col min="11522" max="11522" width="1.7109375" style="1077" customWidth="1"/>
    <col min="11523" max="11523" width="5.7109375" style="1077" customWidth="1"/>
    <col min="11524" max="11524" width="7.28515625" style="1077" bestFit="1" customWidth="1"/>
    <col min="11525" max="11525" width="5.7109375" style="1077" customWidth="1"/>
    <col min="11526" max="11526" width="6.28515625" style="1077" bestFit="1" customWidth="1"/>
    <col min="11527" max="11528" width="5.7109375" style="1077" customWidth="1"/>
    <col min="11529" max="11529" width="6.28515625" style="1077" customWidth="1"/>
    <col min="11530" max="11532" width="5.7109375" style="1077" customWidth="1"/>
    <col min="11533" max="11533" width="7.85546875" style="1077" bestFit="1" customWidth="1"/>
    <col min="11534" max="11534" width="9.5703125" style="1077" customWidth="1"/>
    <col min="11535" max="11536" width="6.7109375" style="1077" customWidth="1"/>
    <col min="11537" max="11537" width="8.28515625" style="1077" bestFit="1" customWidth="1"/>
    <col min="11538" max="11538" width="10.42578125" style="1077" bestFit="1" customWidth="1"/>
    <col min="11539" max="11539" width="2.7109375" style="1077" customWidth="1"/>
    <col min="11540" max="11540" width="5.42578125" style="1077" bestFit="1" customWidth="1"/>
    <col min="11541" max="11541" width="4.140625" style="1077" bestFit="1" customWidth="1"/>
    <col min="11542" max="11542" width="15.140625" style="1077" bestFit="1" customWidth="1"/>
    <col min="11543" max="11543" width="8.7109375" style="1077" bestFit="1" customWidth="1"/>
    <col min="11544" max="11544" width="5" style="1077" bestFit="1" customWidth="1"/>
    <col min="11545" max="11545" width="1.7109375" style="1077" customWidth="1"/>
    <col min="11546" max="11546" width="5.42578125" style="1077" bestFit="1" customWidth="1"/>
    <col min="11547" max="11547" width="4.140625" style="1077" bestFit="1" customWidth="1"/>
    <col min="11548" max="11548" width="23.7109375" style="1077" bestFit="1" customWidth="1"/>
    <col min="11549" max="11549" width="4.85546875" style="1077" bestFit="1" customWidth="1"/>
    <col min="11550" max="11550" width="5" style="1077" bestFit="1" customWidth="1"/>
    <col min="11551" max="11551" width="1.7109375" style="1077" customWidth="1"/>
    <col min="11552" max="11552" width="9.140625" style="1077"/>
    <col min="11553" max="11553" width="23.5703125" style="1077" bestFit="1" customWidth="1"/>
    <col min="11554" max="11776" width="9.140625" style="1077"/>
    <col min="11777" max="11777" width="3.28515625" style="1077" customWidth="1"/>
    <col min="11778" max="11778" width="1.7109375" style="1077" customWidth="1"/>
    <col min="11779" max="11779" width="5.7109375" style="1077" customWidth="1"/>
    <col min="11780" max="11780" width="7.28515625" style="1077" bestFit="1" customWidth="1"/>
    <col min="11781" max="11781" width="5.7109375" style="1077" customWidth="1"/>
    <col min="11782" max="11782" width="6.28515625" style="1077" bestFit="1" customWidth="1"/>
    <col min="11783" max="11784" width="5.7109375" style="1077" customWidth="1"/>
    <col min="11785" max="11785" width="6.28515625" style="1077" customWidth="1"/>
    <col min="11786" max="11788" width="5.7109375" style="1077" customWidth="1"/>
    <col min="11789" max="11789" width="7.85546875" style="1077" bestFit="1" customWidth="1"/>
    <col min="11790" max="11790" width="9.5703125" style="1077" customWidth="1"/>
    <col min="11791" max="11792" width="6.7109375" style="1077" customWidth="1"/>
    <col min="11793" max="11793" width="8.28515625" style="1077" bestFit="1" customWidth="1"/>
    <col min="11794" max="11794" width="10.42578125" style="1077" bestFit="1" customWidth="1"/>
    <col min="11795" max="11795" width="2.7109375" style="1077" customWidth="1"/>
    <col min="11796" max="11796" width="5.42578125" style="1077" bestFit="1" customWidth="1"/>
    <col min="11797" max="11797" width="4.140625" style="1077" bestFit="1" customWidth="1"/>
    <col min="11798" max="11798" width="15.140625" style="1077" bestFit="1" customWidth="1"/>
    <col min="11799" max="11799" width="8.7109375" style="1077" bestFit="1" customWidth="1"/>
    <col min="11800" max="11800" width="5" style="1077" bestFit="1" customWidth="1"/>
    <col min="11801" max="11801" width="1.7109375" style="1077" customWidth="1"/>
    <col min="11802" max="11802" width="5.42578125" style="1077" bestFit="1" customWidth="1"/>
    <col min="11803" max="11803" width="4.140625" style="1077" bestFit="1" customWidth="1"/>
    <col min="11804" max="11804" width="23.7109375" style="1077" bestFit="1" customWidth="1"/>
    <col min="11805" max="11805" width="4.85546875" style="1077" bestFit="1" customWidth="1"/>
    <col min="11806" max="11806" width="5" style="1077" bestFit="1" customWidth="1"/>
    <col min="11807" max="11807" width="1.7109375" style="1077" customWidth="1"/>
    <col min="11808" max="11808" width="9.140625" style="1077"/>
    <col min="11809" max="11809" width="23.5703125" style="1077" bestFit="1" customWidth="1"/>
    <col min="11810" max="12032" width="9.140625" style="1077"/>
    <col min="12033" max="12033" width="3.28515625" style="1077" customWidth="1"/>
    <col min="12034" max="12034" width="1.7109375" style="1077" customWidth="1"/>
    <col min="12035" max="12035" width="5.7109375" style="1077" customWidth="1"/>
    <col min="12036" max="12036" width="7.28515625" style="1077" bestFit="1" customWidth="1"/>
    <col min="12037" max="12037" width="5.7109375" style="1077" customWidth="1"/>
    <col min="12038" max="12038" width="6.28515625" style="1077" bestFit="1" customWidth="1"/>
    <col min="12039" max="12040" width="5.7109375" style="1077" customWidth="1"/>
    <col min="12041" max="12041" width="6.28515625" style="1077" customWidth="1"/>
    <col min="12042" max="12044" width="5.7109375" style="1077" customWidth="1"/>
    <col min="12045" max="12045" width="7.85546875" style="1077" bestFit="1" customWidth="1"/>
    <col min="12046" max="12046" width="9.5703125" style="1077" customWidth="1"/>
    <col min="12047" max="12048" width="6.7109375" style="1077" customWidth="1"/>
    <col min="12049" max="12049" width="8.28515625" style="1077" bestFit="1" customWidth="1"/>
    <col min="12050" max="12050" width="10.42578125" style="1077" bestFit="1" customWidth="1"/>
    <col min="12051" max="12051" width="2.7109375" style="1077" customWidth="1"/>
    <col min="12052" max="12052" width="5.42578125" style="1077" bestFit="1" customWidth="1"/>
    <col min="12053" max="12053" width="4.140625" style="1077" bestFit="1" customWidth="1"/>
    <col min="12054" max="12054" width="15.140625" style="1077" bestFit="1" customWidth="1"/>
    <col min="12055" max="12055" width="8.7109375" style="1077" bestFit="1" customWidth="1"/>
    <col min="12056" max="12056" width="5" style="1077" bestFit="1" customWidth="1"/>
    <col min="12057" max="12057" width="1.7109375" style="1077" customWidth="1"/>
    <col min="12058" max="12058" width="5.42578125" style="1077" bestFit="1" customWidth="1"/>
    <col min="12059" max="12059" width="4.140625" style="1077" bestFit="1" customWidth="1"/>
    <col min="12060" max="12060" width="23.7109375" style="1077" bestFit="1" customWidth="1"/>
    <col min="12061" max="12061" width="4.85546875" style="1077" bestFit="1" customWidth="1"/>
    <col min="12062" max="12062" width="5" style="1077" bestFit="1" customWidth="1"/>
    <col min="12063" max="12063" width="1.7109375" style="1077" customWidth="1"/>
    <col min="12064" max="12064" width="9.140625" style="1077"/>
    <col min="12065" max="12065" width="23.5703125" style="1077" bestFit="1" customWidth="1"/>
    <col min="12066" max="12288" width="9.140625" style="1077"/>
    <col min="12289" max="12289" width="3.28515625" style="1077" customWidth="1"/>
    <col min="12290" max="12290" width="1.7109375" style="1077" customWidth="1"/>
    <col min="12291" max="12291" width="5.7109375" style="1077" customWidth="1"/>
    <col min="12292" max="12292" width="7.28515625" style="1077" bestFit="1" customWidth="1"/>
    <col min="12293" max="12293" width="5.7109375" style="1077" customWidth="1"/>
    <col min="12294" max="12294" width="6.28515625" style="1077" bestFit="1" customWidth="1"/>
    <col min="12295" max="12296" width="5.7109375" style="1077" customWidth="1"/>
    <col min="12297" max="12297" width="6.28515625" style="1077" customWidth="1"/>
    <col min="12298" max="12300" width="5.7109375" style="1077" customWidth="1"/>
    <col min="12301" max="12301" width="7.85546875" style="1077" bestFit="1" customWidth="1"/>
    <col min="12302" max="12302" width="9.5703125" style="1077" customWidth="1"/>
    <col min="12303" max="12304" width="6.7109375" style="1077" customWidth="1"/>
    <col min="12305" max="12305" width="8.28515625" style="1077" bestFit="1" customWidth="1"/>
    <col min="12306" max="12306" width="10.42578125" style="1077" bestFit="1" customWidth="1"/>
    <col min="12307" max="12307" width="2.7109375" style="1077" customWidth="1"/>
    <col min="12308" max="12308" width="5.42578125" style="1077" bestFit="1" customWidth="1"/>
    <col min="12309" max="12309" width="4.140625" style="1077" bestFit="1" customWidth="1"/>
    <col min="12310" max="12310" width="15.140625" style="1077" bestFit="1" customWidth="1"/>
    <col min="12311" max="12311" width="8.7109375" style="1077" bestFit="1" customWidth="1"/>
    <col min="12312" max="12312" width="5" style="1077" bestFit="1" customWidth="1"/>
    <col min="12313" max="12313" width="1.7109375" style="1077" customWidth="1"/>
    <col min="12314" max="12314" width="5.42578125" style="1077" bestFit="1" customWidth="1"/>
    <col min="12315" max="12315" width="4.140625" style="1077" bestFit="1" customWidth="1"/>
    <col min="12316" max="12316" width="23.7109375" style="1077" bestFit="1" customWidth="1"/>
    <col min="12317" max="12317" width="4.85546875" style="1077" bestFit="1" customWidth="1"/>
    <col min="12318" max="12318" width="5" style="1077" bestFit="1" customWidth="1"/>
    <col min="12319" max="12319" width="1.7109375" style="1077" customWidth="1"/>
    <col min="12320" max="12320" width="9.140625" style="1077"/>
    <col min="12321" max="12321" width="23.5703125" style="1077" bestFit="1" customWidth="1"/>
    <col min="12322" max="12544" width="9.140625" style="1077"/>
    <col min="12545" max="12545" width="3.28515625" style="1077" customWidth="1"/>
    <col min="12546" max="12546" width="1.7109375" style="1077" customWidth="1"/>
    <col min="12547" max="12547" width="5.7109375" style="1077" customWidth="1"/>
    <col min="12548" max="12548" width="7.28515625" style="1077" bestFit="1" customWidth="1"/>
    <col min="12549" max="12549" width="5.7109375" style="1077" customWidth="1"/>
    <col min="12550" max="12550" width="6.28515625" style="1077" bestFit="1" customWidth="1"/>
    <col min="12551" max="12552" width="5.7109375" style="1077" customWidth="1"/>
    <col min="12553" max="12553" width="6.28515625" style="1077" customWidth="1"/>
    <col min="12554" max="12556" width="5.7109375" style="1077" customWidth="1"/>
    <col min="12557" max="12557" width="7.85546875" style="1077" bestFit="1" customWidth="1"/>
    <col min="12558" max="12558" width="9.5703125" style="1077" customWidth="1"/>
    <col min="12559" max="12560" width="6.7109375" style="1077" customWidth="1"/>
    <col min="12561" max="12561" width="8.28515625" style="1077" bestFit="1" customWidth="1"/>
    <col min="12562" max="12562" width="10.42578125" style="1077" bestFit="1" customWidth="1"/>
    <col min="12563" max="12563" width="2.7109375" style="1077" customWidth="1"/>
    <col min="12564" max="12564" width="5.42578125" style="1077" bestFit="1" customWidth="1"/>
    <col min="12565" max="12565" width="4.140625" style="1077" bestFit="1" customWidth="1"/>
    <col min="12566" max="12566" width="15.140625" style="1077" bestFit="1" customWidth="1"/>
    <col min="12567" max="12567" width="8.7109375" style="1077" bestFit="1" customWidth="1"/>
    <col min="12568" max="12568" width="5" style="1077" bestFit="1" customWidth="1"/>
    <col min="12569" max="12569" width="1.7109375" style="1077" customWidth="1"/>
    <col min="12570" max="12570" width="5.42578125" style="1077" bestFit="1" customWidth="1"/>
    <col min="12571" max="12571" width="4.140625" style="1077" bestFit="1" customWidth="1"/>
    <col min="12572" max="12572" width="23.7109375" style="1077" bestFit="1" customWidth="1"/>
    <col min="12573" max="12573" width="4.85546875" style="1077" bestFit="1" customWidth="1"/>
    <col min="12574" max="12574" width="5" style="1077" bestFit="1" customWidth="1"/>
    <col min="12575" max="12575" width="1.7109375" style="1077" customWidth="1"/>
    <col min="12576" max="12576" width="9.140625" style="1077"/>
    <col min="12577" max="12577" width="23.5703125" style="1077" bestFit="1" customWidth="1"/>
    <col min="12578" max="12800" width="9.140625" style="1077"/>
    <col min="12801" max="12801" width="3.28515625" style="1077" customWidth="1"/>
    <col min="12802" max="12802" width="1.7109375" style="1077" customWidth="1"/>
    <col min="12803" max="12803" width="5.7109375" style="1077" customWidth="1"/>
    <col min="12804" max="12804" width="7.28515625" style="1077" bestFit="1" customWidth="1"/>
    <col min="12805" max="12805" width="5.7109375" style="1077" customWidth="1"/>
    <col min="12806" max="12806" width="6.28515625" style="1077" bestFit="1" customWidth="1"/>
    <col min="12807" max="12808" width="5.7109375" style="1077" customWidth="1"/>
    <col min="12809" max="12809" width="6.28515625" style="1077" customWidth="1"/>
    <col min="12810" max="12812" width="5.7109375" style="1077" customWidth="1"/>
    <col min="12813" max="12813" width="7.85546875" style="1077" bestFit="1" customWidth="1"/>
    <col min="12814" max="12814" width="9.5703125" style="1077" customWidth="1"/>
    <col min="12815" max="12816" width="6.7109375" style="1077" customWidth="1"/>
    <col min="12817" max="12817" width="8.28515625" style="1077" bestFit="1" customWidth="1"/>
    <col min="12818" max="12818" width="10.42578125" style="1077" bestFit="1" customWidth="1"/>
    <col min="12819" max="12819" width="2.7109375" style="1077" customWidth="1"/>
    <col min="12820" max="12820" width="5.42578125" style="1077" bestFit="1" customWidth="1"/>
    <col min="12821" max="12821" width="4.140625" style="1077" bestFit="1" customWidth="1"/>
    <col min="12822" max="12822" width="15.140625" style="1077" bestFit="1" customWidth="1"/>
    <col min="12823" max="12823" width="8.7109375" style="1077" bestFit="1" customWidth="1"/>
    <col min="12824" max="12824" width="5" style="1077" bestFit="1" customWidth="1"/>
    <col min="12825" max="12825" width="1.7109375" style="1077" customWidth="1"/>
    <col min="12826" max="12826" width="5.42578125" style="1077" bestFit="1" customWidth="1"/>
    <col min="12827" max="12827" width="4.140625" style="1077" bestFit="1" customWidth="1"/>
    <col min="12828" max="12828" width="23.7109375" style="1077" bestFit="1" customWidth="1"/>
    <col min="12829" max="12829" width="4.85546875" style="1077" bestFit="1" customWidth="1"/>
    <col min="12830" max="12830" width="5" style="1077" bestFit="1" customWidth="1"/>
    <col min="12831" max="12831" width="1.7109375" style="1077" customWidth="1"/>
    <col min="12832" max="12832" width="9.140625" style="1077"/>
    <col min="12833" max="12833" width="23.5703125" style="1077" bestFit="1" customWidth="1"/>
    <col min="12834" max="13056" width="9.140625" style="1077"/>
    <col min="13057" max="13057" width="3.28515625" style="1077" customWidth="1"/>
    <col min="13058" max="13058" width="1.7109375" style="1077" customWidth="1"/>
    <col min="13059" max="13059" width="5.7109375" style="1077" customWidth="1"/>
    <col min="13060" max="13060" width="7.28515625" style="1077" bestFit="1" customWidth="1"/>
    <col min="13061" max="13061" width="5.7109375" style="1077" customWidth="1"/>
    <col min="13062" max="13062" width="6.28515625" style="1077" bestFit="1" customWidth="1"/>
    <col min="13063" max="13064" width="5.7109375" style="1077" customWidth="1"/>
    <col min="13065" max="13065" width="6.28515625" style="1077" customWidth="1"/>
    <col min="13066" max="13068" width="5.7109375" style="1077" customWidth="1"/>
    <col min="13069" max="13069" width="7.85546875" style="1077" bestFit="1" customWidth="1"/>
    <col min="13070" max="13070" width="9.5703125" style="1077" customWidth="1"/>
    <col min="13071" max="13072" width="6.7109375" style="1077" customWidth="1"/>
    <col min="13073" max="13073" width="8.28515625" style="1077" bestFit="1" customWidth="1"/>
    <col min="13074" max="13074" width="10.42578125" style="1077" bestFit="1" customWidth="1"/>
    <col min="13075" max="13075" width="2.7109375" style="1077" customWidth="1"/>
    <col min="13076" max="13076" width="5.42578125" style="1077" bestFit="1" customWidth="1"/>
    <col min="13077" max="13077" width="4.140625" style="1077" bestFit="1" customWidth="1"/>
    <col min="13078" max="13078" width="15.140625" style="1077" bestFit="1" customWidth="1"/>
    <col min="13079" max="13079" width="8.7109375" style="1077" bestFit="1" customWidth="1"/>
    <col min="13080" max="13080" width="5" style="1077" bestFit="1" customWidth="1"/>
    <col min="13081" max="13081" width="1.7109375" style="1077" customWidth="1"/>
    <col min="13082" max="13082" width="5.42578125" style="1077" bestFit="1" customWidth="1"/>
    <col min="13083" max="13083" width="4.140625" style="1077" bestFit="1" customWidth="1"/>
    <col min="13084" max="13084" width="23.7109375" style="1077" bestFit="1" customWidth="1"/>
    <col min="13085" max="13085" width="4.85546875" style="1077" bestFit="1" customWidth="1"/>
    <col min="13086" max="13086" width="5" style="1077" bestFit="1" customWidth="1"/>
    <col min="13087" max="13087" width="1.7109375" style="1077" customWidth="1"/>
    <col min="13088" max="13088" width="9.140625" style="1077"/>
    <col min="13089" max="13089" width="23.5703125" style="1077" bestFit="1" customWidth="1"/>
    <col min="13090" max="13312" width="9.140625" style="1077"/>
    <col min="13313" max="13313" width="3.28515625" style="1077" customWidth="1"/>
    <col min="13314" max="13314" width="1.7109375" style="1077" customWidth="1"/>
    <col min="13315" max="13315" width="5.7109375" style="1077" customWidth="1"/>
    <col min="13316" max="13316" width="7.28515625" style="1077" bestFit="1" customWidth="1"/>
    <col min="13317" max="13317" width="5.7109375" style="1077" customWidth="1"/>
    <col min="13318" max="13318" width="6.28515625" style="1077" bestFit="1" customWidth="1"/>
    <col min="13319" max="13320" width="5.7109375" style="1077" customWidth="1"/>
    <col min="13321" max="13321" width="6.28515625" style="1077" customWidth="1"/>
    <col min="13322" max="13324" width="5.7109375" style="1077" customWidth="1"/>
    <col min="13325" max="13325" width="7.85546875" style="1077" bestFit="1" customWidth="1"/>
    <col min="13326" max="13326" width="9.5703125" style="1077" customWidth="1"/>
    <col min="13327" max="13328" width="6.7109375" style="1077" customWidth="1"/>
    <col min="13329" max="13329" width="8.28515625" style="1077" bestFit="1" customWidth="1"/>
    <col min="13330" max="13330" width="10.42578125" style="1077" bestFit="1" customWidth="1"/>
    <col min="13331" max="13331" width="2.7109375" style="1077" customWidth="1"/>
    <col min="13332" max="13332" width="5.42578125" style="1077" bestFit="1" customWidth="1"/>
    <col min="13333" max="13333" width="4.140625" style="1077" bestFit="1" customWidth="1"/>
    <col min="13334" max="13334" width="15.140625" style="1077" bestFit="1" customWidth="1"/>
    <col min="13335" max="13335" width="8.7109375" style="1077" bestFit="1" customWidth="1"/>
    <col min="13336" max="13336" width="5" style="1077" bestFit="1" customWidth="1"/>
    <col min="13337" max="13337" width="1.7109375" style="1077" customWidth="1"/>
    <col min="13338" max="13338" width="5.42578125" style="1077" bestFit="1" customWidth="1"/>
    <col min="13339" max="13339" width="4.140625" style="1077" bestFit="1" customWidth="1"/>
    <col min="13340" max="13340" width="23.7109375" style="1077" bestFit="1" customWidth="1"/>
    <col min="13341" max="13341" width="4.85546875" style="1077" bestFit="1" customWidth="1"/>
    <col min="13342" max="13342" width="5" style="1077" bestFit="1" customWidth="1"/>
    <col min="13343" max="13343" width="1.7109375" style="1077" customWidth="1"/>
    <col min="13344" max="13344" width="9.140625" style="1077"/>
    <col min="13345" max="13345" width="23.5703125" style="1077" bestFit="1" customWidth="1"/>
    <col min="13346" max="13568" width="9.140625" style="1077"/>
    <col min="13569" max="13569" width="3.28515625" style="1077" customWidth="1"/>
    <col min="13570" max="13570" width="1.7109375" style="1077" customWidth="1"/>
    <col min="13571" max="13571" width="5.7109375" style="1077" customWidth="1"/>
    <col min="13572" max="13572" width="7.28515625" style="1077" bestFit="1" customWidth="1"/>
    <col min="13573" max="13573" width="5.7109375" style="1077" customWidth="1"/>
    <col min="13574" max="13574" width="6.28515625" style="1077" bestFit="1" customWidth="1"/>
    <col min="13575" max="13576" width="5.7109375" style="1077" customWidth="1"/>
    <col min="13577" max="13577" width="6.28515625" style="1077" customWidth="1"/>
    <col min="13578" max="13580" width="5.7109375" style="1077" customWidth="1"/>
    <col min="13581" max="13581" width="7.85546875" style="1077" bestFit="1" customWidth="1"/>
    <col min="13582" max="13582" width="9.5703125" style="1077" customWidth="1"/>
    <col min="13583" max="13584" width="6.7109375" style="1077" customWidth="1"/>
    <col min="13585" max="13585" width="8.28515625" style="1077" bestFit="1" customWidth="1"/>
    <col min="13586" max="13586" width="10.42578125" style="1077" bestFit="1" customWidth="1"/>
    <col min="13587" max="13587" width="2.7109375" style="1077" customWidth="1"/>
    <col min="13588" max="13588" width="5.42578125" style="1077" bestFit="1" customWidth="1"/>
    <col min="13589" max="13589" width="4.140625" style="1077" bestFit="1" customWidth="1"/>
    <col min="13590" max="13590" width="15.140625" style="1077" bestFit="1" customWidth="1"/>
    <col min="13591" max="13591" width="8.7109375" style="1077" bestFit="1" customWidth="1"/>
    <col min="13592" max="13592" width="5" style="1077" bestFit="1" customWidth="1"/>
    <col min="13593" max="13593" width="1.7109375" style="1077" customWidth="1"/>
    <col min="13594" max="13594" width="5.42578125" style="1077" bestFit="1" customWidth="1"/>
    <col min="13595" max="13595" width="4.140625" style="1077" bestFit="1" customWidth="1"/>
    <col min="13596" max="13596" width="23.7109375" style="1077" bestFit="1" customWidth="1"/>
    <col min="13597" max="13597" width="4.85546875" style="1077" bestFit="1" customWidth="1"/>
    <col min="13598" max="13598" width="5" style="1077" bestFit="1" customWidth="1"/>
    <col min="13599" max="13599" width="1.7109375" style="1077" customWidth="1"/>
    <col min="13600" max="13600" width="9.140625" style="1077"/>
    <col min="13601" max="13601" width="23.5703125" style="1077" bestFit="1" customWidth="1"/>
    <col min="13602" max="13824" width="9.140625" style="1077"/>
    <col min="13825" max="13825" width="3.28515625" style="1077" customWidth="1"/>
    <col min="13826" max="13826" width="1.7109375" style="1077" customWidth="1"/>
    <col min="13827" max="13827" width="5.7109375" style="1077" customWidth="1"/>
    <col min="13828" max="13828" width="7.28515625" style="1077" bestFit="1" customWidth="1"/>
    <col min="13829" max="13829" width="5.7109375" style="1077" customWidth="1"/>
    <col min="13830" max="13830" width="6.28515625" style="1077" bestFit="1" customWidth="1"/>
    <col min="13831" max="13832" width="5.7109375" style="1077" customWidth="1"/>
    <col min="13833" max="13833" width="6.28515625" style="1077" customWidth="1"/>
    <col min="13834" max="13836" width="5.7109375" style="1077" customWidth="1"/>
    <col min="13837" max="13837" width="7.85546875" style="1077" bestFit="1" customWidth="1"/>
    <col min="13838" max="13838" width="9.5703125" style="1077" customWidth="1"/>
    <col min="13839" max="13840" width="6.7109375" style="1077" customWidth="1"/>
    <col min="13841" max="13841" width="8.28515625" style="1077" bestFit="1" customWidth="1"/>
    <col min="13842" max="13842" width="10.42578125" style="1077" bestFit="1" customWidth="1"/>
    <col min="13843" max="13843" width="2.7109375" style="1077" customWidth="1"/>
    <col min="13844" max="13844" width="5.42578125" style="1077" bestFit="1" customWidth="1"/>
    <col min="13845" max="13845" width="4.140625" style="1077" bestFit="1" customWidth="1"/>
    <col min="13846" max="13846" width="15.140625" style="1077" bestFit="1" customWidth="1"/>
    <col min="13847" max="13847" width="8.7109375" style="1077" bestFit="1" customWidth="1"/>
    <col min="13848" max="13848" width="5" style="1077" bestFit="1" customWidth="1"/>
    <col min="13849" max="13849" width="1.7109375" style="1077" customWidth="1"/>
    <col min="13850" max="13850" width="5.42578125" style="1077" bestFit="1" customWidth="1"/>
    <col min="13851" max="13851" width="4.140625" style="1077" bestFit="1" customWidth="1"/>
    <col min="13852" max="13852" width="23.7109375" style="1077" bestFit="1" customWidth="1"/>
    <col min="13853" max="13853" width="4.85546875" style="1077" bestFit="1" customWidth="1"/>
    <col min="13854" max="13854" width="5" style="1077" bestFit="1" customWidth="1"/>
    <col min="13855" max="13855" width="1.7109375" style="1077" customWidth="1"/>
    <col min="13856" max="13856" width="9.140625" style="1077"/>
    <col min="13857" max="13857" width="23.5703125" style="1077" bestFit="1" customWidth="1"/>
    <col min="13858" max="14080" width="9.140625" style="1077"/>
    <col min="14081" max="14081" width="3.28515625" style="1077" customWidth="1"/>
    <col min="14082" max="14082" width="1.7109375" style="1077" customWidth="1"/>
    <col min="14083" max="14083" width="5.7109375" style="1077" customWidth="1"/>
    <col min="14084" max="14084" width="7.28515625" style="1077" bestFit="1" customWidth="1"/>
    <col min="14085" max="14085" width="5.7109375" style="1077" customWidth="1"/>
    <col min="14086" max="14086" width="6.28515625" style="1077" bestFit="1" customWidth="1"/>
    <col min="14087" max="14088" width="5.7109375" style="1077" customWidth="1"/>
    <col min="14089" max="14089" width="6.28515625" style="1077" customWidth="1"/>
    <col min="14090" max="14092" width="5.7109375" style="1077" customWidth="1"/>
    <col min="14093" max="14093" width="7.85546875" style="1077" bestFit="1" customWidth="1"/>
    <col min="14094" max="14094" width="9.5703125" style="1077" customWidth="1"/>
    <col min="14095" max="14096" width="6.7109375" style="1077" customWidth="1"/>
    <col min="14097" max="14097" width="8.28515625" style="1077" bestFit="1" customWidth="1"/>
    <col min="14098" max="14098" width="10.42578125" style="1077" bestFit="1" customWidth="1"/>
    <col min="14099" max="14099" width="2.7109375" style="1077" customWidth="1"/>
    <col min="14100" max="14100" width="5.42578125" style="1077" bestFit="1" customWidth="1"/>
    <col min="14101" max="14101" width="4.140625" style="1077" bestFit="1" customWidth="1"/>
    <col min="14102" max="14102" width="15.140625" style="1077" bestFit="1" customWidth="1"/>
    <col min="14103" max="14103" width="8.7109375" style="1077" bestFit="1" customWidth="1"/>
    <col min="14104" max="14104" width="5" style="1077" bestFit="1" customWidth="1"/>
    <col min="14105" max="14105" width="1.7109375" style="1077" customWidth="1"/>
    <col min="14106" max="14106" width="5.42578125" style="1077" bestFit="1" customWidth="1"/>
    <col min="14107" max="14107" width="4.140625" style="1077" bestFit="1" customWidth="1"/>
    <col min="14108" max="14108" width="23.7109375" style="1077" bestFit="1" customWidth="1"/>
    <col min="14109" max="14109" width="4.85546875" style="1077" bestFit="1" customWidth="1"/>
    <col min="14110" max="14110" width="5" style="1077" bestFit="1" customWidth="1"/>
    <col min="14111" max="14111" width="1.7109375" style="1077" customWidth="1"/>
    <col min="14112" max="14112" width="9.140625" style="1077"/>
    <col min="14113" max="14113" width="23.5703125" style="1077" bestFit="1" customWidth="1"/>
    <col min="14114" max="14336" width="9.140625" style="1077"/>
    <col min="14337" max="14337" width="3.28515625" style="1077" customWidth="1"/>
    <col min="14338" max="14338" width="1.7109375" style="1077" customWidth="1"/>
    <col min="14339" max="14339" width="5.7109375" style="1077" customWidth="1"/>
    <col min="14340" max="14340" width="7.28515625" style="1077" bestFit="1" customWidth="1"/>
    <col min="14341" max="14341" width="5.7109375" style="1077" customWidth="1"/>
    <col min="14342" max="14342" width="6.28515625" style="1077" bestFit="1" customWidth="1"/>
    <col min="14343" max="14344" width="5.7109375" style="1077" customWidth="1"/>
    <col min="14345" max="14345" width="6.28515625" style="1077" customWidth="1"/>
    <col min="14346" max="14348" width="5.7109375" style="1077" customWidth="1"/>
    <col min="14349" max="14349" width="7.85546875" style="1077" bestFit="1" customWidth="1"/>
    <col min="14350" max="14350" width="9.5703125" style="1077" customWidth="1"/>
    <col min="14351" max="14352" width="6.7109375" style="1077" customWidth="1"/>
    <col min="14353" max="14353" width="8.28515625" style="1077" bestFit="1" customWidth="1"/>
    <col min="14354" max="14354" width="10.42578125" style="1077" bestFit="1" customWidth="1"/>
    <col min="14355" max="14355" width="2.7109375" style="1077" customWidth="1"/>
    <col min="14356" max="14356" width="5.42578125" style="1077" bestFit="1" customWidth="1"/>
    <col min="14357" max="14357" width="4.140625" style="1077" bestFit="1" customWidth="1"/>
    <col min="14358" max="14358" width="15.140625" style="1077" bestFit="1" customWidth="1"/>
    <col min="14359" max="14359" width="8.7109375" style="1077" bestFit="1" customWidth="1"/>
    <col min="14360" max="14360" width="5" style="1077" bestFit="1" customWidth="1"/>
    <col min="14361" max="14361" width="1.7109375" style="1077" customWidth="1"/>
    <col min="14362" max="14362" width="5.42578125" style="1077" bestFit="1" customWidth="1"/>
    <col min="14363" max="14363" width="4.140625" style="1077" bestFit="1" customWidth="1"/>
    <col min="14364" max="14364" width="23.7109375" style="1077" bestFit="1" customWidth="1"/>
    <col min="14365" max="14365" width="4.85546875" style="1077" bestFit="1" customWidth="1"/>
    <col min="14366" max="14366" width="5" style="1077" bestFit="1" customWidth="1"/>
    <col min="14367" max="14367" width="1.7109375" style="1077" customWidth="1"/>
    <col min="14368" max="14368" width="9.140625" style="1077"/>
    <col min="14369" max="14369" width="23.5703125" style="1077" bestFit="1" customWidth="1"/>
    <col min="14370" max="14592" width="9.140625" style="1077"/>
    <col min="14593" max="14593" width="3.28515625" style="1077" customWidth="1"/>
    <col min="14594" max="14594" width="1.7109375" style="1077" customWidth="1"/>
    <col min="14595" max="14595" width="5.7109375" style="1077" customWidth="1"/>
    <col min="14596" max="14596" width="7.28515625" style="1077" bestFit="1" customWidth="1"/>
    <col min="14597" max="14597" width="5.7109375" style="1077" customWidth="1"/>
    <col min="14598" max="14598" width="6.28515625" style="1077" bestFit="1" customWidth="1"/>
    <col min="14599" max="14600" width="5.7109375" style="1077" customWidth="1"/>
    <col min="14601" max="14601" width="6.28515625" style="1077" customWidth="1"/>
    <col min="14602" max="14604" width="5.7109375" style="1077" customWidth="1"/>
    <col min="14605" max="14605" width="7.85546875" style="1077" bestFit="1" customWidth="1"/>
    <col min="14606" max="14606" width="9.5703125" style="1077" customWidth="1"/>
    <col min="14607" max="14608" width="6.7109375" style="1077" customWidth="1"/>
    <col min="14609" max="14609" width="8.28515625" style="1077" bestFit="1" customWidth="1"/>
    <col min="14610" max="14610" width="10.42578125" style="1077" bestFit="1" customWidth="1"/>
    <col min="14611" max="14611" width="2.7109375" style="1077" customWidth="1"/>
    <col min="14612" max="14612" width="5.42578125" style="1077" bestFit="1" customWidth="1"/>
    <col min="14613" max="14613" width="4.140625" style="1077" bestFit="1" customWidth="1"/>
    <col min="14614" max="14614" width="15.140625" style="1077" bestFit="1" customWidth="1"/>
    <col min="14615" max="14615" width="8.7109375" style="1077" bestFit="1" customWidth="1"/>
    <col min="14616" max="14616" width="5" style="1077" bestFit="1" customWidth="1"/>
    <col min="14617" max="14617" width="1.7109375" style="1077" customWidth="1"/>
    <col min="14618" max="14618" width="5.42578125" style="1077" bestFit="1" customWidth="1"/>
    <col min="14619" max="14619" width="4.140625" style="1077" bestFit="1" customWidth="1"/>
    <col min="14620" max="14620" width="23.7109375" style="1077" bestFit="1" customWidth="1"/>
    <col min="14621" max="14621" width="4.85546875" style="1077" bestFit="1" customWidth="1"/>
    <col min="14622" max="14622" width="5" style="1077" bestFit="1" customWidth="1"/>
    <col min="14623" max="14623" width="1.7109375" style="1077" customWidth="1"/>
    <col min="14624" max="14624" width="9.140625" style="1077"/>
    <col min="14625" max="14625" width="23.5703125" style="1077" bestFit="1" customWidth="1"/>
    <col min="14626" max="14848" width="9.140625" style="1077"/>
    <col min="14849" max="14849" width="3.28515625" style="1077" customWidth="1"/>
    <col min="14850" max="14850" width="1.7109375" style="1077" customWidth="1"/>
    <col min="14851" max="14851" width="5.7109375" style="1077" customWidth="1"/>
    <col min="14852" max="14852" width="7.28515625" style="1077" bestFit="1" customWidth="1"/>
    <col min="14853" max="14853" width="5.7109375" style="1077" customWidth="1"/>
    <col min="14854" max="14854" width="6.28515625" style="1077" bestFit="1" customWidth="1"/>
    <col min="14855" max="14856" width="5.7109375" style="1077" customWidth="1"/>
    <col min="14857" max="14857" width="6.28515625" style="1077" customWidth="1"/>
    <col min="14858" max="14860" width="5.7109375" style="1077" customWidth="1"/>
    <col min="14861" max="14861" width="7.85546875" style="1077" bestFit="1" customWidth="1"/>
    <col min="14862" max="14862" width="9.5703125" style="1077" customWidth="1"/>
    <col min="14863" max="14864" width="6.7109375" style="1077" customWidth="1"/>
    <col min="14865" max="14865" width="8.28515625" style="1077" bestFit="1" customWidth="1"/>
    <col min="14866" max="14866" width="10.42578125" style="1077" bestFit="1" customWidth="1"/>
    <col min="14867" max="14867" width="2.7109375" style="1077" customWidth="1"/>
    <col min="14868" max="14868" width="5.42578125" style="1077" bestFit="1" customWidth="1"/>
    <col min="14869" max="14869" width="4.140625" style="1077" bestFit="1" customWidth="1"/>
    <col min="14870" max="14870" width="15.140625" style="1077" bestFit="1" customWidth="1"/>
    <col min="14871" max="14871" width="8.7109375" style="1077" bestFit="1" customWidth="1"/>
    <col min="14872" max="14872" width="5" style="1077" bestFit="1" customWidth="1"/>
    <col min="14873" max="14873" width="1.7109375" style="1077" customWidth="1"/>
    <col min="14874" max="14874" width="5.42578125" style="1077" bestFit="1" customWidth="1"/>
    <col min="14875" max="14875" width="4.140625" style="1077" bestFit="1" customWidth="1"/>
    <col min="14876" max="14876" width="23.7109375" style="1077" bestFit="1" customWidth="1"/>
    <col min="14877" max="14877" width="4.85546875" style="1077" bestFit="1" customWidth="1"/>
    <col min="14878" max="14878" width="5" style="1077" bestFit="1" customWidth="1"/>
    <col min="14879" max="14879" width="1.7109375" style="1077" customWidth="1"/>
    <col min="14880" max="14880" width="9.140625" style="1077"/>
    <col min="14881" max="14881" width="23.5703125" style="1077" bestFit="1" customWidth="1"/>
    <col min="14882" max="15104" width="9.140625" style="1077"/>
    <col min="15105" max="15105" width="3.28515625" style="1077" customWidth="1"/>
    <col min="15106" max="15106" width="1.7109375" style="1077" customWidth="1"/>
    <col min="15107" max="15107" width="5.7109375" style="1077" customWidth="1"/>
    <col min="15108" max="15108" width="7.28515625" style="1077" bestFit="1" customWidth="1"/>
    <col min="15109" max="15109" width="5.7109375" style="1077" customWidth="1"/>
    <col min="15110" max="15110" width="6.28515625" style="1077" bestFit="1" customWidth="1"/>
    <col min="15111" max="15112" width="5.7109375" style="1077" customWidth="1"/>
    <col min="15113" max="15113" width="6.28515625" style="1077" customWidth="1"/>
    <col min="15114" max="15116" width="5.7109375" style="1077" customWidth="1"/>
    <col min="15117" max="15117" width="7.85546875" style="1077" bestFit="1" customWidth="1"/>
    <col min="15118" max="15118" width="9.5703125" style="1077" customWidth="1"/>
    <col min="15119" max="15120" width="6.7109375" style="1077" customWidth="1"/>
    <col min="15121" max="15121" width="8.28515625" style="1077" bestFit="1" customWidth="1"/>
    <col min="15122" max="15122" width="10.42578125" style="1077" bestFit="1" customWidth="1"/>
    <col min="15123" max="15123" width="2.7109375" style="1077" customWidth="1"/>
    <col min="15124" max="15124" width="5.42578125" style="1077" bestFit="1" customWidth="1"/>
    <col min="15125" max="15125" width="4.140625" style="1077" bestFit="1" customWidth="1"/>
    <col min="15126" max="15126" width="15.140625" style="1077" bestFit="1" customWidth="1"/>
    <col min="15127" max="15127" width="8.7109375" style="1077" bestFit="1" customWidth="1"/>
    <col min="15128" max="15128" width="5" style="1077" bestFit="1" customWidth="1"/>
    <col min="15129" max="15129" width="1.7109375" style="1077" customWidth="1"/>
    <col min="15130" max="15130" width="5.42578125" style="1077" bestFit="1" customWidth="1"/>
    <col min="15131" max="15131" width="4.140625" style="1077" bestFit="1" customWidth="1"/>
    <col min="15132" max="15132" width="23.7109375" style="1077" bestFit="1" customWidth="1"/>
    <col min="15133" max="15133" width="4.85546875" style="1077" bestFit="1" customWidth="1"/>
    <col min="15134" max="15134" width="5" style="1077" bestFit="1" customWidth="1"/>
    <col min="15135" max="15135" width="1.7109375" style="1077" customWidth="1"/>
    <col min="15136" max="15136" width="9.140625" style="1077"/>
    <col min="15137" max="15137" width="23.5703125" style="1077" bestFit="1" customWidth="1"/>
    <col min="15138" max="15360" width="9.140625" style="1077"/>
    <col min="15361" max="15361" width="3.28515625" style="1077" customWidth="1"/>
    <col min="15362" max="15362" width="1.7109375" style="1077" customWidth="1"/>
    <col min="15363" max="15363" width="5.7109375" style="1077" customWidth="1"/>
    <col min="15364" max="15364" width="7.28515625" style="1077" bestFit="1" customWidth="1"/>
    <col min="15365" max="15365" width="5.7109375" style="1077" customWidth="1"/>
    <col min="15366" max="15366" width="6.28515625" style="1077" bestFit="1" customWidth="1"/>
    <col min="15367" max="15368" width="5.7109375" style="1077" customWidth="1"/>
    <col min="15369" max="15369" width="6.28515625" style="1077" customWidth="1"/>
    <col min="15370" max="15372" width="5.7109375" style="1077" customWidth="1"/>
    <col min="15373" max="15373" width="7.85546875" style="1077" bestFit="1" customWidth="1"/>
    <col min="15374" max="15374" width="9.5703125" style="1077" customWidth="1"/>
    <col min="15375" max="15376" width="6.7109375" style="1077" customWidth="1"/>
    <col min="15377" max="15377" width="8.28515625" style="1077" bestFit="1" customWidth="1"/>
    <col min="15378" max="15378" width="10.42578125" style="1077" bestFit="1" customWidth="1"/>
    <col min="15379" max="15379" width="2.7109375" style="1077" customWidth="1"/>
    <col min="15380" max="15380" width="5.42578125" style="1077" bestFit="1" customWidth="1"/>
    <col min="15381" max="15381" width="4.140625" style="1077" bestFit="1" customWidth="1"/>
    <col min="15382" max="15382" width="15.140625" style="1077" bestFit="1" customWidth="1"/>
    <col min="15383" max="15383" width="8.7109375" style="1077" bestFit="1" customWidth="1"/>
    <col min="15384" max="15384" width="5" style="1077" bestFit="1" customWidth="1"/>
    <col min="15385" max="15385" width="1.7109375" style="1077" customWidth="1"/>
    <col min="15386" max="15386" width="5.42578125" style="1077" bestFit="1" customWidth="1"/>
    <col min="15387" max="15387" width="4.140625" style="1077" bestFit="1" customWidth="1"/>
    <col min="15388" max="15388" width="23.7109375" style="1077" bestFit="1" customWidth="1"/>
    <col min="15389" max="15389" width="4.85546875" style="1077" bestFit="1" customWidth="1"/>
    <col min="15390" max="15390" width="5" style="1077" bestFit="1" customWidth="1"/>
    <col min="15391" max="15391" width="1.7109375" style="1077" customWidth="1"/>
    <col min="15392" max="15392" width="9.140625" style="1077"/>
    <col min="15393" max="15393" width="23.5703125" style="1077" bestFit="1" customWidth="1"/>
    <col min="15394" max="15616" width="9.140625" style="1077"/>
    <col min="15617" max="15617" width="3.28515625" style="1077" customWidth="1"/>
    <col min="15618" max="15618" width="1.7109375" style="1077" customWidth="1"/>
    <col min="15619" max="15619" width="5.7109375" style="1077" customWidth="1"/>
    <col min="15620" max="15620" width="7.28515625" style="1077" bestFit="1" customWidth="1"/>
    <col min="15621" max="15621" width="5.7109375" style="1077" customWidth="1"/>
    <col min="15622" max="15622" width="6.28515625" style="1077" bestFit="1" customWidth="1"/>
    <col min="15623" max="15624" width="5.7109375" style="1077" customWidth="1"/>
    <col min="15625" max="15625" width="6.28515625" style="1077" customWidth="1"/>
    <col min="15626" max="15628" width="5.7109375" style="1077" customWidth="1"/>
    <col min="15629" max="15629" width="7.85546875" style="1077" bestFit="1" customWidth="1"/>
    <col min="15630" max="15630" width="9.5703125" style="1077" customWidth="1"/>
    <col min="15631" max="15632" width="6.7109375" style="1077" customWidth="1"/>
    <col min="15633" max="15633" width="8.28515625" style="1077" bestFit="1" customWidth="1"/>
    <col min="15634" max="15634" width="10.42578125" style="1077" bestFit="1" customWidth="1"/>
    <col min="15635" max="15635" width="2.7109375" style="1077" customWidth="1"/>
    <col min="15636" max="15636" width="5.42578125" style="1077" bestFit="1" customWidth="1"/>
    <col min="15637" max="15637" width="4.140625" style="1077" bestFit="1" customWidth="1"/>
    <col min="15638" max="15638" width="15.140625" style="1077" bestFit="1" customWidth="1"/>
    <col min="15639" max="15639" width="8.7109375" style="1077" bestFit="1" customWidth="1"/>
    <col min="15640" max="15640" width="5" style="1077" bestFit="1" customWidth="1"/>
    <col min="15641" max="15641" width="1.7109375" style="1077" customWidth="1"/>
    <col min="15642" max="15642" width="5.42578125" style="1077" bestFit="1" customWidth="1"/>
    <col min="15643" max="15643" width="4.140625" style="1077" bestFit="1" customWidth="1"/>
    <col min="15644" max="15644" width="23.7109375" style="1077" bestFit="1" customWidth="1"/>
    <col min="15645" max="15645" width="4.85546875" style="1077" bestFit="1" customWidth="1"/>
    <col min="15646" max="15646" width="5" style="1077" bestFit="1" customWidth="1"/>
    <col min="15647" max="15647" width="1.7109375" style="1077" customWidth="1"/>
    <col min="15648" max="15648" width="9.140625" style="1077"/>
    <col min="15649" max="15649" width="23.5703125" style="1077" bestFit="1" customWidth="1"/>
    <col min="15650" max="15872" width="9.140625" style="1077"/>
    <col min="15873" max="15873" width="3.28515625" style="1077" customWidth="1"/>
    <col min="15874" max="15874" width="1.7109375" style="1077" customWidth="1"/>
    <col min="15875" max="15875" width="5.7109375" style="1077" customWidth="1"/>
    <col min="15876" max="15876" width="7.28515625" style="1077" bestFit="1" customWidth="1"/>
    <col min="15877" max="15877" width="5.7109375" style="1077" customWidth="1"/>
    <col min="15878" max="15878" width="6.28515625" style="1077" bestFit="1" customWidth="1"/>
    <col min="15879" max="15880" width="5.7109375" style="1077" customWidth="1"/>
    <col min="15881" max="15881" width="6.28515625" style="1077" customWidth="1"/>
    <col min="15882" max="15884" width="5.7109375" style="1077" customWidth="1"/>
    <col min="15885" max="15885" width="7.85546875" style="1077" bestFit="1" customWidth="1"/>
    <col min="15886" max="15886" width="9.5703125" style="1077" customWidth="1"/>
    <col min="15887" max="15888" width="6.7109375" style="1077" customWidth="1"/>
    <col min="15889" max="15889" width="8.28515625" style="1077" bestFit="1" customWidth="1"/>
    <col min="15890" max="15890" width="10.42578125" style="1077" bestFit="1" customWidth="1"/>
    <col min="15891" max="15891" width="2.7109375" style="1077" customWidth="1"/>
    <col min="15892" max="15892" width="5.42578125" style="1077" bestFit="1" customWidth="1"/>
    <col min="15893" max="15893" width="4.140625" style="1077" bestFit="1" customWidth="1"/>
    <col min="15894" max="15894" width="15.140625" style="1077" bestFit="1" customWidth="1"/>
    <col min="15895" max="15895" width="8.7109375" style="1077" bestFit="1" customWidth="1"/>
    <col min="15896" max="15896" width="5" style="1077" bestFit="1" customWidth="1"/>
    <col min="15897" max="15897" width="1.7109375" style="1077" customWidth="1"/>
    <col min="15898" max="15898" width="5.42578125" style="1077" bestFit="1" customWidth="1"/>
    <col min="15899" max="15899" width="4.140625" style="1077" bestFit="1" customWidth="1"/>
    <col min="15900" max="15900" width="23.7109375" style="1077" bestFit="1" customWidth="1"/>
    <col min="15901" max="15901" width="4.85546875" style="1077" bestFit="1" customWidth="1"/>
    <col min="15902" max="15902" width="5" style="1077" bestFit="1" customWidth="1"/>
    <col min="15903" max="15903" width="1.7109375" style="1077" customWidth="1"/>
    <col min="15904" max="15904" width="9.140625" style="1077"/>
    <col min="15905" max="15905" width="23.5703125" style="1077" bestFit="1" customWidth="1"/>
    <col min="15906" max="16128" width="9.140625" style="1077"/>
    <col min="16129" max="16129" width="3.28515625" style="1077" customWidth="1"/>
    <col min="16130" max="16130" width="1.7109375" style="1077" customWidth="1"/>
    <col min="16131" max="16131" width="5.7109375" style="1077" customWidth="1"/>
    <col min="16132" max="16132" width="7.28515625" style="1077" bestFit="1" customWidth="1"/>
    <col min="16133" max="16133" width="5.7109375" style="1077" customWidth="1"/>
    <col min="16134" max="16134" width="6.28515625" style="1077" bestFit="1" customWidth="1"/>
    <col min="16135" max="16136" width="5.7109375" style="1077" customWidth="1"/>
    <col min="16137" max="16137" width="6.28515625" style="1077" customWidth="1"/>
    <col min="16138" max="16140" width="5.7109375" style="1077" customWidth="1"/>
    <col min="16141" max="16141" width="7.85546875" style="1077" bestFit="1" customWidth="1"/>
    <col min="16142" max="16142" width="9.5703125" style="1077" customWidth="1"/>
    <col min="16143" max="16144" width="6.7109375" style="1077" customWidth="1"/>
    <col min="16145" max="16145" width="8.28515625" style="1077" bestFit="1" customWidth="1"/>
    <col min="16146" max="16146" width="10.42578125" style="1077" bestFit="1" customWidth="1"/>
    <col min="16147" max="16147" width="2.7109375" style="1077" customWidth="1"/>
    <col min="16148" max="16148" width="5.42578125" style="1077" bestFit="1" customWidth="1"/>
    <col min="16149" max="16149" width="4.140625" style="1077" bestFit="1" customWidth="1"/>
    <col min="16150" max="16150" width="15.140625" style="1077" bestFit="1" customWidth="1"/>
    <col min="16151" max="16151" width="8.7109375" style="1077" bestFit="1" customWidth="1"/>
    <col min="16152" max="16152" width="5" style="1077" bestFit="1" customWidth="1"/>
    <col min="16153" max="16153" width="1.7109375" style="1077" customWidth="1"/>
    <col min="16154" max="16154" width="5.42578125" style="1077" bestFit="1" customWidth="1"/>
    <col min="16155" max="16155" width="4.140625" style="1077" bestFit="1" customWidth="1"/>
    <col min="16156" max="16156" width="23.7109375" style="1077" bestFit="1" customWidth="1"/>
    <col min="16157" max="16157" width="4.85546875" style="1077" bestFit="1" customWidth="1"/>
    <col min="16158" max="16158" width="5" style="1077" bestFit="1" customWidth="1"/>
    <col min="16159" max="16159" width="1.7109375" style="1077" customWidth="1"/>
    <col min="16160" max="16160" width="9.140625" style="1077"/>
    <col min="16161" max="16161" width="23.5703125" style="1077" bestFit="1" customWidth="1"/>
    <col min="16162" max="16384" width="9.140625" style="1077"/>
  </cols>
  <sheetData>
    <row r="2" spans="3:41" ht="13.5" thickBot="1"/>
    <row r="3" spans="3:41" ht="48.75" thickBot="1">
      <c r="C3" s="2331" t="s">
        <v>1128</v>
      </c>
      <c r="D3" s="2332"/>
      <c r="E3" s="2332"/>
      <c r="F3" s="2332"/>
      <c r="G3" s="2332"/>
      <c r="H3" s="2332"/>
      <c r="I3" s="2332"/>
      <c r="J3" s="2333"/>
    </row>
    <row r="4" spans="3:41" ht="15">
      <c r="AK4" s="1078"/>
      <c r="AL4" s="1079"/>
      <c r="AM4" s="1079"/>
      <c r="AN4" s="1079"/>
      <c r="AO4" s="1080"/>
    </row>
    <row r="5" spans="3:41" ht="15">
      <c r="C5" s="1076" t="s">
        <v>1110</v>
      </c>
      <c r="AK5" s="1078"/>
      <c r="AL5" s="1079"/>
      <c r="AM5" s="1079"/>
      <c r="AN5" s="1079"/>
      <c r="AO5" s="1081"/>
    </row>
    <row r="6" spans="3:41" ht="15.75">
      <c r="C6" s="1082" t="s">
        <v>1112</v>
      </c>
      <c r="D6" s="1073">
        <v>1.4</v>
      </c>
      <c r="E6" s="3245" t="s">
        <v>1113</v>
      </c>
      <c r="F6" s="3246"/>
      <c r="G6" s="3246"/>
      <c r="H6" s="3246"/>
      <c r="I6" s="3246"/>
      <c r="J6" s="3247"/>
      <c r="L6" s="1083" t="s">
        <v>1114</v>
      </c>
      <c r="M6" s="1083">
        <f>2*D8*D6*D7</f>
        <v>0.182</v>
      </c>
      <c r="N6" s="3248" t="s">
        <v>1115</v>
      </c>
      <c r="O6" s="3249"/>
      <c r="AK6" s="1078"/>
      <c r="AL6" s="1079"/>
      <c r="AM6" s="1079"/>
      <c r="AN6" s="1079"/>
      <c r="AO6" s="1080"/>
    </row>
    <row r="7" spans="3:41" ht="15.75">
      <c r="C7" s="1082" t="s">
        <v>1117</v>
      </c>
      <c r="D7" s="1073">
        <v>0.1</v>
      </c>
      <c r="E7" s="3245" t="s">
        <v>1118</v>
      </c>
      <c r="F7" s="3246"/>
      <c r="G7" s="3246"/>
      <c r="H7" s="3246"/>
      <c r="I7" s="3246"/>
      <c r="J7" s="3247"/>
      <c r="L7" s="1083" t="s">
        <v>1114</v>
      </c>
      <c r="M7" s="1084">
        <f>M6*3600</f>
        <v>655.19999999999993</v>
      </c>
      <c r="N7" s="3248" t="s">
        <v>1119</v>
      </c>
      <c r="O7" s="3249"/>
      <c r="AK7" s="1078"/>
      <c r="AL7" s="1079"/>
      <c r="AM7" s="1079"/>
      <c r="AN7" s="1079"/>
      <c r="AO7" s="1081"/>
    </row>
    <row r="8" spans="3:41" ht="15">
      <c r="C8" s="1082" t="s">
        <v>1122</v>
      </c>
      <c r="D8" s="1073">
        <v>0.65</v>
      </c>
      <c r="E8" s="1083" t="s">
        <v>1123</v>
      </c>
      <c r="F8" s="1083"/>
      <c r="G8" s="1085"/>
      <c r="H8" s="1085"/>
      <c r="I8" s="1085"/>
      <c r="J8" s="1083"/>
      <c r="L8" s="1083" t="s">
        <v>1124</v>
      </c>
      <c r="M8" s="1082"/>
      <c r="N8" s="1074">
        <v>700</v>
      </c>
      <c r="O8" s="1086" t="s">
        <v>1125</v>
      </c>
      <c r="AK8" s="1078"/>
      <c r="AL8" s="1079"/>
      <c r="AM8" s="1079"/>
      <c r="AN8" s="1080"/>
      <c r="AO8" s="1080"/>
    </row>
    <row r="10" spans="3:41" ht="13.5" thickBot="1"/>
    <row r="11" spans="3:41" ht="17.25" thickTop="1" thickBot="1">
      <c r="C11" s="3257" t="s">
        <v>1067</v>
      </c>
      <c r="D11" s="3258"/>
      <c r="E11" s="3258"/>
      <c r="F11" s="3258"/>
      <c r="G11" s="3258"/>
      <c r="H11" s="3258"/>
      <c r="I11" s="3258"/>
      <c r="J11" s="3258"/>
      <c r="K11" s="3258"/>
      <c r="L11" s="3258"/>
      <c r="M11" s="3258"/>
      <c r="N11" s="3258"/>
      <c r="O11" s="3258"/>
      <c r="P11" s="3258"/>
      <c r="Q11" s="3258"/>
      <c r="R11" s="3258"/>
      <c r="S11" s="3258"/>
      <c r="T11" s="3258"/>
      <c r="U11" s="3258"/>
      <c r="V11" s="3258"/>
      <c r="W11" s="3258"/>
      <c r="X11" s="3259"/>
    </row>
    <row r="12" spans="3:41" ht="13.5" thickTop="1"/>
    <row r="13" spans="3:41" ht="15.75">
      <c r="C13" s="3239" t="s">
        <v>1068</v>
      </c>
      <c r="D13" s="3240"/>
      <c r="E13" s="3240"/>
      <c r="F13" s="3240"/>
      <c r="G13" s="3240"/>
      <c r="H13" s="3240"/>
      <c r="I13" s="3240"/>
      <c r="J13" s="3240"/>
      <c r="K13" s="3240"/>
      <c r="L13" s="3241"/>
      <c r="M13" s="3242" t="s">
        <v>1069</v>
      </c>
      <c r="N13" s="3242"/>
      <c r="O13" s="3242"/>
      <c r="P13" s="3242" t="s">
        <v>1070</v>
      </c>
      <c r="Q13" s="3242"/>
      <c r="R13" s="3243"/>
      <c r="S13" s="1087"/>
      <c r="T13" s="3231" t="s">
        <v>1071</v>
      </c>
      <c r="U13" s="3232"/>
      <c r="V13" s="3232"/>
      <c r="W13" s="3232"/>
      <c r="X13" s="3233"/>
    </row>
    <row r="14" spans="3:41" ht="15.75">
      <c r="C14" s="1088" t="s">
        <v>1072</v>
      </c>
      <c r="D14" s="1089" t="s">
        <v>380</v>
      </c>
      <c r="E14" s="1090" t="s">
        <v>382</v>
      </c>
      <c r="F14" s="1090" t="s">
        <v>381</v>
      </c>
      <c r="G14" s="1090" t="s">
        <v>1073</v>
      </c>
      <c r="H14" s="1090" t="s">
        <v>1074</v>
      </c>
      <c r="I14" s="1090" t="s">
        <v>1075</v>
      </c>
      <c r="J14" s="3244" t="s">
        <v>1076</v>
      </c>
      <c r="K14" s="3244"/>
      <c r="L14" s="1090" t="s">
        <v>228</v>
      </c>
      <c r="M14" s="1090" t="s">
        <v>380</v>
      </c>
      <c r="N14" s="1090" t="s">
        <v>1077</v>
      </c>
      <c r="O14" s="1090" t="s">
        <v>1078</v>
      </c>
      <c r="P14" s="1090" t="s">
        <v>1079</v>
      </c>
      <c r="Q14" s="1090" t="s">
        <v>399</v>
      </c>
      <c r="R14" s="1090" t="s">
        <v>892</v>
      </c>
      <c r="T14" s="1091" t="s">
        <v>380</v>
      </c>
      <c r="U14" s="1091" t="s">
        <v>1072</v>
      </c>
      <c r="V14" s="1091" t="s">
        <v>1080</v>
      </c>
      <c r="W14" s="1092" t="s">
        <v>1081</v>
      </c>
      <c r="X14" s="1092" t="s">
        <v>1082</v>
      </c>
    </row>
    <row r="15" spans="3:41" ht="15.75">
      <c r="C15" s="1088"/>
      <c r="D15" s="1089" t="s">
        <v>876</v>
      </c>
      <c r="E15" s="1090" t="s">
        <v>122</v>
      </c>
      <c r="F15" s="1090" t="s">
        <v>74</v>
      </c>
      <c r="G15" s="1090" t="s">
        <v>1084</v>
      </c>
      <c r="H15" s="1090" t="s">
        <v>1084</v>
      </c>
      <c r="I15" s="1090" t="s">
        <v>1085</v>
      </c>
      <c r="J15" s="3244" t="s">
        <v>1084</v>
      </c>
      <c r="K15" s="3244"/>
      <c r="L15" s="1090" t="s">
        <v>1086</v>
      </c>
      <c r="M15" s="1090" t="s">
        <v>1087</v>
      </c>
      <c r="N15" s="1090" t="s">
        <v>1088</v>
      </c>
      <c r="O15" s="1090" t="s">
        <v>156</v>
      </c>
      <c r="P15" s="1090" t="s">
        <v>1089</v>
      </c>
      <c r="Q15" s="1090" t="s">
        <v>1090</v>
      </c>
      <c r="R15" s="1090" t="s">
        <v>1089</v>
      </c>
      <c r="T15" s="1091" t="s">
        <v>876</v>
      </c>
      <c r="U15" s="1093"/>
      <c r="V15" s="1093"/>
      <c r="W15" s="1093"/>
      <c r="X15" s="1093"/>
    </row>
    <row r="16" spans="3:41" ht="15.75" customHeight="1">
      <c r="C16" s="1094">
        <v>1</v>
      </c>
      <c r="D16" s="1095">
        <f>N8</f>
        <v>700</v>
      </c>
      <c r="E16" s="1096">
        <f>+(D16/3600)/(G16*H16)</f>
        <v>12.962962962962964</v>
      </c>
      <c r="F16" s="1096">
        <f>D16/(E16*60*60)</f>
        <v>1.4999999999999998E-2</v>
      </c>
      <c r="G16" s="1068">
        <v>0.1</v>
      </c>
      <c r="H16" s="1069">
        <v>0.15</v>
      </c>
      <c r="I16" s="1097">
        <f>H16/G16</f>
        <v>1.4999999999999998</v>
      </c>
      <c r="J16" s="3229">
        <f>1.3*(((G16*H16)^0.625)/((G16+H16)^0.25))</f>
        <v>0.13320342354351689</v>
      </c>
      <c r="K16" s="3230"/>
      <c r="L16" s="1098">
        <f>2*(SQRT(F16/3.14))</f>
        <v>0.13823270327522741</v>
      </c>
      <c r="M16" s="1099">
        <f>D16*(1000/3600)</f>
        <v>194.44444444444446</v>
      </c>
      <c r="N16" s="1100">
        <f>0.1904728*E16^2/(((E16*J16*100/0.00000015)^0.25)*(J16*100/100))</f>
        <v>1.3044998616338834</v>
      </c>
      <c r="O16" s="1075">
        <v>0.52</v>
      </c>
      <c r="P16" s="1101">
        <f>N16*O16</f>
        <v>0.6783399280496194</v>
      </c>
      <c r="Q16" s="1097">
        <f>W16*X16+W17*X17+W45*X45+W46*X46</f>
        <v>0.98</v>
      </c>
      <c r="R16" s="1102">
        <f>(((1.24*E16*E16)/2)*Q16)/10</f>
        <v>10.210013717421127</v>
      </c>
      <c r="T16" s="3234">
        <f>D16</f>
        <v>700</v>
      </c>
      <c r="U16" s="1103">
        <v>1</v>
      </c>
      <c r="V16" s="1161" t="s">
        <v>1092</v>
      </c>
      <c r="W16" s="1070">
        <v>2</v>
      </c>
      <c r="X16" s="1104">
        <f>((VLOOKUP((V16),$AB$54:$AC$70,2,FALSE)))</f>
        <v>0.45</v>
      </c>
    </row>
    <row r="17" spans="3:24" ht="15.75">
      <c r="C17" s="1105"/>
      <c r="T17" s="3235"/>
      <c r="U17" s="1106">
        <v>2</v>
      </c>
      <c r="V17" s="1162" t="s">
        <v>1091</v>
      </c>
      <c r="W17" s="1071">
        <v>2</v>
      </c>
      <c r="X17" s="1107">
        <f>((VLOOKUP((V17),$AB$54:$AC$70,2,FALSE)))</f>
        <v>0.04</v>
      </c>
    </row>
    <row r="18" spans="3:24" ht="15.75">
      <c r="C18" s="1105"/>
      <c r="T18" s="3235"/>
      <c r="U18" s="1106">
        <v>3</v>
      </c>
      <c r="V18" s="1162" t="s">
        <v>1095</v>
      </c>
      <c r="W18" s="1071">
        <v>0</v>
      </c>
      <c r="X18" s="1107">
        <f>((VLOOKUP((V18),$AB$54:$AC$70,2,FALSE)))</f>
        <v>0</v>
      </c>
    </row>
    <row r="19" spans="3:24" ht="15.75">
      <c r="C19" s="1105"/>
      <c r="T19" s="3236"/>
      <c r="U19" s="1108">
        <v>4</v>
      </c>
      <c r="V19" s="1163" t="s">
        <v>1095</v>
      </c>
      <c r="W19" s="1072">
        <v>0</v>
      </c>
      <c r="X19" s="1109">
        <f>((VLOOKUP((V19),$AB$54:$AC$70,2,FALSE)))</f>
        <v>0</v>
      </c>
    </row>
    <row r="20" spans="3:24" ht="15.75">
      <c r="C20" s="1110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2"/>
      <c r="Q20" s="1112"/>
      <c r="R20" s="1112"/>
      <c r="S20" s="1112"/>
      <c r="T20" s="1113"/>
      <c r="U20" s="1114"/>
      <c r="V20" s="1114"/>
      <c r="W20" s="1115"/>
      <c r="X20" s="1109"/>
    </row>
    <row r="21" spans="3:24" ht="15.75">
      <c r="T21" s="1116"/>
      <c r="U21" s="1117"/>
      <c r="V21" s="1117"/>
      <c r="W21" s="1118"/>
      <c r="X21" s="1119"/>
    </row>
    <row r="22" spans="3:24" ht="15.75">
      <c r="M22" s="1120" t="s">
        <v>914</v>
      </c>
      <c r="N22" s="1121">
        <f>ROUNDUP(L16*100,0)</f>
        <v>14</v>
      </c>
      <c r="O22" s="1076" t="s">
        <v>255</v>
      </c>
      <c r="T22" s="1116"/>
      <c r="U22" s="1117"/>
      <c r="V22" s="1117"/>
      <c r="W22" s="1118"/>
      <c r="X22" s="1119"/>
    </row>
    <row r="23" spans="3:24" ht="15.75">
      <c r="T23" s="1116"/>
      <c r="U23" s="1117"/>
      <c r="V23" s="1117"/>
      <c r="W23" s="1118"/>
      <c r="X23" s="1119"/>
    </row>
    <row r="24" spans="3:24" ht="15.75">
      <c r="T24" s="1116"/>
      <c r="U24" s="1117"/>
      <c r="V24" s="1117"/>
      <c r="W24" s="1118"/>
      <c r="X24" s="1119"/>
    </row>
    <row r="25" spans="3:24" ht="15.75">
      <c r="T25" s="1116"/>
      <c r="U25" s="1117"/>
      <c r="V25" s="1117"/>
      <c r="W25" s="1118"/>
      <c r="X25" s="1119"/>
    </row>
    <row r="26" spans="3:24" ht="15.75">
      <c r="T26" s="1116"/>
      <c r="U26" s="1117"/>
      <c r="V26" s="1117"/>
      <c r="W26" s="1118"/>
      <c r="X26" s="1119"/>
    </row>
    <row r="27" spans="3:24" ht="15.75">
      <c r="O27" s="1122" t="s">
        <v>1108</v>
      </c>
      <c r="T27" s="1116"/>
      <c r="U27" s="1117"/>
      <c r="V27" s="1117"/>
      <c r="W27" s="1118"/>
      <c r="X27" s="1119"/>
    </row>
    <row r="28" spans="3:24" ht="15.75">
      <c r="L28" s="1164" t="s">
        <v>156</v>
      </c>
      <c r="T28" s="1116"/>
      <c r="U28" s="1117"/>
      <c r="V28" s="1117"/>
      <c r="W28" s="1118"/>
      <c r="X28" s="1119"/>
    </row>
    <row r="29" spans="3:24" ht="15.75">
      <c r="L29" s="3238">
        <f>D8</f>
        <v>0.65</v>
      </c>
      <c r="P29" s="3237" t="s">
        <v>1120</v>
      </c>
      <c r="Q29" s="3237"/>
      <c r="T29" s="1116"/>
      <c r="U29" s="1117"/>
      <c r="V29" s="1117"/>
      <c r="W29" s="1118"/>
      <c r="X29" s="1119"/>
    </row>
    <row r="30" spans="3:24" ht="15.75" customHeight="1">
      <c r="L30" s="3238"/>
      <c r="Q30" s="3225"/>
      <c r="R30" s="3225"/>
      <c r="T30" s="1116"/>
      <c r="U30" s="1117"/>
      <c r="V30" s="1117"/>
      <c r="W30" s="1118"/>
      <c r="X30" s="1119"/>
    </row>
    <row r="31" spans="3:24" ht="15.75">
      <c r="T31" s="1116"/>
      <c r="U31" s="1117"/>
      <c r="V31" s="1117"/>
      <c r="W31" s="1118"/>
      <c r="X31" s="1119"/>
    </row>
    <row r="32" spans="3:24" ht="15.75">
      <c r="T32" s="1116"/>
      <c r="U32" s="1117"/>
      <c r="V32" s="1117"/>
      <c r="W32" s="1118"/>
      <c r="X32" s="1119"/>
    </row>
    <row r="33" spans="3:42" ht="15.75">
      <c r="T33" s="1116"/>
      <c r="U33" s="1117"/>
      <c r="V33" s="1117"/>
      <c r="W33" s="1118"/>
      <c r="X33" s="1119"/>
    </row>
    <row r="34" spans="3:42" ht="15.75">
      <c r="T34" s="1116"/>
      <c r="U34" s="1117"/>
      <c r="V34" s="1117"/>
      <c r="W34" s="1118"/>
      <c r="X34" s="1119"/>
    </row>
    <row r="35" spans="3:42" ht="15.75">
      <c r="T35" s="1116"/>
      <c r="U35" s="1117"/>
      <c r="V35" s="1117"/>
      <c r="W35" s="1118"/>
      <c r="X35" s="1119"/>
    </row>
    <row r="36" spans="3:42" ht="15.75">
      <c r="C36" s="3260" t="s">
        <v>1094</v>
      </c>
      <c r="D36" s="3261"/>
      <c r="E36" s="3261"/>
      <c r="F36" s="3261"/>
      <c r="G36" s="3261"/>
      <c r="H36" s="3261"/>
      <c r="I36" s="3261"/>
      <c r="J36" s="3261"/>
      <c r="K36" s="3261"/>
      <c r="L36" s="3261"/>
      <c r="M36" s="3261"/>
      <c r="N36" s="3261"/>
      <c r="O36" s="3261"/>
      <c r="P36" s="3261"/>
      <c r="Q36" s="3261"/>
      <c r="R36" s="3262"/>
      <c r="T36" s="1116"/>
      <c r="U36" s="1117"/>
      <c r="V36" s="1117"/>
      <c r="W36" s="1118"/>
      <c r="X36" s="1119"/>
    </row>
    <row r="37" spans="3:42" ht="16.5" thickBot="1">
      <c r="T37" s="1116"/>
      <c r="U37" s="1117"/>
      <c r="V37" s="1117"/>
      <c r="W37" s="1118"/>
      <c r="X37" s="1119"/>
    </row>
    <row r="38" spans="3:42" ht="17.25" thickTop="1" thickBot="1">
      <c r="C38" s="3252" t="s">
        <v>1098</v>
      </c>
      <c r="D38" s="3253"/>
      <c r="E38" s="3253"/>
      <c r="F38" s="3253"/>
      <c r="G38" s="3253"/>
      <c r="H38" s="3253"/>
      <c r="I38" s="3253"/>
      <c r="J38" s="3253"/>
      <c r="K38" s="3253"/>
      <c r="L38" s="3253"/>
      <c r="M38" s="3253"/>
      <c r="N38" s="3253"/>
      <c r="O38" s="3253"/>
      <c r="P38" s="3254"/>
      <c r="Q38" s="3255">
        <f>SUM(P16:P16,R16:R16)</f>
        <v>10.888353645470746</v>
      </c>
      <c r="R38" s="3256"/>
      <c r="T38" s="1116"/>
      <c r="U38" s="1117"/>
      <c r="V38" s="1117"/>
      <c r="W38" s="1118"/>
      <c r="X38" s="1119"/>
    </row>
    <row r="39" spans="3:42" ht="17.25" thickTop="1" thickBot="1">
      <c r="C39" s="3252" t="s">
        <v>1100</v>
      </c>
      <c r="D39" s="3253"/>
      <c r="E39" s="3253"/>
      <c r="F39" s="3253"/>
      <c r="G39" s="3253"/>
      <c r="H39" s="3253"/>
      <c r="I39" s="3253"/>
      <c r="J39" s="3253"/>
      <c r="K39" s="3253"/>
      <c r="L39" s="3253"/>
      <c r="M39" s="3253"/>
      <c r="N39" s="3253"/>
      <c r="O39" s="3253"/>
      <c r="P39" s="3254"/>
      <c r="Q39" s="3227">
        <v>2.5</v>
      </c>
      <c r="R39" s="3228"/>
      <c r="T39" s="1116"/>
      <c r="U39" s="1117"/>
      <c r="V39" s="1117"/>
      <c r="W39" s="1118"/>
      <c r="X39" s="1119"/>
      <c r="AL39" s="3206" t="s">
        <v>804</v>
      </c>
      <c r="AM39" s="3206"/>
      <c r="AN39" s="3206"/>
      <c r="AO39" s="3206"/>
      <c r="AP39" s="3206"/>
    </row>
    <row r="40" spans="3:42" ht="17.25" thickTop="1" thickBot="1">
      <c r="C40" s="3252" t="s">
        <v>1102</v>
      </c>
      <c r="D40" s="3253"/>
      <c r="E40" s="3253"/>
      <c r="F40" s="3253"/>
      <c r="G40" s="3253"/>
      <c r="H40" s="3253"/>
      <c r="I40" s="3253"/>
      <c r="J40" s="3253"/>
      <c r="K40" s="3253"/>
      <c r="L40" s="3253"/>
      <c r="M40" s="3253"/>
      <c r="N40" s="3253"/>
      <c r="O40" s="3253"/>
      <c r="P40" s="3254"/>
      <c r="Q40" s="3227">
        <v>5</v>
      </c>
      <c r="R40" s="3228"/>
      <c r="T40" s="1116"/>
      <c r="U40" s="1117"/>
      <c r="V40" s="1117"/>
      <c r="W40" s="1118"/>
      <c r="X40" s="1119"/>
      <c r="AL40" s="3207" t="s">
        <v>17</v>
      </c>
      <c r="AM40" s="3207"/>
      <c r="AN40" s="3207"/>
      <c r="AO40" s="3207"/>
      <c r="AP40" s="3207"/>
    </row>
    <row r="41" spans="3:42" ht="17.25" thickTop="1" thickBot="1">
      <c r="C41" s="3252" t="s">
        <v>1104</v>
      </c>
      <c r="D41" s="3253"/>
      <c r="E41" s="3253"/>
      <c r="F41" s="3253"/>
      <c r="G41" s="3253"/>
      <c r="H41" s="3253"/>
      <c r="I41" s="3253"/>
      <c r="J41" s="3253"/>
      <c r="K41" s="3253"/>
      <c r="L41" s="3253"/>
      <c r="M41" s="3253"/>
      <c r="N41" s="3253"/>
      <c r="O41" s="3253"/>
      <c r="P41" s="3254"/>
      <c r="Q41" s="3255">
        <f>SUM(Q38:Q40)</f>
        <v>18.388353645470744</v>
      </c>
      <c r="R41" s="3256"/>
      <c r="T41" s="1116"/>
      <c r="U41" s="1117"/>
      <c r="V41" s="1117"/>
      <c r="W41" s="1118"/>
      <c r="X41" s="1119"/>
      <c r="AL41" s="3208">
        <v>2026</v>
      </c>
      <c r="AM41" s="3208"/>
      <c r="AN41" s="3208"/>
      <c r="AO41" s="3208"/>
      <c r="AP41" s="3208"/>
    </row>
    <row r="42" spans="3:42" ht="15" customHeight="1" thickTop="1" thickBot="1">
      <c r="C42" s="3252" t="s">
        <v>1106</v>
      </c>
      <c r="D42" s="3253"/>
      <c r="E42" s="3253"/>
      <c r="F42" s="3253"/>
      <c r="G42" s="3253"/>
      <c r="H42" s="3253"/>
      <c r="I42" s="3253"/>
      <c r="J42" s="3253"/>
      <c r="K42" s="3253"/>
      <c r="L42" s="3253"/>
      <c r="M42" s="3253"/>
      <c r="N42" s="3253"/>
      <c r="O42" s="3253"/>
      <c r="P42" s="3254"/>
      <c r="Q42" s="3255">
        <f>Q41*1.2</f>
        <v>22.066024374564893</v>
      </c>
      <c r="R42" s="3256"/>
      <c r="S42" s="3250" t="s">
        <v>1127</v>
      </c>
      <c r="T42" s="3251"/>
      <c r="U42" s="3251"/>
      <c r="V42" s="3251"/>
      <c r="W42" s="3251"/>
      <c r="X42" s="3251"/>
      <c r="Y42" s="3251"/>
      <c r="Z42" s="3251"/>
      <c r="AA42" s="3251"/>
      <c r="AB42" s="3251"/>
    </row>
    <row r="43" spans="3:42" ht="16.5" thickTop="1">
      <c r="T43" s="1116"/>
      <c r="U43" s="1117"/>
      <c r="V43" s="1117"/>
      <c r="W43" s="1118"/>
      <c r="X43" s="1119"/>
    </row>
    <row r="48" spans="3:42" ht="9.9499999999999993" customHeight="1"/>
    <row r="49" spans="2:31" s="1124" customFormat="1" ht="24.95" customHeight="1">
      <c r="B49" s="3210"/>
      <c r="C49" s="3210"/>
      <c r="D49" s="3210"/>
      <c r="E49" s="3210"/>
      <c r="F49" s="3210"/>
      <c r="G49" s="3210"/>
      <c r="H49" s="3210"/>
      <c r="I49" s="3210"/>
      <c r="J49" s="3210"/>
      <c r="K49" s="3210"/>
      <c r="L49" s="3210"/>
      <c r="M49" s="3210"/>
      <c r="N49" s="3210"/>
      <c r="O49" s="3210"/>
      <c r="P49" s="3210"/>
      <c r="Q49" s="3210"/>
      <c r="R49" s="3210"/>
      <c r="S49" s="3210"/>
      <c r="T49" s="3210"/>
      <c r="U49" s="3210"/>
      <c r="V49" s="3213"/>
      <c r="W49" s="3213"/>
      <c r="X49" s="3213"/>
      <c r="Y49" s="3213"/>
      <c r="Z49" s="1123"/>
      <c r="AA49" s="1123"/>
      <c r="AB49" s="1123"/>
      <c r="AC49" s="1123"/>
      <c r="AD49" s="1123"/>
      <c r="AE49" s="1123"/>
    </row>
    <row r="50" spans="2:31" s="1124" customFormat="1" ht="24.95" customHeight="1">
      <c r="B50" s="3210"/>
      <c r="C50" s="3210"/>
      <c r="D50" s="3210"/>
      <c r="E50" s="3210"/>
      <c r="F50" s="3210"/>
      <c r="G50" s="3210"/>
      <c r="H50" s="3210"/>
      <c r="I50" s="3210"/>
      <c r="J50" s="3210"/>
      <c r="K50" s="3214"/>
      <c r="L50" s="3214"/>
      <c r="M50" s="3214"/>
      <c r="N50" s="3214"/>
      <c r="O50" s="3214"/>
      <c r="P50" s="3214"/>
      <c r="Q50" s="3214"/>
      <c r="R50" s="3214"/>
      <c r="S50" s="3214"/>
      <c r="T50" s="3214"/>
      <c r="U50" s="3214"/>
      <c r="V50" s="3213"/>
      <c r="W50" s="3213"/>
      <c r="X50" s="3213"/>
      <c r="Y50" s="3213"/>
      <c r="Z50" s="1123"/>
      <c r="AA50" s="1123"/>
      <c r="AB50" s="1123"/>
      <c r="AC50" s="1123"/>
      <c r="AD50" s="1123"/>
      <c r="AE50" s="1123"/>
    </row>
    <row r="51" spans="2:31" ht="9.9499999999999993" customHeight="1">
      <c r="B51" s="1125"/>
      <c r="C51" s="1125"/>
      <c r="D51" s="1125"/>
      <c r="E51" s="1125"/>
      <c r="F51" s="1125"/>
      <c r="G51" s="1125"/>
      <c r="H51" s="1125"/>
      <c r="I51" s="1125"/>
      <c r="J51" s="1125"/>
      <c r="K51" s="1125"/>
      <c r="L51" s="1125"/>
      <c r="M51" s="1125"/>
      <c r="N51" s="1125"/>
      <c r="O51" s="1125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</row>
    <row r="52" spans="2:31" ht="15" customHeight="1">
      <c r="B52" s="1125"/>
      <c r="C52" s="3211"/>
      <c r="D52" s="3211"/>
      <c r="E52" s="3211"/>
      <c r="F52" s="3211"/>
      <c r="G52" s="3211"/>
      <c r="H52" s="3211"/>
      <c r="I52" s="3211"/>
      <c r="J52" s="3211"/>
      <c r="K52" s="3211"/>
      <c r="L52" s="3211"/>
      <c r="M52" s="3211"/>
      <c r="N52" s="3211"/>
      <c r="O52" s="3211"/>
      <c r="P52" s="3211"/>
      <c r="Q52" s="3211"/>
      <c r="R52" s="3211"/>
      <c r="S52" s="3211"/>
      <c r="T52" s="3211"/>
      <c r="U52" s="3211"/>
      <c r="V52" s="3211"/>
      <c r="W52" s="3211"/>
      <c r="X52" s="3211"/>
      <c r="Y52" s="1126"/>
      <c r="Z52" s="1126"/>
      <c r="AA52" s="1126"/>
      <c r="AB52" s="1126"/>
      <c r="AC52" s="1126"/>
      <c r="AD52" s="1126"/>
    </row>
    <row r="53" spans="2:31" ht="15" customHeight="1">
      <c r="B53" s="1125"/>
      <c r="C53" s="3211"/>
      <c r="D53" s="3211"/>
      <c r="E53" s="3211"/>
      <c r="F53" s="3211"/>
      <c r="G53" s="3211"/>
      <c r="H53" s="3211"/>
      <c r="I53" s="3211"/>
      <c r="J53" s="3211"/>
      <c r="K53" s="3211"/>
      <c r="L53" s="3211"/>
      <c r="M53" s="3209"/>
      <c r="N53" s="3209"/>
      <c r="O53" s="3209"/>
      <c r="P53" s="3209"/>
      <c r="Q53" s="3209"/>
      <c r="R53" s="3209"/>
      <c r="S53" s="1117"/>
      <c r="T53" s="3212"/>
      <c r="U53" s="3212"/>
      <c r="V53" s="3212"/>
      <c r="W53" s="3212"/>
      <c r="X53" s="3212"/>
      <c r="Y53" s="1128"/>
      <c r="Z53" s="1128"/>
      <c r="AA53" s="1128"/>
      <c r="AB53" s="1128"/>
      <c r="AC53" s="1128"/>
      <c r="AD53" s="1128"/>
      <c r="AE53" s="1128"/>
    </row>
    <row r="54" spans="2:31" ht="15" customHeight="1">
      <c r="B54" s="1125"/>
      <c r="C54" s="1129"/>
      <c r="D54" s="1130"/>
      <c r="E54" s="1127"/>
      <c r="F54" s="1127"/>
      <c r="G54" s="1127"/>
      <c r="H54" s="1127"/>
      <c r="I54" s="1127"/>
      <c r="J54" s="3209"/>
      <c r="K54" s="3209"/>
      <c r="L54" s="1127"/>
      <c r="M54" s="1127"/>
      <c r="N54" s="1127"/>
      <c r="O54" s="1127"/>
      <c r="P54" s="1127"/>
      <c r="Q54" s="1127"/>
      <c r="R54" s="1127"/>
      <c r="S54" s="1117"/>
      <c r="T54" s="1131"/>
      <c r="U54" s="1131"/>
      <c r="V54" s="1131"/>
      <c r="W54" s="1132"/>
      <c r="X54" s="1132"/>
      <c r="Z54" s="1131"/>
      <c r="AA54" s="1131"/>
      <c r="AB54" s="1133" t="s">
        <v>1083</v>
      </c>
      <c r="AC54" s="1134">
        <v>0.2</v>
      </c>
      <c r="AD54" s="1132"/>
    </row>
    <row r="55" spans="2:31" ht="15" customHeight="1">
      <c r="B55" s="1125"/>
      <c r="C55" s="1129"/>
      <c r="D55" s="1130"/>
      <c r="E55" s="1127"/>
      <c r="F55" s="1127"/>
      <c r="G55" s="1127"/>
      <c r="H55" s="1127"/>
      <c r="I55" s="1127"/>
      <c r="J55" s="3209"/>
      <c r="K55" s="3209"/>
      <c r="L55" s="1127"/>
      <c r="M55" s="1127"/>
      <c r="N55" s="1127"/>
      <c r="O55" s="1127"/>
      <c r="P55" s="1127"/>
      <c r="Q55" s="1127"/>
      <c r="R55" s="1127"/>
      <c r="S55" s="1117"/>
      <c r="T55" s="1131"/>
      <c r="U55" s="1135"/>
      <c r="V55" s="1135"/>
      <c r="W55" s="1135"/>
      <c r="X55" s="1135"/>
      <c r="AB55" s="1133" t="s">
        <v>1091</v>
      </c>
      <c r="AC55" s="1136">
        <v>0.04</v>
      </c>
    </row>
    <row r="56" spans="2:31" ht="15" customHeight="1">
      <c r="B56" s="1125"/>
      <c r="C56" s="1137"/>
      <c r="D56" s="1138"/>
      <c r="E56" s="1139"/>
      <c r="F56" s="1139"/>
      <c r="G56" s="1140"/>
      <c r="H56" s="1139"/>
      <c r="I56" s="1141"/>
      <c r="J56" s="3215"/>
      <c r="K56" s="3215"/>
      <c r="L56" s="1141"/>
      <c r="M56" s="1143"/>
      <c r="N56" s="1142"/>
      <c r="O56" s="1141"/>
      <c r="P56" s="1142"/>
      <c r="Q56" s="1141"/>
      <c r="R56" s="1142"/>
      <c r="S56" s="1117"/>
      <c r="T56" s="3216"/>
      <c r="U56" s="1117"/>
      <c r="V56" s="1117"/>
      <c r="W56" s="1118"/>
      <c r="X56" s="1119"/>
      <c r="Y56" s="1119"/>
      <c r="Z56" s="3217"/>
      <c r="AA56" s="1117"/>
      <c r="AB56" s="1133" t="s">
        <v>1093</v>
      </c>
      <c r="AC56" s="1134">
        <v>0.24</v>
      </c>
      <c r="AD56" s="1119"/>
    </row>
    <row r="57" spans="2:31" ht="15" customHeight="1">
      <c r="B57" s="1125"/>
      <c r="C57" s="1137"/>
      <c r="D57" s="1144"/>
      <c r="E57" s="1139"/>
      <c r="F57" s="1139"/>
      <c r="G57" s="1140"/>
      <c r="H57" s="1139"/>
      <c r="I57" s="1141"/>
      <c r="J57" s="3215"/>
      <c r="K57" s="3215"/>
      <c r="L57" s="1141"/>
      <c r="M57" s="1143"/>
      <c r="N57" s="1142"/>
      <c r="O57" s="1141"/>
      <c r="P57" s="1142"/>
      <c r="Q57" s="1141"/>
      <c r="R57" s="1142"/>
      <c r="S57" s="1117"/>
      <c r="T57" s="3216"/>
      <c r="U57" s="1117"/>
      <c r="V57" s="1117"/>
      <c r="W57" s="1118"/>
      <c r="X57" s="1119"/>
      <c r="Y57" s="1119"/>
      <c r="Z57" s="3217"/>
      <c r="AA57" s="1117"/>
      <c r="AB57" s="1133" t="s">
        <v>1092</v>
      </c>
      <c r="AC57" s="1134">
        <v>0.45</v>
      </c>
      <c r="AD57" s="1119"/>
    </row>
    <row r="58" spans="2:31" ht="15" customHeight="1">
      <c r="B58" s="1125"/>
      <c r="C58" s="3218"/>
      <c r="D58" s="3218"/>
      <c r="E58" s="3218"/>
      <c r="F58" s="3218"/>
      <c r="G58" s="3218"/>
      <c r="H58" s="3218"/>
      <c r="I58" s="3218"/>
      <c r="J58" s="3218"/>
      <c r="K58" s="3218"/>
      <c r="L58" s="3218"/>
      <c r="M58" s="3218"/>
      <c r="N58" s="3218"/>
      <c r="O58" s="3218"/>
      <c r="P58" s="3218"/>
      <c r="Q58" s="3218"/>
      <c r="R58" s="3218"/>
      <c r="S58" s="1117"/>
      <c r="T58" s="3216"/>
      <c r="U58" s="1117"/>
      <c r="V58" s="1117"/>
      <c r="W58" s="1118"/>
      <c r="X58" s="1119"/>
      <c r="Y58" s="1119"/>
      <c r="Z58" s="3217"/>
      <c r="AA58" s="1117"/>
      <c r="AB58" s="1133" t="s">
        <v>1096</v>
      </c>
      <c r="AC58" s="1134">
        <v>0.33</v>
      </c>
      <c r="AD58" s="1119"/>
    </row>
    <row r="59" spans="2:31" ht="15" customHeight="1">
      <c r="B59" s="1125"/>
      <c r="S59" s="1117"/>
      <c r="T59" s="3216"/>
      <c r="U59" s="1117"/>
      <c r="V59" s="1117"/>
      <c r="W59" s="1118"/>
      <c r="X59" s="1119"/>
      <c r="Y59" s="1119"/>
      <c r="Z59" s="3217"/>
      <c r="AA59" s="1117"/>
      <c r="AB59" s="1133" t="s">
        <v>1097</v>
      </c>
      <c r="AC59" s="1134">
        <v>0.5</v>
      </c>
      <c r="AD59" s="1119"/>
    </row>
    <row r="60" spans="2:31" ht="15" customHeight="1">
      <c r="B60" s="1125"/>
      <c r="C60" s="3221"/>
      <c r="D60" s="3221"/>
      <c r="E60" s="3221"/>
      <c r="F60" s="3221"/>
      <c r="G60" s="3221"/>
      <c r="H60" s="3221"/>
      <c r="I60" s="3221"/>
      <c r="J60" s="3221"/>
      <c r="K60" s="3221"/>
      <c r="L60" s="3221"/>
      <c r="M60" s="3221"/>
      <c r="N60" s="3221"/>
      <c r="O60" s="3221"/>
      <c r="P60" s="3221"/>
      <c r="Q60" s="3222"/>
      <c r="R60" s="3222"/>
      <c r="S60" s="1117"/>
      <c r="T60" s="1145"/>
      <c r="U60" s="1117"/>
      <c r="V60" s="1117"/>
      <c r="W60" s="1118"/>
      <c r="X60" s="1119"/>
      <c r="Y60" s="1119"/>
      <c r="Z60" s="1145"/>
      <c r="AA60" s="1117"/>
      <c r="AB60" s="1133" t="s">
        <v>1099</v>
      </c>
      <c r="AC60" s="1134">
        <v>0.3</v>
      </c>
      <c r="AD60" s="1119"/>
    </row>
    <row r="61" spans="2:31" ht="15" customHeight="1">
      <c r="B61" s="1125"/>
      <c r="C61" s="3221"/>
      <c r="D61" s="3221"/>
      <c r="E61" s="3221"/>
      <c r="F61" s="3221"/>
      <c r="G61" s="3221"/>
      <c r="H61" s="3221"/>
      <c r="I61" s="3221"/>
      <c r="J61" s="3221"/>
      <c r="K61" s="3221"/>
      <c r="L61" s="3221"/>
      <c r="M61" s="3221"/>
      <c r="N61" s="3221"/>
      <c r="O61" s="3221"/>
      <c r="P61" s="3221"/>
      <c r="Q61" s="3222"/>
      <c r="R61" s="3222"/>
      <c r="S61" s="1117"/>
      <c r="T61" s="1145"/>
      <c r="U61" s="1117"/>
      <c r="V61" s="1146"/>
      <c r="W61" s="1118"/>
      <c r="X61" s="1119"/>
      <c r="Y61" s="1119"/>
      <c r="Z61" s="1145"/>
      <c r="AA61" s="1117"/>
      <c r="AB61" s="1133" t="s">
        <v>1101</v>
      </c>
      <c r="AC61" s="1134">
        <v>0.6</v>
      </c>
      <c r="AD61" s="1119"/>
    </row>
    <row r="62" spans="2:31" ht="15" customHeight="1">
      <c r="B62" s="1125"/>
      <c r="C62" s="3221"/>
      <c r="D62" s="3221"/>
      <c r="E62" s="3221"/>
      <c r="F62" s="3221"/>
      <c r="G62" s="3221"/>
      <c r="H62" s="3221"/>
      <c r="I62" s="3221"/>
      <c r="J62" s="3221"/>
      <c r="K62" s="3221"/>
      <c r="L62" s="3221"/>
      <c r="M62" s="3221"/>
      <c r="N62" s="3221"/>
      <c r="O62" s="3221"/>
      <c r="P62" s="3221"/>
      <c r="Q62" s="3222"/>
      <c r="R62" s="3222"/>
      <c r="S62" s="1117"/>
      <c r="T62" s="1145"/>
      <c r="U62" s="1117"/>
      <c r="V62" s="1117"/>
      <c r="W62" s="1118"/>
      <c r="X62" s="1119"/>
      <c r="Y62" s="1119"/>
      <c r="Z62" s="1145"/>
      <c r="AA62" s="1117"/>
      <c r="AB62" s="1133" t="s">
        <v>1103</v>
      </c>
      <c r="AC62" s="1134">
        <v>0.3</v>
      </c>
      <c r="AD62" s="1119"/>
    </row>
    <row r="63" spans="2:31" ht="15" customHeight="1">
      <c r="B63" s="1125"/>
      <c r="C63" s="3221"/>
      <c r="D63" s="3221"/>
      <c r="E63" s="3221"/>
      <c r="F63" s="3221"/>
      <c r="G63" s="3221"/>
      <c r="H63" s="3221"/>
      <c r="I63" s="3221"/>
      <c r="J63" s="3221"/>
      <c r="K63" s="3221"/>
      <c r="L63" s="3221"/>
      <c r="M63" s="3221"/>
      <c r="N63" s="3221"/>
      <c r="O63" s="3221"/>
      <c r="P63" s="3221"/>
      <c r="Q63" s="3222"/>
      <c r="R63" s="3222"/>
      <c r="S63" s="1117"/>
      <c r="T63" s="1145"/>
      <c r="U63" s="1117"/>
      <c r="V63" s="1117"/>
      <c r="W63" s="1118"/>
      <c r="X63" s="1119"/>
      <c r="Y63" s="1119"/>
      <c r="Z63" s="1145"/>
      <c r="AA63" s="1117"/>
      <c r="AB63" s="1133" t="s">
        <v>1105</v>
      </c>
      <c r="AC63" s="1134">
        <v>0.3</v>
      </c>
      <c r="AD63" s="1119"/>
    </row>
    <row r="64" spans="2:31" ht="15" customHeight="1">
      <c r="B64" s="1125"/>
      <c r="C64" s="3221"/>
      <c r="D64" s="3221"/>
      <c r="E64" s="3221"/>
      <c r="F64" s="3221"/>
      <c r="G64" s="3221"/>
      <c r="H64" s="3221"/>
      <c r="I64" s="3221"/>
      <c r="J64" s="3221"/>
      <c r="K64" s="3221"/>
      <c r="L64" s="3221"/>
      <c r="M64" s="3221"/>
      <c r="N64" s="3221"/>
      <c r="O64" s="3221"/>
      <c r="P64" s="3221"/>
      <c r="Q64" s="3222"/>
      <c r="R64" s="3222"/>
      <c r="S64" s="1117"/>
      <c r="T64" s="1145"/>
      <c r="U64" s="1117"/>
      <c r="V64" s="1117"/>
      <c r="X64" s="1119"/>
      <c r="Y64" s="1119"/>
      <c r="Z64" s="1145"/>
      <c r="AA64" s="1117"/>
      <c r="AB64" s="1133" t="s">
        <v>1107</v>
      </c>
      <c r="AC64" s="1134">
        <v>0.5</v>
      </c>
      <c r="AD64" s="1119"/>
    </row>
    <row r="65" spans="2:31" ht="15" customHeight="1">
      <c r="B65" s="1125"/>
      <c r="C65" s="3223"/>
      <c r="D65" s="3223"/>
      <c r="E65" s="3223"/>
      <c r="F65" s="3223"/>
      <c r="G65" s="3223"/>
      <c r="H65" s="3223"/>
      <c r="I65" s="3223"/>
      <c r="J65" s="3223"/>
      <c r="K65" s="3223"/>
      <c r="L65" s="3223"/>
      <c r="M65" s="3223"/>
      <c r="N65" s="3223"/>
      <c r="O65" s="3223"/>
      <c r="P65" s="3223"/>
      <c r="Q65" s="3223"/>
      <c r="R65" s="3223"/>
      <c r="S65" s="1117"/>
      <c r="T65" s="1145"/>
      <c r="U65" s="1117"/>
      <c r="V65" s="1117"/>
      <c r="W65" s="1122"/>
      <c r="X65" s="1119"/>
      <c r="Y65" s="1119"/>
      <c r="Z65" s="1145"/>
      <c r="AA65" s="1117"/>
      <c r="AB65" s="1133" t="s">
        <v>1109</v>
      </c>
      <c r="AC65" s="1134">
        <v>0.5</v>
      </c>
      <c r="AD65" s="1119"/>
    </row>
    <row r="66" spans="2:31" ht="15" customHeight="1">
      <c r="B66" s="1125"/>
      <c r="S66" s="1117"/>
      <c r="T66" s="1145"/>
      <c r="U66" s="1117"/>
      <c r="V66" s="1117"/>
      <c r="W66" s="1118"/>
      <c r="X66" s="1119"/>
      <c r="Y66" s="1119"/>
      <c r="Z66" s="1145"/>
      <c r="AA66" s="1117"/>
      <c r="AB66" s="1133" t="s">
        <v>1111</v>
      </c>
      <c r="AC66" s="1134">
        <v>0.24</v>
      </c>
      <c r="AD66" s="1119"/>
    </row>
    <row r="67" spans="2:31" ht="15" customHeight="1">
      <c r="B67" s="1125"/>
      <c r="C67" s="1147"/>
      <c r="D67" s="1147"/>
      <c r="E67" s="3219"/>
      <c r="F67" s="3219"/>
      <c r="G67" s="3219"/>
      <c r="H67" s="3219"/>
      <c r="I67" s="3219"/>
      <c r="J67" s="3219"/>
      <c r="N67" s="3220"/>
      <c r="O67" s="3220"/>
      <c r="S67" s="1117"/>
      <c r="T67" s="1145"/>
      <c r="U67" s="1117"/>
      <c r="V67" s="1117"/>
      <c r="W67" s="1118"/>
      <c r="X67" s="1119"/>
      <c r="Y67" s="1119"/>
      <c r="Z67" s="1145"/>
      <c r="AA67" s="1117"/>
      <c r="AB67" s="1133" t="s">
        <v>1116</v>
      </c>
      <c r="AC67" s="1134">
        <v>0.35</v>
      </c>
      <c r="AD67" s="1119"/>
    </row>
    <row r="68" spans="2:31" ht="15" customHeight="1">
      <c r="B68" s="1125"/>
      <c r="C68" s="1147"/>
      <c r="D68" s="1147"/>
      <c r="E68" s="3219"/>
      <c r="F68" s="3219"/>
      <c r="G68" s="3219"/>
      <c r="H68" s="3219"/>
      <c r="I68" s="3219"/>
      <c r="J68" s="3219"/>
      <c r="M68" s="1148"/>
      <c r="N68" s="3220"/>
      <c r="O68" s="3220"/>
      <c r="S68" s="3224"/>
      <c r="T68" s="1145"/>
      <c r="U68" s="1117"/>
      <c r="V68" s="1117"/>
      <c r="W68" s="3225"/>
      <c r="X68" s="3225"/>
      <c r="Y68" s="1119"/>
      <c r="Z68" s="1145"/>
      <c r="AA68" s="1117"/>
      <c r="AB68" s="1133" t="s">
        <v>1121</v>
      </c>
      <c r="AC68" s="1134">
        <v>0.15</v>
      </c>
      <c r="AD68" s="1119"/>
    </row>
    <row r="69" spans="2:31" ht="15" customHeight="1">
      <c r="B69" s="1125"/>
      <c r="C69" s="1147"/>
      <c r="D69" s="1147"/>
      <c r="G69" s="1077"/>
      <c r="H69" s="1077"/>
      <c r="I69" s="1077"/>
      <c r="M69" s="1147"/>
      <c r="N69" s="1149"/>
      <c r="O69" s="1150"/>
      <c r="S69" s="3224"/>
      <c r="T69" s="1145"/>
      <c r="U69" s="1117"/>
      <c r="V69" s="1117"/>
      <c r="W69" s="1118"/>
      <c r="X69" s="1119"/>
      <c r="Y69" s="1119"/>
      <c r="Z69" s="1145"/>
      <c r="AA69" s="1117"/>
      <c r="AB69" s="1133" t="s">
        <v>1126</v>
      </c>
      <c r="AC69" s="1134">
        <v>0.19</v>
      </c>
      <c r="AD69" s="1119"/>
    </row>
    <row r="70" spans="2:31" ht="15" customHeight="1">
      <c r="B70" s="1125"/>
      <c r="C70" s="1077"/>
      <c r="D70" s="1151"/>
      <c r="E70" s="1152"/>
      <c r="F70" s="1152"/>
      <c r="G70" s="1077"/>
      <c r="H70" s="1152"/>
      <c r="I70" s="1152"/>
      <c r="J70" s="1152"/>
      <c r="K70" s="1152"/>
      <c r="L70" s="1152"/>
      <c r="M70" s="1152"/>
      <c r="N70" s="1152"/>
      <c r="O70" s="1152"/>
      <c r="P70" s="1152"/>
      <c r="S70" s="1117"/>
      <c r="T70" s="1145"/>
      <c r="U70" s="1117"/>
      <c r="V70" s="1117"/>
      <c r="W70" s="1118"/>
      <c r="X70" s="1119"/>
      <c r="Y70" s="1119"/>
      <c r="Z70" s="1145"/>
      <c r="AA70" s="1117"/>
      <c r="AB70" s="1133" t="s">
        <v>1095</v>
      </c>
      <c r="AC70" s="1153">
        <v>0</v>
      </c>
      <c r="AD70" s="1119"/>
    </row>
    <row r="71" spans="2:31" ht="15" customHeight="1">
      <c r="B71" s="1125"/>
      <c r="C71" s="3226"/>
      <c r="D71" s="3226"/>
      <c r="E71" s="3226"/>
      <c r="F71" s="3226"/>
      <c r="G71" s="3226"/>
      <c r="H71" s="3226"/>
      <c r="I71" s="3226"/>
      <c r="J71" s="3226"/>
      <c r="K71" s="3226"/>
      <c r="L71" s="3226"/>
      <c r="M71" s="3226"/>
      <c r="N71" s="3226"/>
      <c r="O71" s="3226"/>
      <c r="P71" s="3226"/>
      <c r="Q71" s="3226"/>
      <c r="R71" s="3226"/>
      <c r="S71" s="1117"/>
      <c r="T71" s="1145"/>
      <c r="U71" s="1117"/>
      <c r="V71" s="1117"/>
      <c r="W71" s="1118"/>
      <c r="X71" s="1119"/>
      <c r="Y71" s="1119"/>
      <c r="Z71" s="1145"/>
      <c r="AA71" s="1117"/>
      <c r="AC71" s="1118"/>
      <c r="AD71" s="1119"/>
    </row>
    <row r="72" spans="2:31" ht="15" customHeight="1">
      <c r="B72" s="1125"/>
      <c r="C72" s="3226"/>
      <c r="D72" s="3226"/>
      <c r="E72" s="3226"/>
      <c r="F72" s="3226"/>
      <c r="G72" s="3226"/>
      <c r="H72" s="3226"/>
      <c r="I72" s="3226"/>
      <c r="J72" s="3226"/>
      <c r="K72" s="3226"/>
      <c r="L72" s="3226"/>
      <c r="M72" s="3226"/>
      <c r="N72" s="3226"/>
      <c r="O72" s="3226"/>
      <c r="P72" s="3226"/>
      <c r="Q72" s="3226"/>
      <c r="R72" s="3226"/>
      <c r="S72" s="1117"/>
      <c r="T72" s="1145"/>
      <c r="U72" s="1117"/>
      <c r="V72" s="1117"/>
      <c r="W72" s="1118"/>
      <c r="X72" s="1119"/>
      <c r="Y72" s="1119"/>
      <c r="Z72" s="1145"/>
      <c r="AA72" s="1117"/>
      <c r="AC72" s="1118"/>
      <c r="AD72" s="1119"/>
    </row>
    <row r="73" spans="2:31" ht="15" customHeight="1">
      <c r="B73" s="1125"/>
      <c r="C73" s="3226"/>
      <c r="D73" s="3226"/>
      <c r="E73" s="3226"/>
      <c r="F73" s="3226"/>
      <c r="G73" s="3226"/>
      <c r="H73" s="3226"/>
      <c r="I73" s="3226"/>
      <c r="J73" s="3226"/>
      <c r="K73" s="3226"/>
      <c r="L73" s="3226"/>
      <c r="M73" s="3226"/>
      <c r="N73" s="3226"/>
      <c r="O73" s="3226"/>
      <c r="P73" s="3226"/>
      <c r="Q73" s="3226"/>
      <c r="R73" s="3226"/>
      <c r="S73" s="1117"/>
      <c r="T73" s="1145"/>
      <c r="U73" s="1117"/>
      <c r="V73" s="1117"/>
      <c r="W73" s="1118"/>
      <c r="X73" s="1119"/>
      <c r="Y73" s="1119"/>
      <c r="Z73" s="1145"/>
      <c r="AA73" s="1117"/>
      <c r="AC73" s="1118"/>
      <c r="AD73" s="1119"/>
    </row>
    <row r="74" spans="2:31" ht="9.9499999999999993" customHeight="1">
      <c r="B74" s="1125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S74" s="1117"/>
      <c r="T74" s="1145"/>
      <c r="U74" s="1117"/>
      <c r="V74" s="1117"/>
      <c r="W74" s="1118"/>
      <c r="X74" s="1119"/>
      <c r="Y74" s="1119"/>
      <c r="Z74" s="1145"/>
      <c r="AA74" s="1117"/>
      <c r="AC74" s="1118"/>
      <c r="AD74" s="1119"/>
    </row>
    <row r="75" spans="2:31" ht="15" customHeight="1">
      <c r="B75" s="1125"/>
      <c r="C75" s="1077"/>
      <c r="D75" s="1077"/>
      <c r="E75" s="1077"/>
      <c r="F75" s="1077"/>
      <c r="G75" s="1077"/>
      <c r="H75" s="1077"/>
      <c r="I75" s="1077"/>
      <c r="J75" s="1077"/>
      <c r="K75" s="1077"/>
      <c r="L75" s="1077"/>
      <c r="M75" s="1077"/>
      <c r="N75" s="1077"/>
      <c r="O75" s="1077"/>
      <c r="S75" s="1117"/>
      <c r="T75" s="1145"/>
      <c r="U75" s="1117"/>
      <c r="V75" s="1117"/>
      <c r="W75" s="1118"/>
      <c r="X75" s="1119"/>
      <c r="Y75" s="1119"/>
      <c r="Z75" s="1145"/>
      <c r="AA75" s="1117"/>
      <c r="AC75" s="1118"/>
      <c r="AD75" s="1119"/>
      <c r="AE75" s="1117"/>
    </row>
    <row r="76" spans="2:31" ht="15" customHeight="1">
      <c r="C76" s="1077"/>
      <c r="D76" s="1077"/>
      <c r="F76" s="1151"/>
      <c r="G76" s="1152"/>
      <c r="H76" s="1152"/>
      <c r="I76" s="1077"/>
      <c r="J76" s="1152"/>
      <c r="K76" s="1152"/>
      <c r="L76" s="1152"/>
      <c r="M76" s="1152"/>
      <c r="N76" s="1152"/>
      <c r="O76" s="1152"/>
      <c r="P76" s="1152"/>
      <c r="Q76" s="1152"/>
      <c r="R76" s="1152"/>
      <c r="S76" s="1152"/>
      <c r="T76" s="1145"/>
      <c r="U76" s="1117"/>
      <c r="V76" s="1117"/>
      <c r="W76" s="1118"/>
      <c r="X76" s="1119"/>
      <c r="Y76" s="1119"/>
      <c r="Z76" s="1145"/>
      <c r="AA76" s="1117"/>
      <c r="AC76" s="1118"/>
      <c r="AD76" s="1119"/>
    </row>
    <row r="77" spans="2:31" ht="15" customHeight="1">
      <c r="C77" s="1077"/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T77" s="1145"/>
      <c r="U77" s="1117"/>
      <c r="V77" s="1117"/>
      <c r="W77" s="1118"/>
      <c r="X77" s="1119"/>
      <c r="Y77" s="1119"/>
      <c r="Z77" s="1145"/>
      <c r="AA77" s="1117"/>
      <c r="AC77" s="1118"/>
      <c r="AD77" s="1119"/>
    </row>
    <row r="78" spans="2:31" ht="15" customHeight="1">
      <c r="C78" s="1077"/>
      <c r="D78" s="1077"/>
      <c r="E78" s="1077"/>
      <c r="F78" s="1077"/>
      <c r="G78" s="1077"/>
      <c r="H78" s="1077"/>
      <c r="I78" s="1077"/>
      <c r="J78" s="1077"/>
      <c r="K78" s="1077"/>
      <c r="L78" s="1077"/>
      <c r="M78" s="1077"/>
      <c r="N78" s="1077"/>
      <c r="O78" s="1077"/>
      <c r="T78" s="1145"/>
      <c r="U78" s="1117"/>
      <c r="V78" s="1117"/>
      <c r="W78" s="1118"/>
      <c r="X78" s="1119"/>
      <c r="Y78" s="1119"/>
      <c r="Z78" s="1145"/>
      <c r="AA78" s="1117"/>
      <c r="AC78" s="1118"/>
      <c r="AD78" s="1119"/>
    </row>
    <row r="79" spans="2:31" ht="15" customHeight="1">
      <c r="C79" s="1077"/>
      <c r="D79" s="1077"/>
      <c r="E79" s="1077"/>
      <c r="F79" s="1077"/>
      <c r="G79" s="1077"/>
      <c r="H79" s="1077"/>
      <c r="I79" s="1077"/>
      <c r="J79" s="1077"/>
      <c r="K79" s="1077"/>
      <c r="L79" s="1077"/>
      <c r="M79" s="1077"/>
      <c r="N79" s="1077"/>
      <c r="O79" s="1077"/>
      <c r="T79" s="1145"/>
      <c r="U79" s="1117"/>
      <c r="V79" s="1117"/>
      <c r="W79" s="1118"/>
      <c r="X79" s="1119"/>
      <c r="Y79" s="1119"/>
      <c r="Z79" s="1145"/>
      <c r="AA79" s="1117"/>
      <c r="AC79" s="1118"/>
      <c r="AD79" s="1119"/>
    </row>
    <row r="80" spans="2:31" ht="9.9499999999999993" customHeight="1">
      <c r="C80" s="1077"/>
      <c r="D80" s="1077"/>
      <c r="E80" s="1077"/>
      <c r="F80" s="1077"/>
      <c r="G80" s="1077"/>
      <c r="H80" s="1077"/>
      <c r="I80" s="1077"/>
      <c r="J80" s="1077"/>
      <c r="K80" s="1077"/>
      <c r="L80" s="1077"/>
      <c r="M80" s="1077"/>
      <c r="N80" s="1077"/>
      <c r="O80" s="1077"/>
    </row>
    <row r="81" spans="2:19" ht="15" customHeight="1"/>
    <row r="82" spans="2:19" ht="15.75" customHeight="1"/>
    <row r="83" spans="2:19">
      <c r="C83" s="1077"/>
      <c r="D83" s="1077"/>
      <c r="E83" s="1077"/>
      <c r="F83" s="1077"/>
      <c r="G83" s="1077"/>
      <c r="H83" s="1077"/>
      <c r="I83" s="1077"/>
      <c r="J83" s="1077"/>
      <c r="K83" s="1077"/>
      <c r="L83" s="1077"/>
    </row>
    <row r="84" spans="2:19">
      <c r="C84" s="1077"/>
      <c r="D84" s="1077"/>
      <c r="E84" s="1077"/>
      <c r="F84" s="1147"/>
      <c r="K84" s="1077"/>
      <c r="L84" s="1077"/>
      <c r="M84" s="1077"/>
      <c r="N84" s="1077"/>
      <c r="O84" s="1077"/>
    </row>
    <row r="85" spans="2:19" s="1155" customFormat="1" ht="15" customHeight="1">
      <c r="B85" s="1154"/>
      <c r="F85" s="1147"/>
      <c r="G85" s="1076"/>
      <c r="H85" s="1076"/>
      <c r="I85" s="1076"/>
      <c r="J85" s="1076"/>
      <c r="K85" s="1077"/>
      <c r="L85" s="1077"/>
      <c r="M85" s="1077"/>
      <c r="S85" s="1156"/>
    </row>
    <row r="86" spans="2:19" ht="15" customHeight="1">
      <c r="B86" s="1157"/>
      <c r="C86" s="1077"/>
      <c r="D86" s="1077"/>
      <c r="E86" s="1077"/>
      <c r="N86" s="1077"/>
      <c r="O86" s="1077"/>
      <c r="S86" s="1158"/>
    </row>
    <row r="87" spans="2:19" ht="15" customHeight="1">
      <c r="C87" s="1077"/>
      <c r="D87" s="1077"/>
      <c r="E87" s="1077"/>
      <c r="N87" s="1077"/>
      <c r="O87" s="1077"/>
      <c r="S87" s="1159"/>
    </row>
    <row r="88" spans="2:19" ht="15" customHeight="1"/>
    <row r="89" spans="2:19" ht="15" customHeight="1">
      <c r="K89" s="1077"/>
      <c r="L89" s="1077"/>
      <c r="M89" s="1077"/>
    </row>
    <row r="90" spans="2:19" ht="15" customHeight="1">
      <c r="C90" s="1160"/>
      <c r="F90" s="1147"/>
      <c r="K90" s="1077"/>
      <c r="L90" s="1077"/>
      <c r="M90" s="1077"/>
    </row>
    <row r="91" spans="2:19" ht="15" customHeight="1">
      <c r="C91" s="1160"/>
      <c r="F91" s="1147"/>
      <c r="K91" s="1147"/>
      <c r="L91" s="1077"/>
      <c r="M91" s="1077"/>
    </row>
    <row r="92" spans="2:19" ht="15" customHeight="1">
      <c r="B92" s="1077"/>
      <c r="C92" s="1077"/>
      <c r="D92" s="1077"/>
      <c r="E92" s="1077"/>
      <c r="K92" s="1147"/>
      <c r="M92" s="1077"/>
    </row>
    <row r="93" spans="2:19">
      <c r="J93" s="1147"/>
      <c r="K93" s="1147"/>
      <c r="M93" s="1077"/>
    </row>
    <row r="101" spans="35:35" ht="15">
      <c r="AI101" s="1124"/>
    </row>
    <row r="102" spans="35:35" ht="15">
      <c r="AI102" s="1124"/>
    </row>
    <row r="120" spans="33:34">
      <c r="AG120" s="1146"/>
      <c r="AH120" s="1146"/>
    </row>
    <row r="121" spans="33:34">
      <c r="AG121" s="1146"/>
      <c r="AH121" s="1146"/>
    </row>
    <row r="122" spans="33:34">
      <c r="AG122" s="1146"/>
      <c r="AH122" s="1146"/>
    </row>
  </sheetData>
  <sheetProtection algorithmName="SHA-512" hashValue="AA4yggQ7hZZ1QMLsEYb9sxJ4Vif+wzD2CPcW3rGe3jKFeffHG6wSOB/nzBlY3ercNnN/Ht3l61fN+6L6zAr1Aw==" saltValue="B9YKuMl0cRb+ESvYHni0Zg==" spinCount="100000" sheet="1" objects="1" selectLockedCells="1"/>
  <mergeCells count="70">
    <mergeCell ref="E6:J6"/>
    <mergeCell ref="N6:O6"/>
    <mergeCell ref="E7:J7"/>
    <mergeCell ref="N7:O7"/>
    <mergeCell ref="S42:AB42"/>
    <mergeCell ref="C40:P40"/>
    <mergeCell ref="Q40:R40"/>
    <mergeCell ref="C41:P41"/>
    <mergeCell ref="Q41:R41"/>
    <mergeCell ref="C42:P42"/>
    <mergeCell ref="Q42:R42"/>
    <mergeCell ref="C11:X11"/>
    <mergeCell ref="C36:R36"/>
    <mergeCell ref="C38:P38"/>
    <mergeCell ref="Q38:R38"/>
    <mergeCell ref="C39:P39"/>
    <mergeCell ref="Q39:R39"/>
    <mergeCell ref="J16:K16"/>
    <mergeCell ref="T13:X13"/>
    <mergeCell ref="T16:T19"/>
    <mergeCell ref="Q30:R30"/>
    <mergeCell ref="P29:Q29"/>
    <mergeCell ref="L29:L30"/>
    <mergeCell ref="C13:L13"/>
    <mergeCell ref="M13:O13"/>
    <mergeCell ref="P13:R13"/>
    <mergeCell ref="J14:K14"/>
    <mergeCell ref="J15:K15"/>
    <mergeCell ref="E68:J68"/>
    <mergeCell ref="N68:O68"/>
    <mergeCell ref="S68:S69"/>
    <mergeCell ref="W68:X68"/>
    <mergeCell ref="C71:R73"/>
    <mergeCell ref="Z56:Z59"/>
    <mergeCell ref="J57:K57"/>
    <mergeCell ref="C58:R58"/>
    <mergeCell ref="E67:J67"/>
    <mergeCell ref="N67:O67"/>
    <mergeCell ref="C60:P60"/>
    <mergeCell ref="Q60:R60"/>
    <mergeCell ref="C61:P61"/>
    <mergeCell ref="Q61:R61"/>
    <mergeCell ref="C62:P62"/>
    <mergeCell ref="Q62:R62"/>
    <mergeCell ref="C63:P63"/>
    <mergeCell ref="Q63:R63"/>
    <mergeCell ref="C64:P64"/>
    <mergeCell ref="Q64:R64"/>
    <mergeCell ref="C65:R65"/>
    <mergeCell ref="R50:U50"/>
    <mergeCell ref="V50:Y50"/>
    <mergeCell ref="J55:K55"/>
    <mergeCell ref="J56:K56"/>
    <mergeCell ref="T56:T59"/>
    <mergeCell ref="AL39:AP39"/>
    <mergeCell ref="AL40:AP40"/>
    <mergeCell ref="AL41:AP41"/>
    <mergeCell ref="J54:K54"/>
    <mergeCell ref="B49:C50"/>
    <mergeCell ref="D49:J49"/>
    <mergeCell ref="K49:Q49"/>
    <mergeCell ref="R49:U49"/>
    <mergeCell ref="C52:X52"/>
    <mergeCell ref="C53:L53"/>
    <mergeCell ref="M53:O53"/>
    <mergeCell ref="P53:R53"/>
    <mergeCell ref="T53:X53"/>
    <mergeCell ref="V49:Y49"/>
    <mergeCell ref="D50:J50"/>
    <mergeCell ref="K50:Q50"/>
  </mergeCells>
  <dataValidations count="1">
    <dataValidation type="list" allowBlank="1" showInputMessage="1" showErrorMessage="1" sqref="V62:V79 WWD983096:WWD983100 WMH983096:WMH983100 WCL983096:WCL983100 VSP983096:VSP983100 VIT983096:VIT983100 UYX983096:UYX983100 UPB983096:UPB983100 UFF983096:UFF983100 TVJ983096:TVJ983100 TLN983096:TLN983100 TBR983096:TBR983100 SRV983096:SRV983100 SHZ983096:SHZ983100 RYD983096:RYD983100 ROH983096:ROH983100 REL983096:REL983100 QUP983096:QUP983100 QKT983096:QKT983100 QAX983096:QAX983100 PRB983096:PRB983100 PHF983096:PHF983100 OXJ983096:OXJ983100 ONN983096:ONN983100 ODR983096:ODR983100 NTV983096:NTV983100 NJZ983096:NJZ983100 NAD983096:NAD983100 MQH983096:MQH983100 MGL983096:MGL983100 LWP983096:LWP983100 LMT983096:LMT983100 LCX983096:LCX983100 KTB983096:KTB983100 KJF983096:KJF983100 JZJ983096:JZJ983100 JPN983096:JPN983100 JFR983096:JFR983100 IVV983096:IVV983100 ILZ983096:ILZ983100 ICD983096:ICD983100 HSH983096:HSH983100 HIL983096:HIL983100 GYP983096:GYP983100 GOT983096:GOT983100 GEX983096:GEX983100 FVB983096:FVB983100 FLF983096:FLF983100 FBJ983096:FBJ983100 ERN983096:ERN983100 EHR983096:EHR983100 DXV983096:DXV983100 DNZ983096:DNZ983100 DED983096:DED983100 CUH983096:CUH983100 CKL983096:CKL983100 CAP983096:CAP983100 BQT983096:BQT983100 BGX983096:BGX983100 AXB983096:AXB983100 ANF983096:ANF983100 ADJ983096:ADJ983100 TN983096:TN983100 JR983096:JR983100 V983096:V983100 WWD917560:WWD917564 WMH917560:WMH917564 WCL917560:WCL917564 VSP917560:VSP917564 VIT917560:VIT917564 UYX917560:UYX917564 UPB917560:UPB917564 UFF917560:UFF917564 TVJ917560:TVJ917564 TLN917560:TLN917564 TBR917560:TBR917564 SRV917560:SRV917564 SHZ917560:SHZ917564 RYD917560:RYD917564 ROH917560:ROH917564 REL917560:REL917564 QUP917560:QUP917564 QKT917560:QKT917564 QAX917560:QAX917564 PRB917560:PRB917564 PHF917560:PHF917564 OXJ917560:OXJ917564 ONN917560:ONN917564 ODR917560:ODR917564 NTV917560:NTV917564 NJZ917560:NJZ917564 NAD917560:NAD917564 MQH917560:MQH917564 MGL917560:MGL917564 LWP917560:LWP917564 LMT917560:LMT917564 LCX917560:LCX917564 KTB917560:KTB917564 KJF917560:KJF917564 JZJ917560:JZJ917564 JPN917560:JPN917564 JFR917560:JFR917564 IVV917560:IVV917564 ILZ917560:ILZ917564 ICD917560:ICD917564 HSH917560:HSH917564 HIL917560:HIL917564 GYP917560:GYP917564 GOT917560:GOT917564 GEX917560:GEX917564 FVB917560:FVB917564 FLF917560:FLF917564 FBJ917560:FBJ917564 ERN917560:ERN917564 EHR917560:EHR917564 DXV917560:DXV917564 DNZ917560:DNZ917564 DED917560:DED917564 CUH917560:CUH917564 CKL917560:CKL917564 CAP917560:CAP917564 BQT917560:BQT917564 BGX917560:BGX917564 AXB917560:AXB917564 ANF917560:ANF917564 ADJ917560:ADJ917564 TN917560:TN917564 JR917560:JR917564 V917560:V917564 WWD852024:WWD852028 WMH852024:WMH852028 WCL852024:WCL852028 VSP852024:VSP852028 VIT852024:VIT852028 UYX852024:UYX852028 UPB852024:UPB852028 UFF852024:UFF852028 TVJ852024:TVJ852028 TLN852024:TLN852028 TBR852024:TBR852028 SRV852024:SRV852028 SHZ852024:SHZ852028 RYD852024:RYD852028 ROH852024:ROH852028 REL852024:REL852028 QUP852024:QUP852028 QKT852024:QKT852028 QAX852024:QAX852028 PRB852024:PRB852028 PHF852024:PHF852028 OXJ852024:OXJ852028 ONN852024:ONN852028 ODR852024:ODR852028 NTV852024:NTV852028 NJZ852024:NJZ852028 NAD852024:NAD852028 MQH852024:MQH852028 MGL852024:MGL852028 LWP852024:LWP852028 LMT852024:LMT852028 LCX852024:LCX852028 KTB852024:KTB852028 KJF852024:KJF852028 JZJ852024:JZJ852028 JPN852024:JPN852028 JFR852024:JFR852028 IVV852024:IVV852028 ILZ852024:ILZ852028 ICD852024:ICD852028 HSH852024:HSH852028 HIL852024:HIL852028 GYP852024:GYP852028 GOT852024:GOT852028 GEX852024:GEX852028 FVB852024:FVB852028 FLF852024:FLF852028 FBJ852024:FBJ852028 ERN852024:ERN852028 EHR852024:EHR852028 DXV852024:DXV852028 DNZ852024:DNZ852028 DED852024:DED852028 CUH852024:CUH852028 CKL852024:CKL852028 CAP852024:CAP852028 BQT852024:BQT852028 BGX852024:BGX852028 AXB852024:AXB852028 ANF852024:ANF852028 ADJ852024:ADJ852028 TN852024:TN852028 JR852024:JR852028 V852024:V852028 WWD786488:WWD786492 WMH786488:WMH786492 WCL786488:WCL786492 VSP786488:VSP786492 VIT786488:VIT786492 UYX786488:UYX786492 UPB786488:UPB786492 UFF786488:UFF786492 TVJ786488:TVJ786492 TLN786488:TLN786492 TBR786488:TBR786492 SRV786488:SRV786492 SHZ786488:SHZ786492 RYD786488:RYD786492 ROH786488:ROH786492 REL786488:REL786492 QUP786488:QUP786492 QKT786488:QKT786492 QAX786488:QAX786492 PRB786488:PRB786492 PHF786488:PHF786492 OXJ786488:OXJ786492 ONN786488:ONN786492 ODR786488:ODR786492 NTV786488:NTV786492 NJZ786488:NJZ786492 NAD786488:NAD786492 MQH786488:MQH786492 MGL786488:MGL786492 LWP786488:LWP786492 LMT786488:LMT786492 LCX786488:LCX786492 KTB786488:KTB786492 KJF786488:KJF786492 JZJ786488:JZJ786492 JPN786488:JPN786492 JFR786488:JFR786492 IVV786488:IVV786492 ILZ786488:ILZ786492 ICD786488:ICD786492 HSH786488:HSH786492 HIL786488:HIL786492 GYP786488:GYP786492 GOT786488:GOT786492 GEX786488:GEX786492 FVB786488:FVB786492 FLF786488:FLF786492 FBJ786488:FBJ786492 ERN786488:ERN786492 EHR786488:EHR786492 DXV786488:DXV786492 DNZ786488:DNZ786492 DED786488:DED786492 CUH786488:CUH786492 CKL786488:CKL786492 CAP786488:CAP786492 BQT786488:BQT786492 BGX786488:BGX786492 AXB786488:AXB786492 ANF786488:ANF786492 ADJ786488:ADJ786492 TN786488:TN786492 JR786488:JR786492 V786488:V786492 WWD720952:WWD720956 WMH720952:WMH720956 WCL720952:WCL720956 VSP720952:VSP720956 VIT720952:VIT720956 UYX720952:UYX720956 UPB720952:UPB720956 UFF720952:UFF720956 TVJ720952:TVJ720956 TLN720952:TLN720956 TBR720952:TBR720956 SRV720952:SRV720956 SHZ720952:SHZ720956 RYD720952:RYD720956 ROH720952:ROH720956 REL720952:REL720956 QUP720952:QUP720956 QKT720952:QKT720956 QAX720952:QAX720956 PRB720952:PRB720956 PHF720952:PHF720956 OXJ720952:OXJ720956 ONN720952:ONN720956 ODR720952:ODR720956 NTV720952:NTV720956 NJZ720952:NJZ720956 NAD720952:NAD720956 MQH720952:MQH720956 MGL720952:MGL720956 LWP720952:LWP720956 LMT720952:LMT720956 LCX720952:LCX720956 KTB720952:KTB720956 KJF720952:KJF720956 JZJ720952:JZJ720956 JPN720952:JPN720956 JFR720952:JFR720956 IVV720952:IVV720956 ILZ720952:ILZ720956 ICD720952:ICD720956 HSH720952:HSH720956 HIL720952:HIL720956 GYP720952:GYP720956 GOT720952:GOT720956 GEX720952:GEX720956 FVB720952:FVB720956 FLF720952:FLF720956 FBJ720952:FBJ720956 ERN720952:ERN720956 EHR720952:EHR720956 DXV720952:DXV720956 DNZ720952:DNZ720956 DED720952:DED720956 CUH720952:CUH720956 CKL720952:CKL720956 CAP720952:CAP720956 BQT720952:BQT720956 BGX720952:BGX720956 AXB720952:AXB720956 ANF720952:ANF720956 ADJ720952:ADJ720956 TN720952:TN720956 JR720952:JR720956 V720952:V720956 WWD655416:WWD655420 WMH655416:WMH655420 WCL655416:WCL655420 VSP655416:VSP655420 VIT655416:VIT655420 UYX655416:UYX655420 UPB655416:UPB655420 UFF655416:UFF655420 TVJ655416:TVJ655420 TLN655416:TLN655420 TBR655416:TBR655420 SRV655416:SRV655420 SHZ655416:SHZ655420 RYD655416:RYD655420 ROH655416:ROH655420 REL655416:REL655420 QUP655416:QUP655420 QKT655416:QKT655420 QAX655416:QAX655420 PRB655416:PRB655420 PHF655416:PHF655420 OXJ655416:OXJ655420 ONN655416:ONN655420 ODR655416:ODR655420 NTV655416:NTV655420 NJZ655416:NJZ655420 NAD655416:NAD655420 MQH655416:MQH655420 MGL655416:MGL655420 LWP655416:LWP655420 LMT655416:LMT655420 LCX655416:LCX655420 KTB655416:KTB655420 KJF655416:KJF655420 JZJ655416:JZJ655420 JPN655416:JPN655420 JFR655416:JFR655420 IVV655416:IVV655420 ILZ655416:ILZ655420 ICD655416:ICD655420 HSH655416:HSH655420 HIL655416:HIL655420 GYP655416:GYP655420 GOT655416:GOT655420 GEX655416:GEX655420 FVB655416:FVB655420 FLF655416:FLF655420 FBJ655416:FBJ655420 ERN655416:ERN655420 EHR655416:EHR655420 DXV655416:DXV655420 DNZ655416:DNZ655420 DED655416:DED655420 CUH655416:CUH655420 CKL655416:CKL655420 CAP655416:CAP655420 BQT655416:BQT655420 BGX655416:BGX655420 AXB655416:AXB655420 ANF655416:ANF655420 ADJ655416:ADJ655420 TN655416:TN655420 JR655416:JR655420 V655416:V655420 WWD589880:WWD589884 WMH589880:WMH589884 WCL589880:WCL589884 VSP589880:VSP589884 VIT589880:VIT589884 UYX589880:UYX589884 UPB589880:UPB589884 UFF589880:UFF589884 TVJ589880:TVJ589884 TLN589880:TLN589884 TBR589880:TBR589884 SRV589880:SRV589884 SHZ589880:SHZ589884 RYD589880:RYD589884 ROH589880:ROH589884 REL589880:REL589884 QUP589880:QUP589884 QKT589880:QKT589884 QAX589880:QAX589884 PRB589880:PRB589884 PHF589880:PHF589884 OXJ589880:OXJ589884 ONN589880:ONN589884 ODR589880:ODR589884 NTV589880:NTV589884 NJZ589880:NJZ589884 NAD589880:NAD589884 MQH589880:MQH589884 MGL589880:MGL589884 LWP589880:LWP589884 LMT589880:LMT589884 LCX589880:LCX589884 KTB589880:KTB589884 KJF589880:KJF589884 JZJ589880:JZJ589884 JPN589880:JPN589884 JFR589880:JFR589884 IVV589880:IVV589884 ILZ589880:ILZ589884 ICD589880:ICD589884 HSH589880:HSH589884 HIL589880:HIL589884 GYP589880:GYP589884 GOT589880:GOT589884 GEX589880:GEX589884 FVB589880:FVB589884 FLF589880:FLF589884 FBJ589880:FBJ589884 ERN589880:ERN589884 EHR589880:EHR589884 DXV589880:DXV589884 DNZ589880:DNZ589884 DED589880:DED589884 CUH589880:CUH589884 CKL589880:CKL589884 CAP589880:CAP589884 BQT589880:BQT589884 BGX589880:BGX589884 AXB589880:AXB589884 ANF589880:ANF589884 ADJ589880:ADJ589884 TN589880:TN589884 JR589880:JR589884 V589880:V589884 WWD524344:WWD524348 WMH524344:WMH524348 WCL524344:WCL524348 VSP524344:VSP524348 VIT524344:VIT524348 UYX524344:UYX524348 UPB524344:UPB524348 UFF524344:UFF524348 TVJ524344:TVJ524348 TLN524344:TLN524348 TBR524344:TBR524348 SRV524344:SRV524348 SHZ524344:SHZ524348 RYD524344:RYD524348 ROH524344:ROH524348 REL524344:REL524348 QUP524344:QUP524348 QKT524344:QKT524348 QAX524344:QAX524348 PRB524344:PRB524348 PHF524344:PHF524348 OXJ524344:OXJ524348 ONN524344:ONN524348 ODR524344:ODR524348 NTV524344:NTV524348 NJZ524344:NJZ524348 NAD524344:NAD524348 MQH524344:MQH524348 MGL524344:MGL524348 LWP524344:LWP524348 LMT524344:LMT524348 LCX524344:LCX524348 KTB524344:KTB524348 KJF524344:KJF524348 JZJ524344:JZJ524348 JPN524344:JPN524348 JFR524344:JFR524348 IVV524344:IVV524348 ILZ524344:ILZ524348 ICD524344:ICD524348 HSH524344:HSH524348 HIL524344:HIL524348 GYP524344:GYP524348 GOT524344:GOT524348 GEX524344:GEX524348 FVB524344:FVB524348 FLF524344:FLF524348 FBJ524344:FBJ524348 ERN524344:ERN524348 EHR524344:EHR524348 DXV524344:DXV524348 DNZ524344:DNZ524348 DED524344:DED524348 CUH524344:CUH524348 CKL524344:CKL524348 CAP524344:CAP524348 BQT524344:BQT524348 BGX524344:BGX524348 AXB524344:AXB524348 ANF524344:ANF524348 ADJ524344:ADJ524348 TN524344:TN524348 JR524344:JR524348 V524344:V524348 WWD458808:WWD458812 WMH458808:WMH458812 WCL458808:WCL458812 VSP458808:VSP458812 VIT458808:VIT458812 UYX458808:UYX458812 UPB458808:UPB458812 UFF458808:UFF458812 TVJ458808:TVJ458812 TLN458808:TLN458812 TBR458808:TBR458812 SRV458808:SRV458812 SHZ458808:SHZ458812 RYD458808:RYD458812 ROH458808:ROH458812 REL458808:REL458812 QUP458808:QUP458812 QKT458808:QKT458812 QAX458808:QAX458812 PRB458808:PRB458812 PHF458808:PHF458812 OXJ458808:OXJ458812 ONN458808:ONN458812 ODR458808:ODR458812 NTV458808:NTV458812 NJZ458808:NJZ458812 NAD458808:NAD458812 MQH458808:MQH458812 MGL458808:MGL458812 LWP458808:LWP458812 LMT458808:LMT458812 LCX458808:LCX458812 KTB458808:KTB458812 KJF458808:KJF458812 JZJ458808:JZJ458812 JPN458808:JPN458812 JFR458808:JFR458812 IVV458808:IVV458812 ILZ458808:ILZ458812 ICD458808:ICD458812 HSH458808:HSH458812 HIL458808:HIL458812 GYP458808:GYP458812 GOT458808:GOT458812 GEX458808:GEX458812 FVB458808:FVB458812 FLF458808:FLF458812 FBJ458808:FBJ458812 ERN458808:ERN458812 EHR458808:EHR458812 DXV458808:DXV458812 DNZ458808:DNZ458812 DED458808:DED458812 CUH458808:CUH458812 CKL458808:CKL458812 CAP458808:CAP458812 BQT458808:BQT458812 BGX458808:BGX458812 AXB458808:AXB458812 ANF458808:ANF458812 ADJ458808:ADJ458812 TN458808:TN458812 JR458808:JR458812 V458808:V458812 WWD393272:WWD393276 WMH393272:WMH393276 WCL393272:WCL393276 VSP393272:VSP393276 VIT393272:VIT393276 UYX393272:UYX393276 UPB393272:UPB393276 UFF393272:UFF393276 TVJ393272:TVJ393276 TLN393272:TLN393276 TBR393272:TBR393276 SRV393272:SRV393276 SHZ393272:SHZ393276 RYD393272:RYD393276 ROH393272:ROH393276 REL393272:REL393276 QUP393272:QUP393276 QKT393272:QKT393276 QAX393272:QAX393276 PRB393272:PRB393276 PHF393272:PHF393276 OXJ393272:OXJ393276 ONN393272:ONN393276 ODR393272:ODR393276 NTV393272:NTV393276 NJZ393272:NJZ393276 NAD393272:NAD393276 MQH393272:MQH393276 MGL393272:MGL393276 LWP393272:LWP393276 LMT393272:LMT393276 LCX393272:LCX393276 KTB393272:KTB393276 KJF393272:KJF393276 JZJ393272:JZJ393276 JPN393272:JPN393276 JFR393272:JFR393276 IVV393272:IVV393276 ILZ393272:ILZ393276 ICD393272:ICD393276 HSH393272:HSH393276 HIL393272:HIL393276 GYP393272:GYP393276 GOT393272:GOT393276 GEX393272:GEX393276 FVB393272:FVB393276 FLF393272:FLF393276 FBJ393272:FBJ393276 ERN393272:ERN393276 EHR393272:EHR393276 DXV393272:DXV393276 DNZ393272:DNZ393276 DED393272:DED393276 CUH393272:CUH393276 CKL393272:CKL393276 CAP393272:CAP393276 BQT393272:BQT393276 BGX393272:BGX393276 AXB393272:AXB393276 ANF393272:ANF393276 ADJ393272:ADJ393276 TN393272:TN393276 JR393272:JR393276 V393272:V393276 WWD327736:WWD327740 WMH327736:WMH327740 WCL327736:WCL327740 VSP327736:VSP327740 VIT327736:VIT327740 UYX327736:UYX327740 UPB327736:UPB327740 UFF327736:UFF327740 TVJ327736:TVJ327740 TLN327736:TLN327740 TBR327736:TBR327740 SRV327736:SRV327740 SHZ327736:SHZ327740 RYD327736:RYD327740 ROH327736:ROH327740 REL327736:REL327740 QUP327736:QUP327740 QKT327736:QKT327740 QAX327736:QAX327740 PRB327736:PRB327740 PHF327736:PHF327740 OXJ327736:OXJ327740 ONN327736:ONN327740 ODR327736:ODR327740 NTV327736:NTV327740 NJZ327736:NJZ327740 NAD327736:NAD327740 MQH327736:MQH327740 MGL327736:MGL327740 LWP327736:LWP327740 LMT327736:LMT327740 LCX327736:LCX327740 KTB327736:KTB327740 KJF327736:KJF327740 JZJ327736:JZJ327740 JPN327736:JPN327740 JFR327736:JFR327740 IVV327736:IVV327740 ILZ327736:ILZ327740 ICD327736:ICD327740 HSH327736:HSH327740 HIL327736:HIL327740 GYP327736:GYP327740 GOT327736:GOT327740 GEX327736:GEX327740 FVB327736:FVB327740 FLF327736:FLF327740 FBJ327736:FBJ327740 ERN327736:ERN327740 EHR327736:EHR327740 DXV327736:DXV327740 DNZ327736:DNZ327740 DED327736:DED327740 CUH327736:CUH327740 CKL327736:CKL327740 CAP327736:CAP327740 BQT327736:BQT327740 BGX327736:BGX327740 AXB327736:AXB327740 ANF327736:ANF327740 ADJ327736:ADJ327740 TN327736:TN327740 JR327736:JR327740 V327736:V327740 WWD262200:WWD262204 WMH262200:WMH262204 WCL262200:WCL262204 VSP262200:VSP262204 VIT262200:VIT262204 UYX262200:UYX262204 UPB262200:UPB262204 UFF262200:UFF262204 TVJ262200:TVJ262204 TLN262200:TLN262204 TBR262200:TBR262204 SRV262200:SRV262204 SHZ262200:SHZ262204 RYD262200:RYD262204 ROH262200:ROH262204 REL262200:REL262204 QUP262200:QUP262204 QKT262200:QKT262204 QAX262200:QAX262204 PRB262200:PRB262204 PHF262200:PHF262204 OXJ262200:OXJ262204 ONN262200:ONN262204 ODR262200:ODR262204 NTV262200:NTV262204 NJZ262200:NJZ262204 NAD262200:NAD262204 MQH262200:MQH262204 MGL262200:MGL262204 LWP262200:LWP262204 LMT262200:LMT262204 LCX262200:LCX262204 KTB262200:KTB262204 KJF262200:KJF262204 JZJ262200:JZJ262204 JPN262200:JPN262204 JFR262200:JFR262204 IVV262200:IVV262204 ILZ262200:ILZ262204 ICD262200:ICD262204 HSH262200:HSH262204 HIL262200:HIL262204 GYP262200:GYP262204 GOT262200:GOT262204 GEX262200:GEX262204 FVB262200:FVB262204 FLF262200:FLF262204 FBJ262200:FBJ262204 ERN262200:ERN262204 EHR262200:EHR262204 DXV262200:DXV262204 DNZ262200:DNZ262204 DED262200:DED262204 CUH262200:CUH262204 CKL262200:CKL262204 CAP262200:CAP262204 BQT262200:BQT262204 BGX262200:BGX262204 AXB262200:AXB262204 ANF262200:ANF262204 ADJ262200:ADJ262204 TN262200:TN262204 JR262200:JR262204 V262200:V262204 WWD196664:WWD196668 WMH196664:WMH196668 WCL196664:WCL196668 VSP196664:VSP196668 VIT196664:VIT196668 UYX196664:UYX196668 UPB196664:UPB196668 UFF196664:UFF196668 TVJ196664:TVJ196668 TLN196664:TLN196668 TBR196664:TBR196668 SRV196664:SRV196668 SHZ196664:SHZ196668 RYD196664:RYD196668 ROH196664:ROH196668 REL196664:REL196668 QUP196664:QUP196668 QKT196664:QKT196668 QAX196664:QAX196668 PRB196664:PRB196668 PHF196664:PHF196668 OXJ196664:OXJ196668 ONN196664:ONN196668 ODR196664:ODR196668 NTV196664:NTV196668 NJZ196664:NJZ196668 NAD196664:NAD196668 MQH196664:MQH196668 MGL196664:MGL196668 LWP196664:LWP196668 LMT196664:LMT196668 LCX196664:LCX196668 KTB196664:KTB196668 KJF196664:KJF196668 JZJ196664:JZJ196668 JPN196664:JPN196668 JFR196664:JFR196668 IVV196664:IVV196668 ILZ196664:ILZ196668 ICD196664:ICD196668 HSH196664:HSH196668 HIL196664:HIL196668 GYP196664:GYP196668 GOT196664:GOT196668 GEX196664:GEX196668 FVB196664:FVB196668 FLF196664:FLF196668 FBJ196664:FBJ196668 ERN196664:ERN196668 EHR196664:EHR196668 DXV196664:DXV196668 DNZ196664:DNZ196668 DED196664:DED196668 CUH196664:CUH196668 CKL196664:CKL196668 CAP196664:CAP196668 BQT196664:BQT196668 BGX196664:BGX196668 AXB196664:AXB196668 ANF196664:ANF196668 ADJ196664:ADJ196668 TN196664:TN196668 JR196664:JR196668 V196664:V196668 WWD131128:WWD131132 WMH131128:WMH131132 WCL131128:WCL131132 VSP131128:VSP131132 VIT131128:VIT131132 UYX131128:UYX131132 UPB131128:UPB131132 UFF131128:UFF131132 TVJ131128:TVJ131132 TLN131128:TLN131132 TBR131128:TBR131132 SRV131128:SRV131132 SHZ131128:SHZ131132 RYD131128:RYD131132 ROH131128:ROH131132 REL131128:REL131132 QUP131128:QUP131132 QKT131128:QKT131132 QAX131128:QAX131132 PRB131128:PRB131132 PHF131128:PHF131132 OXJ131128:OXJ131132 ONN131128:ONN131132 ODR131128:ODR131132 NTV131128:NTV131132 NJZ131128:NJZ131132 NAD131128:NAD131132 MQH131128:MQH131132 MGL131128:MGL131132 LWP131128:LWP131132 LMT131128:LMT131132 LCX131128:LCX131132 KTB131128:KTB131132 KJF131128:KJF131132 JZJ131128:JZJ131132 JPN131128:JPN131132 JFR131128:JFR131132 IVV131128:IVV131132 ILZ131128:ILZ131132 ICD131128:ICD131132 HSH131128:HSH131132 HIL131128:HIL131132 GYP131128:GYP131132 GOT131128:GOT131132 GEX131128:GEX131132 FVB131128:FVB131132 FLF131128:FLF131132 FBJ131128:FBJ131132 ERN131128:ERN131132 EHR131128:EHR131132 DXV131128:DXV131132 DNZ131128:DNZ131132 DED131128:DED131132 CUH131128:CUH131132 CKL131128:CKL131132 CAP131128:CAP131132 BQT131128:BQT131132 BGX131128:BGX131132 AXB131128:AXB131132 ANF131128:ANF131132 ADJ131128:ADJ131132 TN131128:TN131132 JR131128:JR131132 V131128:V131132 WWD65592:WWD65596 WMH65592:WMH65596 WCL65592:WCL65596 VSP65592:VSP65596 VIT65592:VIT65596 UYX65592:UYX65596 UPB65592:UPB65596 UFF65592:UFF65596 TVJ65592:TVJ65596 TLN65592:TLN65596 TBR65592:TBR65596 SRV65592:SRV65596 SHZ65592:SHZ65596 RYD65592:RYD65596 ROH65592:ROH65596 REL65592:REL65596 QUP65592:QUP65596 QKT65592:QKT65596 QAX65592:QAX65596 PRB65592:PRB65596 PHF65592:PHF65596 OXJ65592:OXJ65596 ONN65592:ONN65596 ODR65592:ODR65596 NTV65592:NTV65596 NJZ65592:NJZ65596 NAD65592:NAD65596 MQH65592:MQH65596 MGL65592:MGL65596 LWP65592:LWP65596 LMT65592:LMT65596 LCX65592:LCX65596 KTB65592:KTB65596 KJF65592:KJF65596 JZJ65592:JZJ65596 JPN65592:JPN65596 JFR65592:JFR65596 IVV65592:IVV65596 ILZ65592:ILZ65596 ICD65592:ICD65596 HSH65592:HSH65596 HIL65592:HIL65596 GYP65592:GYP65596 GOT65592:GOT65596 GEX65592:GEX65596 FVB65592:FVB65596 FLF65592:FLF65596 FBJ65592:FBJ65596 ERN65592:ERN65596 EHR65592:EHR65596 DXV65592:DXV65596 DNZ65592:DNZ65596 DED65592:DED65596 CUH65592:CUH65596 CKL65592:CKL65596 CAP65592:CAP65596 BQT65592:BQT65596 BGX65592:BGX65596 AXB65592:AXB65596 ANF65592:ANF65596 ADJ65592:ADJ65596 TN65592:TN65596 JR65592:JR65596 V65592:V65596 WWD56:WWD60 WMH56:WMH60 WCL56:WCL60 VSP56:VSP60 VIT56:VIT60 UYX56:UYX60 UPB56:UPB60 UFF56:UFF60 TVJ56:TVJ60 TLN56:TLN60 TBR56:TBR60 SRV56:SRV60 SHZ56:SHZ60 RYD56:RYD60 ROH56:ROH60 REL56:REL60 QUP56:QUP60 QKT56:QKT60 QAX56:QAX60 PRB56:PRB60 PHF56:PHF60 OXJ56:OXJ60 ONN56:ONN60 ODR56:ODR60 NTV56:NTV60 NJZ56:NJZ60 NAD56:NAD60 MQH56:MQH60 MGL56:MGL60 LWP56:LWP60 LMT56:LMT60 LCX56:LCX60 KTB56:KTB60 KJF56:KJF60 JZJ56:JZJ60 JPN56:JPN60 JFR56:JFR60 IVV56:IVV60 ILZ56:ILZ60 ICD56:ICD60 HSH56:HSH60 HIL56:HIL60 GYP56:GYP60 GOT56:GOT60 GEX56:GEX60 FVB56:FVB60 FLF56:FLF60 FBJ56:FBJ60 ERN56:ERN60 EHR56:EHR60 DXV56:DXV60 DNZ56:DNZ60 DED56:DED60 CUH56:CUH60 CKL56:CKL60 CAP56:CAP60 BQT56:BQT60 BGX56:BGX60 AXB56:AXB60 ANF56:ANF60 ADJ56:ADJ60 TN56:TN60 JR56:JR60 V56:V60 WWD983102:WWD983119 WMH983102:WMH983119 WCL983102:WCL983119 VSP983102:VSP983119 VIT983102:VIT983119 UYX983102:UYX983119 UPB983102:UPB983119 UFF983102:UFF983119 TVJ983102:TVJ983119 TLN983102:TLN983119 TBR983102:TBR983119 SRV983102:SRV983119 SHZ983102:SHZ983119 RYD983102:RYD983119 ROH983102:ROH983119 REL983102:REL983119 QUP983102:QUP983119 QKT983102:QKT983119 QAX983102:QAX983119 PRB983102:PRB983119 PHF983102:PHF983119 OXJ983102:OXJ983119 ONN983102:ONN983119 ODR983102:ODR983119 NTV983102:NTV983119 NJZ983102:NJZ983119 NAD983102:NAD983119 MQH983102:MQH983119 MGL983102:MGL983119 LWP983102:LWP983119 LMT983102:LMT983119 LCX983102:LCX983119 KTB983102:KTB983119 KJF983102:KJF983119 JZJ983102:JZJ983119 JPN983102:JPN983119 JFR983102:JFR983119 IVV983102:IVV983119 ILZ983102:ILZ983119 ICD983102:ICD983119 HSH983102:HSH983119 HIL983102:HIL983119 GYP983102:GYP983119 GOT983102:GOT983119 GEX983102:GEX983119 FVB983102:FVB983119 FLF983102:FLF983119 FBJ983102:FBJ983119 ERN983102:ERN983119 EHR983102:EHR983119 DXV983102:DXV983119 DNZ983102:DNZ983119 DED983102:DED983119 CUH983102:CUH983119 CKL983102:CKL983119 CAP983102:CAP983119 BQT983102:BQT983119 BGX983102:BGX983119 AXB983102:AXB983119 ANF983102:ANF983119 ADJ983102:ADJ983119 TN983102:TN983119 JR983102:JR983119 V983102:V983119 WWD917566:WWD917583 WMH917566:WMH917583 WCL917566:WCL917583 VSP917566:VSP917583 VIT917566:VIT917583 UYX917566:UYX917583 UPB917566:UPB917583 UFF917566:UFF917583 TVJ917566:TVJ917583 TLN917566:TLN917583 TBR917566:TBR917583 SRV917566:SRV917583 SHZ917566:SHZ917583 RYD917566:RYD917583 ROH917566:ROH917583 REL917566:REL917583 QUP917566:QUP917583 QKT917566:QKT917583 QAX917566:QAX917583 PRB917566:PRB917583 PHF917566:PHF917583 OXJ917566:OXJ917583 ONN917566:ONN917583 ODR917566:ODR917583 NTV917566:NTV917583 NJZ917566:NJZ917583 NAD917566:NAD917583 MQH917566:MQH917583 MGL917566:MGL917583 LWP917566:LWP917583 LMT917566:LMT917583 LCX917566:LCX917583 KTB917566:KTB917583 KJF917566:KJF917583 JZJ917566:JZJ917583 JPN917566:JPN917583 JFR917566:JFR917583 IVV917566:IVV917583 ILZ917566:ILZ917583 ICD917566:ICD917583 HSH917566:HSH917583 HIL917566:HIL917583 GYP917566:GYP917583 GOT917566:GOT917583 GEX917566:GEX917583 FVB917566:FVB917583 FLF917566:FLF917583 FBJ917566:FBJ917583 ERN917566:ERN917583 EHR917566:EHR917583 DXV917566:DXV917583 DNZ917566:DNZ917583 DED917566:DED917583 CUH917566:CUH917583 CKL917566:CKL917583 CAP917566:CAP917583 BQT917566:BQT917583 BGX917566:BGX917583 AXB917566:AXB917583 ANF917566:ANF917583 ADJ917566:ADJ917583 TN917566:TN917583 JR917566:JR917583 V917566:V917583 WWD852030:WWD852047 WMH852030:WMH852047 WCL852030:WCL852047 VSP852030:VSP852047 VIT852030:VIT852047 UYX852030:UYX852047 UPB852030:UPB852047 UFF852030:UFF852047 TVJ852030:TVJ852047 TLN852030:TLN852047 TBR852030:TBR852047 SRV852030:SRV852047 SHZ852030:SHZ852047 RYD852030:RYD852047 ROH852030:ROH852047 REL852030:REL852047 QUP852030:QUP852047 QKT852030:QKT852047 QAX852030:QAX852047 PRB852030:PRB852047 PHF852030:PHF852047 OXJ852030:OXJ852047 ONN852030:ONN852047 ODR852030:ODR852047 NTV852030:NTV852047 NJZ852030:NJZ852047 NAD852030:NAD852047 MQH852030:MQH852047 MGL852030:MGL852047 LWP852030:LWP852047 LMT852030:LMT852047 LCX852030:LCX852047 KTB852030:KTB852047 KJF852030:KJF852047 JZJ852030:JZJ852047 JPN852030:JPN852047 JFR852030:JFR852047 IVV852030:IVV852047 ILZ852030:ILZ852047 ICD852030:ICD852047 HSH852030:HSH852047 HIL852030:HIL852047 GYP852030:GYP852047 GOT852030:GOT852047 GEX852030:GEX852047 FVB852030:FVB852047 FLF852030:FLF852047 FBJ852030:FBJ852047 ERN852030:ERN852047 EHR852030:EHR852047 DXV852030:DXV852047 DNZ852030:DNZ852047 DED852030:DED852047 CUH852030:CUH852047 CKL852030:CKL852047 CAP852030:CAP852047 BQT852030:BQT852047 BGX852030:BGX852047 AXB852030:AXB852047 ANF852030:ANF852047 ADJ852030:ADJ852047 TN852030:TN852047 JR852030:JR852047 V852030:V852047 WWD786494:WWD786511 WMH786494:WMH786511 WCL786494:WCL786511 VSP786494:VSP786511 VIT786494:VIT786511 UYX786494:UYX786511 UPB786494:UPB786511 UFF786494:UFF786511 TVJ786494:TVJ786511 TLN786494:TLN786511 TBR786494:TBR786511 SRV786494:SRV786511 SHZ786494:SHZ786511 RYD786494:RYD786511 ROH786494:ROH786511 REL786494:REL786511 QUP786494:QUP786511 QKT786494:QKT786511 QAX786494:QAX786511 PRB786494:PRB786511 PHF786494:PHF786511 OXJ786494:OXJ786511 ONN786494:ONN786511 ODR786494:ODR786511 NTV786494:NTV786511 NJZ786494:NJZ786511 NAD786494:NAD786511 MQH786494:MQH786511 MGL786494:MGL786511 LWP786494:LWP786511 LMT786494:LMT786511 LCX786494:LCX786511 KTB786494:KTB786511 KJF786494:KJF786511 JZJ786494:JZJ786511 JPN786494:JPN786511 JFR786494:JFR786511 IVV786494:IVV786511 ILZ786494:ILZ786511 ICD786494:ICD786511 HSH786494:HSH786511 HIL786494:HIL786511 GYP786494:GYP786511 GOT786494:GOT786511 GEX786494:GEX786511 FVB786494:FVB786511 FLF786494:FLF786511 FBJ786494:FBJ786511 ERN786494:ERN786511 EHR786494:EHR786511 DXV786494:DXV786511 DNZ786494:DNZ786511 DED786494:DED786511 CUH786494:CUH786511 CKL786494:CKL786511 CAP786494:CAP786511 BQT786494:BQT786511 BGX786494:BGX786511 AXB786494:AXB786511 ANF786494:ANF786511 ADJ786494:ADJ786511 TN786494:TN786511 JR786494:JR786511 V786494:V786511 WWD720958:WWD720975 WMH720958:WMH720975 WCL720958:WCL720975 VSP720958:VSP720975 VIT720958:VIT720975 UYX720958:UYX720975 UPB720958:UPB720975 UFF720958:UFF720975 TVJ720958:TVJ720975 TLN720958:TLN720975 TBR720958:TBR720975 SRV720958:SRV720975 SHZ720958:SHZ720975 RYD720958:RYD720975 ROH720958:ROH720975 REL720958:REL720975 QUP720958:QUP720975 QKT720958:QKT720975 QAX720958:QAX720975 PRB720958:PRB720975 PHF720958:PHF720975 OXJ720958:OXJ720975 ONN720958:ONN720975 ODR720958:ODR720975 NTV720958:NTV720975 NJZ720958:NJZ720975 NAD720958:NAD720975 MQH720958:MQH720975 MGL720958:MGL720975 LWP720958:LWP720975 LMT720958:LMT720975 LCX720958:LCX720975 KTB720958:KTB720975 KJF720958:KJF720975 JZJ720958:JZJ720975 JPN720958:JPN720975 JFR720958:JFR720975 IVV720958:IVV720975 ILZ720958:ILZ720975 ICD720958:ICD720975 HSH720958:HSH720975 HIL720958:HIL720975 GYP720958:GYP720975 GOT720958:GOT720975 GEX720958:GEX720975 FVB720958:FVB720975 FLF720958:FLF720975 FBJ720958:FBJ720975 ERN720958:ERN720975 EHR720958:EHR720975 DXV720958:DXV720975 DNZ720958:DNZ720975 DED720958:DED720975 CUH720958:CUH720975 CKL720958:CKL720975 CAP720958:CAP720975 BQT720958:BQT720975 BGX720958:BGX720975 AXB720958:AXB720975 ANF720958:ANF720975 ADJ720958:ADJ720975 TN720958:TN720975 JR720958:JR720975 V720958:V720975 WWD655422:WWD655439 WMH655422:WMH655439 WCL655422:WCL655439 VSP655422:VSP655439 VIT655422:VIT655439 UYX655422:UYX655439 UPB655422:UPB655439 UFF655422:UFF655439 TVJ655422:TVJ655439 TLN655422:TLN655439 TBR655422:TBR655439 SRV655422:SRV655439 SHZ655422:SHZ655439 RYD655422:RYD655439 ROH655422:ROH655439 REL655422:REL655439 QUP655422:QUP655439 QKT655422:QKT655439 QAX655422:QAX655439 PRB655422:PRB655439 PHF655422:PHF655439 OXJ655422:OXJ655439 ONN655422:ONN655439 ODR655422:ODR655439 NTV655422:NTV655439 NJZ655422:NJZ655439 NAD655422:NAD655439 MQH655422:MQH655439 MGL655422:MGL655439 LWP655422:LWP655439 LMT655422:LMT655439 LCX655422:LCX655439 KTB655422:KTB655439 KJF655422:KJF655439 JZJ655422:JZJ655439 JPN655422:JPN655439 JFR655422:JFR655439 IVV655422:IVV655439 ILZ655422:ILZ655439 ICD655422:ICD655439 HSH655422:HSH655439 HIL655422:HIL655439 GYP655422:GYP655439 GOT655422:GOT655439 GEX655422:GEX655439 FVB655422:FVB655439 FLF655422:FLF655439 FBJ655422:FBJ655439 ERN655422:ERN655439 EHR655422:EHR655439 DXV655422:DXV655439 DNZ655422:DNZ655439 DED655422:DED655439 CUH655422:CUH655439 CKL655422:CKL655439 CAP655422:CAP655439 BQT655422:BQT655439 BGX655422:BGX655439 AXB655422:AXB655439 ANF655422:ANF655439 ADJ655422:ADJ655439 TN655422:TN655439 JR655422:JR655439 V655422:V655439 WWD589886:WWD589903 WMH589886:WMH589903 WCL589886:WCL589903 VSP589886:VSP589903 VIT589886:VIT589903 UYX589886:UYX589903 UPB589886:UPB589903 UFF589886:UFF589903 TVJ589886:TVJ589903 TLN589886:TLN589903 TBR589886:TBR589903 SRV589886:SRV589903 SHZ589886:SHZ589903 RYD589886:RYD589903 ROH589886:ROH589903 REL589886:REL589903 QUP589886:QUP589903 QKT589886:QKT589903 QAX589886:QAX589903 PRB589886:PRB589903 PHF589886:PHF589903 OXJ589886:OXJ589903 ONN589886:ONN589903 ODR589886:ODR589903 NTV589886:NTV589903 NJZ589886:NJZ589903 NAD589886:NAD589903 MQH589886:MQH589903 MGL589886:MGL589903 LWP589886:LWP589903 LMT589886:LMT589903 LCX589886:LCX589903 KTB589886:KTB589903 KJF589886:KJF589903 JZJ589886:JZJ589903 JPN589886:JPN589903 JFR589886:JFR589903 IVV589886:IVV589903 ILZ589886:ILZ589903 ICD589886:ICD589903 HSH589886:HSH589903 HIL589886:HIL589903 GYP589886:GYP589903 GOT589886:GOT589903 GEX589886:GEX589903 FVB589886:FVB589903 FLF589886:FLF589903 FBJ589886:FBJ589903 ERN589886:ERN589903 EHR589886:EHR589903 DXV589886:DXV589903 DNZ589886:DNZ589903 DED589886:DED589903 CUH589886:CUH589903 CKL589886:CKL589903 CAP589886:CAP589903 BQT589886:BQT589903 BGX589886:BGX589903 AXB589886:AXB589903 ANF589886:ANF589903 ADJ589886:ADJ589903 TN589886:TN589903 JR589886:JR589903 V589886:V589903 WWD524350:WWD524367 WMH524350:WMH524367 WCL524350:WCL524367 VSP524350:VSP524367 VIT524350:VIT524367 UYX524350:UYX524367 UPB524350:UPB524367 UFF524350:UFF524367 TVJ524350:TVJ524367 TLN524350:TLN524367 TBR524350:TBR524367 SRV524350:SRV524367 SHZ524350:SHZ524367 RYD524350:RYD524367 ROH524350:ROH524367 REL524350:REL524367 QUP524350:QUP524367 QKT524350:QKT524367 QAX524350:QAX524367 PRB524350:PRB524367 PHF524350:PHF524367 OXJ524350:OXJ524367 ONN524350:ONN524367 ODR524350:ODR524367 NTV524350:NTV524367 NJZ524350:NJZ524367 NAD524350:NAD524367 MQH524350:MQH524367 MGL524350:MGL524367 LWP524350:LWP524367 LMT524350:LMT524367 LCX524350:LCX524367 KTB524350:KTB524367 KJF524350:KJF524367 JZJ524350:JZJ524367 JPN524350:JPN524367 JFR524350:JFR524367 IVV524350:IVV524367 ILZ524350:ILZ524367 ICD524350:ICD524367 HSH524350:HSH524367 HIL524350:HIL524367 GYP524350:GYP524367 GOT524350:GOT524367 GEX524350:GEX524367 FVB524350:FVB524367 FLF524350:FLF524367 FBJ524350:FBJ524367 ERN524350:ERN524367 EHR524350:EHR524367 DXV524350:DXV524367 DNZ524350:DNZ524367 DED524350:DED524367 CUH524350:CUH524367 CKL524350:CKL524367 CAP524350:CAP524367 BQT524350:BQT524367 BGX524350:BGX524367 AXB524350:AXB524367 ANF524350:ANF524367 ADJ524350:ADJ524367 TN524350:TN524367 JR524350:JR524367 V524350:V524367 WWD458814:WWD458831 WMH458814:WMH458831 WCL458814:WCL458831 VSP458814:VSP458831 VIT458814:VIT458831 UYX458814:UYX458831 UPB458814:UPB458831 UFF458814:UFF458831 TVJ458814:TVJ458831 TLN458814:TLN458831 TBR458814:TBR458831 SRV458814:SRV458831 SHZ458814:SHZ458831 RYD458814:RYD458831 ROH458814:ROH458831 REL458814:REL458831 QUP458814:QUP458831 QKT458814:QKT458831 QAX458814:QAX458831 PRB458814:PRB458831 PHF458814:PHF458831 OXJ458814:OXJ458831 ONN458814:ONN458831 ODR458814:ODR458831 NTV458814:NTV458831 NJZ458814:NJZ458831 NAD458814:NAD458831 MQH458814:MQH458831 MGL458814:MGL458831 LWP458814:LWP458831 LMT458814:LMT458831 LCX458814:LCX458831 KTB458814:KTB458831 KJF458814:KJF458831 JZJ458814:JZJ458831 JPN458814:JPN458831 JFR458814:JFR458831 IVV458814:IVV458831 ILZ458814:ILZ458831 ICD458814:ICD458831 HSH458814:HSH458831 HIL458814:HIL458831 GYP458814:GYP458831 GOT458814:GOT458831 GEX458814:GEX458831 FVB458814:FVB458831 FLF458814:FLF458831 FBJ458814:FBJ458831 ERN458814:ERN458831 EHR458814:EHR458831 DXV458814:DXV458831 DNZ458814:DNZ458831 DED458814:DED458831 CUH458814:CUH458831 CKL458814:CKL458831 CAP458814:CAP458831 BQT458814:BQT458831 BGX458814:BGX458831 AXB458814:AXB458831 ANF458814:ANF458831 ADJ458814:ADJ458831 TN458814:TN458831 JR458814:JR458831 V458814:V458831 WWD393278:WWD393295 WMH393278:WMH393295 WCL393278:WCL393295 VSP393278:VSP393295 VIT393278:VIT393295 UYX393278:UYX393295 UPB393278:UPB393295 UFF393278:UFF393295 TVJ393278:TVJ393295 TLN393278:TLN393295 TBR393278:TBR393295 SRV393278:SRV393295 SHZ393278:SHZ393295 RYD393278:RYD393295 ROH393278:ROH393295 REL393278:REL393295 QUP393278:QUP393295 QKT393278:QKT393295 QAX393278:QAX393295 PRB393278:PRB393295 PHF393278:PHF393295 OXJ393278:OXJ393295 ONN393278:ONN393295 ODR393278:ODR393295 NTV393278:NTV393295 NJZ393278:NJZ393295 NAD393278:NAD393295 MQH393278:MQH393295 MGL393278:MGL393295 LWP393278:LWP393295 LMT393278:LMT393295 LCX393278:LCX393295 KTB393278:KTB393295 KJF393278:KJF393295 JZJ393278:JZJ393295 JPN393278:JPN393295 JFR393278:JFR393295 IVV393278:IVV393295 ILZ393278:ILZ393295 ICD393278:ICD393295 HSH393278:HSH393295 HIL393278:HIL393295 GYP393278:GYP393295 GOT393278:GOT393295 GEX393278:GEX393295 FVB393278:FVB393295 FLF393278:FLF393295 FBJ393278:FBJ393295 ERN393278:ERN393295 EHR393278:EHR393295 DXV393278:DXV393295 DNZ393278:DNZ393295 DED393278:DED393295 CUH393278:CUH393295 CKL393278:CKL393295 CAP393278:CAP393295 BQT393278:BQT393295 BGX393278:BGX393295 AXB393278:AXB393295 ANF393278:ANF393295 ADJ393278:ADJ393295 TN393278:TN393295 JR393278:JR393295 V393278:V393295 WWD327742:WWD327759 WMH327742:WMH327759 WCL327742:WCL327759 VSP327742:VSP327759 VIT327742:VIT327759 UYX327742:UYX327759 UPB327742:UPB327759 UFF327742:UFF327759 TVJ327742:TVJ327759 TLN327742:TLN327759 TBR327742:TBR327759 SRV327742:SRV327759 SHZ327742:SHZ327759 RYD327742:RYD327759 ROH327742:ROH327759 REL327742:REL327759 QUP327742:QUP327759 QKT327742:QKT327759 QAX327742:QAX327759 PRB327742:PRB327759 PHF327742:PHF327759 OXJ327742:OXJ327759 ONN327742:ONN327759 ODR327742:ODR327759 NTV327742:NTV327759 NJZ327742:NJZ327759 NAD327742:NAD327759 MQH327742:MQH327759 MGL327742:MGL327759 LWP327742:LWP327759 LMT327742:LMT327759 LCX327742:LCX327759 KTB327742:KTB327759 KJF327742:KJF327759 JZJ327742:JZJ327759 JPN327742:JPN327759 JFR327742:JFR327759 IVV327742:IVV327759 ILZ327742:ILZ327759 ICD327742:ICD327759 HSH327742:HSH327759 HIL327742:HIL327759 GYP327742:GYP327759 GOT327742:GOT327759 GEX327742:GEX327759 FVB327742:FVB327759 FLF327742:FLF327759 FBJ327742:FBJ327759 ERN327742:ERN327759 EHR327742:EHR327759 DXV327742:DXV327759 DNZ327742:DNZ327759 DED327742:DED327759 CUH327742:CUH327759 CKL327742:CKL327759 CAP327742:CAP327759 BQT327742:BQT327759 BGX327742:BGX327759 AXB327742:AXB327759 ANF327742:ANF327759 ADJ327742:ADJ327759 TN327742:TN327759 JR327742:JR327759 V327742:V327759 WWD262206:WWD262223 WMH262206:WMH262223 WCL262206:WCL262223 VSP262206:VSP262223 VIT262206:VIT262223 UYX262206:UYX262223 UPB262206:UPB262223 UFF262206:UFF262223 TVJ262206:TVJ262223 TLN262206:TLN262223 TBR262206:TBR262223 SRV262206:SRV262223 SHZ262206:SHZ262223 RYD262206:RYD262223 ROH262206:ROH262223 REL262206:REL262223 QUP262206:QUP262223 QKT262206:QKT262223 QAX262206:QAX262223 PRB262206:PRB262223 PHF262206:PHF262223 OXJ262206:OXJ262223 ONN262206:ONN262223 ODR262206:ODR262223 NTV262206:NTV262223 NJZ262206:NJZ262223 NAD262206:NAD262223 MQH262206:MQH262223 MGL262206:MGL262223 LWP262206:LWP262223 LMT262206:LMT262223 LCX262206:LCX262223 KTB262206:KTB262223 KJF262206:KJF262223 JZJ262206:JZJ262223 JPN262206:JPN262223 JFR262206:JFR262223 IVV262206:IVV262223 ILZ262206:ILZ262223 ICD262206:ICD262223 HSH262206:HSH262223 HIL262206:HIL262223 GYP262206:GYP262223 GOT262206:GOT262223 GEX262206:GEX262223 FVB262206:FVB262223 FLF262206:FLF262223 FBJ262206:FBJ262223 ERN262206:ERN262223 EHR262206:EHR262223 DXV262206:DXV262223 DNZ262206:DNZ262223 DED262206:DED262223 CUH262206:CUH262223 CKL262206:CKL262223 CAP262206:CAP262223 BQT262206:BQT262223 BGX262206:BGX262223 AXB262206:AXB262223 ANF262206:ANF262223 ADJ262206:ADJ262223 TN262206:TN262223 JR262206:JR262223 V262206:V262223 WWD196670:WWD196687 WMH196670:WMH196687 WCL196670:WCL196687 VSP196670:VSP196687 VIT196670:VIT196687 UYX196670:UYX196687 UPB196670:UPB196687 UFF196670:UFF196687 TVJ196670:TVJ196687 TLN196670:TLN196687 TBR196670:TBR196687 SRV196670:SRV196687 SHZ196670:SHZ196687 RYD196670:RYD196687 ROH196670:ROH196687 REL196670:REL196687 QUP196670:QUP196687 QKT196670:QKT196687 QAX196670:QAX196687 PRB196670:PRB196687 PHF196670:PHF196687 OXJ196670:OXJ196687 ONN196670:ONN196687 ODR196670:ODR196687 NTV196670:NTV196687 NJZ196670:NJZ196687 NAD196670:NAD196687 MQH196670:MQH196687 MGL196670:MGL196687 LWP196670:LWP196687 LMT196670:LMT196687 LCX196670:LCX196687 KTB196670:KTB196687 KJF196670:KJF196687 JZJ196670:JZJ196687 JPN196670:JPN196687 JFR196670:JFR196687 IVV196670:IVV196687 ILZ196670:ILZ196687 ICD196670:ICD196687 HSH196670:HSH196687 HIL196670:HIL196687 GYP196670:GYP196687 GOT196670:GOT196687 GEX196670:GEX196687 FVB196670:FVB196687 FLF196670:FLF196687 FBJ196670:FBJ196687 ERN196670:ERN196687 EHR196670:EHR196687 DXV196670:DXV196687 DNZ196670:DNZ196687 DED196670:DED196687 CUH196670:CUH196687 CKL196670:CKL196687 CAP196670:CAP196687 BQT196670:BQT196687 BGX196670:BGX196687 AXB196670:AXB196687 ANF196670:ANF196687 ADJ196670:ADJ196687 TN196670:TN196687 JR196670:JR196687 V196670:V196687 WWD131134:WWD131151 WMH131134:WMH131151 WCL131134:WCL131151 VSP131134:VSP131151 VIT131134:VIT131151 UYX131134:UYX131151 UPB131134:UPB131151 UFF131134:UFF131151 TVJ131134:TVJ131151 TLN131134:TLN131151 TBR131134:TBR131151 SRV131134:SRV131151 SHZ131134:SHZ131151 RYD131134:RYD131151 ROH131134:ROH131151 REL131134:REL131151 QUP131134:QUP131151 QKT131134:QKT131151 QAX131134:QAX131151 PRB131134:PRB131151 PHF131134:PHF131151 OXJ131134:OXJ131151 ONN131134:ONN131151 ODR131134:ODR131151 NTV131134:NTV131151 NJZ131134:NJZ131151 NAD131134:NAD131151 MQH131134:MQH131151 MGL131134:MGL131151 LWP131134:LWP131151 LMT131134:LMT131151 LCX131134:LCX131151 KTB131134:KTB131151 KJF131134:KJF131151 JZJ131134:JZJ131151 JPN131134:JPN131151 JFR131134:JFR131151 IVV131134:IVV131151 ILZ131134:ILZ131151 ICD131134:ICD131151 HSH131134:HSH131151 HIL131134:HIL131151 GYP131134:GYP131151 GOT131134:GOT131151 GEX131134:GEX131151 FVB131134:FVB131151 FLF131134:FLF131151 FBJ131134:FBJ131151 ERN131134:ERN131151 EHR131134:EHR131151 DXV131134:DXV131151 DNZ131134:DNZ131151 DED131134:DED131151 CUH131134:CUH131151 CKL131134:CKL131151 CAP131134:CAP131151 BQT131134:BQT131151 BGX131134:BGX131151 AXB131134:AXB131151 ANF131134:ANF131151 ADJ131134:ADJ131151 TN131134:TN131151 JR131134:JR131151 V131134:V131151 WWD65598:WWD65615 WMH65598:WMH65615 WCL65598:WCL65615 VSP65598:VSP65615 VIT65598:VIT65615 UYX65598:UYX65615 UPB65598:UPB65615 UFF65598:UFF65615 TVJ65598:TVJ65615 TLN65598:TLN65615 TBR65598:TBR65615 SRV65598:SRV65615 SHZ65598:SHZ65615 RYD65598:RYD65615 ROH65598:ROH65615 REL65598:REL65615 QUP65598:QUP65615 QKT65598:QKT65615 QAX65598:QAX65615 PRB65598:PRB65615 PHF65598:PHF65615 OXJ65598:OXJ65615 ONN65598:ONN65615 ODR65598:ODR65615 NTV65598:NTV65615 NJZ65598:NJZ65615 NAD65598:NAD65615 MQH65598:MQH65615 MGL65598:MGL65615 LWP65598:LWP65615 LMT65598:LMT65615 LCX65598:LCX65615 KTB65598:KTB65615 KJF65598:KJF65615 JZJ65598:JZJ65615 JPN65598:JPN65615 JFR65598:JFR65615 IVV65598:IVV65615 ILZ65598:ILZ65615 ICD65598:ICD65615 HSH65598:HSH65615 HIL65598:HIL65615 GYP65598:GYP65615 GOT65598:GOT65615 GEX65598:GEX65615 FVB65598:FVB65615 FLF65598:FLF65615 FBJ65598:FBJ65615 ERN65598:ERN65615 EHR65598:EHR65615 DXV65598:DXV65615 DNZ65598:DNZ65615 DED65598:DED65615 CUH65598:CUH65615 CKL65598:CKL65615 CAP65598:CAP65615 BQT65598:BQT65615 BGX65598:BGX65615 AXB65598:AXB65615 ANF65598:ANF65615 ADJ65598:ADJ65615 TN65598:TN65615 JR65598:JR65615 V65598:V65615 WWD62:WWD79 WMH62:WMH79 WCL62:WCL79 VSP62:VSP79 VIT62:VIT79 UYX62:UYX79 UPB62:UPB79 UFF62:UFF79 TVJ62:TVJ79 TLN62:TLN79 TBR62:TBR79 SRV62:SRV79 SHZ62:SHZ79 RYD62:RYD79 ROH62:ROH79 REL62:REL79 QUP62:QUP79 QKT62:QKT79 QAX62:QAX79 PRB62:PRB79 PHF62:PHF79 OXJ62:OXJ79 ONN62:ONN79 ODR62:ODR79 NTV62:NTV79 NJZ62:NJZ79 NAD62:NAD79 MQH62:MQH79 MGL62:MGL79 LWP62:LWP79 LMT62:LMT79 LCX62:LCX79 KTB62:KTB79 KJF62:KJF79 JZJ62:JZJ79 JPN62:JPN79 JFR62:JFR79 IVV62:IVV79 ILZ62:ILZ79 ICD62:ICD79 HSH62:HSH79 HIL62:HIL79 GYP62:GYP79 GOT62:GOT79 GEX62:GEX79 FVB62:FVB79 FLF62:FLF79 FBJ62:FBJ79 ERN62:ERN79 EHR62:EHR79 DXV62:DXV79 DNZ62:DNZ79 DED62:DED79 CUH62:CUH79 CKL62:CKL79 CAP62:CAP79 BQT62:BQT79 BGX62:BGX79 AXB62:AXB79 ANF62:ANF79 ADJ62:ADJ79 TN62:TN79 JR62:JR79 V16:V41 V43" xr:uid="{00000000-0002-0000-0F00-000000000000}">
      <formula1>$AB$54:$AB$70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HZ40"/>
  <sheetViews>
    <sheetView showGridLines="0" showRowColHeaders="0" zoomScale="112" zoomScaleNormal="112" workbookViewId="0">
      <selection activeCell="E8" sqref="E8"/>
    </sheetView>
  </sheetViews>
  <sheetFormatPr defaultColWidth="9" defaultRowHeight="15"/>
  <cols>
    <col min="1" max="2" width="2.140625" style="91" customWidth="1"/>
    <col min="3" max="3" width="5" style="91" customWidth="1"/>
    <col min="4" max="4" width="14.140625" style="91" customWidth="1"/>
    <col min="5" max="5" width="11" style="91" bestFit="1" customWidth="1"/>
    <col min="6" max="6" width="9" style="91" hidden="1" customWidth="1"/>
    <col min="7" max="7" width="8.5703125" style="91" hidden="1" customWidth="1"/>
    <col min="8" max="8" width="3" style="91" hidden="1" customWidth="1"/>
    <col min="9" max="9" width="8.140625" style="91" hidden="1" customWidth="1"/>
    <col min="10" max="10" width="9.5703125" style="91" hidden="1" customWidth="1"/>
    <col min="11" max="11" width="7.5703125" style="91" customWidth="1"/>
    <col min="12" max="12" width="7.5703125" style="91" bestFit="1" customWidth="1"/>
    <col min="13" max="14" width="3.85546875" style="91" customWidth="1"/>
    <col min="15" max="234" width="9.140625" style="91" customWidth="1"/>
  </cols>
  <sheetData>
    <row r="3" spans="1:32" ht="6.75" customHeight="1" thickBot="1">
      <c r="A3" s="188"/>
      <c r="B3" s="188"/>
      <c r="C3" s="188"/>
    </row>
    <row r="4" spans="1:32" ht="44.25" customHeight="1" thickBot="1">
      <c r="A4" s="188"/>
      <c r="B4" s="188"/>
      <c r="C4" s="188"/>
      <c r="D4" s="2318" t="s">
        <v>1961</v>
      </c>
      <c r="E4" s="2319"/>
      <c r="F4" s="2319"/>
      <c r="G4" s="2319"/>
      <c r="H4" s="2319"/>
      <c r="I4" s="2319"/>
      <c r="J4" s="2319"/>
      <c r="K4" s="2319"/>
      <c r="L4" s="2319"/>
      <c r="M4" s="2319"/>
      <c r="N4" s="2319"/>
      <c r="O4" s="2319"/>
      <c r="P4" s="2319"/>
      <c r="Q4" s="2319"/>
      <c r="R4" s="2319"/>
      <c r="S4" s="2319"/>
      <c r="T4" s="2320"/>
      <c r="U4" s="2320"/>
    </row>
    <row r="5" spans="1:32" ht="15.75" customHeight="1">
      <c r="A5" s="188"/>
      <c r="B5" s="188"/>
      <c r="C5" s="188"/>
      <c r="D5" s="75"/>
    </row>
    <row r="6" spans="1:32" ht="15.75" hidden="1" thickBot="1">
      <c r="D6" s="3265" t="s">
        <v>145</v>
      </c>
      <c r="E6" s="3265"/>
      <c r="F6" s="3266"/>
      <c r="G6" s="1165">
        <v>12.5</v>
      </c>
      <c r="H6" s="77" t="s">
        <v>160</v>
      </c>
    </row>
    <row r="7" spans="1:32" ht="66.75" customHeight="1" thickBot="1">
      <c r="D7" s="76"/>
      <c r="E7" s="1170" t="s">
        <v>1131</v>
      </c>
      <c r="F7" s="78" t="s">
        <v>724</v>
      </c>
      <c r="G7" s="2619" t="s">
        <v>155</v>
      </c>
      <c r="H7" s="2619"/>
      <c r="I7" s="2608" t="s">
        <v>42</v>
      </c>
      <c r="J7" s="2608"/>
      <c r="K7" s="2608" t="s">
        <v>77</v>
      </c>
      <c r="L7" s="2608"/>
    </row>
    <row r="8" spans="1:32" ht="21" customHeight="1" thickBot="1">
      <c r="D8" s="89"/>
      <c r="E8" s="82">
        <v>450</v>
      </c>
      <c r="F8" s="1166">
        <v>5</v>
      </c>
      <c r="G8" s="83">
        <f>E8*F8</f>
        <v>2250</v>
      </c>
      <c r="H8" s="98" t="s">
        <v>156</v>
      </c>
      <c r="I8" s="85">
        <f>((G8*G6)/1000)*860</f>
        <v>24187.5</v>
      </c>
      <c r="J8" s="86" t="s">
        <v>42</v>
      </c>
      <c r="K8" s="99">
        <f>I8/860</f>
        <v>28.125</v>
      </c>
      <c r="L8" s="98" t="s">
        <v>77</v>
      </c>
    </row>
    <row r="9" spans="1:32">
      <c r="D9" s="89"/>
      <c r="E9" s="89"/>
      <c r="F9" s="89"/>
      <c r="G9" s="89"/>
      <c r="H9" s="89"/>
      <c r="I9" s="188"/>
      <c r="J9" s="188"/>
      <c r="K9" s="188"/>
      <c r="L9" s="188"/>
    </row>
    <row r="10" spans="1:32" ht="15.75" thickBot="1">
      <c r="D10" s="89"/>
      <c r="E10" s="89"/>
      <c r="F10" s="90"/>
      <c r="G10" s="89"/>
      <c r="I10" s="93"/>
      <c r="K10" s="94"/>
    </row>
    <row r="11" spans="1:32" ht="19.5" thickBot="1">
      <c r="D11" s="3263" t="s">
        <v>1129</v>
      </c>
      <c r="E11" s="3263"/>
      <c r="F11" s="3263"/>
      <c r="G11" s="3263"/>
      <c r="H11" s="3263"/>
      <c r="I11" s="3263"/>
      <c r="J11" s="3264"/>
      <c r="K11" s="857">
        <f>K8</f>
        <v>28.125</v>
      </c>
      <c r="L11" s="98" t="s">
        <v>77</v>
      </c>
      <c r="M11" s="1167"/>
      <c r="N11" s="188" t="s">
        <v>358</v>
      </c>
      <c r="O11" s="188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</row>
    <row r="12" spans="1:32" ht="15.75" thickBot="1">
      <c r="D12" s="188"/>
      <c r="E12" s="188"/>
      <c r="F12" s="188"/>
      <c r="G12" s="188"/>
      <c r="H12" s="188"/>
      <c r="I12" s="188"/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</row>
    <row r="13" spans="1:32" ht="19.5" thickBot="1">
      <c r="D13" s="3263" t="s">
        <v>1130</v>
      </c>
      <c r="E13" s="3263"/>
      <c r="F13" s="3263"/>
      <c r="G13" s="3263"/>
      <c r="H13" s="3263"/>
      <c r="I13" s="3263"/>
      <c r="J13" s="3264"/>
      <c r="K13" s="1168">
        <f>I8/860</f>
        <v>28.125</v>
      </c>
      <c r="L13" s="1169" t="s">
        <v>156</v>
      </c>
      <c r="M13" s="188"/>
      <c r="N13" s="188" t="s">
        <v>1132</v>
      </c>
      <c r="O13" s="188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</row>
    <row r="14" spans="1:32"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</row>
    <row r="15" spans="1:32"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</row>
    <row r="16" spans="1:32"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5"/>
      <c r="O16" s="723"/>
      <c r="P16" s="723"/>
      <c r="Q16" s="723"/>
      <c r="R16" s="724" t="s">
        <v>818</v>
      </c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</row>
    <row r="17" spans="4:32"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5"/>
      <c r="O17" s="723"/>
      <c r="P17" s="723"/>
      <c r="Q17" s="723"/>
      <c r="R17" s="725" t="s">
        <v>17</v>
      </c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</row>
    <row r="18" spans="4:32"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5"/>
      <c r="O18" s="723"/>
      <c r="P18" s="723"/>
      <c r="Q18" s="2583">
        <v>2026</v>
      </c>
      <c r="R18" s="2583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</row>
    <row r="19" spans="4:32"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</row>
    <row r="20" spans="4:32"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</row>
    <row r="21" spans="4:32"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</row>
    <row r="22" spans="4:32"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</row>
    <row r="23" spans="4:32"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</row>
    <row r="24" spans="4:32"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</row>
    <row r="25" spans="4:32"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</row>
    <row r="26" spans="4:32"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</row>
    <row r="27" spans="4:32"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</row>
    <row r="28" spans="4:32"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</row>
    <row r="29" spans="4:32"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</row>
    <row r="30" spans="4:32"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</row>
    <row r="31" spans="4:32"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</row>
    <row r="32" spans="4:32"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</row>
    <row r="33" spans="4:32"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</row>
    <row r="34" spans="4:32"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</row>
    <row r="35" spans="4:32"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</row>
    <row r="36" spans="4:32"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 s="188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</row>
    <row r="37" spans="4:32"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</row>
    <row r="38" spans="4:32"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 s="188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</row>
    <row r="39" spans="4:32"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</row>
    <row r="40" spans="4:32"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</row>
  </sheetData>
  <sheetProtection algorithmName="SHA-512" hashValue="VQ7lyIWBUdI3xhiL97LKQDmOC8/3fN383dGqiq9DRp/QBNoqC+oAJxV+QuKB9VymSu0jocgel2yy0Ce7z1iXdQ==" saltValue="GnejWvMtaR4XOCNGzi1Lsw==" spinCount="100000" sheet="1" objects="1" selectLockedCells="1"/>
  <mergeCells count="7">
    <mergeCell ref="Q18:R18"/>
    <mergeCell ref="D11:J11"/>
    <mergeCell ref="D13:J13"/>
    <mergeCell ref="D6:F6"/>
    <mergeCell ref="G7:H7"/>
    <mergeCell ref="I7:J7"/>
    <mergeCell ref="K7:L7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1" tint="0.14999847407452621"/>
  </sheetPr>
  <dimension ref="B1:Z41"/>
  <sheetViews>
    <sheetView showGridLines="0" showRowColHeaders="0" zoomScale="112" zoomScaleNormal="112" workbookViewId="0">
      <selection activeCell="D12" sqref="D12"/>
    </sheetView>
  </sheetViews>
  <sheetFormatPr defaultColWidth="11.42578125" defaultRowHeight="12.75"/>
  <cols>
    <col min="1" max="1" width="11.42578125" style="970"/>
    <col min="2" max="2" width="36" style="971" customWidth="1"/>
    <col min="3" max="3" width="11.5703125" style="972" customWidth="1"/>
    <col min="4" max="4" width="8.5703125" style="972" customWidth="1"/>
    <col min="5" max="5" width="9" style="973" customWidth="1"/>
    <col min="6" max="6" width="6.85546875" style="974" customWidth="1"/>
    <col min="7" max="7" width="15.85546875" style="972" customWidth="1"/>
    <col min="8" max="8" width="7.42578125" style="975" customWidth="1"/>
    <col min="9" max="9" width="5.7109375" style="975" customWidth="1"/>
    <col min="10" max="13" width="11.42578125" style="970" hidden="1" customWidth="1"/>
    <col min="14" max="14" width="33.28515625" style="970" hidden="1" customWidth="1"/>
    <col min="15" max="25" width="11.42578125" style="970" hidden="1" customWidth="1"/>
    <col min="26" max="257" width="11.42578125" style="970"/>
    <col min="258" max="258" width="36" style="970" customWidth="1"/>
    <col min="259" max="259" width="11.5703125" style="970" customWidth="1"/>
    <col min="260" max="260" width="8.5703125" style="970" customWidth="1"/>
    <col min="261" max="261" width="9" style="970" customWidth="1"/>
    <col min="262" max="262" width="6.85546875" style="970" customWidth="1"/>
    <col min="263" max="263" width="15.85546875" style="970" customWidth="1"/>
    <col min="264" max="264" width="7.42578125" style="970" customWidth="1"/>
    <col min="265" max="265" width="5.7109375" style="970" customWidth="1"/>
    <col min="266" max="281" width="0" style="970" hidden="1" customWidth="1"/>
    <col min="282" max="513" width="11.42578125" style="970"/>
    <col min="514" max="514" width="36" style="970" customWidth="1"/>
    <col min="515" max="515" width="11.5703125" style="970" customWidth="1"/>
    <col min="516" max="516" width="8.5703125" style="970" customWidth="1"/>
    <col min="517" max="517" width="9" style="970" customWidth="1"/>
    <col min="518" max="518" width="6.85546875" style="970" customWidth="1"/>
    <col min="519" max="519" width="15.85546875" style="970" customWidth="1"/>
    <col min="520" max="520" width="7.42578125" style="970" customWidth="1"/>
    <col min="521" max="521" width="5.7109375" style="970" customWidth="1"/>
    <col min="522" max="537" width="0" style="970" hidden="1" customWidth="1"/>
    <col min="538" max="769" width="11.42578125" style="970"/>
    <col min="770" max="770" width="36" style="970" customWidth="1"/>
    <col min="771" max="771" width="11.5703125" style="970" customWidth="1"/>
    <col min="772" max="772" width="8.5703125" style="970" customWidth="1"/>
    <col min="773" max="773" width="9" style="970" customWidth="1"/>
    <col min="774" max="774" width="6.85546875" style="970" customWidth="1"/>
    <col min="775" max="775" width="15.85546875" style="970" customWidth="1"/>
    <col min="776" max="776" width="7.42578125" style="970" customWidth="1"/>
    <col min="777" max="777" width="5.7109375" style="970" customWidth="1"/>
    <col min="778" max="793" width="0" style="970" hidden="1" customWidth="1"/>
    <col min="794" max="1025" width="11.42578125" style="970"/>
    <col min="1026" max="1026" width="36" style="970" customWidth="1"/>
    <col min="1027" max="1027" width="11.5703125" style="970" customWidth="1"/>
    <col min="1028" max="1028" width="8.5703125" style="970" customWidth="1"/>
    <col min="1029" max="1029" width="9" style="970" customWidth="1"/>
    <col min="1030" max="1030" width="6.85546875" style="970" customWidth="1"/>
    <col min="1031" max="1031" width="15.85546875" style="970" customWidth="1"/>
    <col min="1032" max="1032" width="7.42578125" style="970" customWidth="1"/>
    <col min="1033" max="1033" width="5.7109375" style="970" customWidth="1"/>
    <col min="1034" max="1049" width="0" style="970" hidden="1" customWidth="1"/>
    <col min="1050" max="1281" width="11.42578125" style="970"/>
    <col min="1282" max="1282" width="36" style="970" customWidth="1"/>
    <col min="1283" max="1283" width="11.5703125" style="970" customWidth="1"/>
    <col min="1284" max="1284" width="8.5703125" style="970" customWidth="1"/>
    <col min="1285" max="1285" width="9" style="970" customWidth="1"/>
    <col min="1286" max="1286" width="6.85546875" style="970" customWidth="1"/>
    <col min="1287" max="1287" width="15.85546875" style="970" customWidth="1"/>
    <col min="1288" max="1288" width="7.42578125" style="970" customWidth="1"/>
    <col min="1289" max="1289" width="5.7109375" style="970" customWidth="1"/>
    <col min="1290" max="1305" width="0" style="970" hidden="1" customWidth="1"/>
    <col min="1306" max="1537" width="11.42578125" style="970"/>
    <col min="1538" max="1538" width="36" style="970" customWidth="1"/>
    <col min="1539" max="1539" width="11.5703125" style="970" customWidth="1"/>
    <col min="1540" max="1540" width="8.5703125" style="970" customWidth="1"/>
    <col min="1541" max="1541" width="9" style="970" customWidth="1"/>
    <col min="1542" max="1542" width="6.85546875" style="970" customWidth="1"/>
    <col min="1543" max="1543" width="15.85546875" style="970" customWidth="1"/>
    <col min="1544" max="1544" width="7.42578125" style="970" customWidth="1"/>
    <col min="1545" max="1545" width="5.7109375" style="970" customWidth="1"/>
    <col min="1546" max="1561" width="0" style="970" hidden="1" customWidth="1"/>
    <col min="1562" max="1793" width="11.42578125" style="970"/>
    <col min="1794" max="1794" width="36" style="970" customWidth="1"/>
    <col min="1795" max="1795" width="11.5703125" style="970" customWidth="1"/>
    <col min="1796" max="1796" width="8.5703125" style="970" customWidth="1"/>
    <col min="1797" max="1797" width="9" style="970" customWidth="1"/>
    <col min="1798" max="1798" width="6.85546875" style="970" customWidth="1"/>
    <col min="1799" max="1799" width="15.85546875" style="970" customWidth="1"/>
    <col min="1800" max="1800" width="7.42578125" style="970" customWidth="1"/>
    <col min="1801" max="1801" width="5.7109375" style="970" customWidth="1"/>
    <col min="1802" max="1817" width="0" style="970" hidden="1" customWidth="1"/>
    <col min="1818" max="2049" width="11.42578125" style="970"/>
    <col min="2050" max="2050" width="36" style="970" customWidth="1"/>
    <col min="2051" max="2051" width="11.5703125" style="970" customWidth="1"/>
    <col min="2052" max="2052" width="8.5703125" style="970" customWidth="1"/>
    <col min="2053" max="2053" width="9" style="970" customWidth="1"/>
    <col min="2054" max="2054" width="6.85546875" style="970" customWidth="1"/>
    <col min="2055" max="2055" width="15.85546875" style="970" customWidth="1"/>
    <col min="2056" max="2056" width="7.42578125" style="970" customWidth="1"/>
    <col min="2057" max="2057" width="5.7109375" style="970" customWidth="1"/>
    <col min="2058" max="2073" width="0" style="970" hidden="1" customWidth="1"/>
    <col min="2074" max="2305" width="11.42578125" style="970"/>
    <col min="2306" max="2306" width="36" style="970" customWidth="1"/>
    <col min="2307" max="2307" width="11.5703125" style="970" customWidth="1"/>
    <col min="2308" max="2308" width="8.5703125" style="970" customWidth="1"/>
    <col min="2309" max="2309" width="9" style="970" customWidth="1"/>
    <col min="2310" max="2310" width="6.85546875" style="970" customWidth="1"/>
    <col min="2311" max="2311" width="15.85546875" style="970" customWidth="1"/>
    <col min="2312" max="2312" width="7.42578125" style="970" customWidth="1"/>
    <col min="2313" max="2313" width="5.7109375" style="970" customWidth="1"/>
    <col min="2314" max="2329" width="0" style="970" hidden="1" customWidth="1"/>
    <col min="2330" max="2561" width="11.42578125" style="970"/>
    <col min="2562" max="2562" width="36" style="970" customWidth="1"/>
    <col min="2563" max="2563" width="11.5703125" style="970" customWidth="1"/>
    <col min="2564" max="2564" width="8.5703125" style="970" customWidth="1"/>
    <col min="2565" max="2565" width="9" style="970" customWidth="1"/>
    <col min="2566" max="2566" width="6.85546875" style="970" customWidth="1"/>
    <col min="2567" max="2567" width="15.85546875" style="970" customWidth="1"/>
    <col min="2568" max="2568" width="7.42578125" style="970" customWidth="1"/>
    <col min="2569" max="2569" width="5.7109375" style="970" customWidth="1"/>
    <col min="2570" max="2585" width="0" style="970" hidden="1" customWidth="1"/>
    <col min="2586" max="2817" width="11.42578125" style="970"/>
    <col min="2818" max="2818" width="36" style="970" customWidth="1"/>
    <col min="2819" max="2819" width="11.5703125" style="970" customWidth="1"/>
    <col min="2820" max="2820" width="8.5703125" style="970" customWidth="1"/>
    <col min="2821" max="2821" width="9" style="970" customWidth="1"/>
    <col min="2822" max="2822" width="6.85546875" style="970" customWidth="1"/>
    <col min="2823" max="2823" width="15.85546875" style="970" customWidth="1"/>
    <col min="2824" max="2824" width="7.42578125" style="970" customWidth="1"/>
    <col min="2825" max="2825" width="5.7109375" style="970" customWidth="1"/>
    <col min="2826" max="2841" width="0" style="970" hidden="1" customWidth="1"/>
    <col min="2842" max="3073" width="11.42578125" style="970"/>
    <col min="3074" max="3074" width="36" style="970" customWidth="1"/>
    <col min="3075" max="3075" width="11.5703125" style="970" customWidth="1"/>
    <col min="3076" max="3076" width="8.5703125" style="970" customWidth="1"/>
    <col min="3077" max="3077" width="9" style="970" customWidth="1"/>
    <col min="3078" max="3078" width="6.85546875" style="970" customWidth="1"/>
    <col min="3079" max="3079" width="15.85546875" style="970" customWidth="1"/>
    <col min="3080" max="3080" width="7.42578125" style="970" customWidth="1"/>
    <col min="3081" max="3081" width="5.7109375" style="970" customWidth="1"/>
    <col min="3082" max="3097" width="0" style="970" hidden="1" customWidth="1"/>
    <col min="3098" max="3329" width="11.42578125" style="970"/>
    <col min="3330" max="3330" width="36" style="970" customWidth="1"/>
    <col min="3331" max="3331" width="11.5703125" style="970" customWidth="1"/>
    <col min="3332" max="3332" width="8.5703125" style="970" customWidth="1"/>
    <col min="3333" max="3333" width="9" style="970" customWidth="1"/>
    <col min="3334" max="3334" width="6.85546875" style="970" customWidth="1"/>
    <col min="3335" max="3335" width="15.85546875" style="970" customWidth="1"/>
    <col min="3336" max="3336" width="7.42578125" style="970" customWidth="1"/>
    <col min="3337" max="3337" width="5.7109375" style="970" customWidth="1"/>
    <col min="3338" max="3353" width="0" style="970" hidden="1" customWidth="1"/>
    <col min="3354" max="3585" width="11.42578125" style="970"/>
    <col min="3586" max="3586" width="36" style="970" customWidth="1"/>
    <col min="3587" max="3587" width="11.5703125" style="970" customWidth="1"/>
    <col min="3588" max="3588" width="8.5703125" style="970" customWidth="1"/>
    <col min="3589" max="3589" width="9" style="970" customWidth="1"/>
    <col min="3590" max="3590" width="6.85546875" style="970" customWidth="1"/>
    <col min="3591" max="3591" width="15.85546875" style="970" customWidth="1"/>
    <col min="3592" max="3592" width="7.42578125" style="970" customWidth="1"/>
    <col min="3593" max="3593" width="5.7109375" style="970" customWidth="1"/>
    <col min="3594" max="3609" width="0" style="970" hidden="1" customWidth="1"/>
    <col min="3610" max="3841" width="11.42578125" style="970"/>
    <col min="3842" max="3842" width="36" style="970" customWidth="1"/>
    <col min="3843" max="3843" width="11.5703125" style="970" customWidth="1"/>
    <col min="3844" max="3844" width="8.5703125" style="970" customWidth="1"/>
    <col min="3845" max="3845" width="9" style="970" customWidth="1"/>
    <col min="3846" max="3846" width="6.85546875" style="970" customWidth="1"/>
    <col min="3847" max="3847" width="15.85546875" style="970" customWidth="1"/>
    <col min="3848" max="3848" width="7.42578125" style="970" customWidth="1"/>
    <col min="3849" max="3849" width="5.7109375" style="970" customWidth="1"/>
    <col min="3850" max="3865" width="0" style="970" hidden="1" customWidth="1"/>
    <col min="3866" max="4097" width="11.42578125" style="970"/>
    <col min="4098" max="4098" width="36" style="970" customWidth="1"/>
    <col min="4099" max="4099" width="11.5703125" style="970" customWidth="1"/>
    <col min="4100" max="4100" width="8.5703125" style="970" customWidth="1"/>
    <col min="4101" max="4101" width="9" style="970" customWidth="1"/>
    <col min="4102" max="4102" width="6.85546875" style="970" customWidth="1"/>
    <col min="4103" max="4103" width="15.85546875" style="970" customWidth="1"/>
    <col min="4104" max="4104" width="7.42578125" style="970" customWidth="1"/>
    <col min="4105" max="4105" width="5.7109375" style="970" customWidth="1"/>
    <col min="4106" max="4121" width="0" style="970" hidden="1" customWidth="1"/>
    <col min="4122" max="4353" width="11.42578125" style="970"/>
    <col min="4354" max="4354" width="36" style="970" customWidth="1"/>
    <col min="4355" max="4355" width="11.5703125" style="970" customWidth="1"/>
    <col min="4356" max="4356" width="8.5703125" style="970" customWidth="1"/>
    <col min="4357" max="4357" width="9" style="970" customWidth="1"/>
    <col min="4358" max="4358" width="6.85546875" style="970" customWidth="1"/>
    <col min="4359" max="4359" width="15.85546875" style="970" customWidth="1"/>
    <col min="4360" max="4360" width="7.42578125" style="970" customWidth="1"/>
    <col min="4361" max="4361" width="5.7109375" style="970" customWidth="1"/>
    <col min="4362" max="4377" width="0" style="970" hidden="1" customWidth="1"/>
    <col min="4378" max="4609" width="11.42578125" style="970"/>
    <col min="4610" max="4610" width="36" style="970" customWidth="1"/>
    <col min="4611" max="4611" width="11.5703125" style="970" customWidth="1"/>
    <col min="4612" max="4612" width="8.5703125" style="970" customWidth="1"/>
    <col min="4613" max="4613" width="9" style="970" customWidth="1"/>
    <col min="4614" max="4614" width="6.85546875" style="970" customWidth="1"/>
    <col min="4615" max="4615" width="15.85546875" style="970" customWidth="1"/>
    <col min="4616" max="4616" width="7.42578125" style="970" customWidth="1"/>
    <col min="4617" max="4617" width="5.7109375" style="970" customWidth="1"/>
    <col min="4618" max="4633" width="0" style="970" hidden="1" customWidth="1"/>
    <col min="4634" max="4865" width="11.42578125" style="970"/>
    <col min="4866" max="4866" width="36" style="970" customWidth="1"/>
    <col min="4867" max="4867" width="11.5703125" style="970" customWidth="1"/>
    <col min="4868" max="4868" width="8.5703125" style="970" customWidth="1"/>
    <col min="4869" max="4869" width="9" style="970" customWidth="1"/>
    <col min="4870" max="4870" width="6.85546875" style="970" customWidth="1"/>
    <col min="4871" max="4871" width="15.85546875" style="970" customWidth="1"/>
    <col min="4872" max="4872" width="7.42578125" style="970" customWidth="1"/>
    <col min="4873" max="4873" width="5.7109375" style="970" customWidth="1"/>
    <col min="4874" max="4889" width="0" style="970" hidden="1" customWidth="1"/>
    <col min="4890" max="5121" width="11.42578125" style="970"/>
    <col min="5122" max="5122" width="36" style="970" customWidth="1"/>
    <col min="5123" max="5123" width="11.5703125" style="970" customWidth="1"/>
    <col min="5124" max="5124" width="8.5703125" style="970" customWidth="1"/>
    <col min="5125" max="5125" width="9" style="970" customWidth="1"/>
    <col min="5126" max="5126" width="6.85546875" style="970" customWidth="1"/>
    <col min="5127" max="5127" width="15.85546875" style="970" customWidth="1"/>
    <col min="5128" max="5128" width="7.42578125" style="970" customWidth="1"/>
    <col min="5129" max="5129" width="5.7109375" style="970" customWidth="1"/>
    <col min="5130" max="5145" width="0" style="970" hidden="1" customWidth="1"/>
    <col min="5146" max="5377" width="11.42578125" style="970"/>
    <col min="5378" max="5378" width="36" style="970" customWidth="1"/>
    <col min="5379" max="5379" width="11.5703125" style="970" customWidth="1"/>
    <col min="5380" max="5380" width="8.5703125" style="970" customWidth="1"/>
    <col min="5381" max="5381" width="9" style="970" customWidth="1"/>
    <col min="5382" max="5382" width="6.85546875" style="970" customWidth="1"/>
    <col min="5383" max="5383" width="15.85546875" style="970" customWidth="1"/>
    <col min="5384" max="5384" width="7.42578125" style="970" customWidth="1"/>
    <col min="5385" max="5385" width="5.7109375" style="970" customWidth="1"/>
    <col min="5386" max="5401" width="0" style="970" hidden="1" customWidth="1"/>
    <col min="5402" max="5633" width="11.42578125" style="970"/>
    <col min="5634" max="5634" width="36" style="970" customWidth="1"/>
    <col min="5635" max="5635" width="11.5703125" style="970" customWidth="1"/>
    <col min="5636" max="5636" width="8.5703125" style="970" customWidth="1"/>
    <col min="5637" max="5637" width="9" style="970" customWidth="1"/>
    <col min="5638" max="5638" width="6.85546875" style="970" customWidth="1"/>
    <col min="5639" max="5639" width="15.85546875" style="970" customWidth="1"/>
    <col min="5640" max="5640" width="7.42578125" style="970" customWidth="1"/>
    <col min="5641" max="5641" width="5.7109375" style="970" customWidth="1"/>
    <col min="5642" max="5657" width="0" style="970" hidden="1" customWidth="1"/>
    <col min="5658" max="5889" width="11.42578125" style="970"/>
    <col min="5890" max="5890" width="36" style="970" customWidth="1"/>
    <col min="5891" max="5891" width="11.5703125" style="970" customWidth="1"/>
    <col min="5892" max="5892" width="8.5703125" style="970" customWidth="1"/>
    <col min="5893" max="5893" width="9" style="970" customWidth="1"/>
    <col min="5894" max="5894" width="6.85546875" style="970" customWidth="1"/>
    <col min="5895" max="5895" width="15.85546875" style="970" customWidth="1"/>
    <col min="5896" max="5896" width="7.42578125" style="970" customWidth="1"/>
    <col min="5897" max="5897" width="5.7109375" style="970" customWidth="1"/>
    <col min="5898" max="5913" width="0" style="970" hidden="1" customWidth="1"/>
    <col min="5914" max="6145" width="11.42578125" style="970"/>
    <col min="6146" max="6146" width="36" style="970" customWidth="1"/>
    <col min="6147" max="6147" width="11.5703125" style="970" customWidth="1"/>
    <col min="6148" max="6148" width="8.5703125" style="970" customWidth="1"/>
    <col min="6149" max="6149" width="9" style="970" customWidth="1"/>
    <col min="6150" max="6150" width="6.85546875" style="970" customWidth="1"/>
    <col min="6151" max="6151" width="15.85546875" style="970" customWidth="1"/>
    <col min="6152" max="6152" width="7.42578125" style="970" customWidth="1"/>
    <col min="6153" max="6153" width="5.7109375" style="970" customWidth="1"/>
    <col min="6154" max="6169" width="0" style="970" hidden="1" customWidth="1"/>
    <col min="6170" max="6401" width="11.42578125" style="970"/>
    <col min="6402" max="6402" width="36" style="970" customWidth="1"/>
    <col min="6403" max="6403" width="11.5703125" style="970" customWidth="1"/>
    <col min="6404" max="6404" width="8.5703125" style="970" customWidth="1"/>
    <col min="6405" max="6405" width="9" style="970" customWidth="1"/>
    <col min="6406" max="6406" width="6.85546875" style="970" customWidth="1"/>
    <col min="6407" max="6407" width="15.85546875" style="970" customWidth="1"/>
    <col min="6408" max="6408" width="7.42578125" style="970" customWidth="1"/>
    <col min="6409" max="6409" width="5.7109375" style="970" customWidth="1"/>
    <col min="6410" max="6425" width="0" style="970" hidden="1" customWidth="1"/>
    <col min="6426" max="6657" width="11.42578125" style="970"/>
    <col min="6658" max="6658" width="36" style="970" customWidth="1"/>
    <col min="6659" max="6659" width="11.5703125" style="970" customWidth="1"/>
    <col min="6660" max="6660" width="8.5703125" style="970" customWidth="1"/>
    <col min="6661" max="6661" width="9" style="970" customWidth="1"/>
    <col min="6662" max="6662" width="6.85546875" style="970" customWidth="1"/>
    <col min="6663" max="6663" width="15.85546875" style="970" customWidth="1"/>
    <col min="6664" max="6664" width="7.42578125" style="970" customWidth="1"/>
    <col min="6665" max="6665" width="5.7109375" style="970" customWidth="1"/>
    <col min="6666" max="6681" width="0" style="970" hidden="1" customWidth="1"/>
    <col min="6682" max="6913" width="11.42578125" style="970"/>
    <col min="6914" max="6914" width="36" style="970" customWidth="1"/>
    <col min="6915" max="6915" width="11.5703125" style="970" customWidth="1"/>
    <col min="6916" max="6916" width="8.5703125" style="970" customWidth="1"/>
    <col min="6917" max="6917" width="9" style="970" customWidth="1"/>
    <col min="6918" max="6918" width="6.85546875" style="970" customWidth="1"/>
    <col min="6919" max="6919" width="15.85546875" style="970" customWidth="1"/>
    <col min="6920" max="6920" width="7.42578125" style="970" customWidth="1"/>
    <col min="6921" max="6921" width="5.7109375" style="970" customWidth="1"/>
    <col min="6922" max="6937" width="0" style="970" hidden="1" customWidth="1"/>
    <col min="6938" max="7169" width="11.42578125" style="970"/>
    <col min="7170" max="7170" width="36" style="970" customWidth="1"/>
    <col min="7171" max="7171" width="11.5703125" style="970" customWidth="1"/>
    <col min="7172" max="7172" width="8.5703125" style="970" customWidth="1"/>
    <col min="7173" max="7173" width="9" style="970" customWidth="1"/>
    <col min="7174" max="7174" width="6.85546875" style="970" customWidth="1"/>
    <col min="7175" max="7175" width="15.85546875" style="970" customWidth="1"/>
    <col min="7176" max="7176" width="7.42578125" style="970" customWidth="1"/>
    <col min="7177" max="7177" width="5.7109375" style="970" customWidth="1"/>
    <col min="7178" max="7193" width="0" style="970" hidden="1" customWidth="1"/>
    <col min="7194" max="7425" width="11.42578125" style="970"/>
    <col min="7426" max="7426" width="36" style="970" customWidth="1"/>
    <col min="7427" max="7427" width="11.5703125" style="970" customWidth="1"/>
    <col min="7428" max="7428" width="8.5703125" style="970" customWidth="1"/>
    <col min="7429" max="7429" width="9" style="970" customWidth="1"/>
    <col min="7430" max="7430" width="6.85546875" style="970" customWidth="1"/>
    <col min="7431" max="7431" width="15.85546875" style="970" customWidth="1"/>
    <col min="7432" max="7432" width="7.42578125" style="970" customWidth="1"/>
    <col min="7433" max="7433" width="5.7109375" style="970" customWidth="1"/>
    <col min="7434" max="7449" width="0" style="970" hidden="1" customWidth="1"/>
    <col min="7450" max="7681" width="11.42578125" style="970"/>
    <col min="7682" max="7682" width="36" style="970" customWidth="1"/>
    <col min="7683" max="7683" width="11.5703125" style="970" customWidth="1"/>
    <col min="7684" max="7684" width="8.5703125" style="970" customWidth="1"/>
    <col min="7685" max="7685" width="9" style="970" customWidth="1"/>
    <col min="7686" max="7686" width="6.85546875" style="970" customWidth="1"/>
    <col min="7687" max="7687" width="15.85546875" style="970" customWidth="1"/>
    <col min="7688" max="7688" width="7.42578125" style="970" customWidth="1"/>
    <col min="7689" max="7689" width="5.7109375" style="970" customWidth="1"/>
    <col min="7690" max="7705" width="0" style="970" hidden="1" customWidth="1"/>
    <col min="7706" max="7937" width="11.42578125" style="970"/>
    <col min="7938" max="7938" width="36" style="970" customWidth="1"/>
    <col min="7939" max="7939" width="11.5703125" style="970" customWidth="1"/>
    <col min="7940" max="7940" width="8.5703125" style="970" customWidth="1"/>
    <col min="7941" max="7941" width="9" style="970" customWidth="1"/>
    <col min="7942" max="7942" width="6.85546875" style="970" customWidth="1"/>
    <col min="7943" max="7943" width="15.85546875" style="970" customWidth="1"/>
    <col min="7944" max="7944" width="7.42578125" style="970" customWidth="1"/>
    <col min="7945" max="7945" width="5.7109375" style="970" customWidth="1"/>
    <col min="7946" max="7961" width="0" style="970" hidden="1" customWidth="1"/>
    <col min="7962" max="8193" width="11.42578125" style="970"/>
    <col min="8194" max="8194" width="36" style="970" customWidth="1"/>
    <col min="8195" max="8195" width="11.5703125" style="970" customWidth="1"/>
    <col min="8196" max="8196" width="8.5703125" style="970" customWidth="1"/>
    <col min="8197" max="8197" width="9" style="970" customWidth="1"/>
    <col min="8198" max="8198" width="6.85546875" style="970" customWidth="1"/>
    <col min="8199" max="8199" width="15.85546875" style="970" customWidth="1"/>
    <col min="8200" max="8200" width="7.42578125" style="970" customWidth="1"/>
    <col min="8201" max="8201" width="5.7109375" style="970" customWidth="1"/>
    <col min="8202" max="8217" width="0" style="970" hidden="1" customWidth="1"/>
    <col min="8218" max="8449" width="11.42578125" style="970"/>
    <col min="8450" max="8450" width="36" style="970" customWidth="1"/>
    <col min="8451" max="8451" width="11.5703125" style="970" customWidth="1"/>
    <col min="8452" max="8452" width="8.5703125" style="970" customWidth="1"/>
    <col min="8453" max="8453" width="9" style="970" customWidth="1"/>
    <col min="8454" max="8454" width="6.85546875" style="970" customWidth="1"/>
    <col min="8455" max="8455" width="15.85546875" style="970" customWidth="1"/>
    <col min="8456" max="8456" width="7.42578125" style="970" customWidth="1"/>
    <col min="8457" max="8457" width="5.7109375" style="970" customWidth="1"/>
    <col min="8458" max="8473" width="0" style="970" hidden="1" customWidth="1"/>
    <col min="8474" max="8705" width="11.42578125" style="970"/>
    <col min="8706" max="8706" width="36" style="970" customWidth="1"/>
    <col min="8707" max="8707" width="11.5703125" style="970" customWidth="1"/>
    <col min="8708" max="8708" width="8.5703125" style="970" customWidth="1"/>
    <col min="8709" max="8709" width="9" style="970" customWidth="1"/>
    <col min="8710" max="8710" width="6.85546875" style="970" customWidth="1"/>
    <col min="8711" max="8711" width="15.85546875" style="970" customWidth="1"/>
    <col min="8712" max="8712" width="7.42578125" style="970" customWidth="1"/>
    <col min="8713" max="8713" width="5.7109375" style="970" customWidth="1"/>
    <col min="8714" max="8729" width="0" style="970" hidden="1" customWidth="1"/>
    <col min="8730" max="8961" width="11.42578125" style="970"/>
    <col min="8962" max="8962" width="36" style="970" customWidth="1"/>
    <col min="8963" max="8963" width="11.5703125" style="970" customWidth="1"/>
    <col min="8964" max="8964" width="8.5703125" style="970" customWidth="1"/>
    <col min="8965" max="8965" width="9" style="970" customWidth="1"/>
    <col min="8966" max="8966" width="6.85546875" style="970" customWidth="1"/>
    <col min="8967" max="8967" width="15.85546875" style="970" customWidth="1"/>
    <col min="8968" max="8968" width="7.42578125" style="970" customWidth="1"/>
    <col min="8969" max="8969" width="5.7109375" style="970" customWidth="1"/>
    <col min="8970" max="8985" width="0" style="970" hidden="1" customWidth="1"/>
    <col min="8986" max="9217" width="11.42578125" style="970"/>
    <col min="9218" max="9218" width="36" style="970" customWidth="1"/>
    <col min="9219" max="9219" width="11.5703125" style="970" customWidth="1"/>
    <col min="9220" max="9220" width="8.5703125" style="970" customWidth="1"/>
    <col min="9221" max="9221" width="9" style="970" customWidth="1"/>
    <col min="9222" max="9222" width="6.85546875" style="970" customWidth="1"/>
    <col min="9223" max="9223" width="15.85546875" style="970" customWidth="1"/>
    <col min="9224" max="9224" width="7.42578125" style="970" customWidth="1"/>
    <col min="9225" max="9225" width="5.7109375" style="970" customWidth="1"/>
    <col min="9226" max="9241" width="0" style="970" hidden="1" customWidth="1"/>
    <col min="9242" max="9473" width="11.42578125" style="970"/>
    <col min="9474" max="9474" width="36" style="970" customWidth="1"/>
    <col min="9475" max="9475" width="11.5703125" style="970" customWidth="1"/>
    <col min="9476" max="9476" width="8.5703125" style="970" customWidth="1"/>
    <col min="9477" max="9477" width="9" style="970" customWidth="1"/>
    <col min="9478" max="9478" width="6.85546875" style="970" customWidth="1"/>
    <col min="9479" max="9479" width="15.85546875" style="970" customWidth="1"/>
    <col min="9480" max="9480" width="7.42578125" style="970" customWidth="1"/>
    <col min="9481" max="9481" width="5.7109375" style="970" customWidth="1"/>
    <col min="9482" max="9497" width="0" style="970" hidden="1" customWidth="1"/>
    <col min="9498" max="9729" width="11.42578125" style="970"/>
    <col min="9730" max="9730" width="36" style="970" customWidth="1"/>
    <col min="9731" max="9731" width="11.5703125" style="970" customWidth="1"/>
    <col min="9732" max="9732" width="8.5703125" style="970" customWidth="1"/>
    <col min="9733" max="9733" width="9" style="970" customWidth="1"/>
    <col min="9734" max="9734" width="6.85546875" style="970" customWidth="1"/>
    <col min="9735" max="9735" width="15.85546875" style="970" customWidth="1"/>
    <col min="9736" max="9736" width="7.42578125" style="970" customWidth="1"/>
    <col min="9737" max="9737" width="5.7109375" style="970" customWidth="1"/>
    <col min="9738" max="9753" width="0" style="970" hidden="1" customWidth="1"/>
    <col min="9754" max="9985" width="11.42578125" style="970"/>
    <col min="9986" max="9986" width="36" style="970" customWidth="1"/>
    <col min="9987" max="9987" width="11.5703125" style="970" customWidth="1"/>
    <col min="9988" max="9988" width="8.5703125" style="970" customWidth="1"/>
    <col min="9989" max="9989" width="9" style="970" customWidth="1"/>
    <col min="9990" max="9990" width="6.85546875" style="970" customWidth="1"/>
    <col min="9991" max="9991" width="15.85546875" style="970" customWidth="1"/>
    <col min="9992" max="9992" width="7.42578125" style="970" customWidth="1"/>
    <col min="9993" max="9993" width="5.7109375" style="970" customWidth="1"/>
    <col min="9994" max="10009" width="0" style="970" hidden="1" customWidth="1"/>
    <col min="10010" max="10241" width="11.42578125" style="970"/>
    <col min="10242" max="10242" width="36" style="970" customWidth="1"/>
    <col min="10243" max="10243" width="11.5703125" style="970" customWidth="1"/>
    <col min="10244" max="10244" width="8.5703125" style="970" customWidth="1"/>
    <col min="10245" max="10245" width="9" style="970" customWidth="1"/>
    <col min="10246" max="10246" width="6.85546875" style="970" customWidth="1"/>
    <col min="10247" max="10247" width="15.85546875" style="970" customWidth="1"/>
    <col min="10248" max="10248" width="7.42578125" style="970" customWidth="1"/>
    <col min="10249" max="10249" width="5.7109375" style="970" customWidth="1"/>
    <col min="10250" max="10265" width="0" style="970" hidden="1" customWidth="1"/>
    <col min="10266" max="10497" width="11.42578125" style="970"/>
    <col min="10498" max="10498" width="36" style="970" customWidth="1"/>
    <col min="10499" max="10499" width="11.5703125" style="970" customWidth="1"/>
    <col min="10500" max="10500" width="8.5703125" style="970" customWidth="1"/>
    <col min="10501" max="10501" width="9" style="970" customWidth="1"/>
    <col min="10502" max="10502" width="6.85546875" style="970" customWidth="1"/>
    <col min="10503" max="10503" width="15.85546875" style="970" customWidth="1"/>
    <col min="10504" max="10504" width="7.42578125" style="970" customWidth="1"/>
    <col min="10505" max="10505" width="5.7109375" style="970" customWidth="1"/>
    <col min="10506" max="10521" width="0" style="970" hidden="1" customWidth="1"/>
    <col min="10522" max="10753" width="11.42578125" style="970"/>
    <col min="10754" max="10754" width="36" style="970" customWidth="1"/>
    <col min="10755" max="10755" width="11.5703125" style="970" customWidth="1"/>
    <col min="10756" max="10756" width="8.5703125" style="970" customWidth="1"/>
    <col min="10757" max="10757" width="9" style="970" customWidth="1"/>
    <col min="10758" max="10758" width="6.85546875" style="970" customWidth="1"/>
    <col min="10759" max="10759" width="15.85546875" style="970" customWidth="1"/>
    <col min="10760" max="10760" width="7.42578125" style="970" customWidth="1"/>
    <col min="10761" max="10761" width="5.7109375" style="970" customWidth="1"/>
    <col min="10762" max="10777" width="0" style="970" hidden="1" customWidth="1"/>
    <col min="10778" max="11009" width="11.42578125" style="970"/>
    <col min="11010" max="11010" width="36" style="970" customWidth="1"/>
    <col min="11011" max="11011" width="11.5703125" style="970" customWidth="1"/>
    <col min="11012" max="11012" width="8.5703125" style="970" customWidth="1"/>
    <col min="11013" max="11013" width="9" style="970" customWidth="1"/>
    <col min="11014" max="11014" width="6.85546875" style="970" customWidth="1"/>
    <col min="11015" max="11015" width="15.85546875" style="970" customWidth="1"/>
    <col min="11016" max="11016" width="7.42578125" style="970" customWidth="1"/>
    <col min="11017" max="11017" width="5.7109375" style="970" customWidth="1"/>
    <col min="11018" max="11033" width="0" style="970" hidden="1" customWidth="1"/>
    <col min="11034" max="11265" width="11.42578125" style="970"/>
    <col min="11266" max="11266" width="36" style="970" customWidth="1"/>
    <col min="11267" max="11267" width="11.5703125" style="970" customWidth="1"/>
    <col min="11268" max="11268" width="8.5703125" style="970" customWidth="1"/>
    <col min="11269" max="11269" width="9" style="970" customWidth="1"/>
    <col min="11270" max="11270" width="6.85546875" style="970" customWidth="1"/>
    <col min="11271" max="11271" width="15.85546875" style="970" customWidth="1"/>
    <col min="11272" max="11272" width="7.42578125" style="970" customWidth="1"/>
    <col min="11273" max="11273" width="5.7109375" style="970" customWidth="1"/>
    <col min="11274" max="11289" width="0" style="970" hidden="1" customWidth="1"/>
    <col min="11290" max="11521" width="11.42578125" style="970"/>
    <col min="11522" max="11522" width="36" style="970" customWidth="1"/>
    <col min="11523" max="11523" width="11.5703125" style="970" customWidth="1"/>
    <col min="11524" max="11524" width="8.5703125" style="970" customWidth="1"/>
    <col min="11525" max="11525" width="9" style="970" customWidth="1"/>
    <col min="11526" max="11526" width="6.85546875" style="970" customWidth="1"/>
    <col min="11527" max="11527" width="15.85546875" style="970" customWidth="1"/>
    <col min="11528" max="11528" width="7.42578125" style="970" customWidth="1"/>
    <col min="11529" max="11529" width="5.7109375" style="970" customWidth="1"/>
    <col min="11530" max="11545" width="0" style="970" hidden="1" customWidth="1"/>
    <col min="11546" max="11777" width="11.42578125" style="970"/>
    <col min="11778" max="11778" width="36" style="970" customWidth="1"/>
    <col min="11779" max="11779" width="11.5703125" style="970" customWidth="1"/>
    <col min="11780" max="11780" width="8.5703125" style="970" customWidth="1"/>
    <col min="11781" max="11781" width="9" style="970" customWidth="1"/>
    <col min="11782" max="11782" width="6.85546875" style="970" customWidth="1"/>
    <col min="11783" max="11783" width="15.85546875" style="970" customWidth="1"/>
    <col min="11784" max="11784" width="7.42578125" style="970" customWidth="1"/>
    <col min="11785" max="11785" width="5.7109375" style="970" customWidth="1"/>
    <col min="11786" max="11801" width="0" style="970" hidden="1" customWidth="1"/>
    <col min="11802" max="12033" width="11.42578125" style="970"/>
    <col min="12034" max="12034" width="36" style="970" customWidth="1"/>
    <col min="12035" max="12035" width="11.5703125" style="970" customWidth="1"/>
    <col min="12036" max="12036" width="8.5703125" style="970" customWidth="1"/>
    <col min="12037" max="12037" width="9" style="970" customWidth="1"/>
    <col min="12038" max="12038" width="6.85546875" style="970" customWidth="1"/>
    <col min="12039" max="12039" width="15.85546875" style="970" customWidth="1"/>
    <col min="12040" max="12040" width="7.42578125" style="970" customWidth="1"/>
    <col min="12041" max="12041" width="5.7109375" style="970" customWidth="1"/>
    <col min="12042" max="12057" width="0" style="970" hidden="1" customWidth="1"/>
    <col min="12058" max="12289" width="11.42578125" style="970"/>
    <col min="12290" max="12290" width="36" style="970" customWidth="1"/>
    <col min="12291" max="12291" width="11.5703125" style="970" customWidth="1"/>
    <col min="12292" max="12292" width="8.5703125" style="970" customWidth="1"/>
    <col min="12293" max="12293" width="9" style="970" customWidth="1"/>
    <col min="12294" max="12294" width="6.85546875" style="970" customWidth="1"/>
    <col min="12295" max="12295" width="15.85546875" style="970" customWidth="1"/>
    <col min="12296" max="12296" width="7.42578125" style="970" customWidth="1"/>
    <col min="12297" max="12297" width="5.7109375" style="970" customWidth="1"/>
    <col min="12298" max="12313" width="0" style="970" hidden="1" customWidth="1"/>
    <col min="12314" max="12545" width="11.42578125" style="970"/>
    <col min="12546" max="12546" width="36" style="970" customWidth="1"/>
    <col min="12547" max="12547" width="11.5703125" style="970" customWidth="1"/>
    <col min="12548" max="12548" width="8.5703125" style="970" customWidth="1"/>
    <col min="12549" max="12549" width="9" style="970" customWidth="1"/>
    <col min="12550" max="12550" width="6.85546875" style="970" customWidth="1"/>
    <col min="12551" max="12551" width="15.85546875" style="970" customWidth="1"/>
    <col min="12552" max="12552" width="7.42578125" style="970" customWidth="1"/>
    <col min="12553" max="12553" width="5.7109375" style="970" customWidth="1"/>
    <col min="12554" max="12569" width="0" style="970" hidden="1" customWidth="1"/>
    <col min="12570" max="12801" width="11.42578125" style="970"/>
    <col min="12802" max="12802" width="36" style="970" customWidth="1"/>
    <col min="12803" max="12803" width="11.5703125" style="970" customWidth="1"/>
    <col min="12804" max="12804" width="8.5703125" style="970" customWidth="1"/>
    <col min="12805" max="12805" width="9" style="970" customWidth="1"/>
    <col min="12806" max="12806" width="6.85546875" style="970" customWidth="1"/>
    <col min="12807" max="12807" width="15.85546875" style="970" customWidth="1"/>
    <col min="12808" max="12808" width="7.42578125" style="970" customWidth="1"/>
    <col min="12809" max="12809" width="5.7109375" style="970" customWidth="1"/>
    <col min="12810" max="12825" width="0" style="970" hidden="1" customWidth="1"/>
    <col min="12826" max="13057" width="11.42578125" style="970"/>
    <col min="13058" max="13058" width="36" style="970" customWidth="1"/>
    <col min="13059" max="13059" width="11.5703125" style="970" customWidth="1"/>
    <col min="13060" max="13060" width="8.5703125" style="970" customWidth="1"/>
    <col min="13061" max="13061" width="9" style="970" customWidth="1"/>
    <col min="13062" max="13062" width="6.85546875" style="970" customWidth="1"/>
    <col min="13063" max="13063" width="15.85546875" style="970" customWidth="1"/>
    <col min="13064" max="13064" width="7.42578125" style="970" customWidth="1"/>
    <col min="13065" max="13065" width="5.7109375" style="970" customWidth="1"/>
    <col min="13066" max="13081" width="0" style="970" hidden="1" customWidth="1"/>
    <col min="13082" max="13313" width="11.42578125" style="970"/>
    <col min="13314" max="13314" width="36" style="970" customWidth="1"/>
    <col min="13315" max="13315" width="11.5703125" style="970" customWidth="1"/>
    <col min="13316" max="13316" width="8.5703125" style="970" customWidth="1"/>
    <col min="13317" max="13317" width="9" style="970" customWidth="1"/>
    <col min="13318" max="13318" width="6.85546875" style="970" customWidth="1"/>
    <col min="13319" max="13319" width="15.85546875" style="970" customWidth="1"/>
    <col min="13320" max="13320" width="7.42578125" style="970" customWidth="1"/>
    <col min="13321" max="13321" width="5.7109375" style="970" customWidth="1"/>
    <col min="13322" max="13337" width="0" style="970" hidden="1" customWidth="1"/>
    <col min="13338" max="13569" width="11.42578125" style="970"/>
    <col min="13570" max="13570" width="36" style="970" customWidth="1"/>
    <col min="13571" max="13571" width="11.5703125" style="970" customWidth="1"/>
    <col min="13572" max="13572" width="8.5703125" style="970" customWidth="1"/>
    <col min="13573" max="13573" width="9" style="970" customWidth="1"/>
    <col min="13574" max="13574" width="6.85546875" style="970" customWidth="1"/>
    <col min="13575" max="13575" width="15.85546875" style="970" customWidth="1"/>
    <col min="13576" max="13576" width="7.42578125" style="970" customWidth="1"/>
    <col min="13577" max="13577" width="5.7109375" style="970" customWidth="1"/>
    <col min="13578" max="13593" width="0" style="970" hidden="1" customWidth="1"/>
    <col min="13594" max="13825" width="11.42578125" style="970"/>
    <col min="13826" max="13826" width="36" style="970" customWidth="1"/>
    <col min="13827" max="13827" width="11.5703125" style="970" customWidth="1"/>
    <col min="13828" max="13828" width="8.5703125" style="970" customWidth="1"/>
    <col min="13829" max="13829" width="9" style="970" customWidth="1"/>
    <col min="13830" max="13830" width="6.85546875" style="970" customWidth="1"/>
    <col min="13831" max="13831" width="15.85546875" style="970" customWidth="1"/>
    <col min="13832" max="13832" width="7.42578125" style="970" customWidth="1"/>
    <col min="13833" max="13833" width="5.7109375" style="970" customWidth="1"/>
    <col min="13834" max="13849" width="0" style="970" hidden="1" customWidth="1"/>
    <col min="13850" max="14081" width="11.42578125" style="970"/>
    <col min="14082" max="14082" width="36" style="970" customWidth="1"/>
    <col min="14083" max="14083" width="11.5703125" style="970" customWidth="1"/>
    <col min="14084" max="14084" width="8.5703125" style="970" customWidth="1"/>
    <col min="14085" max="14085" width="9" style="970" customWidth="1"/>
    <col min="14086" max="14086" width="6.85546875" style="970" customWidth="1"/>
    <col min="14087" max="14087" width="15.85546875" style="970" customWidth="1"/>
    <col min="14088" max="14088" width="7.42578125" style="970" customWidth="1"/>
    <col min="14089" max="14089" width="5.7109375" style="970" customWidth="1"/>
    <col min="14090" max="14105" width="0" style="970" hidden="1" customWidth="1"/>
    <col min="14106" max="14337" width="11.42578125" style="970"/>
    <col min="14338" max="14338" width="36" style="970" customWidth="1"/>
    <col min="14339" max="14339" width="11.5703125" style="970" customWidth="1"/>
    <col min="14340" max="14340" width="8.5703125" style="970" customWidth="1"/>
    <col min="14341" max="14341" width="9" style="970" customWidth="1"/>
    <col min="14342" max="14342" width="6.85546875" style="970" customWidth="1"/>
    <col min="14343" max="14343" width="15.85546875" style="970" customWidth="1"/>
    <col min="14344" max="14344" width="7.42578125" style="970" customWidth="1"/>
    <col min="14345" max="14345" width="5.7109375" style="970" customWidth="1"/>
    <col min="14346" max="14361" width="0" style="970" hidden="1" customWidth="1"/>
    <col min="14362" max="14593" width="11.42578125" style="970"/>
    <col min="14594" max="14594" width="36" style="970" customWidth="1"/>
    <col min="14595" max="14595" width="11.5703125" style="970" customWidth="1"/>
    <col min="14596" max="14596" width="8.5703125" style="970" customWidth="1"/>
    <col min="14597" max="14597" width="9" style="970" customWidth="1"/>
    <col min="14598" max="14598" width="6.85546875" style="970" customWidth="1"/>
    <col min="14599" max="14599" width="15.85546875" style="970" customWidth="1"/>
    <col min="14600" max="14600" width="7.42578125" style="970" customWidth="1"/>
    <col min="14601" max="14601" width="5.7109375" style="970" customWidth="1"/>
    <col min="14602" max="14617" width="0" style="970" hidden="1" customWidth="1"/>
    <col min="14618" max="14849" width="11.42578125" style="970"/>
    <col min="14850" max="14850" width="36" style="970" customWidth="1"/>
    <col min="14851" max="14851" width="11.5703125" style="970" customWidth="1"/>
    <col min="14852" max="14852" width="8.5703125" style="970" customWidth="1"/>
    <col min="14853" max="14853" width="9" style="970" customWidth="1"/>
    <col min="14854" max="14854" width="6.85546875" style="970" customWidth="1"/>
    <col min="14855" max="14855" width="15.85546875" style="970" customWidth="1"/>
    <col min="14856" max="14856" width="7.42578125" style="970" customWidth="1"/>
    <col min="14857" max="14857" width="5.7109375" style="970" customWidth="1"/>
    <col min="14858" max="14873" width="0" style="970" hidden="1" customWidth="1"/>
    <col min="14874" max="15105" width="11.42578125" style="970"/>
    <col min="15106" max="15106" width="36" style="970" customWidth="1"/>
    <col min="15107" max="15107" width="11.5703125" style="970" customWidth="1"/>
    <col min="15108" max="15108" width="8.5703125" style="970" customWidth="1"/>
    <col min="15109" max="15109" width="9" style="970" customWidth="1"/>
    <col min="15110" max="15110" width="6.85546875" style="970" customWidth="1"/>
    <col min="15111" max="15111" width="15.85546875" style="970" customWidth="1"/>
    <col min="15112" max="15112" width="7.42578125" style="970" customWidth="1"/>
    <col min="15113" max="15113" width="5.7109375" style="970" customWidth="1"/>
    <col min="15114" max="15129" width="0" style="970" hidden="1" customWidth="1"/>
    <col min="15130" max="15361" width="11.42578125" style="970"/>
    <col min="15362" max="15362" width="36" style="970" customWidth="1"/>
    <col min="15363" max="15363" width="11.5703125" style="970" customWidth="1"/>
    <col min="15364" max="15364" width="8.5703125" style="970" customWidth="1"/>
    <col min="15365" max="15365" width="9" style="970" customWidth="1"/>
    <col min="15366" max="15366" width="6.85546875" style="970" customWidth="1"/>
    <col min="15367" max="15367" width="15.85546875" style="970" customWidth="1"/>
    <col min="15368" max="15368" width="7.42578125" style="970" customWidth="1"/>
    <col min="15369" max="15369" width="5.7109375" style="970" customWidth="1"/>
    <col min="15370" max="15385" width="0" style="970" hidden="1" customWidth="1"/>
    <col min="15386" max="15617" width="11.42578125" style="970"/>
    <col min="15618" max="15618" width="36" style="970" customWidth="1"/>
    <col min="15619" max="15619" width="11.5703125" style="970" customWidth="1"/>
    <col min="15620" max="15620" width="8.5703125" style="970" customWidth="1"/>
    <col min="15621" max="15621" width="9" style="970" customWidth="1"/>
    <col min="15622" max="15622" width="6.85546875" style="970" customWidth="1"/>
    <col min="15623" max="15623" width="15.85546875" style="970" customWidth="1"/>
    <col min="15624" max="15624" width="7.42578125" style="970" customWidth="1"/>
    <col min="15625" max="15625" width="5.7109375" style="970" customWidth="1"/>
    <col min="15626" max="15641" width="0" style="970" hidden="1" customWidth="1"/>
    <col min="15642" max="15873" width="11.42578125" style="970"/>
    <col min="15874" max="15874" width="36" style="970" customWidth="1"/>
    <col min="15875" max="15875" width="11.5703125" style="970" customWidth="1"/>
    <col min="15876" max="15876" width="8.5703125" style="970" customWidth="1"/>
    <col min="15877" max="15877" width="9" style="970" customWidth="1"/>
    <col min="15878" max="15878" width="6.85546875" style="970" customWidth="1"/>
    <col min="15879" max="15879" width="15.85546875" style="970" customWidth="1"/>
    <col min="15880" max="15880" width="7.42578125" style="970" customWidth="1"/>
    <col min="15881" max="15881" width="5.7109375" style="970" customWidth="1"/>
    <col min="15882" max="15897" width="0" style="970" hidden="1" customWidth="1"/>
    <col min="15898" max="16129" width="11.42578125" style="970"/>
    <col min="16130" max="16130" width="36" style="970" customWidth="1"/>
    <col min="16131" max="16131" width="11.5703125" style="970" customWidth="1"/>
    <col min="16132" max="16132" width="8.5703125" style="970" customWidth="1"/>
    <col min="16133" max="16133" width="9" style="970" customWidth="1"/>
    <col min="16134" max="16134" width="6.85546875" style="970" customWidth="1"/>
    <col min="16135" max="16135" width="15.85546875" style="970" customWidth="1"/>
    <col min="16136" max="16136" width="7.42578125" style="970" customWidth="1"/>
    <col min="16137" max="16137" width="5.7109375" style="970" customWidth="1"/>
    <col min="16138" max="16153" width="0" style="970" hidden="1" customWidth="1"/>
    <col min="16154" max="16384" width="11.42578125" style="970"/>
  </cols>
  <sheetData>
    <row r="1" spans="2:26" ht="6.75" customHeight="1"/>
    <row r="2" spans="2:26" ht="30" customHeight="1">
      <c r="D2" s="976"/>
      <c r="E2" s="971"/>
      <c r="H2" s="977"/>
      <c r="I2" s="977"/>
      <c r="N2" s="971"/>
      <c r="O2" s="972"/>
      <c r="P2" s="972"/>
      <c r="Q2" s="973"/>
      <c r="R2" s="974"/>
      <c r="S2" s="972"/>
      <c r="T2" s="975"/>
      <c r="U2" s="975"/>
    </row>
    <row r="3" spans="2:26" s="978" customFormat="1" ht="5.0999999999999996" customHeight="1">
      <c r="B3" s="971"/>
      <c r="C3" s="972"/>
      <c r="D3" s="977"/>
      <c r="E3" s="971"/>
      <c r="F3" s="974"/>
      <c r="G3" s="972"/>
      <c r="H3" s="977"/>
      <c r="I3" s="975"/>
      <c r="N3" s="971"/>
      <c r="O3" s="972"/>
      <c r="P3" s="979"/>
      <c r="Q3" s="971"/>
      <c r="R3" s="974"/>
      <c r="S3" s="972"/>
      <c r="T3" s="977"/>
      <c r="U3" s="977"/>
      <c r="V3" s="970"/>
      <c r="W3" s="970"/>
      <c r="X3" s="970"/>
      <c r="Y3" s="970"/>
      <c r="Z3" s="970"/>
    </row>
    <row r="4" spans="2:26" ht="5.0999999999999996" customHeight="1">
      <c r="N4" s="971"/>
      <c r="O4" s="972"/>
      <c r="P4" s="977"/>
      <c r="Q4" s="971"/>
      <c r="R4" s="974"/>
      <c r="S4" s="972"/>
      <c r="T4" s="977"/>
      <c r="U4" s="975"/>
      <c r="V4" s="978"/>
      <c r="W4" s="978"/>
      <c r="X4" s="978"/>
      <c r="Y4" s="978"/>
      <c r="Z4" s="978"/>
    </row>
    <row r="5" spans="2:26" ht="15">
      <c r="B5" s="980" t="s">
        <v>983</v>
      </c>
      <c r="C5" s="981"/>
      <c r="D5" s="982"/>
      <c r="E5" s="983"/>
      <c r="F5" s="984"/>
      <c r="G5" s="981"/>
      <c r="H5" s="985"/>
      <c r="I5" s="985"/>
      <c r="N5" s="971"/>
      <c r="O5" s="972"/>
      <c r="P5" s="972"/>
      <c r="Q5" s="973"/>
      <c r="R5" s="974"/>
      <c r="S5" s="972"/>
      <c r="T5" s="975"/>
      <c r="U5" s="975"/>
    </row>
    <row r="6" spans="2:26" ht="15.75" customHeight="1">
      <c r="B6" s="980" t="s">
        <v>984</v>
      </c>
      <c r="C6" s="981"/>
      <c r="D6" s="982"/>
      <c r="E6" s="983"/>
      <c r="F6" s="984"/>
      <c r="G6" s="981"/>
      <c r="H6" s="985"/>
      <c r="I6" s="985"/>
      <c r="N6" s="971"/>
      <c r="O6" s="972"/>
      <c r="P6" s="986" t="s">
        <v>985</v>
      </c>
      <c r="Q6" s="973"/>
      <c r="R6" s="974"/>
      <c r="S6" s="972"/>
      <c r="T6" s="975"/>
      <c r="U6" s="975"/>
    </row>
    <row r="7" spans="2:26" ht="15.75" customHeight="1">
      <c r="B7" s="980"/>
      <c r="C7" s="981"/>
      <c r="D7" s="982"/>
      <c r="E7" s="983"/>
      <c r="F7" s="984"/>
      <c r="G7" s="981"/>
      <c r="H7" s="985"/>
      <c r="I7" s="985"/>
      <c r="N7" s="971"/>
      <c r="O7" s="972"/>
      <c r="P7" s="986"/>
      <c r="Q7" s="973"/>
      <c r="R7" s="974"/>
      <c r="S7" s="972"/>
      <c r="T7" s="975"/>
      <c r="U7" s="975"/>
    </row>
    <row r="8" spans="2:26" s="987" customFormat="1" ht="12.95" customHeight="1">
      <c r="B8" s="988"/>
      <c r="C8" s="989"/>
      <c r="D8" s="989"/>
      <c r="E8" s="990"/>
      <c r="F8" s="991"/>
      <c r="G8" s="992"/>
      <c r="H8" s="993" t="s">
        <v>986</v>
      </c>
      <c r="I8" s="994"/>
      <c r="N8" s="971"/>
      <c r="O8" s="972"/>
      <c r="P8" s="986" t="s">
        <v>987</v>
      </c>
      <c r="Q8" s="973"/>
      <c r="R8" s="974"/>
      <c r="S8" s="972"/>
      <c r="T8" s="975"/>
      <c r="U8" s="975"/>
      <c r="V8" s="970"/>
      <c r="W8" s="970"/>
      <c r="X8" s="970"/>
      <c r="Y8" s="970"/>
      <c r="Z8" s="970"/>
    </row>
    <row r="9" spans="2:26" s="987" customFormat="1" ht="12.95" customHeight="1">
      <c r="B9" s="995" t="s">
        <v>988</v>
      </c>
      <c r="C9" s="996"/>
      <c r="D9" s="989"/>
      <c r="E9" s="997"/>
      <c r="F9" s="991"/>
      <c r="G9" s="992"/>
      <c r="H9" s="994"/>
      <c r="I9" s="994"/>
      <c r="N9" s="971"/>
      <c r="O9" s="972"/>
      <c r="P9" s="986"/>
      <c r="Q9" s="973"/>
      <c r="R9" s="974"/>
      <c r="S9" s="972"/>
      <c r="T9" s="975"/>
      <c r="U9" s="975"/>
      <c r="V9" s="970"/>
      <c r="W9" s="970"/>
      <c r="X9" s="970"/>
      <c r="Y9" s="970"/>
      <c r="Z9" s="970"/>
    </row>
    <row r="10" spans="2:26" s="998" customFormat="1" ht="12.95" customHeight="1">
      <c r="B10" s="995"/>
      <c r="C10" s="999"/>
      <c r="D10" s="1000"/>
      <c r="E10" s="988"/>
      <c r="F10" s="1000"/>
      <c r="G10" s="999"/>
      <c r="N10" s="988" t="s">
        <v>989</v>
      </c>
      <c r="O10" s="989"/>
      <c r="P10" s="989"/>
      <c r="Q10" s="1001"/>
      <c r="R10" s="1002"/>
      <c r="S10" s="989"/>
      <c r="T10" s="978"/>
      <c r="U10" s="1003" t="s">
        <v>990</v>
      </c>
      <c r="V10" s="1004"/>
      <c r="W10" s="1004"/>
      <c r="X10" s="1004"/>
      <c r="Y10" s="1004"/>
      <c r="Z10" s="1004"/>
    </row>
    <row r="11" spans="2:26" s="987" customFormat="1" ht="12.95" customHeight="1">
      <c r="B11" s="995" t="s">
        <v>991</v>
      </c>
      <c r="C11" s="1005"/>
      <c r="D11" s="991" t="s">
        <v>992</v>
      </c>
      <c r="E11" s="990"/>
      <c r="F11" s="991"/>
      <c r="G11" s="992"/>
      <c r="H11" s="994"/>
      <c r="I11" s="994"/>
      <c r="N11" s="988" t="s">
        <v>993</v>
      </c>
      <c r="O11" s="996"/>
      <c r="P11" s="989"/>
      <c r="Q11" s="1006"/>
      <c r="R11" s="1002"/>
      <c r="S11" s="989"/>
      <c r="T11" s="1004"/>
      <c r="U11" s="1004"/>
      <c r="V11" s="1004"/>
      <c r="W11" s="1004"/>
      <c r="X11" s="1004"/>
      <c r="Y11" s="1004"/>
      <c r="Z11" s="1004"/>
    </row>
    <row r="12" spans="2:26" s="994" customFormat="1" ht="12.75" customHeight="1">
      <c r="B12" s="1007" t="s">
        <v>994</v>
      </c>
      <c r="C12" s="972" t="s">
        <v>995</v>
      </c>
      <c r="D12" s="1061">
        <v>1464</v>
      </c>
      <c r="E12" s="990" t="s">
        <v>996</v>
      </c>
      <c r="F12" s="991"/>
      <c r="G12" s="992"/>
      <c r="N12" s="988" t="s">
        <v>997</v>
      </c>
      <c r="O12" s="999"/>
      <c r="P12" s="1000"/>
      <c r="Q12" s="1001"/>
      <c r="R12" s="1002"/>
      <c r="S12" s="989"/>
      <c r="T12" s="1004"/>
      <c r="U12" s="1004"/>
      <c r="V12" s="1004"/>
      <c r="W12" s="1004"/>
      <c r="X12" s="1008"/>
      <c r="Y12" s="1004"/>
      <c r="Z12" s="1004"/>
    </row>
    <row r="13" spans="2:26" s="994" customFormat="1" ht="13.5">
      <c r="B13" s="1007" t="s">
        <v>998</v>
      </c>
      <c r="C13" s="992" t="s">
        <v>999</v>
      </c>
      <c r="D13" s="1061">
        <v>53</v>
      </c>
      <c r="E13" s="990" t="s">
        <v>1000</v>
      </c>
      <c r="F13" s="991"/>
      <c r="G13" s="992"/>
      <c r="N13" s="988" t="s">
        <v>1001</v>
      </c>
      <c r="O13" s="1005"/>
      <c r="P13" s="991" t="s">
        <v>992</v>
      </c>
      <c r="Q13" s="1001"/>
      <c r="R13" s="1002"/>
      <c r="S13" s="989"/>
      <c r="T13" s="1004"/>
      <c r="U13" s="1004"/>
      <c r="V13" s="1004"/>
      <c r="W13" s="1004"/>
      <c r="X13" s="1009"/>
      <c r="Y13" s="1004"/>
      <c r="Z13" s="1004"/>
    </row>
    <row r="14" spans="2:26" s="994" customFormat="1" ht="13.5">
      <c r="B14" s="1007" t="s">
        <v>1002</v>
      </c>
      <c r="C14" s="992" t="s">
        <v>1003</v>
      </c>
      <c r="D14" s="1062">
        <v>28</v>
      </c>
      <c r="E14" s="990" t="s">
        <v>19</v>
      </c>
      <c r="G14" s="1010">
        <f>EXP(23.64074-4076.8/(236.665+D14))/100</f>
        <v>37.786291023239897</v>
      </c>
      <c r="N14" s="1011" t="s">
        <v>1004</v>
      </c>
      <c r="O14" s="972" t="s">
        <v>995</v>
      </c>
      <c r="P14" s="991">
        <v>0</v>
      </c>
      <c r="Q14" s="990" t="s">
        <v>996</v>
      </c>
      <c r="R14" s="991"/>
      <c r="S14" s="992"/>
      <c r="V14" s="987"/>
      <c r="W14" s="987"/>
      <c r="X14" s="987"/>
      <c r="Y14" s="987"/>
      <c r="Z14" s="987"/>
    </row>
    <row r="15" spans="2:26" s="994" customFormat="1" ht="13.5">
      <c r="B15" s="1007" t="s">
        <v>1005</v>
      </c>
      <c r="C15" s="992" t="s">
        <v>1006</v>
      </c>
      <c r="D15" s="1012">
        <f>G14</f>
        <v>37.786291023239897</v>
      </c>
      <c r="E15" s="990" t="s">
        <v>1007</v>
      </c>
      <c r="F15" s="991"/>
      <c r="G15" s="992"/>
      <c r="N15" s="990" t="s">
        <v>1008</v>
      </c>
      <c r="O15" s="992" t="s">
        <v>999</v>
      </c>
      <c r="P15" s="1013">
        <v>275</v>
      </c>
      <c r="Q15" s="990" t="s">
        <v>1000</v>
      </c>
      <c r="R15" s="991"/>
      <c r="S15" s="992"/>
      <c r="X15" s="1014"/>
    </row>
    <row r="16" spans="2:26" s="994" customFormat="1" ht="12">
      <c r="B16" s="1007" t="s">
        <v>1009</v>
      </c>
      <c r="C16" s="992" t="s">
        <v>1010</v>
      </c>
      <c r="D16" s="1062">
        <v>30</v>
      </c>
      <c r="E16" s="990" t="s">
        <v>1011</v>
      </c>
      <c r="F16" s="1015"/>
      <c r="G16" s="1016">
        <f>EXP(23.64074-4076.8/(236.665+D16))*(D17/100)/100</f>
        <v>25.448292277095899</v>
      </c>
      <c r="N16" s="990" t="s">
        <v>1012</v>
      </c>
      <c r="O16" s="992" t="s">
        <v>1003</v>
      </c>
      <c r="P16" s="1013">
        <v>28.5</v>
      </c>
      <c r="Q16" s="990" t="s">
        <v>19</v>
      </c>
      <c r="S16" s="1010">
        <f>EXP(23.64074-4076.8/(236.665+P16))/100</f>
        <v>38.899901602650118</v>
      </c>
      <c r="X16" s="1014"/>
    </row>
    <row r="17" spans="2:26" s="994" customFormat="1" ht="12">
      <c r="B17" s="1007" t="s">
        <v>1013</v>
      </c>
      <c r="C17" s="992" t="s">
        <v>1014</v>
      </c>
      <c r="D17" s="1061">
        <v>60</v>
      </c>
      <c r="E17" s="994" t="s">
        <v>21</v>
      </c>
      <c r="J17" s="990" t="s">
        <v>1015</v>
      </c>
      <c r="K17" s="1017"/>
      <c r="N17" s="990" t="s">
        <v>1016</v>
      </c>
      <c r="O17" s="992" t="s">
        <v>1006</v>
      </c>
      <c r="P17" s="1012">
        <f>S16</f>
        <v>38.899901602650118</v>
      </c>
      <c r="Q17" s="990" t="s">
        <v>1007</v>
      </c>
      <c r="R17" s="991"/>
      <c r="S17" s="1016">
        <f>EXP(23.64074-4076.8/(236.665+P18))*(P19/100)/100</f>
        <v>24.938952075338335</v>
      </c>
      <c r="X17" s="1014"/>
    </row>
    <row r="18" spans="2:26" s="994" customFormat="1" ht="12">
      <c r="B18" s="1007" t="s">
        <v>1017</v>
      </c>
      <c r="C18" s="992" t="s">
        <v>1018</v>
      </c>
      <c r="D18" s="1012">
        <f>G16</f>
        <v>25.448292277095899</v>
      </c>
      <c r="E18" s="994" t="str">
        <f>CONCATENATE(J18," ",J19," ",J17)</f>
        <v>mbar = X  Ist  16,0283635505545 g/kg (Soll X lt. VDI  14,3 g/kg)</v>
      </c>
      <c r="F18" s="1018"/>
      <c r="G18" s="1017"/>
      <c r="H18" s="1019"/>
      <c r="J18" s="994" t="s">
        <v>1019</v>
      </c>
      <c r="K18" s="1017"/>
      <c r="N18" s="990" t="s">
        <v>1020</v>
      </c>
      <c r="O18" s="992" t="s">
        <v>1010</v>
      </c>
      <c r="P18" s="1013">
        <v>28</v>
      </c>
      <c r="Q18" s="990" t="s">
        <v>1011</v>
      </c>
      <c r="R18" s="1015"/>
      <c r="X18" s="1014"/>
    </row>
    <row r="19" spans="2:26" s="994" customFormat="1" ht="12">
      <c r="B19" s="1007" t="s">
        <v>1021</v>
      </c>
      <c r="C19" s="992" t="s">
        <v>1022</v>
      </c>
      <c r="D19" s="1062">
        <v>3</v>
      </c>
      <c r="E19" s="1007" t="s">
        <v>1023</v>
      </c>
      <c r="F19" s="991"/>
      <c r="G19" s="1065">
        <f>0.00541*((D15-D18)^1.2)</f>
        <v>0.11032931739927754</v>
      </c>
      <c r="H19" s="1066">
        <f>G19*D19</f>
        <v>0.33098795219783261</v>
      </c>
      <c r="I19" s="1067">
        <f>G19*D20</f>
        <v>6.6197590439566523E-2</v>
      </c>
      <c r="J19" s="1020">
        <f>0.622*(G16/(1013-G16))*1000</f>
        <v>16.028363550554502</v>
      </c>
      <c r="N19" s="990" t="s">
        <v>1024</v>
      </c>
      <c r="O19" s="992" t="s">
        <v>1014</v>
      </c>
      <c r="P19" s="1013">
        <v>66</v>
      </c>
      <c r="Q19" s="994" t="s">
        <v>21</v>
      </c>
      <c r="W19" s="990" t="s">
        <v>1015</v>
      </c>
      <c r="X19" s="1014"/>
    </row>
    <row r="20" spans="2:26" s="994" customFormat="1" ht="15">
      <c r="B20" s="1007" t="s">
        <v>1025</v>
      </c>
      <c r="C20" s="992" t="s">
        <v>1022</v>
      </c>
      <c r="D20" s="1062">
        <v>0.6</v>
      </c>
      <c r="E20" s="1007" t="s">
        <v>1026</v>
      </c>
      <c r="F20" s="991"/>
      <c r="G20" s="992"/>
      <c r="N20" s="990" t="s">
        <v>1027</v>
      </c>
      <c r="O20" s="992" t="s">
        <v>1018</v>
      </c>
      <c r="P20" s="1012">
        <f>S17</f>
        <v>24.938952075338335</v>
      </c>
      <c r="Q20" s="994" t="str">
        <f>CONCATENATE(W20," ",W21," ",W19)</f>
        <v>mbar = X  Ist  15,6994633311799 g/kg (Soll X lt. VDI  14,3 g/kg)</v>
      </c>
      <c r="R20" s="1018"/>
      <c r="S20" s="978"/>
      <c r="T20" s="1019"/>
      <c r="W20" s="994" t="s">
        <v>1019</v>
      </c>
      <c r="X20" s="1014"/>
    </row>
    <row r="21" spans="2:26" s="994" customFormat="1" ht="6.95" customHeight="1">
      <c r="B21" s="1007"/>
      <c r="C21" s="992"/>
      <c r="D21" s="991"/>
      <c r="E21" s="990"/>
      <c r="F21" s="991"/>
      <c r="G21" s="992"/>
      <c r="N21" s="990" t="s">
        <v>1028</v>
      </c>
      <c r="O21" s="992" t="s">
        <v>1022</v>
      </c>
      <c r="P21" s="1013">
        <v>20</v>
      </c>
      <c r="Q21" s="990"/>
      <c r="R21" s="978"/>
      <c r="W21" s="1020">
        <f>0.622*(P20/(1013-P20))*1000</f>
        <v>15.699463331179935</v>
      </c>
      <c r="X21" s="1014"/>
    </row>
    <row r="22" spans="2:26" s="994" customFormat="1" ht="12">
      <c r="B22" s="1021" t="s">
        <v>1029</v>
      </c>
      <c r="C22" s="1022"/>
      <c r="D22" s="991"/>
      <c r="E22" s="990"/>
      <c r="G22" s="991" t="s">
        <v>1030</v>
      </c>
      <c r="H22" s="1023">
        <v>13</v>
      </c>
      <c r="I22" s="994" t="s">
        <v>1031</v>
      </c>
      <c r="J22" s="990" t="s">
        <v>1032</v>
      </c>
      <c r="N22" s="990" t="s">
        <v>1033</v>
      </c>
      <c r="O22" s="992" t="s">
        <v>1022</v>
      </c>
      <c r="P22" s="1013">
        <v>3</v>
      </c>
      <c r="Q22" s="990"/>
      <c r="R22" s="991"/>
      <c r="S22" s="992"/>
    </row>
    <row r="23" spans="2:26" s="994" customFormat="1" ht="12">
      <c r="B23" s="1007" t="s">
        <v>1034</v>
      </c>
      <c r="C23" s="992" t="s">
        <v>1035</v>
      </c>
      <c r="D23" s="1024">
        <f>G19*D19*D13</f>
        <v>17.542361466485129</v>
      </c>
      <c r="E23" s="1064" t="str">
        <f>CONCATENATE(J22,H19,J24)</f>
        <v>kg/h  W=  0,330987952197833 kg/m2h   W max/d  =</v>
      </c>
      <c r="F23" s="1015"/>
      <c r="G23" s="992"/>
      <c r="H23" s="1023">
        <f>SUM(H22*D23)</f>
        <v>228.05069906430668</v>
      </c>
      <c r="I23" s="994" t="s">
        <v>1036</v>
      </c>
      <c r="N23" s="990"/>
      <c r="O23" s="992"/>
      <c r="P23" s="991"/>
      <c r="Q23" s="990"/>
      <c r="R23" s="991"/>
      <c r="S23" s="992"/>
    </row>
    <row r="24" spans="2:26" s="994" customFormat="1" ht="13.5">
      <c r="B24" s="1007" t="s">
        <v>1037</v>
      </c>
      <c r="C24" s="992" t="s">
        <v>1038</v>
      </c>
      <c r="D24" s="1024">
        <f>D23*D20/D19</f>
        <v>3.5084722932970256</v>
      </c>
      <c r="E24" s="990" t="str">
        <f>CONCATENATE(J22,I19,J24)</f>
        <v>kg/h  W=  0,0661975904395665 kg/m2h   W max/d  =</v>
      </c>
      <c r="F24" s="1015"/>
      <c r="G24" s="1025"/>
      <c r="H24" s="1026">
        <f>SUM(D24*(24-H22))</f>
        <v>38.593195226267284</v>
      </c>
      <c r="I24" s="1027" t="s">
        <v>1036</v>
      </c>
      <c r="J24" s="994" t="s">
        <v>1039</v>
      </c>
      <c r="N24" s="1028" t="s">
        <v>1040</v>
      </c>
      <c r="O24" s="1022"/>
      <c r="P24" s="991"/>
      <c r="Q24" s="990"/>
      <c r="R24" s="991"/>
      <c r="S24" s="992"/>
      <c r="T24" s="991" t="s">
        <v>1041</v>
      </c>
      <c r="U24" s="1023">
        <v>12</v>
      </c>
      <c r="V24" s="994" t="s">
        <v>1031</v>
      </c>
      <c r="W24" s="990" t="s">
        <v>1032</v>
      </c>
    </row>
    <row r="25" spans="2:26" s="994" customFormat="1" ht="15.75" thickBot="1">
      <c r="B25" s="1007"/>
      <c r="C25" s="992"/>
      <c r="D25" s="1022"/>
      <c r="E25" s="990"/>
      <c r="F25" s="991"/>
      <c r="G25" s="1029" t="s">
        <v>1042</v>
      </c>
      <c r="H25" s="1030">
        <f>SUM(H23:H24)/24</f>
        <v>11.110162262107247</v>
      </c>
      <c r="I25" s="1031" t="s">
        <v>1043</v>
      </c>
      <c r="N25" s="990" t="s">
        <v>1044</v>
      </c>
      <c r="O25" s="992" t="s">
        <v>1035</v>
      </c>
      <c r="P25" s="1024">
        <f>W25*P15</f>
        <v>76.785222400214806</v>
      </c>
      <c r="Q25" s="990" t="str">
        <f>CONCATENATE(W24,W25,X25)</f>
        <v>kg/h  W=  0,279218990546236 kg/m2h     W max/d  =</v>
      </c>
      <c r="R25" s="978"/>
      <c r="T25" s="992"/>
      <c r="U25" s="1032">
        <f>SUM(P25*U24)</f>
        <v>921.42266880257762</v>
      </c>
      <c r="V25" s="994" t="s">
        <v>1036</v>
      </c>
      <c r="W25" s="1033">
        <f>P21*(P17-P20)/1000</f>
        <v>0.27921899054623567</v>
      </c>
      <c r="X25" s="994" t="s">
        <v>1045</v>
      </c>
      <c r="Y25" s="992"/>
    </row>
    <row r="26" spans="2:26" s="994" customFormat="1" ht="12.75" customHeight="1" thickTop="1">
      <c r="B26" s="1021" t="s">
        <v>1046</v>
      </c>
      <c r="C26" s="1022"/>
      <c r="D26" s="991"/>
      <c r="E26" s="990"/>
      <c r="F26" s="1013"/>
      <c r="G26" s="992"/>
      <c r="N26" s="990" t="s">
        <v>1047</v>
      </c>
      <c r="O26" s="992" t="s">
        <v>1038</v>
      </c>
      <c r="P26" s="1024">
        <f>P25*P22/P21</f>
        <v>11.517783360032221</v>
      </c>
      <c r="Q26" s="990" t="str">
        <f>CONCATENATE(W24,W26,X26)</f>
        <v>kg/h  W=  0,0418828485819353 kg/m2h     W min/d  =</v>
      </c>
      <c r="R26" s="978"/>
      <c r="S26" s="990"/>
      <c r="T26" s="1034"/>
      <c r="U26" s="1035">
        <f>SUM(P26*(24-U24))</f>
        <v>138.21340032038665</v>
      </c>
      <c r="V26" s="1036" t="s">
        <v>1036</v>
      </c>
      <c r="W26" s="1033">
        <f>P22*(P17-P20)/1000</f>
        <v>4.1882848581935347E-2</v>
      </c>
      <c r="X26" s="994" t="s">
        <v>1048</v>
      </c>
      <c r="Y26" s="1034"/>
    </row>
    <row r="27" spans="2:26" s="994" customFormat="1" ht="17.25" customHeight="1">
      <c r="B27" s="1007" t="s">
        <v>1049</v>
      </c>
      <c r="C27" s="992" t="s">
        <v>1050</v>
      </c>
      <c r="D27" s="1037">
        <f>D23*1000/(J19-9)/1.15</f>
        <v>2170.3810926168585</v>
      </c>
      <c r="E27" s="1007" t="s">
        <v>1051</v>
      </c>
      <c r="F27" s="1038"/>
      <c r="G27" s="1039"/>
      <c r="H27" s="1040"/>
      <c r="I27" s="1040"/>
      <c r="N27" s="990"/>
      <c r="O27" s="992"/>
      <c r="P27" s="992"/>
      <c r="Q27" s="990"/>
      <c r="R27" s="991"/>
      <c r="S27" s="1041" t="s">
        <v>1042</v>
      </c>
      <c r="T27" s="1042"/>
      <c r="U27" s="1043">
        <f>SUM(U25:U26)/24</f>
        <v>44.151502880123509</v>
      </c>
      <c r="V27" s="1044" t="s">
        <v>1043</v>
      </c>
      <c r="W27" s="991"/>
      <c r="X27" s="992"/>
      <c r="Y27" s="978"/>
    </row>
    <row r="28" spans="2:26" s="994" customFormat="1" ht="12" customHeight="1">
      <c r="B28" s="1007"/>
      <c r="C28" s="992"/>
      <c r="D28" s="991"/>
      <c r="E28" s="1007"/>
      <c r="F28" s="1045"/>
      <c r="G28" s="1040"/>
      <c r="H28" s="1040"/>
      <c r="I28" s="1040"/>
      <c r="N28" s="1028" t="s">
        <v>1052</v>
      </c>
      <c r="O28" s="1022"/>
      <c r="P28" s="991"/>
      <c r="Q28" s="990"/>
      <c r="R28" s="1013"/>
      <c r="S28" s="1022"/>
    </row>
    <row r="29" spans="2:26" s="994" customFormat="1" ht="12.75" customHeight="1">
      <c r="B29" s="1021" t="s">
        <v>1053</v>
      </c>
      <c r="C29" s="1046"/>
      <c r="D29" s="1063">
        <v>7000</v>
      </c>
      <c r="E29" s="1007" t="s">
        <v>1051</v>
      </c>
      <c r="F29" s="1038"/>
      <c r="G29" s="1039"/>
      <c r="H29" s="1040"/>
      <c r="I29" s="1040"/>
      <c r="N29" s="990" t="s">
        <v>1054</v>
      </c>
      <c r="O29" s="992" t="s">
        <v>1050</v>
      </c>
      <c r="P29" s="1047">
        <f>P25*1000/(W21-9)/1.15</f>
        <v>9966.4339228680728</v>
      </c>
      <c r="Q29" s="990" t="s">
        <v>1055</v>
      </c>
      <c r="R29" s="1048" t="s">
        <v>1056</v>
      </c>
    </row>
    <row r="30" spans="2:26" s="1049" customFormat="1" ht="14.25" thickBot="1">
      <c r="B30" s="990"/>
      <c r="C30" s="1050" t="s">
        <v>1057</v>
      </c>
      <c r="D30" s="991">
        <f>IF(D12&gt;0,SUM(D29/D12)," ----- ")</f>
        <v>4.7814207650273222</v>
      </c>
      <c r="E30" s="1007" t="s">
        <v>1058</v>
      </c>
      <c r="F30" s="1051"/>
      <c r="G30" s="1052" t="s">
        <v>1059</v>
      </c>
      <c r="H30" s="1053">
        <f>H25*1000/(J19-9)/1.15</f>
        <v>1374.5746919906769</v>
      </c>
      <c r="I30" s="1007" t="s">
        <v>1060</v>
      </c>
      <c r="N30" s="1054"/>
      <c r="O30" s="992"/>
      <c r="P30" s="1013"/>
      <c r="Q30" s="990"/>
      <c r="R30" s="1013"/>
      <c r="S30" s="1022"/>
      <c r="T30" s="994"/>
      <c r="U30" s="994"/>
      <c r="V30" s="994"/>
      <c r="W30" s="994"/>
      <c r="X30" s="994"/>
      <c r="Y30" s="994"/>
      <c r="Z30" s="994"/>
    </row>
    <row r="31" spans="2:26" s="1049" customFormat="1" ht="14.25" thickTop="1">
      <c r="B31" s="971"/>
      <c r="C31" s="972"/>
      <c r="D31" s="974"/>
      <c r="E31" s="1007"/>
      <c r="F31" s="1051"/>
      <c r="G31" s="1050"/>
      <c r="H31" s="1040"/>
      <c r="I31" s="1040"/>
      <c r="N31" s="1028" t="s">
        <v>1061</v>
      </c>
      <c r="O31" s="1055" t="s">
        <v>1062</v>
      </c>
      <c r="P31" s="1056">
        <v>15000</v>
      </c>
      <c r="Q31" s="990" t="s">
        <v>1055</v>
      </c>
      <c r="R31" s="1015" t="s">
        <v>1063</v>
      </c>
      <c r="S31" s="1022"/>
      <c r="T31" s="1057"/>
      <c r="U31" s="994"/>
      <c r="V31" s="994"/>
      <c r="W31" s="970"/>
      <c r="X31" s="970"/>
      <c r="Y31" s="970"/>
      <c r="Z31" s="970"/>
    </row>
    <row r="32" spans="2:26" ht="13.5">
      <c r="E32" s="1007" t="s">
        <v>1051</v>
      </c>
      <c r="F32" s="1051"/>
      <c r="G32" s="1050"/>
      <c r="H32" s="1040"/>
      <c r="I32" s="1040"/>
      <c r="N32" s="990"/>
      <c r="O32" s="992" t="s">
        <v>1064</v>
      </c>
      <c r="P32" s="991" t="str">
        <f>IF(P14&gt;0,SUM(P31/P14)," ----- ")</f>
        <v xml:space="preserve"> ----- </v>
      </c>
      <c r="Q32" s="990" t="s">
        <v>1065</v>
      </c>
      <c r="R32" s="991"/>
      <c r="S32" s="1041" t="s">
        <v>1066</v>
      </c>
      <c r="T32" s="1047">
        <f>U27*1000/(W21-9)/1.15</f>
        <v>5730.6995056491414</v>
      </c>
      <c r="U32" s="990" t="s">
        <v>1055</v>
      </c>
      <c r="V32" s="1058"/>
    </row>
    <row r="33" spans="2:22">
      <c r="D33" s="974"/>
      <c r="E33" s="971"/>
      <c r="N33" s="990"/>
      <c r="O33" s="992"/>
      <c r="P33" s="991"/>
      <c r="Q33" s="990"/>
      <c r="R33" s="991"/>
      <c r="S33" s="992"/>
      <c r="T33" s="994"/>
      <c r="U33" s="994"/>
      <c r="V33" s="994"/>
    </row>
    <row r="34" spans="2:22" ht="13.5">
      <c r="D34" s="974"/>
      <c r="E34" s="971"/>
      <c r="N34" s="990"/>
      <c r="O34" s="992"/>
      <c r="P34" s="1059"/>
      <c r="Q34" s="990" t="s">
        <v>1055</v>
      </c>
      <c r="R34" s="991"/>
      <c r="S34" s="992"/>
      <c r="T34" s="994"/>
      <c r="U34" s="994"/>
      <c r="V34" s="994"/>
    </row>
    <row r="35" spans="2:22" ht="15">
      <c r="D35" s="974"/>
      <c r="E35" s="861"/>
      <c r="F35" s="1060"/>
      <c r="G35" s="1060"/>
      <c r="H35" s="1060"/>
      <c r="I35" s="963" t="s">
        <v>818</v>
      </c>
      <c r="N35" s="990"/>
      <c r="O35" s="992" t="s">
        <v>1064</v>
      </c>
      <c r="P35" s="991" t="str">
        <f>IF(P14&gt;0,SUM(P34/P14)," ----- ")</f>
        <v xml:space="preserve"> ----- </v>
      </c>
      <c r="Q35" s="990" t="s">
        <v>1065</v>
      </c>
      <c r="R35" s="991"/>
      <c r="S35" s="992"/>
      <c r="T35" s="994"/>
      <c r="U35" s="994"/>
      <c r="V35" s="994"/>
    </row>
    <row r="36" spans="2:22" ht="15">
      <c r="D36" s="974"/>
      <c r="E36" s="861"/>
      <c r="F36" s="1060"/>
      <c r="G36" s="1060"/>
      <c r="H36" s="1060"/>
      <c r="I36" s="962" t="s">
        <v>17</v>
      </c>
      <c r="N36" s="990"/>
      <c r="O36" s="992"/>
      <c r="P36" s="991"/>
      <c r="Q36" s="990"/>
      <c r="R36" s="991"/>
      <c r="S36" s="992"/>
      <c r="T36" s="994"/>
      <c r="U36" s="994"/>
      <c r="V36" s="994"/>
    </row>
    <row r="37" spans="2:22" ht="15">
      <c r="E37" s="861"/>
      <c r="F37" s="1060"/>
      <c r="G37" s="1060"/>
      <c r="H37" s="3267">
        <v>2026</v>
      </c>
      <c r="I37" s="3267"/>
      <c r="N37" s="990"/>
      <c r="O37" s="992"/>
      <c r="P37" s="991"/>
      <c r="Q37" s="990"/>
      <c r="R37" s="991"/>
      <c r="S37" s="992"/>
      <c r="T37" s="994"/>
      <c r="U37" s="994"/>
      <c r="V37" s="994"/>
    </row>
    <row r="38" spans="2:22">
      <c r="N38" s="990"/>
      <c r="O38" s="992"/>
      <c r="P38" s="991"/>
      <c r="Q38" s="990"/>
      <c r="R38" s="991"/>
      <c r="S38" s="992"/>
      <c r="T38" s="994"/>
      <c r="U38" s="994"/>
      <c r="V38" s="994"/>
    </row>
    <row r="39" spans="2:22">
      <c r="N39" s="990"/>
      <c r="O39" s="992"/>
      <c r="P39" s="991"/>
      <c r="Q39" s="990"/>
      <c r="R39" s="991"/>
      <c r="S39" s="992"/>
      <c r="T39" s="994"/>
      <c r="U39" s="994"/>
      <c r="V39" s="994"/>
    </row>
    <row r="40" spans="2:22">
      <c r="N40" s="1001"/>
      <c r="O40" s="989"/>
      <c r="P40" s="989"/>
      <c r="Q40" s="1006"/>
      <c r="R40" s="1002"/>
      <c r="S40" s="989"/>
      <c r="T40" s="1004"/>
      <c r="U40" s="1004"/>
      <c r="V40" s="1004"/>
    </row>
    <row r="41" spans="2:22">
      <c r="B41" s="971" t="s">
        <v>992</v>
      </c>
      <c r="N41" s="1001"/>
      <c r="O41" s="989"/>
      <c r="P41" s="989"/>
      <c r="Q41" s="1006"/>
      <c r="R41" s="1002"/>
      <c r="S41" s="989"/>
      <c r="T41" s="1004"/>
      <c r="U41" s="1004"/>
      <c r="V41" s="1004"/>
    </row>
  </sheetData>
  <sheetProtection algorithmName="SHA-512" hashValue="FUEGkxK9bd2P2CjFZrnu0NHTHHoMkPFqdgKcxUa5MFOHfZNx1keXDPQwXjzgJc8e/tnxoUUBQYCocZacBmzCQQ==" saltValue="JzdHhYvwsiM7atlIvckBWA==" spinCount="100000" sheet="1" objects="1" selectLockedCells="1"/>
  <mergeCells count="1">
    <mergeCell ref="H37:I37"/>
  </mergeCells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ayfa9">
    <tabColor rgb="FF00B050"/>
    <pageSetUpPr fitToPage="1"/>
  </sheetPr>
  <dimension ref="A1:AZ55"/>
  <sheetViews>
    <sheetView showGridLines="0" showRowColHeaders="0" topLeftCell="B1" zoomScale="106" zoomScaleNormal="106" workbookViewId="0">
      <selection activeCell="G5" sqref="G5:H5"/>
    </sheetView>
  </sheetViews>
  <sheetFormatPr defaultRowHeight="15"/>
  <cols>
    <col min="1" max="1" width="0" style="243" hidden="1" customWidth="1"/>
    <col min="2" max="6" width="9.140625" style="243"/>
    <col min="7" max="17" width="5.7109375" style="243" customWidth="1"/>
    <col min="18" max="18" width="29.140625" style="243" hidden="1" customWidth="1"/>
    <col min="19" max="23" width="9.140625" style="243" hidden="1" customWidth="1"/>
    <col min="24" max="30" width="9.140625" style="243"/>
    <col min="31" max="31" width="25.5703125" style="243" bestFit="1" customWidth="1"/>
    <col min="32" max="32" width="7.7109375" style="243" customWidth="1"/>
    <col min="33" max="33" width="11.5703125" style="243" customWidth="1"/>
    <col min="34" max="34" width="14.28515625" style="243" customWidth="1"/>
    <col min="35" max="35" width="6.42578125" style="243" bestFit="1" customWidth="1"/>
    <col min="36" max="36" width="4.5703125" style="243" customWidth="1"/>
    <col min="37" max="40" width="9.140625" style="243"/>
    <col min="41" max="41" width="21.7109375" style="243" customWidth="1"/>
    <col min="42" max="268" width="9.140625" style="243"/>
    <col min="269" max="278" width="5.7109375" style="243" customWidth="1"/>
    <col min="279" max="285" width="0" style="243" hidden="1" customWidth="1"/>
    <col min="286" max="524" width="9.140625" style="243"/>
    <col min="525" max="534" width="5.7109375" style="243" customWidth="1"/>
    <col min="535" max="541" width="0" style="243" hidden="1" customWidth="1"/>
    <col min="542" max="780" width="9.140625" style="243"/>
    <col min="781" max="790" width="5.7109375" style="243" customWidth="1"/>
    <col min="791" max="797" width="0" style="243" hidden="1" customWidth="1"/>
    <col min="798" max="1036" width="9.140625" style="243"/>
    <col min="1037" max="1046" width="5.7109375" style="243" customWidth="1"/>
    <col min="1047" max="1053" width="0" style="243" hidden="1" customWidth="1"/>
    <col min="1054" max="1292" width="9.140625" style="243"/>
    <col min="1293" max="1302" width="5.7109375" style="243" customWidth="1"/>
    <col min="1303" max="1309" width="0" style="243" hidden="1" customWidth="1"/>
    <col min="1310" max="1548" width="9.140625" style="243"/>
    <col min="1549" max="1558" width="5.7109375" style="243" customWidth="1"/>
    <col min="1559" max="1565" width="0" style="243" hidden="1" customWidth="1"/>
    <col min="1566" max="1804" width="9.140625" style="243"/>
    <col min="1805" max="1814" width="5.7109375" style="243" customWidth="1"/>
    <col min="1815" max="1821" width="0" style="243" hidden="1" customWidth="1"/>
    <col min="1822" max="2060" width="9.140625" style="243"/>
    <col min="2061" max="2070" width="5.7109375" style="243" customWidth="1"/>
    <col min="2071" max="2077" width="0" style="243" hidden="1" customWidth="1"/>
    <col min="2078" max="2316" width="9.140625" style="243"/>
    <col min="2317" max="2326" width="5.7109375" style="243" customWidth="1"/>
    <col min="2327" max="2333" width="0" style="243" hidden="1" customWidth="1"/>
    <col min="2334" max="2572" width="9.140625" style="243"/>
    <col min="2573" max="2582" width="5.7109375" style="243" customWidth="1"/>
    <col min="2583" max="2589" width="0" style="243" hidden="1" customWidth="1"/>
    <col min="2590" max="2828" width="9.140625" style="243"/>
    <col min="2829" max="2838" width="5.7109375" style="243" customWidth="1"/>
    <col min="2839" max="2845" width="0" style="243" hidden="1" customWidth="1"/>
    <col min="2846" max="3084" width="9.140625" style="243"/>
    <col min="3085" max="3094" width="5.7109375" style="243" customWidth="1"/>
    <col min="3095" max="3101" width="0" style="243" hidden="1" customWidth="1"/>
    <col min="3102" max="3340" width="9.140625" style="243"/>
    <col min="3341" max="3350" width="5.7109375" style="243" customWidth="1"/>
    <col min="3351" max="3357" width="0" style="243" hidden="1" customWidth="1"/>
    <col min="3358" max="3596" width="9.140625" style="243"/>
    <col min="3597" max="3606" width="5.7109375" style="243" customWidth="1"/>
    <col min="3607" max="3613" width="0" style="243" hidden="1" customWidth="1"/>
    <col min="3614" max="3852" width="9.140625" style="243"/>
    <col min="3853" max="3862" width="5.7109375" style="243" customWidth="1"/>
    <col min="3863" max="3869" width="0" style="243" hidden="1" customWidth="1"/>
    <col min="3870" max="4108" width="9.140625" style="243"/>
    <col min="4109" max="4118" width="5.7109375" style="243" customWidth="1"/>
    <col min="4119" max="4125" width="0" style="243" hidden="1" customWidth="1"/>
    <col min="4126" max="4364" width="9.140625" style="243"/>
    <col min="4365" max="4374" width="5.7109375" style="243" customWidth="1"/>
    <col min="4375" max="4381" width="0" style="243" hidden="1" customWidth="1"/>
    <col min="4382" max="4620" width="9.140625" style="243"/>
    <col min="4621" max="4630" width="5.7109375" style="243" customWidth="1"/>
    <col min="4631" max="4637" width="0" style="243" hidden="1" customWidth="1"/>
    <col min="4638" max="4876" width="9.140625" style="243"/>
    <col min="4877" max="4886" width="5.7109375" style="243" customWidth="1"/>
    <col min="4887" max="4893" width="0" style="243" hidden="1" customWidth="1"/>
    <col min="4894" max="5132" width="9.140625" style="243"/>
    <col min="5133" max="5142" width="5.7109375" style="243" customWidth="1"/>
    <col min="5143" max="5149" width="0" style="243" hidden="1" customWidth="1"/>
    <col min="5150" max="5388" width="9.140625" style="243"/>
    <col min="5389" max="5398" width="5.7109375" style="243" customWidth="1"/>
    <col min="5399" max="5405" width="0" style="243" hidden="1" customWidth="1"/>
    <col min="5406" max="5644" width="9.140625" style="243"/>
    <col min="5645" max="5654" width="5.7109375" style="243" customWidth="1"/>
    <col min="5655" max="5661" width="0" style="243" hidden="1" customWidth="1"/>
    <col min="5662" max="5900" width="9.140625" style="243"/>
    <col min="5901" max="5910" width="5.7109375" style="243" customWidth="1"/>
    <col min="5911" max="5917" width="0" style="243" hidden="1" customWidth="1"/>
    <col min="5918" max="6156" width="9.140625" style="243"/>
    <col min="6157" max="6166" width="5.7109375" style="243" customWidth="1"/>
    <col min="6167" max="6173" width="0" style="243" hidden="1" customWidth="1"/>
    <col min="6174" max="6412" width="9.140625" style="243"/>
    <col min="6413" max="6422" width="5.7109375" style="243" customWidth="1"/>
    <col min="6423" max="6429" width="0" style="243" hidden="1" customWidth="1"/>
    <col min="6430" max="6668" width="9.140625" style="243"/>
    <col min="6669" max="6678" width="5.7109375" style="243" customWidth="1"/>
    <col min="6679" max="6685" width="0" style="243" hidden="1" customWidth="1"/>
    <col min="6686" max="6924" width="9.140625" style="243"/>
    <col min="6925" max="6934" width="5.7109375" style="243" customWidth="1"/>
    <col min="6935" max="6941" width="0" style="243" hidden="1" customWidth="1"/>
    <col min="6942" max="7180" width="9.140625" style="243"/>
    <col min="7181" max="7190" width="5.7109375" style="243" customWidth="1"/>
    <col min="7191" max="7197" width="0" style="243" hidden="1" customWidth="1"/>
    <col min="7198" max="7436" width="9.140625" style="243"/>
    <col min="7437" max="7446" width="5.7109375" style="243" customWidth="1"/>
    <col min="7447" max="7453" width="0" style="243" hidden="1" customWidth="1"/>
    <col min="7454" max="7692" width="9.140625" style="243"/>
    <col min="7693" max="7702" width="5.7109375" style="243" customWidth="1"/>
    <col min="7703" max="7709" width="0" style="243" hidden="1" customWidth="1"/>
    <col min="7710" max="7948" width="9.140625" style="243"/>
    <col min="7949" max="7958" width="5.7109375" style="243" customWidth="1"/>
    <col min="7959" max="7965" width="0" style="243" hidden="1" customWidth="1"/>
    <col min="7966" max="8204" width="9.140625" style="243"/>
    <col min="8205" max="8214" width="5.7109375" style="243" customWidth="1"/>
    <col min="8215" max="8221" width="0" style="243" hidden="1" customWidth="1"/>
    <col min="8222" max="8460" width="9.140625" style="243"/>
    <col min="8461" max="8470" width="5.7109375" style="243" customWidth="1"/>
    <col min="8471" max="8477" width="0" style="243" hidden="1" customWidth="1"/>
    <col min="8478" max="8716" width="9.140625" style="243"/>
    <col min="8717" max="8726" width="5.7109375" style="243" customWidth="1"/>
    <col min="8727" max="8733" width="0" style="243" hidden="1" customWidth="1"/>
    <col min="8734" max="8972" width="9.140625" style="243"/>
    <col min="8973" max="8982" width="5.7109375" style="243" customWidth="1"/>
    <col min="8983" max="8989" width="0" style="243" hidden="1" customWidth="1"/>
    <col min="8990" max="9228" width="9.140625" style="243"/>
    <col min="9229" max="9238" width="5.7109375" style="243" customWidth="1"/>
    <col min="9239" max="9245" width="0" style="243" hidden="1" customWidth="1"/>
    <col min="9246" max="9484" width="9.140625" style="243"/>
    <col min="9485" max="9494" width="5.7109375" style="243" customWidth="1"/>
    <col min="9495" max="9501" width="0" style="243" hidden="1" customWidth="1"/>
    <col min="9502" max="9740" width="9.140625" style="243"/>
    <col min="9741" max="9750" width="5.7109375" style="243" customWidth="1"/>
    <col min="9751" max="9757" width="0" style="243" hidden="1" customWidth="1"/>
    <col min="9758" max="9996" width="9.140625" style="243"/>
    <col min="9997" max="10006" width="5.7109375" style="243" customWidth="1"/>
    <col min="10007" max="10013" width="0" style="243" hidden="1" customWidth="1"/>
    <col min="10014" max="10252" width="9.140625" style="243"/>
    <col min="10253" max="10262" width="5.7109375" style="243" customWidth="1"/>
    <col min="10263" max="10269" width="0" style="243" hidden="1" customWidth="1"/>
    <col min="10270" max="10508" width="9.140625" style="243"/>
    <col min="10509" max="10518" width="5.7109375" style="243" customWidth="1"/>
    <col min="10519" max="10525" width="0" style="243" hidden="1" customWidth="1"/>
    <col min="10526" max="10764" width="9.140625" style="243"/>
    <col min="10765" max="10774" width="5.7109375" style="243" customWidth="1"/>
    <col min="10775" max="10781" width="0" style="243" hidden="1" customWidth="1"/>
    <col min="10782" max="11020" width="9.140625" style="243"/>
    <col min="11021" max="11030" width="5.7109375" style="243" customWidth="1"/>
    <col min="11031" max="11037" width="0" style="243" hidden="1" customWidth="1"/>
    <col min="11038" max="11276" width="9.140625" style="243"/>
    <col min="11277" max="11286" width="5.7109375" style="243" customWidth="1"/>
    <col min="11287" max="11293" width="0" style="243" hidden="1" customWidth="1"/>
    <col min="11294" max="11532" width="9.140625" style="243"/>
    <col min="11533" max="11542" width="5.7109375" style="243" customWidth="1"/>
    <col min="11543" max="11549" width="0" style="243" hidden="1" customWidth="1"/>
    <col min="11550" max="11788" width="9.140625" style="243"/>
    <col min="11789" max="11798" width="5.7109375" style="243" customWidth="1"/>
    <col min="11799" max="11805" width="0" style="243" hidden="1" customWidth="1"/>
    <col min="11806" max="12044" width="9.140625" style="243"/>
    <col min="12045" max="12054" width="5.7109375" style="243" customWidth="1"/>
    <col min="12055" max="12061" width="0" style="243" hidden="1" customWidth="1"/>
    <col min="12062" max="12300" width="9.140625" style="243"/>
    <col min="12301" max="12310" width="5.7109375" style="243" customWidth="1"/>
    <col min="12311" max="12317" width="0" style="243" hidden="1" customWidth="1"/>
    <col min="12318" max="12556" width="9.140625" style="243"/>
    <col min="12557" max="12566" width="5.7109375" style="243" customWidth="1"/>
    <col min="12567" max="12573" width="0" style="243" hidden="1" customWidth="1"/>
    <col min="12574" max="12812" width="9.140625" style="243"/>
    <col min="12813" max="12822" width="5.7109375" style="243" customWidth="1"/>
    <col min="12823" max="12829" width="0" style="243" hidden="1" customWidth="1"/>
    <col min="12830" max="13068" width="9.140625" style="243"/>
    <col min="13069" max="13078" width="5.7109375" style="243" customWidth="1"/>
    <col min="13079" max="13085" width="0" style="243" hidden="1" customWidth="1"/>
    <col min="13086" max="13324" width="9.140625" style="243"/>
    <col min="13325" max="13334" width="5.7109375" style="243" customWidth="1"/>
    <col min="13335" max="13341" width="0" style="243" hidden="1" customWidth="1"/>
    <col min="13342" max="13580" width="9.140625" style="243"/>
    <col min="13581" max="13590" width="5.7109375" style="243" customWidth="1"/>
    <col min="13591" max="13597" width="0" style="243" hidden="1" customWidth="1"/>
    <col min="13598" max="13836" width="9.140625" style="243"/>
    <col min="13837" max="13846" width="5.7109375" style="243" customWidth="1"/>
    <col min="13847" max="13853" width="0" style="243" hidden="1" customWidth="1"/>
    <col min="13854" max="14092" width="9.140625" style="243"/>
    <col min="14093" max="14102" width="5.7109375" style="243" customWidth="1"/>
    <col min="14103" max="14109" width="0" style="243" hidden="1" customWidth="1"/>
    <col min="14110" max="14348" width="9.140625" style="243"/>
    <col min="14349" max="14358" width="5.7109375" style="243" customWidth="1"/>
    <col min="14359" max="14365" width="0" style="243" hidden="1" customWidth="1"/>
    <col min="14366" max="14604" width="9.140625" style="243"/>
    <col min="14605" max="14614" width="5.7109375" style="243" customWidth="1"/>
    <col min="14615" max="14621" width="0" style="243" hidden="1" customWidth="1"/>
    <col min="14622" max="14860" width="9.140625" style="243"/>
    <col min="14861" max="14870" width="5.7109375" style="243" customWidth="1"/>
    <col min="14871" max="14877" width="0" style="243" hidden="1" customWidth="1"/>
    <col min="14878" max="15116" width="9.140625" style="243"/>
    <col min="15117" max="15126" width="5.7109375" style="243" customWidth="1"/>
    <col min="15127" max="15133" width="0" style="243" hidden="1" customWidth="1"/>
    <col min="15134" max="15372" width="9.140625" style="243"/>
    <col min="15373" max="15382" width="5.7109375" style="243" customWidth="1"/>
    <col min="15383" max="15389" width="0" style="243" hidden="1" customWidth="1"/>
    <col min="15390" max="15628" width="9.140625" style="243"/>
    <col min="15629" max="15638" width="5.7109375" style="243" customWidth="1"/>
    <col min="15639" max="15645" width="0" style="243" hidden="1" customWidth="1"/>
    <col min="15646" max="15884" width="9.140625" style="243"/>
    <col min="15885" max="15894" width="5.7109375" style="243" customWidth="1"/>
    <col min="15895" max="15901" width="0" style="243" hidden="1" customWidth="1"/>
    <col min="15902" max="16140" width="9.140625" style="243"/>
    <col min="16141" max="16150" width="5.7109375" style="243" customWidth="1"/>
    <col min="16151" max="16157" width="0" style="243" hidden="1" customWidth="1"/>
    <col min="16158" max="16384" width="9.140625" style="243"/>
  </cols>
  <sheetData>
    <row r="1" spans="1:52" s="245" customFormat="1">
      <c r="A1" s="493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M1" s="493"/>
      <c r="N1" s="493"/>
      <c r="O1" s="493"/>
      <c r="P1" s="493"/>
      <c r="Q1" s="493"/>
      <c r="R1" s="493"/>
      <c r="S1" s="493"/>
      <c r="T1" s="493"/>
      <c r="U1" s="493"/>
      <c r="V1" s="493"/>
      <c r="W1" s="493"/>
      <c r="X1" s="493"/>
      <c r="Y1" s="493"/>
      <c r="Z1" s="493"/>
      <c r="AA1" s="493"/>
      <c r="AB1" s="493"/>
      <c r="AC1" s="493"/>
      <c r="AD1" s="493"/>
      <c r="AE1" s="493"/>
      <c r="AF1" s="493"/>
      <c r="AG1" s="493"/>
      <c r="AH1" s="493"/>
      <c r="AI1" s="493"/>
      <c r="AJ1" s="493"/>
      <c r="AK1" s="493"/>
      <c r="AL1" s="493"/>
      <c r="AM1" s="493"/>
      <c r="AN1" s="493"/>
      <c r="AO1" s="493"/>
      <c r="AP1" s="493"/>
      <c r="AQ1" s="493"/>
      <c r="AR1" s="493"/>
      <c r="AS1" s="493"/>
      <c r="AT1" s="493"/>
      <c r="AU1" s="493"/>
      <c r="AV1" s="493"/>
      <c r="AW1" s="493"/>
      <c r="AX1" s="493"/>
      <c r="AY1" s="493"/>
      <c r="AZ1" s="493"/>
    </row>
    <row r="2" spans="1:52" s="245" customFormat="1" ht="15.75" thickBot="1">
      <c r="A2" s="493"/>
      <c r="B2" s="493"/>
      <c r="C2" s="493"/>
      <c r="D2" s="493"/>
      <c r="E2" s="493"/>
      <c r="F2" s="493"/>
      <c r="G2" s="493"/>
      <c r="H2" s="493"/>
      <c r="I2" s="493"/>
      <c r="J2" s="493"/>
      <c r="K2" s="493"/>
      <c r="L2" s="493"/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/>
      <c r="AX2" s="493"/>
      <c r="AY2" s="493"/>
      <c r="AZ2" s="493"/>
    </row>
    <row r="3" spans="1:52" s="245" customFormat="1" ht="20.25" customHeight="1" thickBot="1">
      <c r="A3" s="493"/>
      <c r="B3" s="493"/>
      <c r="C3" s="3268" t="s">
        <v>897</v>
      </c>
      <c r="D3" s="3016"/>
      <c r="E3" s="3016"/>
      <c r="F3" s="3016"/>
      <c r="G3" s="3016"/>
      <c r="H3" s="3016"/>
      <c r="I3" s="3016"/>
      <c r="J3" s="3016"/>
      <c r="K3" s="3016"/>
      <c r="L3" s="3016"/>
      <c r="M3" s="3016"/>
      <c r="N3" s="3016"/>
      <c r="O3" s="3017"/>
      <c r="P3" s="493"/>
      <c r="Q3" s="493"/>
      <c r="R3" s="493"/>
      <c r="S3" s="493"/>
      <c r="T3" s="493"/>
      <c r="U3" s="493"/>
      <c r="V3" s="493"/>
      <c r="W3" s="493"/>
      <c r="X3" s="583"/>
      <c r="Y3" s="3001" t="s">
        <v>796</v>
      </c>
      <c r="Z3" s="3001"/>
      <c r="AA3" s="3001"/>
      <c r="AB3" s="585"/>
      <c r="AC3" s="493"/>
      <c r="AD3" s="610" t="s">
        <v>800</v>
      </c>
      <c r="AE3" s="493"/>
      <c r="AF3" s="493"/>
      <c r="AG3" s="493"/>
      <c r="AH3" s="493"/>
      <c r="AI3" s="493"/>
      <c r="AJ3" s="493"/>
      <c r="AK3" s="493"/>
      <c r="AL3" s="493"/>
      <c r="AM3" s="493"/>
      <c r="AN3" s="493"/>
      <c r="AO3" s="493"/>
      <c r="AP3" s="493"/>
      <c r="AQ3" s="493"/>
      <c r="AR3" s="493"/>
      <c r="AS3" s="493"/>
      <c r="AT3" s="493"/>
      <c r="AU3" s="493"/>
      <c r="AV3" s="493"/>
      <c r="AW3" s="493"/>
      <c r="AX3" s="493"/>
      <c r="AY3" s="493"/>
      <c r="AZ3" s="493"/>
    </row>
    <row r="4" spans="1:52" s="245" customFormat="1" ht="20.25" customHeight="1" thickBot="1">
      <c r="A4" s="493"/>
      <c r="B4" s="493"/>
      <c r="C4" s="495"/>
      <c r="D4" s="495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3"/>
      <c r="Q4" s="493"/>
      <c r="R4" s="493"/>
      <c r="S4" s="493"/>
      <c r="T4" s="493"/>
      <c r="U4" s="493"/>
      <c r="V4" s="493"/>
      <c r="W4" s="493"/>
      <c r="X4" s="586"/>
      <c r="Y4" s="493"/>
      <c r="Z4" s="493"/>
      <c r="AA4" s="493"/>
      <c r="AB4" s="587"/>
      <c r="AC4" s="493"/>
      <c r="AD4" s="583"/>
      <c r="AE4" s="584"/>
      <c r="AF4" s="584"/>
      <c r="AG4" s="584"/>
      <c r="AH4" s="584"/>
      <c r="AI4" s="584"/>
      <c r="AJ4" s="584"/>
      <c r="AK4" s="585"/>
      <c r="AL4" s="493"/>
      <c r="AM4" s="493"/>
      <c r="AN4" s="493"/>
      <c r="AO4" s="493"/>
      <c r="AP4" s="493"/>
      <c r="AQ4" s="493"/>
      <c r="AR4" s="493"/>
      <c r="AS4" s="493"/>
      <c r="AT4" s="493"/>
      <c r="AU4" s="493"/>
      <c r="AV4" s="493"/>
      <c r="AW4" s="493"/>
      <c r="AX4" s="493"/>
      <c r="AY4" s="493"/>
      <c r="AZ4" s="493"/>
    </row>
    <row r="5" spans="1:52" s="245" customFormat="1" ht="15" customHeight="1" thickBot="1">
      <c r="A5" s="493"/>
      <c r="B5" s="493"/>
      <c r="C5" s="3002" t="s">
        <v>268</v>
      </c>
      <c r="D5" s="3003"/>
      <c r="E5" s="3003"/>
      <c r="F5" s="3003"/>
      <c r="G5" s="3269">
        <v>60</v>
      </c>
      <c r="H5" s="3270"/>
      <c r="I5" s="3006" t="s">
        <v>788</v>
      </c>
      <c r="J5" s="3007"/>
      <c r="K5" s="497"/>
      <c r="L5" s="497"/>
      <c r="M5" s="497"/>
      <c r="N5" s="497"/>
      <c r="O5" s="493"/>
      <c r="P5" s="493"/>
      <c r="Q5" s="493"/>
      <c r="R5" s="493"/>
      <c r="S5" s="493"/>
      <c r="T5" s="493"/>
      <c r="U5" s="493"/>
      <c r="V5" s="493"/>
      <c r="W5" s="493"/>
      <c r="X5" s="586"/>
      <c r="Y5" s="608">
        <v>6.3</v>
      </c>
      <c r="Z5" s="581" t="s">
        <v>77</v>
      </c>
      <c r="AA5" s="582">
        <f>Y5*860</f>
        <v>5418</v>
      </c>
      <c r="AB5" s="588" t="s">
        <v>42</v>
      </c>
      <c r="AC5" s="581"/>
      <c r="AD5" s="586"/>
      <c r="AE5" s="626" t="s">
        <v>789</v>
      </c>
      <c r="AF5" s="493"/>
      <c r="AG5" s="622" t="s">
        <v>790</v>
      </c>
      <c r="AH5" s="623" t="str">
        <f>IF(AE5="RADYATÖRLÜ ISITMA",(AO5),(AO6))</f>
        <v xml:space="preserve"> 70°C - 90°C =</v>
      </c>
      <c r="AI5" s="624">
        <f>IF(AE5="RADYATÖRLÜ ISITMA",(20),(10))</f>
        <v>20</v>
      </c>
      <c r="AJ5" s="625" t="s">
        <v>19</v>
      </c>
      <c r="AK5" s="587"/>
      <c r="AL5" s="493"/>
      <c r="AM5" s="493"/>
      <c r="AN5" s="493"/>
      <c r="AO5" s="503" t="s">
        <v>793</v>
      </c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</row>
    <row r="6" spans="1:52" s="245" customFormat="1" ht="15" customHeight="1" thickBot="1">
      <c r="A6" s="493"/>
      <c r="B6" s="493"/>
      <c r="C6" s="3008" t="s">
        <v>268</v>
      </c>
      <c r="D6" s="3008"/>
      <c r="E6" s="3008"/>
      <c r="F6" s="3008"/>
      <c r="G6" s="3009">
        <f>G5*860</f>
        <v>51600</v>
      </c>
      <c r="H6" s="3009"/>
      <c r="I6" s="3006" t="s">
        <v>269</v>
      </c>
      <c r="J6" s="3007"/>
      <c r="K6" s="497"/>
      <c r="L6" s="497"/>
      <c r="M6" s="497"/>
      <c r="N6" s="497"/>
      <c r="O6" s="493"/>
      <c r="P6" s="493"/>
      <c r="Q6" s="493"/>
      <c r="R6" s="246"/>
      <c r="S6" s="246"/>
      <c r="T6" s="246"/>
      <c r="U6" s="246"/>
      <c r="V6" s="246"/>
      <c r="W6" s="246"/>
      <c r="X6" s="586"/>
      <c r="Y6" s="493"/>
      <c r="Z6" s="493"/>
      <c r="AA6" s="493"/>
      <c r="AB6" s="587"/>
      <c r="AC6" s="493"/>
      <c r="AD6" s="586"/>
      <c r="AE6" s="627" t="s">
        <v>795</v>
      </c>
      <c r="AF6" s="600"/>
      <c r="AG6" s="620">
        <v>15200</v>
      </c>
      <c r="AH6" s="621" t="s">
        <v>42</v>
      </c>
      <c r="AI6" s="493"/>
      <c r="AJ6" s="493"/>
      <c r="AK6" s="587"/>
      <c r="AL6" s="493"/>
      <c r="AM6" s="493"/>
      <c r="AN6" s="493"/>
      <c r="AO6" s="503" t="s">
        <v>791</v>
      </c>
      <c r="AP6" s="493"/>
      <c r="AQ6" s="493"/>
      <c r="AR6" s="493"/>
      <c r="AS6" s="493"/>
      <c r="AT6" s="493"/>
      <c r="AU6" s="493"/>
      <c r="AV6" s="493"/>
      <c r="AW6" s="493"/>
      <c r="AX6" s="493"/>
      <c r="AY6" s="493"/>
      <c r="AZ6" s="493"/>
    </row>
    <row r="7" spans="1:52" s="245" customFormat="1" ht="15" customHeight="1" thickBot="1">
      <c r="A7" s="493"/>
      <c r="B7" s="493"/>
      <c r="C7" s="496"/>
      <c r="D7" s="496"/>
      <c r="E7" s="496"/>
      <c r="F7" s="496"/>
      <c r="G7" s="497"/>
      <c r="H7" s="497"/>
      <c r="I7" s="497"/>
      <c r="J7" s="497"/>
      <c r="K7" s="497"/>
      <c r="L7" s="497"/>
      <c r="M7" s="497"/>
      <c r="N7" s="497"/>
      <c r="O7" s="493"/>
      <c r="P7" s="493"/>
      <c r="Q7" s="493"/>
      <c r="R7" s="246"/>
      <c r="S7" s="246"/>
      <c r="T7" s="246"/>
      <c r="U7" s="246"/>
      <c r="V7" s="246"/>
      <c r="W7" s="246"/>
      <c r="X7" s="586"/>
      <c r="Y7" s="608">
        <v>43000</v>
      </c>
      <c r="Z7" s="581" t="s">
        <v>42</v>
      </c>
      <c r="AA7" s="582">
        <f>Y7/860</f>
        <v>50</v>
      </c>
      <c r="AB7" s="588" t="s">
        <v>77</v>
      </c>
      <c r="AC7" s="581"/>
      <c r="AD7" s="586"/>
      <c r="AE7" s="628" t="s">
        <v>794</v>
      </c>
      <c r="AF7" s="629"/>
      <c r="AG7" s="604">
        <f>AG6/(AI5*1000)</f>
        <v>0.76</v>
      </c>
      <c r="AH7" s="619" t="s">
        <v>2</v>
      </c>
      <c r="AI7" s="493"/>
      <c r="AJ7" s="493"/>
      <c r="AK7" s="587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</row>
    <row r="8" spans="1:52" s="245" customFormat="1" ht="15" customHeight="1">
      <c r="A8" s="493"/>
      <c r="B8" s="493"/>
      <c r="C8" s="3010" t="s">
        <v>270</v>
      </c>
      <c r="D8" s="3011"/>
      <c r="E8" s="3011"/>
      <c r="F8" s="3012"/>
      <c r="G8" s="3271" t="s">
        <v>271</v>
      </c>
      <c r="H8" s="3272"/>
      <c r="I8" s="3272"/>
      <c r="J8" s="3272"/>
      <c r="K8" s="497"/>
      <c r="L8" s="493"/>
      <c r="M8" s="493"/>
      <c r="N8" s="493"/>
      <c r="O8" s="493"/>
      <c r="P8" s="493"/>
      <c r="Q8" s="493"/>
      <c r="R8" s="247" t="s">
        <v>271</v>
      </c>
      <c r="S8" s="248"/>
      <c r="T8" s="248">
        <f>IF(G8="YERDEN ISITMA",(X8),IF(G8="PANEL RADYATÖR",(X9),IF(G8="ÇELİK RADYATÖR",(X10),(X11))))</f>
        <v>1</v>
      </c>
      <c r="U8" s="249"/>
      <c r="V8" s="249"/>
      <c r="W8" s="249">
        <v>19.8</v>
      </c>
      <c r="X8" s="589">
        <v>1</v>
      </c>
      <c r="Y8" s="503"/>
      <c r="Z8" s="493"/>
      <c r="AA8" s="493"/>
      <c r="AB8" s="587"/>
      <c r="AC8" s="493"/>
      <c r="AD8" s="586"/>
      <c r="AE8" s="493"/>
      <c r="AF8" s="493"/>
      <c r="AG8" s="493"/>
      <c r="AH8" s="493"/>
      <c r="AI8" s="493"/>
      <c r="AJ8" s="493"/>
      <c r="AK8" s="587"/>
      <c r="AL8" s="493"/>
      <c r="AM8" s="493"/>
      <c r="AN8" s="493"/>
      <c r="AO8" s="493"/>
      <c r="AP8" s="493"/>
      <c r="AQ8" s="493"/>
      <c r="AR8" s="581"/>
      <c r="AS8" s="493"/>
      <c r="AT8" s="493"/>
      <c r="AU8" s="493"/>
      <c r="AV8" s="493"/>
      <c r="AW8" s="493"/>
      <c r="AX8" s="493"/>
      <c r="AY8" s="493"/>
      <c r="AZ8" s="493"/>
    </row>
    <row r="9" spans="1:52" s="245" customFormat="1" ht="15" customHeight="1" thickBot="1">
      <c r="A9" s="493"/>
      <c r="B9" s="493"/>
      <c r="C9" s="497"/>
      <c r="D9" s="497"/>
      <c r="E9" s="497"/>
      <c r="F9" s="497"/>
      <c r="G9" s="497"/>
      <c r="H9" s="497"/>
      <c r="I9" s="497"/>
      <c r="J9" s="497"/>
      <c r="K9" s="497"/>
      <c r="L9" s="493"/>
      <c r="M9" s="493"/>
      <c r="N9" s="493"/>
      <c r="O9" s="493"/>
      <c r="P9" s="493"/>
      <c r="Q9" s="493"/>
      <c r="R9" s="247" t="s">
        <v>272</v>
      </c>
      <c r="S9" s="248"/>
      <c r="T9" s="248"/>
      <c r="U9" s="249"/>
      <c r="V9" s="249"/>
      <c r="W9" s="249">
        <v>9.4</v>
      </c>
      <c r="X9" s="590">
        <v>2</v>
      </c>
      <c r="Y9" s="591"/>
      <c r="Z9" s="592"/>
      <c r="AA9" s="592"/>
      <c r="AB9" s="593"/>
      <c r="AC9" s="493"/>
      <c r="AD9" s="607"/>
      <c r="AE9" s="592"/>
      <c r="AF9" s="592"/>
      <c r="AG9" s="592"/>
      <c r="AH9" s="592"/>
      <c r="AI9" s="592"/>
      <c r="AJ9" s="592"/>
      <c r="AK9" s="593"/>
      <c r="AL9" s="493"/>
      <c r="AM9" s="493"/>
      <c r="AN9" s="493"/>
      <c r="AO9" s="493"/>
      <c r="AP9" s="493"/>
      <c r="AQ9" s="493"/>
      <c r="AR9" s="503" t="s">
        <v>789</v>
      </c>
      <c r="AS9" s="503"/>
      <c r="AT9" s="493"/>
      <c r="AU9" s="493"/>
      <c r="AV9" s="493"/>
      <c r="AW9" s="493"/>
      <c r="AX9" s="493"/>
      <c r="AY9" s="493"/>
      <c r="AZ9" s="493"/>
    </row>
    <row r="10" spans="1:52" s="245" customFormat="1" ht="15" customHeight="1">
      <c r="A10" s="493"/>
      <c r="B10" s="493"/>
      <c r="C10" s="496"/>
      <c r="D10" s="496"/>
      <c r="E10" s="496"/>
      <c r="F10" s="496"/>
      <c r="G10" s="498"/>
      <c r="H10" s="3020" t="s">
        <v>273</v>
      </c>
      <c r="I10" s="3021"/>
      <c r="J10" s="501"/>
      <c r="K10" s="3020" t="s">
        <v>274</v>
      </c>
      <c r="L10" s="3021"/>
      <c r="M10" s="501"/>
      <c r="N10" s="3020" t="s">
        <v>275</v>
      </c>
      <c r="O10" s="3021"/>
      <c r="P10" s="500"/>
      <c r="Q10" s="493"/>
      <c r="R10" s="250" t="s">
        <v>276</v>
      </c>
      <c r="S10" s="249"/>
      <c r="T10" s="249"/>
      <c r="U10" s="249"/>
      <c r="V10" s="249"/>
      <c r="W10" s="249">
        <v>16</v>
      </c>
      <c r="X10" s="503">
        <v>3</v>
      </c>
      <c r="Y10" s="503"/>
      <c r="Z10" s="493"/>
      <c r="AA10" s="493"/>
      <c r="AB10" s="493"/>
      <c r="AC10" s="493"/>
      <c r="AD10" s="493"/>
      <c r="AE10" s="493"/>
      <c r="AF10" s="493"/>
      <c r="AG10" s="493"/>
      <c r="AH10" s="493"/>
      <c r="AI10" s="493"/>
      <c r="AJ10" s="493"/>
      <c r="AK10" s="493"/>
      <c r="AL10" s="493"/>
      <c r="AM10" s="493"/>
      <c r="AN10" s="493"/>
      <c r="AO10" s="493"/>
      <c r="AP10" s="493"/>
      <c r="AQ10" s="493"/>
      <c r="AR10" s="503" t="s">
        <v>792</v>
      </c>
      <c r="AS10" s="503"/>
      <c r="AT10" s="493"/>
      <c r="AU10" s="493"/>
      <c r="AV10" s="493"/>
      <c r="AW10" s="493"/>
      <c r="AX10" s="493"/>
      <c r="AY10" s="493"/>
      <c r="AZ10" s="493"/>
    </row>
    <row r="11" spans="1:52" s="245" customFormat="1" ht="15" customHeight="1" thickBot="1">
      <c r="A11" s="493"/>
      <c r="B11" s="493"/>
      <c r="C11" s="496"/>
      <c r="D11" s="496"/>
      <c r="E11" s="496"/>
      <c r="F11" s="496"/>
      <c r="G11" s="498"/>
      <c r="H11" s="499"/>
      <c r="I11" s="499"/>
      <c r="J11" s="498"/>
      <c r="K11" s="499"/>
      <c r="L11" s="499"/>
      <c r="M11" s="498"/>
      <c r="N11" s="499"/>
      <c r="O11" s="499"/>
      <c r="P11" s="500"/>
      <c r="Q11" s="493"/>
      <c r="R11" s="251" t="s">
        <v>277</v>
      </c>
      <c r="S11" s="249"/>
      <c r="T11" s="249">
        <f>G6/20000</f>
        <v>2.58</v>
      </c>
      <c r="U11" s="249">
        <f>G6/10000</f>
        <v>5.16</v>
      </c>
      <c r="V11" s="249"/>
      <c r="W11" s="249">
        <v>12</v>
      </c>
      <c r="X11" s="503">
        <v>4</v>
      </c>
      <c r="Y11" s="503"/>
      <c r="Z11" s="493"/>
      <c r="AA11" s="493"/>
      <c r="AB11" s="493"/>
      <c r="AC11" s="493"/>
      <c r="AD11" s="610" t="s">
        <v>801</v>
      </c>
      <c r="AE11" s="493"/>
      <c r="AF11" s="493"/>
      <c r="AG11" s="493"/>
      <c r="AH11" s="493"/>
      <c r="AI11" s="493"/>
      <c r="AJ11" s="493"/>
      <c r="AK11" s="493"/>
      <c r="AL11" s="493"/>
      <c r="AM11" s="493"/>
      <c r="AN11" s="493"/>
      <c r="AO11" s="493"/>
      <c r="AP11" s="493"/>
      <c r="AQ11" s="493"/>
      <c r="AR11" s="493"/>
      <c r="AS11" s="493"/>
      <c r="AT11" s="493"/>
      <c r="AU11" s="493"/>
      <c r="AV11" s="493"/>
      <c r="AW11" s="493"/>
      <c r="AX11" s="493"/>
      <c r="AY11" s="493"/>
      <c r="AZ11" s="493"/>
    </row>
    <row r="12" spans="1:52" s="245" customFormat="1" ht="15" customHeight="1" thickBot="1">
      <c r="A12" s="493"/>
      <c r="B12" s="493"/>
      <c r="C12" s="3010" t="s">
        <v>278</v>
      </c>
      <c r="D12" s="3011"/>
      <c r="E12" s="3011"/>
      <c r="F12" s="3012"/>
      <c r="G12" s="497"/>
      <c r="H12" s="3273">
        <v>43</v>
      </c>
      <c r="I12" s="3274"/>
      <c r="J12" s="502"/>
      <c r="K12" s="3273">
        <v>16</v>
      </c>
      <c r="L12" s="3274"/>
      <c r="M12" s="502"/>
      <c r="N12" s="3273">
        <v>3</v>
      </c>
      <c r="O12" s="3274"/>
      <c r="P12" s="493"/>
      <c r="Q12" s="493"/>
      <c r="R12" s="249"/>
      <c r="S12" s="249"/>
      <c r="T12" s="249"/>
      <c r="U12" s="249"/>
      <c r="V12" s="249"/>
      <c r="W12" s="249"/>
      <c r="X12" s="493"/>
      <c r="Y12" s="493"/>
      <c r="Z12" s="493"/>
      <c r="AA12" s="493"/>
      <c r="AB12" s="493"/>
      <c r="AC12" s="493"/>
      <c r="AD12" s="611"/>
      <c r="AE12" s="584"/>
      <c r="AF12" s="584"/>
      <c r="AG12" s="584"/>
      <c r="AH12" s="584"/>
      <c r="AI12" s="584"/>
      <c r="AJ12" s="584"/>
      <c r="AK12" s="585"/>
      <c r="AL12" s="493"/>
      <c r="AM12" s="493"/>
      <c r="AN12" s="493"/>
      <c r="AO12" s="493"/>
      <c r="AP12" s="493"/>
      <c r="AQ12" s="493"/>
      <c r="AR12" s="493"/>
      <c r="AS12" s="493"/>
      <c r="AT12" s="493"/>
      <c r="AU12" s="493"/>
      <c r="AV12" s="493"/>
      <c r="AW12" s="493"/>
      <c r="AX12" s="493"/>
      <c r="AY12" s="493"/>
      <c r="AZ12" s="493"/>
    </row>
    <row r="13" spans="1:52" s="245" customFormat="1" ht="15" customHeight="1" thickBot="1">
      <c r="A13" s="493"/>
      <c r="B13" s="493"/>
      <c r="C13" s="493"/>
      <c r="D13" s="493"/>
      <c r="E13" s="493"/>
      <c r="F13" s="493"/>
      <c r="G13" s="493"/>
      <c r="H13" s="493"/>
      <c r="I13" s="493"/>
      <c r="J13" s="493"/>
      <c r="K13" s="493"/>
      <c r="L13" s="493"/>
      <c r="M13" s="493"/>
      <c r="N13" s="493"/>
      <c r="O13" s="493"/>
      <c r="P13" s="493"/>
      <c r="Q13" s="493"/>
      <c r="R13" s="249"/>
      <c r="S13" s="249"/>
      <c r="T13" s="249"/>
      <c r="U13" s="249">
        <f>IF(G8="YERDEN ISITMA",(W8),IF(G8="PANEL RADYATÖR",(W9),IF(G8="ÇELİK RADYATÖR",(W10),(W11))))</f>
        <v>19.8</v>
      </c>
      <c r="V13" s="249"/>
      <c r="W13" s="249"/>
      <c r="X13" s="493"/>
      <c r="Y13" s="493"/>
      <c r="Z13" s="493"/>
      <c r="AA13" s="493"/>
      <c r="AB13" s="493"/>
      <c r="AC13" s="493"/>
      <c r="AD13" s="586"/>
      <c r="AE13" s="594" t="s">
        <v>797</v>
      </c>
      <c r="AF13" s="595"/>
      <c r="AG13" s="596"/>
      <c r="AH13" s="609">
        <v>3000</v>
      </c>
      <c r="AI13" s="606" t="s">
        <v>163</v>
      </c>
      <c r="AJ13" s="493"/>
      <c r="AK13" s="587"/>
      <c r="AL13" s="493"/>
      <c r="AM13" s="493"/>
      <c r="AN13" s="493"/>
      <c r="AO13" s="493"/>
      <c r="AP13" s="493"/>
      <c r="AQ13" s="493"/>
      <c r="AR13" s="493"/>
      <c r="AS13" s="493"/>
      <c r="AT13" s="493"/>
      <c r="AU13" s="493"/>
      <c r="AV13" s="493"/>
      <c r="AW13" s="493"/>
      <c r="AX13" s="493"/>
      <c r="AY13" s="493"/>
      <c r="AZ13" s="493"/>
    </row>
    <row r="14" spans="1:52" s="245" customFormat="1" ht="15" customHeight="1" thickBot="1">
      <c r="A14" s="493"/>
      <c r="B14" s="493"/>
      <c r="C14" s="493"/>
      <c r="D14" s="493"/>
      <c r="E14" s="493"/>
      <c r="F14" s="493"/>
      <c r="G14" s="493"/>
      <c r="H14" s="493"/>
      <c r="I14" s="493"/>
      <c r="J14" s="493"/>
      <c r="K14" s="493"/>
      <c r="L14" s="493"/>
      <c r="M14" s="493"/>
      <c r="N14" s="493"/>
      <c r="O14" s="493"/>
      <c r="P14" s="493"/>
      <c r="Q14" s="493"/>
      <c r="R14" s="249" t="s">
        <v>279</v>
      </c>
      <c r="S14" s="249"/>
      <c r="T14" s="249"/>
      <c r="U14" s="249">
        <f>C17*U13</f>
        <v>1188</v>
      </c>
      <c r="V14" s="249"/>
      <c r="W14" s="249"/>
      <c r="X14" s="493"/>
      <c r="Y14" s="493"/>
      <c r="Z14" s="493"/>
      <c r="AA14" s="493"/>
      <c r="AB14" s="493"/>
      <c r="AC14" s="493"/>
      <c r="AD14" s="586"/>
      <c r="AE14" s="598" t="s">
        <v>798</v>
      </c>
      <c r="AF14" s="599"/>
      <c r="AG14" s="600"/>
      <c r="AH14" s="612">
        <v>12.5</v>
      </c>
      <c r="AI14" s="613" t="s">
        <v>160</v>
      </c>
      <c r="AJ14" s="493"/>
      <c r="AK14" s="587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493"/>
      <c r="AY14" s="493"/>
      <c r="AZ14" s="493"/>
    </row>
    <row r="15" spans="1:52" s="245" customFormat="1" ht="18" customHeight="1" thickBot="1">
      <c r="A15" s="493"/>
      <c r="B15" s="493"/>
      <c r="C15" s="3022" t="s">
        <v>898</v>
      </c>
      <c r="D15" s="3023"/>
      <c r="E15" s="3023"/>
      <c r="F15" s="3023"/>
      <c r="G15" s="3023"/>
      <c r="H15" s="3023"/>
      <c r="I15" s="3023"/>
      <c r="J15" s="3023"/>
      <c r="K15" s="3023"/>
      <c r="L15" s="3023"/>
      <c r="M15" s="3023"/>
      <c r="N15" s="3023"/>
      <c r="O15" s="3024"/>
      <c r="P15" s="493"/>
      <c r="Q15" s="493"/>
      <c r="R15" s="249" t="s">
        <v>280</v>
      </c>
      <c r="S15" s="249"/>
      <c r="T15" s="249"/>
      <c r="U15" s="249">
        <f>(U14*3.55)/100</f>
        <v>42.173999999999999</v>
      </c>
      <c r="V15" s="249"/>
      <c r="W15" s="249"/>
      <c r="X15" s="493"/>
      <c r="Y15" s="493"/>
      <c r="Z15" s="493"/>
      <c r="AA15" s="493"/>
      <c r="AB15" s="493"/>
      <c r="AC15" s="493"/>
      <c r="AD15" s="586"/>
      <c r="AE15" s="601" t="s">
        <v>799</v>
      </c>
      <c r="AF15" s="602"/>
      <c r="AG15" s="603"/>
      <c r="AH15" s="604">
        <f>(AH13*AH14)/1000</f>
        <v>37.5</v>
      </c>
      <c r="AI15" s="605" t="s">
        <v>77</v>
      </c>
      <c r="AJ15" s="493"/>
      <c r="AK15" s="587"/>
      <c r="AL15" s="493"/>
      <c r="AM15" s="493"/>
      <c r="AN15" s="493"/>
      <c r="AO15" s="493"/>
      <c r="AP15" s="493"/>
      <c r="AQ15" s="493"/>
      <c r="AR15" s="493"/>
      <c r="AS15" s="493"/>
      <c r="AT15" s="493"/>
      <c r="AU15" s="493"/>
      <c r="AV15" s="493"/>
      <c r="AW15" s="493"/>
      <c r="AX15" s="493"/>
      <c r="AY15" s="493"/>
      <c r="AZ15" s="493"/>
    </row>
    <row r="16" spans="1:52" s="245" customFormat="1" ht="20.100000000000001" customHeight="1" thickBot="1">
      <c r="A16" s="493"/>
      <c r="B16" s="493"/>
      <c r="C16" s="3025" t="s">
        <v>281</v>
      </c>
      <c r="D16" s="3026"/>
      <c r="E16" s="3026"/>
      <c r="F16" s="3025" t="s">
        <v>282</v>
      </c>
      <c r="G16" s="3026"/>
      <c r="H16" s="3026"/>
      <c r="I16" s="3026"/>
      <c r="J16" s="3027"/>
      <c r="K16" s="3025" t="s">
        <v>283</v>
      </c>
      <c r="L16" s="3026"/>
      <c r="M16" s="3026"/>
      <c r="N16" s="3026"/>
      <c r="O16" s="3027"/>
      <c r="P16" s="493"/>
      <c r="Q16" s="493"/>
      <c r="R16" s="249" t="s">
        <v>284</v>
      </c>
      <c r="S16" s="249"/>
      <c r="T16" s="249"/>
      <c r="U16" s="249">
        <f>U14*0.005</f>
        <v>5.94</v>
      </c>
      <c r="V16" s="249"/>
      <c r="W16" s="249"/>
      <c r="X16" s="493"/>
      <c r="Y16" s="493"/>
      <c r="Z16" s="493"/>
      <c r="AA16" s="493"/>
      <c r="AB16" s="493"/>
      <c r="AC16" s="493"/>
      <c r="AD16" s="586"/>
      <c r="AE16" s="493"/>
      <c r="AF16" s="493"/>
      <c r="AG16" s="493"/>
      <c r="AH16" s="604">
        <f>AH15*860</f>
        <v>32250</v>
      </c>
      <c r="AI16" s="605" t="s">
        <v>42</v>
      </c>
      <c r="AJ16" s="493"/>
      <c r="AK16" s="587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493"/>
      <c r="AY16" s="493"/>
      <c r="AZ16" s="493"/>
    </row>
    <row r="17" spans="1:52" s="245" customFormat="1" ht="20.100000000000001" customHeight="1" thickBot="1">
      <c r="A17" s="493"/>
      <c r="B17" s="493"/>
      <c r="C17" s="3028">
        <f>G6/860</f>
        <v>60</v>
      </c>
      <c r="D17" s="3028"/>
      <c r="E17" s="3028"/>
      <c r="F17" s="3275">
        <f>IF(T8=1,U11,T11)</f>
        <v>5.16</v>
      </c>
      <c r="G17" s="3276"/>
      <c r="H17" s="3276"/>
      <c r="I17" s="3276"/>
      <c r="J17" s="3277"/>
      <c r="K17" s="3278">
        <f>IF(G8="YERDEN ISITMA",(H12+K12+N12)*0.09,(H12+K12+N12)*0.04)</f>
        <v>5.58</v>
      </c>
      <c r="L17" s="3278"/>
      <c r="M17" s="3278"/>
      <c r="N17" s="3278"/>
      <c r="O17" s="3278"/>
      <c r="P17" s="493"/>
      <c r="Q17" s="1417"/>
      <c r="R17" s="249" t="s">
        <v>285</v>
      </c>
      <c r="S17" s="249"/>
      <c r="T17" s="249"/>
      <c r="U17" s="249">
        <f>IF(N12&lt;15,2.5,IF(N12&lt;25,3.5,IF(N12&lt;35,4.5,IF(N12&lt;45,5.5,"KONTROL ET"))))</f>
        <v>2.5</v>
      </c>
      <c r="V17" s="249"/>
      <c r="W17" s="249"/>
      <c r="X17" s="493"/>
      <c r="Y17" s="493"/>
      <c r="Z17" s="493"/>
      <c r="AA17" s="493"/>
      <c r="AB17" s="493"/>
      <c r="AC17" s="493"/>
      <c r="AD17" s="607"/>
      <c r="AE17" s="614"/>
      <c r="AF17" s="614"/>
      <c r="AG17" s="614"/>
      <c r="AH17" s="614"/>
      <c r="AI17" s="614"/>
      <c r="AJ17" s="614"/>
      <c r="AK17" s="615"/>
      <c r="AL17" s="493"/>
      <c r="AM17" s="493"/>
      <c r="AN17" s="493"/>
      <c r="AO17" s="493"/>
      <c r="AP17" s="493"/>
      <c r="AQ17" s="493"/>
      <c r="AR17" s="493"/>
      <c r="AS17" s="493"/>
      <c r="AT17" s="493"/>
      <c r="AU17" s="493"/>
      <c r="AV17" s="493"/>
      <c r="AW17" s="493"/>
      <c r="AX17" s="493"/>
      <c r="AY17" s="493"/>
      <c r="AZ17" s="493"/>
    </row>
    <row r="18" spans="1:52" s="245" customFormat="1" ht="15" customHeight="1">
      <c r="A18" s="493"/>
      <c r="B18" s="493"/>
      <c r="P18" s="493"/>
      <c r="Q18" s="493"/>
      <c r="R18" s="249" t="s">
        <v>288</v>
      </c>
      <c r="S18" s="249"/>
      <c r="T18" s="249"/>
      <c r="U18" s="249">
        <f>U17-0.5</f>
        <v>2</v>
      </c>
      <c r="V18" s="249"/>
      <c r="W18" s="249"/>
      <c r="X18" s="493"/>
      <c r="Y18" s="493"/>
      <c r="Z18" s="493"/>
      <c r="AA18" s="493"/>
      <c r="AB18" s="493"/>
      <c r="AC18" s="493"/>
      <c r="AD18" s="493"/>
      <c r="AE18" s="494"/>
      <c r="AF18" s="494"/>
      <c r="AG18" s="494"/>
      <c r="AH18" s="494"/>
      <c r="AI18" s="494"/>
      <c r="AJ18" s="494"/>
      <c r="AK18" s="494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</row>
    <row r="19" spans="1:52" s="245" customFormat="1" ht="18" customHeight="1">
      <c r="A19" s="493"/>
      <c r="B19" s="493"/>
      <c r="C19" s="3022" t="s">
        <v>290</v>
      </c>
      <c r="D19" s="3023"/>
      <c r="E19" s="3023"/>
      <c r="F19" s="3023"/>
      <c r="G19" s="3023"/>
      <c r="H19" s="3023"/>
      <c r="I19" s="3023"/>
      <c r="J19" s="3023"/>
      <c r="K19" s="3023"/>
      <c r="L19" s="3023"/>
      <c r="M19" s="3023"/>
      <c r="N19" s="3023"/>
      <c r="O19" s="3024"/>
      <c r="P19" s="493"/>
      <c r="Q19" s="493"/>
      <c r="R19" s="249" t="s">
        <v>291</v>
      </c>
      <c r="S19" s="249"/>
      <c r="T19" s="249"/>
      <c r="U19" s="249">
        <f>N12/10</f>
        <v>0.3</v>
      </c>
      <c r="V19" s="249"/>
      <c r="W19" s="249"/>
      <c r="X19" s="493"/>
      <c r="Y19" s="493"/>
      <c r="Z19" s="493"/>
      <c r="AA19" s="493"/>
      <c r="AB19" s="493"/>
      <c r="AC19" s="493"/>
      <c r="AD19" s="493"/>
      <c r="AE19" s="494"/>
      <c r="AF19" s="494"/>
      <c r="AG19" s="494"/>
      <c r="AH19" s="494"/>
      <c r="AI19" s="494"/>
      <c r="AJ19" s="494"/>
      <c r="AK19" s="494"/>
      <c r="AL19" s="493"/>
      <c r="AM19" s="493"/>
      <c r="AN19" s="493"/>
      <c r="AO19" s="493"/>
      <c r="AP19" s="493"/>
      <c r="AQ19" s="493"/>
      <c r="AR19" s="493"/>
      <c r="AS19" s="493"/>
      <c r="AT19" s="493"/>
      <c r="AU19" s="493"/>
      <c r="AV19" s="493"/>
      <c r="AW19" s="493"/>
      <c r="AX19" s="493"/>
      <c r="AY19" s="493"/>
      <c r="AZ19" s="493"/>
    </row>
    <row r="20" spans="1:52" s="245" customFormat="1" ht="18" customHeight="1">
      <c r="A20" s="493"/>
      <c r="B20" s="493"/>
      <c r="C20" s="3039" t="s">
        <v>293</v>
      </c>
      <c r="D20" s="3039"/>
      <c r="E20" s="3039"/>
      <c r="F20" s="3040" t="s">
        <v>294</v>
      </c>
      <c r="G20" s="3040"/>
      <c r="H20" s="3040"/>
      <c r="I20" s="3040"/>
      <c r="J20" s="3040"/>
      <c r="K20" s="3040" t="s">
        <v>295</v>
      </c>
      <c r="L20" s="3040"/>
      <c r="M20" s="3040"/>
      <c r="N20" s="3040"/>
      <c r="O20" s="3040"/>
      <c r="P20" s="493"/>
      <c r="Q20" s="493"/>
      <c r="R20" s="249" t="s">
        <v>296</v>
      </c>
      <c r="S20" s="249"/>
      <c r="T20" s="249"/>
      <c r="U20" s="249">
        <f>(U15+U16)*(U18+1)/(U18-U19)</f>
        <v>84.907058823529411</v>
      </c>
      <c r="V20" s="249"/>
      <c r="W20" s="249"/>
      <c r="X20" s="493"/>
      <c r="Y20" s="493"/>
      <c r="Z20" s="493"/>
      <c r="AA20" s="493"/>
      <c r="AB20" s="493"/>
      <c r="AC20" s="493"/>
      <c r="AD20" s="493"/>
      <c r="AE20" s="493"/>
      <c r="AF20" s="493"/>
      <c r="AG20" s="493"/>
      <c r="AH20" s="493"/>
      <c r="AI20" s="493"/>
      <c r="AJ20" s="493"/>
      <c r="AK20" s="493"/>
      <c r="AL20" s="493"/>
      <c r="AM20" s="493"/>
      <c r="AN20" s="493"/>
      <c r="AO20" s="493"/>
      <c r="AP20" s="493"/>
      <c r="AQ20" s="493"/>
      <c r="AR20" s="493"/>
      <c r="AS20" s="493"/>
      <c r="AT20" s="493"/>
      <c r="AU20" s="493"/>
      <c r="AV20" s="493"/>
      <c r="AW20" s="493"/>
      <c r="AX20" s="493"/>
      <c r="AY20" s="493"/>
      <c r="AZ20" s="493"/>
    </row>
    <row r="21" spans="1:52" s="245" customFormat="1" ht="18" customHeight="1">
      <c r="A21" s="493"/>
      <c r="B21" s="493"/>
      <c r="C21" s="3028">
        <f>U20</f>
        <v>84.907058823529411</v>
      </c>
      <c r="D21" s="3028"/>
      <c r="E21" s="3028"/>
      <c r="F21" s="3029">
        <f>U18</f>
        <v>2</v>
      </c>
      <c r="G21" s="3029"/>
      <c r="H21" s="3029"/>
      <c r="I21" s="3029"/>
      <c r="J21" s="3029"/>
      <c r="K21" s="3029">
        <f>U17</f>
        <v>2.5</v>
      </c>
      <c r="L21" s="3029"/>
      <c r="M21" s="3029"/>
      <c r="N21" s="3029"/>
      <c r="O21" s="3029"/>
      <c r="P21" s="493"/>
      <c r="Q21" s="493"/>
      <c r="R21" s="249"/>
      <c r="S21" s="249"/>
      <c r="T21" s="249"/>
      <c r="U21" s="249"/>
      <c r="V21" s="249"/>
      <c r="W21" s="249"/>
      <c r="X21" s="493"/>
      <c r="Y21" s="493"/>
      <c r="Z21" s="493"/>
      <c r="AA21" s="493"/>
      <c r="AB21" s="493"/>
      <c r="AC21" s="493"/>
      <c r="AD21" s="493"/>
      <c r="AE21" s="493"/>
      <c r="AF21" s="493"/>
      <c r="AG21" s="493"/>
      <c r="AH21" s="493"/>
      <c r="AI21" s="493"/>
      <c r="AJ21" s="493"/>
      <c r="AK21" s="493"/>
      <c r="AL21" s="493"/>
      <c r="AM21" s="493"/>
      <c r="AN21" s="493"/>
      <c r="AO21" s="493"/>
      <c r="AP21" s="493"/>
      <c r="AQ21" s="493"/>
      <c r="AR21" s="493"/>
      <c r="AS21" s="493"/>
      <c r="AT21" s="493"/>
      <c r="AU21" s="493"/>
      <c r="AV21" s="493"/>
      <c r="AW21" s="493"/>
      <c r="AX21" s="493"/>
      <c r="AY21" s="493"/>
      <c r="AZ21" s="493"/>
    </row>
    <row r="22" spans="1:52" s="245" customFormat="1" ht="15" customHeight="1">
      <c r="A22" s="493"/>
      <c r="B22" s="493"/>
      <c r="C22" s="493"/>
      <c r="D22" s="493"/>
      <c r="E22" s="493"/>
      <c r="F22" s="493"/>
      <c r="G22" s="493"/>
      <c r="H22" s="493"/>
      <c r="I22" s="493"/>
      <c r="J22" s="493"/>
      <c r="K22" s="493"/>
      <c r="L22" s="493"/>
      <c r="M22" s="493"/>
      <c r="N22" s="493"/>
      <c r="O22" s="493"/>
      <c r="P22" s="493"/>
      <c r="Q22" s="493"/>
      <c r="R22" s="493"/>
      <c r="S22" s="493"/>
      <c r="T22" s="493"/>
      <c r="U22" s="493"/>
      <c r="V22" s="493"/>
      <c r="W22" s="493"/>
      <c r="X22" s="493"/>
      <c r="Y22" s="493"/>
      <c r="Z22" s="493"/>
      <c r="AA22" s="493"/>
      <c r="AB22" s="493"/>
      <c r="AC22" s="493"/>
      <c r="AD22" s="493"/>
      <c r="AE22" s="493"/>
      <c r="AF22" s="493"/>
      <c r="AG22" s="493"/>
      <c r="AH22" s="493"/>
      <c r="AI22" s="493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493"/>
      <c r="AX22" s="493"/>
      <c r="AY22" s="493"/>
      <c r="AZ22" s="493"/>
    </row>
    <row r="23" spans="1:52" s="245" customFormat="1">
      <c r="A23" s="493"/>
      <c r="B23" s="493"/>
      <c r="C23" s="493"/>
      <c r="D23" s="493"/>
      <c r="E23" s="493"/>
      <c r="F23" s="493"/>
      <c r="G23" s="616" t="s">
        <v>286</v>
      </c>
      <c r="H23" s="617" t="s">
        <v>287</v>
      </c>
      <c r="I23" s="617"/>
      <c r="J23" s="617"/>
      <c r="K23" s="617"/>
      <c r="L23" s="617"/>
      <c r="M23" s="597"/>
      <c r="N23" s="597"/>
      <c r="O23" s="597"/>
      <c r="P23" s="493"/>
      <c r="Q23" s="493"/>
      <c r="R23" s="493"/>
      <c r="S23" s="493"/>
      <c r="T23" s="493"/>
      <c r="U23" s="493"/>
      <c r="V23" s="493"/>
      <c r="W23" s="493"/>
      <c r="X23" s="493"/>
      <c r="Y23" s="493"/>
      <c r="Z23" s="493"/>
      <c r="AA23" s="493"/>
      <c r="AB23" s="493"/>
      <c r="AC23" s="493"/>
      <c r="AD23" s="493"/>
      <c r="AE23" s="493"/>
      <c r="AF23" s="493"/>
      <c r="AG23" s="493"/>
      <c r="AH23" s="493"/>
      <c r="AI23" s="493"/>
      <c r="AJ23" s="493"/>
      <c r="AK23" s="493"/>
      <c r="AL23" s="493"/>
      <c r="AM23" s="493"/>
      <c r="AN23" s="493"/>
      <c r="AO23" s="493"/>
      <c r="AP23" s="493"/>
      <c r="AQ23" s="493"/>
      <c r="AR23" s="493"/>
      <c r="AS23" s="493"/>
      <c r="AT23" s="493"/>
      <c r="AU23" s="493"/>
      <c r="AV23" s="493"/>
      <c r="AW23" s="493"/>
      <c r="AX23" s="493"/>
      <c r="AY23" s="493"/>
      <c r="AZ23" s="493"/>
    </row>
    <row r="24" spans="1:52" s="245" customFormat="1">
      <c r="A24" s="493"/>
      <c r="B24" s="493"/>
      <c r="C24" s="493"/>
      <c r="D24" s="493"/>
      <c r="E24" s="493"/>
      <c r="F24" s="493"/>
      <c r="G24" s="618"/>
      <c r="H24" s="617" t="s">
        <v>289</v>
      </c>
      <c r="I24" s="617"/>
      <c r="J24" s="617"/>
      <c r="K24" s="617"/>
      <c r="L24" s="617"/>
      <c r="M24" s="597"/>
      <c r="N24" s="597"/>
      <c r="O24" s="597"/>
      <c r="P24" s="493"/>
      <c r="Q24" s="493"/>
      <c r="R24" s="493"/>
      <c r="S24" s="493"/>
      <c r="T24" s="493"/>
      <c r="U24" s="493"/>
      <c r="V24" s="493"/>
      <c r="W24" s="493"/>
      <c r="X24" s="493"/>
      <c r="Y24" s="493"/>
      <c r="Z24" s="493"/>
      <c r="AA24" s="493"/>
      <c r="AB24" s="493"/>
      <c r="AC24" s="493"/>
      <c r="AD24" s="493"/>
      <c r="AE24" s="493"/>
      <c r="AF24" s="493"/>
      <c r="AG24" s="493"/>
      <c r="AH24" s="493"/>
      <c r="AI24" s="493"/>
      <c r="AJ24" s="493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</row>
    <row r="25" spans="1:52" s="245" customFormat="1">
      <c r="A25" s="493"/>
      <c r="B25" s="493"/>
      <c r="C25" s="493"/>
      <c r="D25" s="493"/>
      <c r="E25" s="493"/>
      <c r="F25" s="493"/>
      <c r="G25" s="618"/>
      <c r="H25" s="617" t="s">
        <v>292</v>
      </c>
      <c r="I25" s="617"/>
      <c r="J25" s="617"/>
      <c r="K25" s="617"/>
      <c r="L25" s="617"/>
      <c r="M25" s="597"/>
      <c r="N25" s="597"/>
      <c r="O25" s="597"/>
      <c r="P25" s="493"/>
      <c r="Q25" s="493"/>
      <c r="R25" s="493"/>
      <c r="S25" s="493"/>
      <c r="T25" s="493"/>
      <c r="U25" s="493"/>
      <c r="V25" s="493"/>
      <c r="W25" s="493"/>
      <c r="X25" s="493"/>
      <c r="Y25" s="493"/>
      <c r="Z25" s="493"/>
      <c r="AA25" s="493"/>
      <c r="AB25" s="493"/>
      <c r="AC25" s="493"/>
      <c r="AD25" s="493"/>
      <c r="AE25" s="493"/>
      <c r="AF25" s="493"/>
      <c r="AG25" s="493"/>
      <c r="AH25" s="493"/>
      <c r="AI25" s="493"/>
      <c r="AJ25" s="493"/>
      <c r="AK25" s="493"/>
      <c r="AL25" s="493"/>
      <c r="AM25" s="493"/>
      <c r="AN25" s="493"/>
      <c r="AO25" s="493"/>
      <c r="AP25" s="493"/>
      <c r="AQ25" s="493"/>
      <c r="AR25" s="493"/>
      <c r="AS25" s="493"/>
      <c r="AT25" s="493"/>
      <c r="AU25" s="493"/>
      <c r="AV25" s="493"/>
      <c r="AW25" s="493"/>
      <c r="AX25" s="493"/>
      <c r="AY25" s="493"/>
      <c r="AZ25" s="493"/>
    </row>
    <row r="26" spans="1:52" s="245" customFormat="1">
      <c r="A26" s="493"/>
      <c r="B26" s="493"/>
      <c r="C26" s="493"/>
      <c r="D26" s="493"/>
      <c r="E26" s="493"/>
      <c r="F26" s="493"/>
      <c r="G26" s="493"/>
      <c r="H26" s="493"/>
      <c r="I26" s="493"/>
      <c r="J26" s="493"/>
      <c r="K26" s="493"/>
      <c r="L26" s="493"/>
      <c r="M26" s="493"/>
      <c r="N26" s="493"/>
      <c r="O26" s="493"/>
      <c r="P26" s="493"/>
      <c r="Q26" s="493"/>
      <c r="R26" s="493"/>
      <c r="S26" s="493"/>
      <c r="T26" s="493"/>
      <c r="U26" s="493"/>
      <c r="V26" s="493"/>
      <c r="W26" s="493"/>
      <c r="X26" s="493"/>
      <c r="Y26" s="493"/>
      <c r="Z26" s="493"/>
      <c r="AA26" s="493"/>
      <c r="AB26" s="493"/>
      <c r="AC26" s="493"/>
      <c r="AD26" s="493"/>
      <c r="AE26" s="493"/>
      <c r="AF26" s="493"/>
      <c r="AG26" s="493"/>
      <c r="AH26" s="493"/>
      <c r="AI26" s="493"/>
      <c r="AJ26" s="493"/>
      <c r="AK26" s="493"/>
      <c r="AL26" s="493"/>
      <c r="AM26" s="493"/>
      <c r="AN26" s="493"/>
      <c r="AO26" s="493"/>
      <c r="AP26" s="493"/>
      <c r="AQ26" s="493"/>
      <c r="AR26" s="493"/>
      <c r="AS26" s="493"/>
      <c r="AT26" s="493"/>
      <c r="AU26" s="493"/>
      <c r="AV26" s="493"/>
      <c r="AW26" s="493"/>
      <c r="AX26" s="493"/>
      <c r="AY26" s="493"/>
      <c r="AZ26" s="493"/>
    </row>
    <row r="27" spans="1:52" s="245" customFormat="1">
      <c r="A27" s="493"/>
      <c r="B27" s="493"/>
      <c r="C27" s="493"/>
      <c r="D27" s="493"/>
      <c r="E27" s="493"/>
      <c r="F27" s="493"/>
      <c r="G27" s="493"/>
      <c r="H27" s="3280" t="s">
        <v>158</v>
      </c>
      <c r="I27" s="3280"/>
      <c r="J27" s="3280"/>
      <c r="K27" s="3280"/>
      <c r="L27" s="3280"/>
      <c r="M27" s="3280"/>
      <c r="N27" s="3280"/>
      <c r="O27" s="3280"/>
      <c r="P27" s="493"/>
      <c r="Q27" s="493"/>
      <c r="R27" s="493"/>
      <c r="S27" s="493"/>
      <c r="T27" s="493"/>
      <c r="U27" s="493"/>
      <c r="V27" s="493"/>
      <c r="W27" s="493"/>
      <c r="X27" s="493"/>
      <c r="Y27" s="493"/>
      <c r="Z27" s="493"/>
      <c r="AA27" s="493"/>
      <c r="AB27" s="493"/>
      <c r="AC27" s="493"/>
      <c r="AD27" s="493"/>
      <c r="AE27" s="493"/>
      <c r="AF27" s="493"/>
      <c r="AG27" s="493"/>
      <c r="AH27" s="493"/>
      <c r="AI27" s="493"/>
      <c r="AJ27" s="493"/>
      <c r="AK27" s="493"/>
      <c r="AL27" s="493"/>
      <c r="AM27" s="493"/>
      <c r="AN27" s="493"/>
      <c r="AO27" s="493"/>
      <c r="AP27" s="493"/>
      <c r="AQ27" s="493"/>
      <c r="AR27" s="493"/>
      <c r="AS27" s="493"/>
      <c r="AT27" s="493"/>
      <c r="AU27" s="493"/>
      <c r="AV27" s="493"/>
      <c r="AW27" s="493"/>
      <c r="AX27" s="493"/>
      <c r="AY27" s="493"/>
      <c r="AZ27" s="493"/>
    </row>
    <row r="28" spans="1:52" s="245" customFormat="1" ht="15.75">
      <c r="A28" s="493"/>
      <c r="B28" s="493"/>
      <c r="C28" s="493"/>
      <c r="D28" s="493"/>
      <c r="E28" s="493"/>
      <c r="F28" s="493"/>
      <c r="G28" s="493"/>
      <c r="H28" s="3279" t="s">
        <v>17</v>
      </c>
      <c r="I28" s="3279"/>
      <c r="J28" s="3279"/>
      <c r="K28" s="3279"/>
      <c r="L28" s="3279"/>
      <c r="M28" s="3279"/>
      <c r="N28" s="3279"/>
      <c r="O28" s="3279"/>
      <c r="P28" s="493"/>
      <c r="Q28" s="493"/>
      <c r="R28" s="493"/>
      <c r="S28" s="493"/>
      <c r="T28" s="493"/>
      <c r="U28" s="493"/>
      <c r="V28" s="493"/>
      <c r="W28" s="493"/>
      <c r="X28" s="493"/>
      <c r="Y28" s="493"/>
      <c r="Z28" s="493"/>
      <c r="AA28" s="493"/>
      <c r="AB28" s="493"/>
      <c r="AC28" s="493"/>
      <c r="AD28" s="493"/>
      <c r="AE28" s="493"/>
      <c r="AF28" s="493"/>
      <c r="AG28" s="493"/>
      <c r="AH28" s="493"/>
      <c r="AI28" s="493"/>
      <c r="AJ28" s="493"/>
      <c r="AK28" s="493"/>
      <c r="AL28" s="493"/>
      <c r="AM28" s="493"/>
      <c r="AN28" s="493"/>
      <c r="AO28" s="493"/>
      <c r="AP28" s="493"/>
      <c r="AQ28" s="493"/>
      <c r="AR28" s="493"/>
      <c r="AS28" s="493"/>
      <c r="AT28" s="493"/>
      <c r="AU28" s="493"/>
      <c r="AV28" s="493"/>
      <c r="AW28" s="493"/>
      <c r="AX28" s="493"/>
      <c r="AY28" s="493"/>
      <c r="AZ28" s="493"/>
    </row>
    <row r="29" spans="1:52" s="245" customFormat="1" ht="14.45" customHeight="1">
      <c r="A29" s="493"/>
      <c r="B29" s="493"/>
      <c r="C29" s="493"/>
      <c r="D29" s="493"/>
      <c r="E29" s="493"/>
      <c r="F29" s="493"/>
      <c r="G29" s="493"/>
      <c r="H29" s="3279">
        <v>2026</v>
      </c>
      <c r="I29" s="3279"/>
      <c r="J29" s="3279"/>
      <c r="K29" s="3279"/>
      <c r="L29" s="3279"/>
      <c r="M29" s="3279"/>
      <c r="N29" s="3279"/>
      <c r="O29" s="3279"/>
      <c r="P29" s="493"/>
      <c r="Q29" s="493"/>
      <c r="R29" s="493"/>
      <c r="S29" s="493"/>
      <c r="T29" s="493"/>
      <c r="U29" s="493"/>
      <c r="V29" s="493"/>
      <c r="W29" s="493"/>
      <c r="X29" s="493"/>
      <c r="Y29" s="493"/>
      <c r="Z29" s="493"/>
      <c r="AA29" s="493"/>
      <c r="AB29" s="493"/>
      <c r="AC29" s="493"/>
      <c r="AD29" s="493"/>
      <c r="AE29" s="493"/>
      <c r="AF29" s="493"/>
      <c r="AG29" s="493"/>
      <c r="AH29" s="493"/>
      <c r="AI29" s="493"/>
      <c r="AJ29" s="493"/>
      <c r="AK29" s="493"/>
      <c r="AL29" s="493"/>
      <c r="AM29" s="493"/>
      <c r="AN29" s="493"/>
      <c r="AO29" s="493"/>
      <c r="AP29" s="493"/>
      <c r="AQ29" s="493"/>
      <c r="AR29" s="493"/>
      <c r="AS29" s="493"/>
      <c r="AT29" s="493"/>
      <c r="AU29" s="493"/>
      <c r="AV29" s="493"/>
      <c r="AW29" s="493"/>
      <c r="AX29" s="493"/>
      <c r="AY29" s="493"/>
      <c r="AZ29" s="493"/>
    </row>
    <row r="30" spans="1:52" s="245" customFormat="1">
      <c r="A30" s="493"/>
      <c r="B30" s="493"/>
      <c r="C30" s="493"/>
      <c r="D30" s="493"/>
      <c r="E30" s="493"/>
      <c r="F30" s="493"/>
      <c r="G30" s="493"/>
      <c r="H30" s="493"/>
      <c r="I30" s="493"/>
      <c r="J30" s="493"/>
      <c r="K30" s="493"/>
      <c r="L30" s="493"/>
      <c r="M30" s="493"/>
      <c r="N30" s="493"/>
      <c r="O30" s="493"/>
      <c r="P30" s="493"/>
      <c r="Q30" s="493"/>
      <c r="R30" s="493"/>
      <c r="S30" s="493"/>
      <c r="T30" s="493"/>
      <c r="U30" s="493"/>
      <c r="V30" s="493"/>
      <c r="W30" s="493"/>
      <c r="X30" s="493"/>
      <c r="Y30" s="493"/>
      <c r="Z30" s="493"/>
      <c r="AA30" s="493"/>
      <c r="AB30" s="493"/>
      <c r="AC30" s="493"/>
      <c r="AD30" s="493"/>
      <c r="AE30" s="493"/>
      <c r="AF30" s="493"/>
      <c r="AG30" s="493"/>
      <c r="AH30" s="493"/>
      <c r="AI30" s="493"/>
      <c r="AJ30" s="493"/>
      <c r="AK30" s="493"/>
      <c r="AL30" s="493"/>
      <c r="AM30" s="493"/>
      <c r="AN30" s="493"/>
      <c r="AO30" s="493"/>
      <c r="AP30" s="493"/>
      <c r="AQ30" s="493"/>
      <c r="AR30" s="493"/>
      <c r="AS30" s="493"/>
      <c r="AT30" s="493"/>
      <c r="AU30" s="493"/>
      <c r="AV30" s="493"/>
      <c r="AW30" s="493"/>
      <c r="AX30" s="493"/>
      <c r="AY30" s="493"/>
      <c r="AZ30" s="493"/>
    </row>
    <row r="31" spans="1:52" s="245" customFormat="1">
      <c r="A31" s="493"/>
      <c r="B31" s="493"/>
      <c r="C31" s="493"/>
      <c r="D31" s="493"/>
      <c r="E31" s="493"/>
      <c r="F31" s="493"/>
      <c r="G31" s="493"/>
      <c r="H31" s="493"/>
      <c r="I31" s="493"/>
      <c r="J31" s="493"/>
      <c r="K31" s="493"/>
      <c r="L31" s="493"/>
      <c r="M31" s="493"/>
      <c r="N31" s="493"/>
      <c r="O31" s="493"/>
      <c r="P31" s="493"/>
      <c r="Q31" s="493"/>
      <c r="R31" s="493"/>
      <c r="S31" s="493"/>
      <c r="T31" s="493"/>
      <c r="U31" s="493"/>
      <c r="V31" s="493"/>
      <c r="W31" s="493"/>
      <c r="X31" s="493"/>
      <c r="Y31" s="493"/>
      <c r="Z31" s="493"/>
      <c r="AA31" s="493"/>
      <c r="AB31" s="493"/>
      <c r="AC31" s="493"/>
      <c r="AD31" s="493"/>
      <c r="AE31" s="493"/>
      <c r="AF31" s="493"/>
      <c r="AG31" s="493"/>
      <c r="AH31" s="493"/>
      <c r="AI31" s="493"/>
      <c r="AJ31" s="493"/>
      <c r="AK31" s="493"/>
      <c r="AL31" s="493"/>
      <c r="AM31" s="493"/>
      <c r="AN31" s="493"/>
      <c r="AO31" s="493"/>
      <c r="AP31" s="493"/>
      <c r="AQ31" s="493"/>
      <c r="AR31" s="493"/>
      <c r="AS31" s="493"/>
      <c r="AT31" s="493"/>
      <c r="AU31" s="493"/>
      <c r="AV31" s="493"/>
      <c r="AW31" s="493"/>
      <c r="AX31" s="493"/>
      <c r="AY31" s="493"/>
      <c r="AZ31" s="493"/>
    </row>
    <row r="32" spans="1:52" s="245" customFormat="1">
      <c r="A32" s="493"/>
      <c r="B32" s="493"/>
      <c r="C32" s="493"/>
      <c r="D32" s="493"/>
      <c r="E32" s="493"/>
      <c r="F32" s="493"/>
      <c r="G32" s="493"/>
      <c r="H32" s="493"/>
      <c r="I32" s="493"/>
      <c r="J32" s="493"/>
      <c r="K32" s="493"/>
      <c r="L32" s="493"/>
      <c r="M32" s="493"/>
      <c r="N32" s="493"/>
      <c r="O32" s="493"/>
      <c r="P32" s="493"/>
      <c r="Q32" s="493"/>
      <c r="R32" s="493"/>
      <c r="S32" s="493"/>
      <c r="T32" s="493"/>
      <c r="U32" s="493"/>
      <c r="V32" s="493"/>
      <c r="W32" s="493"/>
      <c r="X32" s="493"/>
      <c r="Y32" s="493"/>
      <c r="Z32" s="493"/>
      <c r="AA32" s="493"/>
      <c r="AB32" s="493"/>
      <c r="AC32" s="493"/>
      <c r="AD32" s="493"/>
      <c r="AE32" s="493"/>
      <c r="AF32" s="493"/>
      <c r="AG32" s="493"/>
      <c r="AH32" s="493"/>
      <c r="AI32" s="493"/>
      <c r="AJ32" s="493"/>
      <c r="AK32" s="493"/>
      <c r="AL32" s="493"/>
      <c r="AM32" s="493"/>
      <c r="AN32" s="493"/>
      <c r="AO32" s="493"/>
      <c r="AP32" s="493"/>
      <c r="AQ32" s="493"/>
      <c r="AR32" s="493"/>
      <c r="AS32" s="493"/>
      <c r="AT32" s="493"/>
      <c r="AU32" s="493"/>
      <c r="AV32" s="493"/>
      <c r="AW32" s="493"/>
      <c r="AX32" s="493"/>
      <c r="AY32" s="493"/>
      <c r="AZ32" s="493"/>
    </row>
    <row r="33" spans="1:52" s="245" customFormat="1">
      <c r="A33" s="493"/>
      <c r="B33" s="493"/>
      <c r="C33" s="493"/>
      <c r="D33" s="493"/>
      <c r="E33" s="493"/>
      <c r="F33" s="493"/>
      <c r="G33" s="493"/>
      <c r="H33" s="493"/>
      <c r="I33" s="493"/>
      <c r="J33" s="493"/>
      <c r="K33" s="493"/>
      <c r="L33" s="493"/>
      <c r="M33" s="493"/>
      <c r="N33" s="493"/>
      <c r="O33" s="493"/>
      <c r="P33" s="493"/>
      <c r="Q33" s="493"/>
      <c r="R33" s="493"/>
      <c r="S33" s="493"/>
      <c r="T33" s="493"/>
      <c r="U33" s="493"/>
      <c r="V33" s="493"/>
      <c r="W33" s="493"/>
      <c r="X33" s="493"/>
      <c r="Y33" s="493"/>
      <c r="Z33" s="493"/>
      <c r="AA33" s="493"/>
      <c r="AB33" s="493"/>
      <c r="AC33" s="493"/>
      <c r="AD33" s="493"/>
      <c r="AE33" s="493"/>
      <c r="AF33" s="493"/>
      <c r="AG33" s="493"/>
      <c r="AH33" s="493"/>
      <c r="AI33" s="493"/>
      <c r="AJ33" s="493"/>
      <c r="AK33" s="493"/>
      <c r="AL33" s="493"/>
      <c r="AM33" s="493"/>
      <c r="AN33" s="493"/>
      <c r="AO33" s="493"/>
      <c r="AP33" s="493"/>
      <c r="AQ33" s="493"/>
      <c r="AR33" s="493"/>
      <c r="AS33" s="493"/>
      <c r="AT33" s="493"/>
      <c r="AU33" s="493"/>
      <c r="AV33" s="493"/>
      <c r="AW33" s="493"/>
      <c r="AX33" s="493"/>
      <c r="AY33" s="493"/>
      <c r="AZ33" s="493"/>
    </row>
    <row r="34" spans="1:52" s="245" customFormat="1">
      <c r="A34" s="493"/>
      <c r="B34" s="493"/>
      <c r="C34" s="493"/>
      <c r="D34" s="493"/>
      <c r="E34" s="493"/>
      <c r="F34" s="493"/>
      <c r="G34" s="493"/>
      <c r="H34" s="493"/>
      <c r="I34" s="493"/>
      <c r="J34" s="493"/>
      <c r="K34" s="493"/>
      <c r="L34" s="493"/>
      <c r="M34" s="493"/>
      <c r="N34" s="493"/>
      <c r="O34" s="493"/>
      <c r="P34" s="493"/>
      <c r="Q34" s="493"/>
      <c r="R34" s="493"/>
      <c r="S34" s="493"/>
      <c r="T34" s="493"/>
      <c r="U34" s="493"/>
      <c r="V34" s="493"/>
      <c r="W34" s="493"/>
      <c r="X34" s="493"/>
      <c r="Y34" s="493"/>
      <c r="Z34" s="493"/>
      <c r="AA34" s="493"/>
      <c r="AB34" s="493"/>
      <c r="AC34" s="493"/>
      <c r="AD34" s="493"/>
      <c r="AE34" s="493"/>
      <c r="AF34" s="493"/>
      <c r="AG34" s="493"/>
      <c r="AH34" s="493"/>
      <c r="AI34" s="493"/>
      <c r="AJ34" s="493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</row>
    <row r="35" spans="1:52" s="245" customFormat="1">
      <c r="A35" s="493"/>
      <c r="B35" s="493"/>
      <c r="C35" s="493"/>
      <c r="D35" s="493"/>
      <c r="E35" s="493"/>
      <c r="F35" s="493"/>
      <c r="G35" s="493"/>
      <c r="H35" s="493"/>
      <c r="I35" s="493"/>
      <c r="J35" s="493"/>
      <c r="K35" s="493"/>
      <c r="L35" s="493"/>
      <c r="M35" s="493"/>
      <c r="N35" s="493"/>
      <c r="O35" s="493"/>
      <c r="P35" s="493"/>
      <c r="Q35" s="493"/>
      <c r="R35" s="493"/>
      <c r="S35" s="493"/>
      <c r="T35" s="493"/>
      <c r="U35" s="493"/>
      <c r="V35" s="493"/>
      <c r="W35" s="493"/>
      <c r="X35" s="493"/>
      <c r="Y35" s="493"/>
      <c r="Z35" s="493"/>
      <c r="AA35" s="493"/>
      <c r="AB35" s="493"/>
      <c r="AC35" s="493"/>
      <c r="AD35" s="493"/>
      <c r="AE35" s="493"/>
      <c r="AF35" s="493"/>
      <c r="AG35" s="493"/>
      <c r="AH35" s="493"/>
      <c r="AI35" s="493"/>
      <c r="AJ35" s="493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</row>
    <row r="36" spans="1:52" s="245" customFormat="1">
      <c r="A36" s="493"/>
      <c r="B36" s="493"/>
      <c r="C36" s="493"/>
      <c r="D36" s="493"/>
      <c r="E36" s="493"/>
      <c r="F36" s="493"/>
      <c r="G36" s="493"/>
      <c r="H36" s="493"/>
      <c r="I36" s="493"/>
      <c r="J36" s="493"/>
      <c r="K36" s="493"/>
      <c r="L36" s="493"/>
      <c r="M36" s="493"/>
      <c r="N36" s="493"/>
      <c r="O36" s="493"/>
      <c r="P36" s="493"/>
      <c r="Q36" s="493"/>
      <c r="R36" s="493"/>
      <c r="S36" s="493"/>
      <c r="T36" s="493"/>
      <c r="U36" s="493"/>
      <c r="V36" s="493"/>
      <c r="W36" s="493"/>
      <c r="X36" s="493"/>
      <c r="Y36" s="493"/>
      <c r="Z36" s="493"/>
      <c r="AA36" s="493"/>
      <c r="AB36" s="493"/>
      <c r="AC36" s="493"/>
      <c r="AD36" s="493"/>
      <c r="AE36" s="493"/>
      <c r="AF36" s="493"/>
      <c r="AG36" s="493"/>
      <c r="AH36" s="493"/>
      <c r="AI36" s="493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493"/>
      <c r="AV36" s="493"/>
      <c r="AW36" s="493"/>
      <c r="AX36" s="493"/>
      <c r="AY36" s="493"/>
      <c r="AZ36" s="493"/>
    </row>
    <row r="37" spans="1:52" s="245" customFormat="1">
      <c r="A37" s="493"/>
      <c r="B37" s="493"/>
      <c r="C37" s="493"/>
      <c r="D37" s="493"/>
      <c r="E37" s="493"/>
      <c r="F37" s="493"/>
      <c r="G37" s="493"/>
      <c r="H37" s="493"/>
      <c r="I37" s="493"/>
      <c r="J37" s="493"/>
      <c r="K37" s="493"/>
      <c r="L37" s="493"/>
      <c r="M37" s="493"/>
      <c r="N37" s="493"/>
      <c r="O37" s="493"/>
      <c r="P37" s="493"/>
      <c r="Q37" s="493"/>
      <c r="R37" s="493"/>
      <c r="S37" s="493"/>
      <c r="T37" s="493"/>
      <c r="U37" s="493"/>
      <c r="V37" s="493"/>
      <c r="W37" s="493"/>
      <c r="X37" s="493"/>
      <c r="Y37" s="493"/>
      <c r="Z37" s="493"/>
      <c r="AA37" s="493"/>
      <c r="AB37" s="493"/>
      <c r="AC37" s="493"/>
      <c r="AD37" s="493"/>
      <c r="AE37" s="493"/>
      <c r="AF37" s="493"/>
      <c r="AG37" s="493"/>
      <c r="AH37" s="493"/>
      <c r="AI37" s="493"/>
      <c r="AJ37" s="493"/>
      <c r="AK37" s="493"/>
      <c r="AL37" s="493"/>
      <c r="AM37" s="493"/>
      <c r="AN37" s="493"/>
      <c r="AO37" s="493"/>
      <c r="AP37" s="493"/>
      <c r="AQ37" s="493"/>
      <c r="AR37" s="493"/>
      <c r="AS37" s="493"/>
      <c r="AT37" s="493"/>
      <c r="AU37" s="493"/>
      <c r="AV37" s="493"/>
      <c r="AW37" s="493"/>
      <c r="AX37" s="493"/>
      <c r="AY37" s="493"/>
      <c r="AZ37" s="493"/>
    </row>
    <row r="38" spans="1:52" s="245" customFormat="1">
      <c r="A38" s="493"/>
      <c r="B38" s="493"/>
      <c r="C38" s="493"/>
      <c r="D38" s="493"/>
      <c r="E38" s="493"/>
      <c r="F38" s="493"/>
      <c r="G38" s="493"/>
      <c r="H38" s="493"/>
      <c r="I38" s="493"/>
      <c r="J38" s="493"/>
      <c r="K38" s="493"/>
      <c r="L38" s="493"/>
      <c r="M38" s="493"/>
      <c r="N38" s="493"/>
      <c r="O38" s="493"/>
      <c r="P38" s="493"/>
      <c r="Q38" s="493"/>
      <c r="R38" s="493"/>
      <c r="S38" s="493"/>
      <c r="T38" s="493"/>
      <c r="U38" s="493"/>
      <c r="V38" s="493"/>
      <c r="W38" s="493"/>
      <c r="X38" s="493"/>
      <c r="Y38" s="493"/>
      <c r="Z38" s="493"/>
      <c r="AA38" s="493"/>
      <c r="AB38" s="493"/>
      <c r="AC38" s="493"/>
      <c r="AD38" s="493"/>
      <c r="AE38" s="493"/>
      <c r="AF38" s="493"/>
      <c r="AG38" s="493"/>
      <c r="AH38" s="493"/>
      <c r="AI38" s="493"/>
      <c r="AJ38" s="493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</row>
    <row r="39" spans="1:52" s="245" customFormat="1">
      <c r="A39" s="493"/>
      <c r="B39" s="493"/>
      <c r="C39" s="493"/>
      <c r="D39" s="493"/>
      <c r="E39" s="493"/>
      <c r="F39" s="493"/>
      <c r="G39" s="493"/>
      <c r="H39" s="493"/>
      <c r="I39" s="493"/>
      <c r="J39" s="493"/>
      <c r="K39" s="493"/>
      <c r="L39" s="493"/>
      <c r="M39" s="493"/>
      <c r="N39" s="493"/>
      <c r="O39" s="493"/>
      <c r="P39" s="493"/>
      <c r="Q39" s="493"/>
      <c r="R39" s="493"/>
      <c r="S39" s="493"/>
      <c r="T39" s="493"/>
      <c r="U39" s="493"/>
      <c r="V39" s="493"/>
      <c r="W39" s="493"/>
      <c r="X39" s="493"/>
      <c r="Y39" s="493"/>
      <c r="Z39" s="493"/>
      <c r="AA39" s="493"/>
      <c r="AB39" s="493"/>
      <c r="AC39" s="493"/>
      <c r="AD39" s="493"/>
      <c r="AE39" s="493"/>
      <c r="AF39" s="493"/>
      <c r="AG39" s="493"/>
      <c r="AH39" s="493"/>
      <c r="AI39" s="493"/>
      <c r="AJ39" s="493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</row>
    <row r="40" spans="1:52" s="245" customFormat="1">
      <c r="A40" s="493"/>
      <c r="B40" s="493"/>
      <c r="C40" s="493"/>
      <c r="D40" s="493"/>
      <c r="E40" s="493"/>
      <c r="F40" s="493"/>
      <c r="G40" s="493"/>
      <c r="H40" s="493"/>
      <c r="I40" s="493"/>
      <c r="J40" s="493"/>
      <c r="K40" s="493"/>
      <c r="L40" s="493"/>
      <c r="M40" s="493"/>
      <c r="N40" s="493"/>
      <c r="O40" s="493"/>
      <c r="P40" s="493"/>
      <c r="Q40" s="493"/>
      <c r="R40" s="493"/>
      <c r="S40" s="493"/>
      <c r="T40" s="493"/>
      <c r="U40" s="493"/>
      <c r="V40" s="493"/>
      <c r="W40" s="493"/>
      <c r="X40" s="493"/>
      <c r="Y40" s="493"/>
      <c r="Z40" s="493"/>
      <c r="AA40" s="493"/>
      <c r="AB40" s="493"/>
      <c r="AC40" s="493"/>
      <c r="AD40" s="493"/>
      <c r="AE40" s="493"/>
      <c r="AF40" s="493"/>
      <c r="AG40" s="493"/>
      <c r="AH40" s="493"/>
      <c r="AI40" s="493"/>
      <c r="AJ40" s="493"/>
      <c r="AK40" s="493"/>
      <c r="AL40" s="493"/>
      <c r="AM40" s="493"/>
      <c r="AN40" s="493"/>
      <c r="AO40" s="493"/>
      <c r="AP40" s="493"/>
      <c r="AQ40" s="493"/>
      <c r="AR40" s="493"/>
      <c r="AS40" s="493"/>
      <c r="AT40" s="493"/>
      <c r="AU40" s="493"/>
      <c r="AV40" s="493"/>
      <c r="AW40" s="493"/>
      <c r="AX40" s="493"/>
      <c r="AY40" s="493"/>
      <c r="AZ40" s="493"/>
    </row>
    <row r="41" spans="1:52" s="245" customFormat="1">
      <c r="A41" s="493"/>
      <c r="B41" s="493"/>
      <c r="C41" s="493"/>
      <c r="D41" s="493"/>
      <c r="E41" s="493"/>
      <c r="F41" s="493"/>
      <c r="G41" s="493"/>
      <c r="H41" s="493"/>
      <c r="I41" s="493"/>
      <c r="J41" s="493"/>
      <c r="K41" s="493"/>
      <c r="L41" s="493"/>
      <c r="M41" s="493"/>
      <c r="N41" s="493"/>
      <c r="O41" s="493"/>
      <c r="P41" s="493"/>
      <c r="Q41" s="493"/>
      <c r="R41" s="493"/>
      <c r="S41" s="493"/>
      <c r="T41" s="493"/>
      <c r="U41" s="493"/>
      <c r="V41" s="493"/>
      <c r="W41" s="493"/>
      <c r="X41" s="493"/>
      <c r="Y41" s="493"/>
      <c r="Z41" s="493"/>
      <c r="AA41" s="493"/>
      <c r="AB41" s="493"/>
      <c r="AC41" s="493"/>
      <c r="AD41" s="493"/>
      <c r="AE41" s="493"/>
      <c r="AF41" s="493"/>
      <c r="AG41" s="493"/>
      <c r="AH41" s="493"/>
      <c r="AI41" s="493"/>
      <c r="AJ41" s="493"/>
      <c r="AK41" s="493"/>
      <c r="AL41" s="493"/>
      <c r="AM41" s="493"/>
      <c r="AN41" s="493"/>
      <c r="AO41" s="493"/>
      <c r="AP41" s="493"/>
      <c r="AQ41" s="493"/>
      <c r="AR41" s="493"/>
      <c r="AS41" s="493"/>
      <c r="AT41" s="493"/>
      <c r="AU41" s="493"/>
      <c r="AV41" s="493"/>
      <c r="AW41" s="493"/>
      <c r="AX41" s="493"/>
      <c r="AY41" s="493"/>
      <c r="AZ41" s="493"/>
    </row>
    <row r="42" spans="1:52" s="245" customFormat="1">
      <c r="A42" s="493"/>
      <c r="B42" s="493"/>
      <c r="C42" s="493"/>
      <c r="D42" s="493"/>
      <c r="E42" s="493"/>
      <c r="F42" s="493"/>
      <c r="G42" s="493"/>
      <c r="H42" s="493"/>
      <c r="I42" s="493"/>
      <c r="J42" s="493"/>
      <c r="K42" s="493"/>
      <c r="L42" s="493"/>
      <c r="M42" s="493"/>
      <c r="N42" s="493"/>
      <c r="O42" s="493"/>
      <c r="P42" s="493"/>
      <c r="Q42" s="493"/>
      <c r="R42" s="493"/>
      <c r="S42" s="493"/>
      <c r="T42" s="493"/>
      <c r="U42" s="493"/>
      <c r="V42" s="493"/>
      <c r="W42" s="493"/>
      <c r="X42" s="493"/>
      <c r="Y42" s="493"/>
      <c r="Z42" s="493"/>
      <c r="AA42" s="493"/>
      <c r="AB42" s="493"/>
      <c r="AC42" s="493"/>
      <c r="AD42" s="493"/>
      <c r="AE42" s="493"/>
      <c r="AF42" s="493"/>
      <c r="AG42" s="493"/>
      <c r="AH42" s="493"/>
      <c r="AI42" s="493"/>
      <c r="AJ42" s="493"/>
      <c r="AK42" s="493"/>
      <c r="AL42" s="493"/>
      <c r="AM42" s="493"/>
      <c r="AN42" s="493"/>
      <c r="AO42" s="493"/>
      <c r="AP42" s="493"/>
      <c r="AQ42" s="493"/>
      <c r="AR42" s="493"/>
      <c r="AS42" s="493"/>
      <c r="AT42" s="493"/>
      <c r="AU42" s="493"/>
      <c r="AV42" s="493"/>
      <c r="AW42" s="493"/>
      <c r="AX42" s="493"/>
      <c r="AY42" s="493"/>
      <c r="AZ42" s="493"/>
    </row>
    <row r="43" spans="1:52" s="245" customFormat="1">
      <c r="A43" s="493"/>
      <c r="B43" s="493"/>
      <c r="C43" s="493"/>
      <c r="D43" s="493"/>
      <c r="E43" s="493"/>
      <c r="F43" s="493"/>
      <c r="G43" s="493"/>
      <c r="H43" s="493"/>
      <c r="I43" s="493"/>
      <c r="J43" s="493"/>
      <c r="K43" s="493"/>
      <c r="L43" s="493"/>
      <c r="M43" s="493"/>
      <c r="N43" s="493"/>
      <c r="O43" s="493"/>
      <c r="P43" s="493"/>
      <c r="Q43" s="493"/>
      <c r="R43" s="493"/>
      <c r="S43" s="493"/>
      <c r="T43" s="493"/>
      <c r="U43" s="493"/>
      <c r="V43" s="493"/>
      <c r="W43" s="493"/>
      <c r="X43" s="493"/>
      <c r="Y43" s="493"/>
      <c r="Z43" s="493"/>
      <c r="AA43" s="493"/>
      <c r="AB43" s="493"/>
      <c r="AC43" s="493"/>
      <c r="AD43" s="493"/>
      <c r="AE43" s="493"/>
      <c r="AF43" s="493"/>
      <c r="AG43" s="493"/>
      <c r="AH43" s="493"/>
      <c r="AI43" s="493"/>
      <c r="AJ43" s="493"/>
      <c r="AK43" s="493"/>
      <c r="AL43" s="493"/>
      <c r="AM43" s="493"/>
      <c r="AN43" s="493"/>
      <c r="AO43" s="493"/>
      <c r="AP43" s="493"/>
      <c r="AQ43" s="493"/>
      <c r="AR43" s="493"/>
      <c r="AS43" s="493"/>
      <c r="AT43" s="493"/>
      <c r="AU43" s="493"/>
      <c r="AV43" s="493"/>
      <c r="AW43" s="493"/>
      <c r="AX43" s="493"/>
      <c r="AY43" s="493"/>
      <c r="AZ43" s="493"/>
    </row>
    <row r="44" spans="1:52" s="245" customFormat="1">
      <c r="A44" s="493"/>
      <c r="B44" s="493"/>
      <c r="C44" s="493"/>
      <c r="D44" s="493"/>
      <c r="E44" s="493"/>
      <c r="F44" s="493"/>
      <c r="G44" s="493"/>
      <c r="H44" s="493"/>
      <c r="I44" s="493"/>
      <c r="J44" s="493"/>
      <c r="K44" s="493"/>
      <c r="L44" s="493"/>
      <c r="M44" s="493"/>
      <c r="N44" s="493"/>
      <c r="O44" s="493"/>
      <c r="P44" s="493"/>
      <c r="Q44" s="493"/>
      <c r="R44" s="493"/>
      <c r="S44" s="493"/>
      <c r="T44" s="493"/>
      <c r="U44" s="493"/>
      <c r="V44" s="493"/>
      <c r="W44" s="493"/>
      <c r="X44" s="493"/>
      <c r="Y44" s="493"/>
      <c r="Z44" s="493"/>
      <c r="AA44" s="493"/>
      <c r="AB44" s="493"/>
      <c r="AC44" s="493"/>
      <c r="AD44" s="493"/>
      <c r="AE44" s="493"/>
      <c r="AF44" s="493"/>
      <c r="AG44" s="493"/>
      <c r="AH44" s="493"/>
      <c r="AI44" s="493"/>
      <c r="AJ44" s="493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</row>
    <row r="45" spans="1:52" s="245" customFormat="1">
      <c r="A45" s="493"/>
      <c r="B45" s="493"/>
      <c r="C45" s="493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  <c r="O45" s="493"/>
      <c r="P45" s="493"/>
      <c r="Q45" s="493"/>
      <c r="R45" s="493"/>
      <c r="S45" s="493"/>
      <c r="T45" s="493"/>
      <c r="U45" s="493"/>
      <c r="V45" s="493"/>
      <c r="W45" s="493"/>
      <c r="X45" s="493"/>
      <c r="Y45" s="493"/>
      <c r="Z45" s="493"/>
      <c r="AA45" s="493"/>
      <c r="AB45" s="493"/>
      <c r="AC45" s="493"/>
      <c r="AD45" s="493"/>
      <c r="AE45" s="493"/>
      <c r="AF45" s="493"/>
      <c r="AG45" s="493"/>
      <c r="AH45" s="493"/>
      <c r="AI45" s="493"/>
      <c r="AJ45" s="493"/>
      <c r="AK45" s="493"/>
      <c r="AL45" s="493"/>
      <c r="AM45" s="493"/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</row>
    <row r="46" spans="1:52" s="493" customFormat="1"/>
    <row r="47" spans="1:52" s="493" customFormat="1"/>
    <row r="48" spans="1:52" s="493" customFormat="1"/>
    <row r="49" s="493" customFormat="1"/>
    <row r="50" s="493" customFormat="1"/>
    <row r="51" s="493" customFormat="1"/>
    <row r="52" s="493" customFormat="1"/>
    <row r="53" s="493" customFormat="1"/>
    <row r="54" s="493" customFormat="1"/>
    <row r="55" s="493" customFormat="1"/>
  </sheetData>
  <sheetProtection algorithmName="SHA-512" hashValue="fQfmALHz8iQElMwceIkYbORZGPDI8EV2EB7Qfi2N5aQWKTFBvNWoQ0BbKFuz2HeUKq+SdriVTm0gwjAdW6srGg==" saltValue="A/n+71JomdSSM9bAqX4gjQ==" spinCount="100000" sheet="1" objects="1" selectLockedCells="1"/>
  <mergeCells count="34">
    <mergeCell ref="H28:O28"/>
    <mergeCell ref="H27:O27"/>
    <mergeCell ref="H29:O29"/>
    <mergeCell ref="C19:O19"/>
    <mergeCell ref="C20:E20"/>
    <mergeCell ref="F20:J20"/>
    <mergeCell ref="K20:O20"/>
    <mergeCell ref="C21:E21"/>
    <mergeCell ref="F21:J21"/>
    <mergeCell ref="K21:O21"/>
    <mergeCell ref="C15:O15"/>
    <mergeCell ref="C16:E16"/>
    <mergeCell ref="F16:J16"/>
    <mergeCell ref="K16:O16"/>
    <mergeCell ref="C17:E17"/>
    <mergeCell ref="F17:J17"/>
    <mergeCell ref="K17:O17"/>
    <mergeCell ref="K10:L10"/>
    <mergeCell ref="N10:O10"/>
    <mergeCell ref="C12:F12"/>
    <mergeCell ref="H12:I12"/>
    <mergeCell ref="K12:L12"/>
    <mergeCell ref="N12:O12"/>
    <mergeCell ref="C6:F6"/>
    <mergeCell ref="G6:H6"/>
    <mergeCell ref="I6:J6"/>
    <mergeCell ref="C8:F8"/>
    <mergeCell ref="H10:I10"/>
    <mergeCell ref="G8:J8"/>
    <mergeCell ref="Y3:AA3"/>
    <mergeCell ref="C3:O3"/>
    <mergeCell ref="C5:F5"/>
    <mergeCell ref="G5:H5"/>
    <mergeCell ref="I5:J5"/>
  </mergeCells>
  <dataValidations count="2">
    <dataValidation type="list" allowBlank="1" showInputMessage="1" showErrorMessage="1" sqref="G8" xr:uid="{00000000-0002-0000-1300-000000000000}">
      <formula1>$R$8:$R$11</formula1>
    </dataValidation>
    <dataValidation type="list" allowBlank="1" showInputMessage="1" showErrorMessage="1" sqref="AE5" xr:uid="{00000000-0002-0000-1300-000001000000}">
      <formula1>$AR$9:$AR$10</formula1>
    </dataValidation>
  </dataValidations>
  <pageMargins left="3.9370078740157481" right="0" top="1.5748031496062993" bottom="0.74803149606299213" header="0.31496062992125984" footer="0.31496062992125984"/>
  <pageSetup paperSize="9" orientation="landscape" blackAndWhite="1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ayfa11"/>
  <dimension ref="B2:P31"/>
  <sheetViews>
    <sheetView showRowColHeaders="0" zoomScale="98" zoomScaleNormal="98" workbookViewId="0">
      <selection activeCell="C9" sqref="C9"/>
    </sheetView>
  </sheetViews>
  <sheetFormatPr defaultRowHeight="15"/>
  <cols>
    <col min="1" max="1" width="5.7109375" style="231" customWidth="1"/>
    <col min="2" max="2" width="44.85546875" style="231" customWidth="1"/>
    <col min="3" max="7" width="9.140625" style="231"/>
    <col min="8" max="8" width="3.7109375" style="231" customWidth="1"/>
    <col min="9" max="9" width="5.140625" style="231" customWidth="1"/>
    <col min="10" max="10" width="6.28515625" style="231" customWidth="1"/>
    <col min="11" max="12" width="9.140625" style="231"/>
    <col min="13" max="13" width="13.5703125" style="231" customWidth="1"/>
    <col min="14" max="14" width="6.140625" style="231" customWidth="1"/>
    <col min="15" max="255" width="9.140625" style="231"/>
    <col min="256" max="256" width="5.7109375" style="231" customWidth="1"/>
    <col min="257" max="257" width="44.85546875" style="231" customWidth="1"/>
    <col min="258" max="511" width="9.140625" style="231"/>
    <col min="512" max="512" width="5.7109375" style="231" customWidth="1"/>
    <col min="513" max="513" width="44.85546875" style="231" customWidth="1"/>
    <col min="514" max="767" width="9.140625" style="231"/>
    <col min="768" max="768" width="5.7109375" style="231" customWidth="1"/>
    <col min="769" max="769" width="44.85546875" style="231" customWidth="1"/>
    <col min="770" max="1023" width="9.140625" style="231"/>
    <col min="1024" max="1024" width="5.7109375" style="231" customWidth="1"/>
    <col min="1025" max="1025" width="44.85546875" style="231" customWidth="1"/>
    <col min="1026" max="1279" width="9.140625" style="231"/>
    <col min="1280" max="1280" width="5.7109375" style="231" customWidth="1"/>
    <col min="1281" max="1281" width="44.85546875" style="231" customWidth="1"/>
    <col min="1282" max="1535" width="9.140625" style="231"/>
    <col min="1536" max="1536" width="5.7109375" style="231" customWidth="1"/>
    <col min="1537" max="1537" width="44.85546875" style="231" customWidth="1"/>
    <col min="1538" max="1791" width="9.140625" style="231"/>
    <col min="1792" max="1792" width="5.7109375" style="231" customWidth="1"/>
    <col min="1793" max="1793" width="44.85546875" style="231" customWidth="1"/>
    <col min="1794" max="2047" width="9.140625" style="231"/>
    <col min="2048" max="2048" width="5.7109375" style="231" customWidth="1"/>
    <col min="2049" max="2049" width="44.85546875" style="231" customWidth="1"/>
    <col min="2050" max="2303" width="9.140625" style="231"/>
    <col min="2304" max="2304" width="5.7109375" style="231" customWidth="1"/>
    <col min="2305" max="2305" width="44.85546875" style="231" customWidth="1"/>
    <col min="2306" max="2559" width="9.140625" style="231"/>
    <col min="2560" max="2560" width="5.7109375" style="231" customWidth="1"/>
    <col min="2561" max="2561" width="44.85546875" style="231" customWidth="1"/>
    <col min="2562" max="2815" width="9.140625" style="231"/>
    <col min="2816" max="2816" width="5.7109375" style="231" customWidth="1"/>
    <col min="2817" max="2817" width="44.85546875" style="231" customWidth="1"/>
    <col min="2818" max="3071" width="9.140625" style="231"/>
    <col min="3072" max="3072" width="5.7109375" style="231" customWidth="1"/>
    <col min="3073" max="3073" width="44.85546875" style="231" customWidth="1"/>
    <col min="3074" max="3327" width="9.140625" style="231"/>
    <col min="3328" max="3328" width="5.7109375" style="231" customWidth="1"/>
    <col min="3329" max="3329" width="44.85546875" style="231" customWidth="1"/>
    <col min="3330" max="3583" width="9.140625" style="231"/>
    <col min="3584" max="3584" width="5.7109375" style="231" customWidth="1"/>
    <col min="3585" max="3585" width="44.85546875" style="231" customWidth="1"/>
    <col min="3586" max="3839" width="9.140625" style="231"/>
    <col min="3840" max="3840" width="5.7109375" style="231" customWidth="1"/>
    <col min="3841" max="3841" width="44.85546875" style="231" customWidth="1"/>
    <col min="3842" max="4095" width="9.140625" style="231"/>
    <col min="4096" max="4096" width="5.7109375" style="231" customWidth="1"/>
    <col min="4097" max="4097" width="44.85546875" style="231" customWidth="1"/>
    <col min="4098" max="4351" width="9.140625" style="231"/>
    <col min="4352" max="4352" width="5.7109375" style="231" customWidth="1"/>
    <col min="4353" max="4353" width="44.85546875" style="231" customWidth="1"/>
    <col min="4354" max="4607" width="9.140625" style="231"/>
    <col min="4608" max="4608" width="5.7109375" style="231" customWidth="1"/>
    <col min="4609" max="4609" width="44.85546875" style="231" customWidth="1"/>
    <col min="4610" max="4863" width="9.140625" style="231"/>
    <col min="4864" max="4864" width="5.7109375" style="231" customWidth="1"/>
    <col min="4865" max="4865" width="44.85546875" style="231" customWidth="1"/>
    <col min="4866" max="5119" width="9.140625" style="231"/>
    <col min="5120" max="5120" width="5.7109375" style="231" customWidth="1"/>
    <col min="5121" max="5121" width="44.85546875" style="231" customWidth="1"/>
    <col min="5122" max="5375" width="9.140625" style="231"/>
    <col min="5376" max="5376" width="5.7109375" style="231" customWidth="1"/>
    <col min="5377" max="5377" width="44.85546875" style="231" customWidth="1"/>
    <col min="5378" max="5631" width="9.140625" style="231"/>
    <col min="5632" max="5632" width="5.7109375" style="231" customWidth="1"/>
    <col min="5633" max="5633" width="44.85546875" style="231" customWidth="1"/>
    <col min="5634" max="5887" width="9.140625" style="231"/>
    <col min="5888" max="5888" width="5.7109375" style="231" customWidth="1"/>
    <col min="5889" max="5889" width="44.85546875" style="231" customWidth="1"/>
    <col min="5890" max="6143" width="9.140625" style="231"/>
    <col min="6144" max="6144" width="5.7109375" style="231" customWidth="1"/>
    <col min="6145" max="6145" width="44.85546875" style="231" customWidth="1"/>
    <col min="6146" max="6399" width="9.140625" style="231"/>
    <col min="6400" max="6400" width="5.7109375" style="231" customWidth="1"/>
    <col min="6401" max="6401" width="44.85546875" style="231" customWidth="1"/>
    <col min="6402" max="6655" width="9.140625" style="231"/>
    <col min="6656" max="6656" width="5.7109375" style="231" customWidth="1"/>
    <col min="6657" max="6657" width="44.85546875" style="231" customWidth="1"/>
    <col min="6658" max="6911" width="9.140625" style="231"/>
    <col min="6912" max="6912" width="5.7109375" style="231" customWidth="1"/>
    <col min="6913" max="6913" width="44.85546875" style="231" customWidth="1"/>
    <col min="6914" max="7167" width="9.140625" style="231"/>
    <col min="7168" max="7168" width="5.7109375" style="231" customWidth="1"/>
    <col min="7169" max="7169" width="44.85546875" style="231" customWidth="1"/>
    <col min="7170" max="7423" width="9.140625" style="231"/>
    <col min="7424" max="7424" width="5.7109375" style="231" customWidth="1"/>
    <col min="7425" max="7425" width="44.85546875" style="231" customWidth="1"/>
    <col min="7426" max="7679" width="9.140625" style="231"/>
    <col min="7680" max="7680" width="5.7109375" style="231" customWidth="1"/>
    <col min="7681" max="7681" width="44.85546875" style="231" customWidth="1"/>
    <col min="7682" max="7935" width="9.140625" style="231"/>
    <col min="7936" max="7936" width="5.7109375" style="231" customWidth="1"/>
    <col min="7937" max="7937" width="44.85546875" style="231" customWidth="1"/>
    <col min="7938" max="8191" width="9.140625" style="231"/>
    <col min="8192" max="8192" width="5.7109375" style="231" customWidth="1"/>
    <col min="8193" max="8193" width="44.85546875" style="231" customWidth="1"/>
    <col min="8194" max="8447" width="9.140625" style="231"/>
    <col min="8448" max="8448" width="5.7109375" style="231" customWidth="1"/>
    <col min="8449" max="8449" width="44.85546875" style="231" customWidth="1"/>
    <col min="8450" max="8703" width="9.140625" style="231"/>
    <col min="8704" max="8704" width="5.7109375" style="231" customWidth="1"/>
    <col min="8705" max="8705" width="44.85546875" style="231" customWidth="1"/>
    <col min="8706" max="8959" width="9.140625" style="231"/>
    <col min="8960" max="8960" width="5.7109375" style="231" customWidth="1"/>
    <col min="8961" max="8961" width="44.85546875" style="231" customWidth="1"/>
    <col min="8962" max="9215" width="9.140625" style="231"/>
    <col min="9216" max="9216" width="5.7109375" style="231" customWidth="1"/>
    <col min="9217" max="9217" width="44.85546875" style="231" customWidth="1"/>
    <col min="9218" max="9471" width="9.140625" style="231"/>
    <col min="9472" max="9472" width="5.7109375" style="231" customWidth="1"/>
    <col min="9473" max="9473" width="44.85546875" style="231" customWidth="1"/>
    <col min="9474" max="9727" width="9.140625" style="231"/>
    <col min="9728" max="9728" width="5.7109375" style="231" customWidth="1"/>
    <col min="9729" max="9729" width="44.85546875" style="231" customWidth="1"/>
    <col min="9730" max="9983" width="9.140625" style="231"/>
    <col min="9984" max="9984" width="5.7109375" style="231" customWidth="1"/>
    <col min="9985" max="9985" width="44.85546875" style="231" customWidth="1"/>
    <col min="9986" max="10239" width="9.140625" style="231"/>
    <col min="10240" max="10240" width="5.7109375" style="231" customWidth="1"/>
    <col min="10241" max="10241" width="44.85546875" style="231" customWidth="1"/>
    <col min="10242" max="10495" width="9.140625" style="231"/>
    <col min="10496" max="10496" width="5.7109375" style="231" customWidth="1"/>
    <col min="10497" max="10497" width="44.85546875" style="231" customWidth="1"/>
    <col min="10498" max="10751" width="9.140625" style="231"/>
    <col min="10752" max="10752" width="5.7109375" style="231" customWidth="1"/>
    <col min="10753" max="10753" width="44.85546875" style="231" customWidth="1"/>
    <col min="10754" max="11007" width="9.140625" style="231"/>
    <col min="11008" max="11008" width="5.7109375" style="231" customWidth="1"/>
    <col min="11009" max="11009" width="44.85546875" style="231" customWidth="1"/>
    <col min="11010" max="11263" width="9.140625" style="231"/>
    <col min="11264" max="11264" width="5.7109375" style="231" customWidth="1"/>
    <col min="11265" max="11265" width="44.85546875" style="231" customWidth="1"/>
    <col min="11266" max="11519" width="9.140625" style="231"/>
    <col min="11520" max="11520" width="5.7109375" style="231" customWidth="1"/>
    <col min="11521" max="11521" width="44.85546875" style="231" customWidth="1"/>
    <col min="11522" max="11775" width="9.140625" style="231"/>
    <col min="11776" max="11776" width="5.7109375" style="231" customWidth="1"/>
    <col min="11777" max="11777" width="44.85546875" style="231" customWidth="1"/>
    <col min="11778" max="12031" width="9.140625" style="231"/>
    <col min="12032" max="12032" width="5.7109375" style="231" customWidth="1"/>
    <col min="12033" max="12033" width="44.85546875" style="231" customWidth="1"/>
    <col min="12034" max="12287" width="9.140625" style="231"/>
    <col min="12288" max="12288" width="5.7109375" style="231" customWidth="1"/>
    <col min="12289" max="12289" width="44.85546875" style="231" customWidth="1"/>
    <col min="12290" max="12543" width="9.140625" style="231"/>
    <col min="12544" max="12544" width="5.7109375" style="231" customWidth="1"/>
    <col min="12545" max="12545" width="44.85546875" style="231" customWidth="1"/>
    <col min="12546" max="12799" width="9.140625" style="231"/>
    <col min="12800" max="12800" width="5.7109375" style="231" customWidth="1"/>
    <col min="12801" max="12801" width="44.85546875" style="231" customWidth="1"/>
    <col min="12802" max="13055" width="9.140625" style="231"/>
    <col min="13056" max="13056" width="5.7109375" style="231" customWidth="1"/>
    <col min="13057" max="13057" width="44.85546875" style="231" customWidth="1"/>
    <col min="13058" max="13311" width="9.140625" style="231"/>
    <col min="13312" max="13312" width="5.7109375" style="231" customWidth="1"/>
    <col min="13313" max="13313" width="44.85546875" style="231" customWidth="1"/>
    <col min="13314" max="13567" width="9.140625" style="231"/>
    <col min="13568" max="13568" width="5.7109375" style="231" customWidth="1"/>
    <col min="13569" max="13569" width="44.85546875" style="231" customWidth="1"/>
    <col min="13570" max="13823" width="9.140625" style="231"/>
    <col min="13824" max="13824" width="5.7109375" style="231" customWidth="1"/>
    <col min="13825" max="13825" width="44.85546875" style="231" customWidth="1"/>
    <col min="13826" max="14079" width="9.140625" style="231"/>
    <col min="14080" max="14080" width="5.7109375" style="231" customWidth="1"/>
    <col min="14081" max="14081" width="44.85546875" style="231" customWidth="1"/>
    <col min="14082" max="14335" width="9.140625" style="231"/>
    <col min="14336" max="14336" width="5.7109375" style="231" customWidth="1"/>
    <col min="14337" max="14337" width="44.85546875" style="231" customWidth="1"/>
    <col min="14338" max="14591" width="9.140625" style="231"/>
    <col min="14592" max="14592" width="5.7109375" style="231" customWidth="1"/>
    <col min="14593" max="14593" width="44.85546875" style="231" customWidth="1"/>
    <col min="14594" max="14847" width="9.140625" style="231"/>
    <col min="14848" max="14848" width="5.7109375" style="231" customWidth="1"/>
    <col min="14849" max="14849" width="44.85546875" style="231" customWidth="1"/>
    <col min="14850" max="15103" width="9.140625" style="231"/>
    <col min="15104" max="15104" width="5.7109375" style="231" customWidth="1"/>
    <col min="15105" max="15105" width="44.85546875" style="231" customWidth="1"/>
    <col min="15106" max="15359" width="9.140625" style="231"/>
    <col min="15360" max="15360" width="5.7109375" style="231" customWidth="1"/>
    <col min="15361" max="15361" width="44.85546875" style="231" customWidth="1"/>
    <col min="15362" max="15615" width="9.140625" style="231"/>
    <col min="15616" max="15616" width="5.7109375" style="231" customWidth="1"/>
    <col min="15617" max="15617" width="44.85546875" style="231" customWidth="1"/>
    <col min="15618" max="15871" width="9.140625" style="231"/>
    <col min="15872" max="15872" width="5.7109375" style="231" customWidth="1"/>
    <col min="15873" max="15873" width="44.85546875" style="231" customWidth="1"/>
    <col min="15874" max="16127" width="9.140625" style="231"/>
    <col min="16128" max="16128" width="5.7109375" style="231" customWidth="1"/>
    <col min="16129" max="16129" width="44.85546875" style="231" customWidth="1"/>
    <col min="16130" max="16384" width="9.140625" style="231"/>
  </cols>
  <sheetData>
    <row r="2" spans="2:16" ht="46.5" customHeight="1">
      <c r="B2" s="3281" t="s">
        <v>297</v>
      </c>
      <c r="C2" s="3281"/>
      <c r="D2" s="3281"/>
    </row>
    <row r="3" spans="2:16" ht="16.5" thickBot="1">
      <c r="B3" s="265"/>
      <c r="C3" s="265"/>
      <c r="D3" s="265"/>
      <c r="F3" s="2998" t="s">
        <v>309</v>
      </c>
      <c r="G3" s="2998"/>
      <c r="H3" s="2998"/>
      <c r="I3" s="2998"/>
      <c r="J3" s="2998"/>
      <c r="K3" s="2998"/>
      <c r="L3" s="2998"/>
      <c r="M3" s="2998"/>
      <c r="N3" s="2998"/>
      <c r="O3" s="2998"/>
      <c r="P3" s="2998"/>
    </row>
    <row r="4" spans="2:16" ht="15.75" thickBot="1">
      <c r="B4" s="265" t="s">
        <v>298</v>
      </c>
      <c r="C4" s="272">
        <v>24</v>
      </c>
      <c r="D4" s="265" t="s">
        <v>299</v>
      </c>
      <c r="K4" s="2999"/>
      <c r="L4" s="3000"/>
      <c r="M4" s="253"/>
      <c r="N4" s="253"/>
    </row>
    <row r="5" spans="2:16" ht="15.75" thickBot="1">
      <c r="B5" s="266" t="s">
        <v>300</v>
      </c>
      <c r="C5" s="272">
        <v>18</v>
      </c>
      <c r="D5" s="265" t="s">
        <v>19</v>
      </c>
      <c r="K5" s="2999"/>
      <c r="L5" s="2999"/>
      <c r="M5" s="253"/>
      <c r="N5" s="253"/>
    </row>
    <row r="6" spans="2:16">
      <c r="B6" s="265" t="s">
        <v>301</v>
      </c>
      <c r="C6" s="267">
        <v>4.1859999999999999</v>
      </c>
      <c r="D6" s="265" t="s">
        <v>302</v>
      </c>
      <c r="M6" s="253"/>
      <c r="N6" s="253"/>
    </row>
    <row r="7" spans="2:16">
      <c r="B7" s="265" t="s">
        <v>303</v>
      </c>
      <c r="C7" s="268">
        <f xml:space="preserve"> (C4 / (C5*C6))</f>
        <v>0.31852205765249242</v>
      </c>
      <c r="D7" s="265" t="s">
        <v>304</v>
      </c>
      <c r="G7" s="254"/>
      <c r="H7" s="254"/>
      <c r="I7" s="254"/>
      <c r="J7" s="254"/>
      <c r="M7" s="253"/>
      <c r="N7" s="253"/>
    </row>
    <row r="8" spans="2:16" ht="15.75" thickBot="1">
      <c r="B8" s="265"/>
      <c r="C8" s="268"/>
      <c r="D8" s="265"/>
      <c r="M8" s="253"/>
      <c r="N8" s="253"/>
    </row>
    <row r="9" spans="2:16" ht="15.75" thickBot="1">
      <c r="B9" s="265" t="s">
        <v>305</v>
      </c>
      <c r="C9" s="272">
        <v>0.9</v>
      </c>
      <c r="D9" s="265" t="s">
        <v>306</v>
      </c>
      <c r="M9" s="253"/>
      <c r="N9" s="253"/>
    </row>
    <row r="10" spans="2:16">
      <c r="B10" s="265" t="s">
        <v>307</v>
      </c>
      <c r="C10" s="269">
        <f>((C7*1000)/C9)</f>
        <v>353.91339739165824</v>
      </c>
      <c r="D10" s="265" t="s">
        <v>308</v>
      </c>
      <c r="M10" s="253"/>
      <c r="N10" s="253"/>
    </row>
    <row r="11" spans="2:16">
      <c r="B11" s="265"/>
      <c r="C11" s="269"/>
      <c r="D11" s="265"/>
      <c r="I11" s="864" t="s">
        <v>337</v>
      </c>
      <c r="J11" s="256">
        <f>C12</f>
        <v>23.592347896771788</v>
      </c>
      <c r="K11" s="258"/>
      <c r="M11" s="253"/>
      <c r="N11" s="253"/>
    </row>
    <row r="12" spans="2:16">
      <c r="B12" s="270" t="s">
        <v>314</v>
      </c>
      <c r="C12" s="263">
        <f>(SQRT(C10/0.785))/C9</f>
        <v>23.592347896771788</v>
      </c>
      <c r="D12" s="265" t="s">
        <v>5</v>
      </c>
      <c r="M12" s="260" t="s">
        <v>337</v>
      </c>
      <c r="N12" s="258">
        <f>J11</f>
        <v>23.592347896771788</v>
      </c>
      <c r="O12" s="254"/>
    </row>
    <row r="13" spans="2:16">
      <c r="B13" s="265"/>
      <c r="C13" s="269"/>
      <c r="D13" s="265"/>
      <c r="M13" s="253"/>
      <c r="N13" s="253"/>
    </row>
    <row r="14" spans="2:16">
      <c r="B14" s="270" t="s">
        <v>313</v>
      </c>
      <c r="C14" s="263">
        <f>2.25*C12</f>
        <v>53.082782767736525</v>
      </c>
      <c r="D14" s="265" t="s">
        <v>5</v>
      </c>
      <c r="M14" s="253"/>
      <c r="N14" s="253"/>
    </row>
    <row r="15" spans="2:16">
      <c r="B15" s="265"/>
      <c r="C15" s="269"/>
      <c r="D15" s="265"/>
      <c r="E15" s="259" t="s">
        <v>311</v>
      </c>
      <c r="M15" s="253"/>
      <c r="N15" s="253"/>
      <c r="P15" s="259" t="s">
        <v>312</v>
      </c>
    </row>
    <row r="16" spans="2:16" ht="15.75">
      <c r="B16" s="270" t="s">
        <v>316</v>
      </c>
      <c r="C16" s="263">
        <f>(3.5*C14)/10</f>
        <v>18.578973968707782</v>
      </c>
      <c r="D16" s="265" t="s">
        <v>255</v>
      </c>
      <c r="F16" s="262">
        <f>C20</f>
        <v>26.541391383868262</v>
      </c>
      <c r="G16" s="231" t="s">
        <v>255</v>
      </c>
      <c r="H16" s="261">
        <f>C18</f>
        <v>21.23311310709461</v>
      </c>
      <c r="I16" s="231" t="s">
        <v>255</v>
      </c>
      <c r="M16" s="253"/>
      <c r="N16" s="253"/>
      <c r="O16" s="257">
        <f>C16</f>
        <v>18.578973968707782</v>
      </c>
      <c r="P16" s="231" t="s">
        <v>255</v>
      </c>
    </row>
    <row r="17" spans="2:15">
      <c r="B17" s="265"/>
      <c r="C17" s="269"/>
      <c r="D17" s="265"/>
      <c r="M17" s="253"/>
      <c r="N17" s="253"/>
    </row>
    <row r="18" spans="2:15">
      <c r="B18" s="270" t="s">
        <v>315</v>
      </c>
      <c r="C18" s="263">
        <f>(4*C14)/10</f>
        <v>21.23311310709461</v>
      </c>
      <c r="D18" s="265" t="s">
        <v>255</v>
      </c>
      <c r="M18" s="253"/>
      <c r="N18" s="253"/>
    </row>
    <row r="19" spans="2:15">
      <c r="B19" s="265"/>
      <c r="C19" s="269"/>
      <c r="D19" s="265"/>
      <c r="M19" s="253"/>
      <c r="N19" s="253"/>
    </row>
    <row r="20" spans="2:15">
      <c r="B20" s="271" t="s">
        <v>310</v>
      </c>
      <c r="C20" s="263">
        <f>(5*C14)/10</f>
        <v>26.541391383868262</v>
      </c>
      <c r="D20" s="265" t="s">
        <v>255</v>
      </c>
      <c r="M20" s="260" t="s">
        <v>337</v>
      </c>
      <c r="N20" s="258">
        <f>J11</f>
        <v>23.592347896771788</v>
      </c>
      <c r="O20" s="254"/>
    </row>
    <row r="21" spans="2:15">
      <c r="B21" s="265"/>
      <c r="C21" s="269"/>
      <c r="D21" s="265"/>
      <c r="M21" s="253"/>
      <c r="N21" s="253"/>
    </row>
    <row r="22" spans="2:15">
      <c r="I22" s="254"/>
      <c r="J22" s="254"/>
      <c r="M22" s="253"/>
      <c r="N22" s="253"/>
    </row>
    <row r="23" spans="2:15">
      <c r="I23" s="260" t="s">
        <v>337</v>
      </c>
      <c r="J23" s="258">
        <f>J11</f>
        <v>23.592347896771788</v>
      </c>
      <c r="K23" s="258"/>
      <c r="M23" s="253"/>
      <c r="N23" s="253"/>
    </row>
    <row r="24" spans="2:15">
      <c r="B24" s="3282" t="s">
        <v>1155</v>
      </c>
      <c r="C24" s="3282"/>
      <c r="D24" s="3282"/>
      <c r="M24" s="253"/>
      <c r="N24" s="253"/>
    </row>
    <row r="25" spans="2:15">
      <c r="B25" s="3283" t="s">
        <v>267</v>
      </c>
      <c r="C25" s="3283"/>
      <c r="D25" s="3283"/>
      <c r="G25" s="254"/>
      <c r="H25" s="254"/>
      <c r="I25" s="254"/>
      <c r="J25" s="254"/>
      <c r="M25" s="253"/>
      <c r="N25" s="253"/>
    </row>
    <row r="26" spans="2:15">
      <c r="B26" s="3284">
        <v>2026</v>
      </c>
      <c r="C26" s="3284"/>
      <c r="D26" s="3284"/>
      <c r="M26" s="253"/>
      <c r="N26" s="253"/>
    </row>
    <row r="27" spans="2:15">
      <c r="K27" s="2995"/>
      <c r="L27" s="2996"/>
      <c r="M27" s="253"/>
      <c r="N27" s="253"/>
    </row>
    <row r="28" spans="2:15">
      <c r="K28" s="2995"/>
      <c r="L28" s="2997"/>
      <c r="M28" s="253"/>
      <c r="N28" s="253"/>
    </row>
    <row r="29" spans="2:15">
      <c r="K29" s="260"/>
      <c r="L29" s="255"/>
    </row>
    <row r="30" spans="2:15" ht="15.75">
      <c r="K30" s="2995"/>
      <c r="L30" s="2996"/>
      <c r="M30" s="865" t="s">
        <v>899</v>
      </c>
      <c r="N30" s="866">
        <f>C14</f>
        <v>53.082782767736525</v>
      </c>
    </row>
    <row r="31" spans="2:15">
      <c r="K31" s="2995"/>
      <c r="L31" s="2997"/>
    </row>
  </sheetData>
  <sheetProtection algorithmName="SHA-512" hashValue="7iwZsFMuDlvL8mkqtnv4QGywgU4aZVTJbJZrxk1PkYFgPkumt1wkcGAHHGHVhfAcDK3MGYS+ZpooWiRv1y2lXA==" saltValue="KJF7n61s6i5ULmXyir42wQ==" spinCount="100000" sheet="1" objects="1" selectLockedCells="1"/>
  <mergeCells count="11">
    <mergeCell ref="L27:L28"/>
    <mergeCell ref="K30:K31"/>
    <mergeCell ref="L30:L31"/>
    <mergeCell ref="F3:P3"/>
    <mergeCell ref="K4:K5"/>
    <mergeCell ref="L4:L5"/>
    <mergeCell ref="B2:D2"/>
    <mergeCell ref="B24:D24"/>
    <mergeCell ref="B25:D25"/>
    <mergeCell ref="B26:D26"/>
    <mergeCell ref="K27:K28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C31:Z42"/>
  <sheetViews>
    <sheetView showGridLines="0" showRowColHeaders="0" zoomScale="84" zoomScaleNormal="84" workbookViewId="0">
      <selection activeCell="K33" sqref="K33"/>
    </sheetView>
  </sheetViews>
  <sheetFormatPr defaultColWidth="9.140625" defaultRowHeight="15"/>
  <cols>
    <col min="1" max="16384" width="9.140625" style="408"/>
  </cols>
  <sheetData>
    <row r="31" spans="13:22" ht="15.75" thickBot="1"/>
    <row r="32" spans="13:22" ht="15.75" thickBot="1">
      <c r="M32" s="485" t="s">
        <v>715</v>
      </c>
      <c r="R32" s="3285"/>
      <c r="S32" s="3285"/>
      <c r="T32" s="3285"/>
      <c r="U32" s="3285"/>
      <c r="V32" s="3285"/>
    </row>
    <row r="33" spans="3:26" ht="15.75" thickBot="1">
      <c r="C33" s="3292" t="s">
        <v>713</v>
      </c>
      <c r="D33" s="3293"/>
      <c r="E33" s="3293"/>
      <c r="F33" s="3293"/>
      <c r="G33" s="3293"/>
      <c r="H33" s="3293"/>
      <c r="I33" s="3293"/>
      <c r="J33" s="3294"/>
      <c r="K33" s="490">
        <v>120</v>
      </c>
      <c r="L33" s="484" t="s">
        <v>163</v>
      </c>
      <c r="M33" s="408">
        <f>K33*11</f>
        <v>1320</v>
      </c>
      <c r="N33" s="483" t="s">
        <v>658</v>
      </c>
      <c r="R33" s="3286"/>
      <c r="S33" s="3286"/>
      <c r="T33" s="3286"/>
      <c r="U33" s="3286"/>
      <c r="V33" s="3286"/>
    </row>
    <row r="34" spans="3:26" ht="15.75" thickBot="1">
      <c r="C34" s="3295" t="s">
        <v>714</v>
      </c>
      <c r="D34" s="3296"/>
      <c r="E34" s="3296"/>
      <c r="F34" s="3296"/>
      <c r="G34" s="3296"/>
      <c r="H34" s="3296"/>
      <c r="I34" s="3296"/>
      <c r="J34" s="3297"/>
      <c r="K34" s="490">
        <v>80</v>
      </c>
      <c r="L34" s="486" t="s">
        <v>163</v>
      </c>
      <c r="M34" s="408">
        <f>K34*7</f>
        <v>560</v>
      </c>
      <c r="N34" s="483" t="s">
        <v>658</v>
      </c>
      <c r="R34" s="3287"/>
      <c r="S34" s="3287"/>
      <c r="T34" s="3287"/>
      <c r="U34" s="3287"/>
      <c r="V34" s="3287"/>
    </row>
    <row r="35" spans="3:26" ht="15.75" thickBot="1">
      <c r="L35" s="488" t="s">
        <v>399</v>
      </c>
      <c r="M35" s="487">
        <f>SUM(M33:M34)</f>
        <v>1880</v>
      </c>
      <c r="N35" s="405" t="s">
        <v>658</v>
      </c>
    </row>
    <row r="36" spans="3:26" ht="16.5" customHeight="1" thickBot="1">
      <c r="H36" s="3288" t="s">
        <v>717</v>
      </c>
      <c r="I36" s="3289"/>
      <c r="J36" s="3289"/>
      <c r="K36" s="3289"/>
      <c r="L36" s="3290"/>
      <c r="M36" s="404">
        <f>M35/2.4</f>
        <v>783.33333333333337</v>
      </c>
      <c r="N36" s="405" t="s">
        <v>716</v>
      </c>
      <c r="O36" s="3291" t="s">
        <v>718</v>
      </c>
      <c r="P36" s="3291"/>
      <c r="Q36" s="3291"/>
      <c r="R36" s="3291"/>
      <c r="S36" s="491" t="s">
        <v>287</v>
      </c>
    </row>
    <row r="37" spans="3:26" ht="16.5" customHeight="1" thickBot="1">
      <c r="H37" s="3288" t="s">
        <v>717</v>
      </c>
      <c r="I37" s="3289"/>
      <c r="J37" s="3289"/>
      <c r="K37" s="3289"/>
      <c r="L37" s="3290"/>
      <c r="M37" s="489">
        <f>M36/1000</f>
        <v>0.78333333333333333</v>
      </c>
      <c r="N37" s="405" t="s">
        <v>2</v>
      </c>
      <c r="O37" s="3291"/>
      <c r="P37" s="3291"/>
      <c r="Q37" s="3291"/>
      <c r="R37" s="3291"/>
      <c r="S37" s="491" t="s">
        <v>289</v>
      </c>
    </row>
    <row r="38" spans="3:26" ht="15" customHeight="1">
      <c r="O38" s="3291"/>
      <c r="P38" s="3291"/>
      <c r="Q38" s="3291"/>
      <c r="R38" s="3291"/>
      <c r="S38" s="491" t="s">
        <v>292</v>
      </c>
    </row>
    <row r="40" spans="3:26">
      <c r="V40" s="3285" t="s">
        <v>1916</v>
      </c>
      <c r="W40" s="3285"/>
      <c r="X40" s="3285"/>
      <c r="Y40" s="3285"/>
      <c r="Z40" s="3285"/>
    </row>
    <row r="41" spans="3:26">
      <c r="V41" s="3286" t="s">
        <v>1156</v>
      </c>
      <c r="W41" s="3286"/>
      <c r="X41" s="3286"/>
      <c r="Y41" s="3286"/>
      <c r="Z41" s="3286"/>
    </row>
    <row r="42" spans="3:26">
      <c r="V42" s="3287">
        <v>2026</v>
      </c>
      <c r="W42" s="3287"/>
      <c r="X42" s="3287"/>
      <c r="Y42" s="3287"/>
      <c r="Z42" s="3287"/>
    </row>
  </sheetData>
  <sheetProtection algorithmName="SHA-512" hashValue="SBSLx5p6sntmhibo2/YjHEILljz0eL3HvTDHi4vU7UWcpPZBJ3f4K7YekdjDY7pyXqYDW6K9Qor9EK3CtrWGOQ==" saltValue="jKvXDxZgAjx3HVpSNx5iJg==" spinCount="100000" sheet="1" objects="1" selectLockedCells="1"/>
  <mergeCells count="11">
    <mergeCell ref="R32:V32"/>
    <mergeCell ref="R33:V33"/>
    <mergeCell ref="R34:V34"/>
    <mergeCell ref="C33:J33"/>
    <mergeCell ref="C34:J34"/>
    <mergeCell ref="V40:Z40"/>
    <mergeCell ref="V41:Z41"/>
    <mergeCell ref="V42:Z42"/>
    <mergeCell ref="H36:L36"/>
    <mergeCell ref="H37:L37"/>
    <mergeCell ref="O36:R3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R32:V34"/>
  <sheetViews>
    <sheetView showGridLines="0" showRowColHeaders="0" zoomScale="96" zoomScaleNormal="96" workbookViewId="0">
      <selection activeCell="R32" sqref="R32:V32"/>
    </sheetView>
  </sheetViews>
  <sheetFormatPr defaultColWidth="9.140625" defaultRowHeight="15"/>
  <cols>
    <col min="1" max="16384" width="9.140625" style="408"/>
  </cols>
  <sheetData>
    <row r="32" spans="18:22">
      <c r="R32" s="3298" t="s">
        <v>1917</v>
      </c>
      <c r="S32" s="3298"/>
      <c r="T32" s="3298"/>
      <c r="U32" s="3298"/>
      <c r="V32" s="3298"/>
    </row>
    <row r="33" spans="18:22">
      <c r="R33" s="3286" t="s">
        <v>1156</v>
      </c>
      <c r="S33" s="3286"/>
      <c r="T33" s="3286"/>
      <c r="U33" s="3286"/>
      <c r="V33" s="3286"/>
    </row>
    <row r="34" spans="18:22">
      <c r="R34" s="3287">
        <v>2026</v>
      </c>
      <c r="S34" s="3287"/>
      <c r="T34" s="3287"/>
      <c r="U34" s="3287"/>
      <c r="V34" s="3287"/>
    </row>
  </sheetData>
  <sheetProtection algorithmName="SHA-512" hashValue="lGhSdd7zPvLamtek9f37hqU0s08gf9qgUItRdh4C8bfI5ZT+kmLz/mvczYKXmUEOsR3HKvoSuyyMxdjQj6h8uA==" saltValue="GG/YaqWx767S/coRZTjxKQ==" spinCount="100000" sheet="1" objects="1" selectLockedCells="1"/>
  <mergeCells count="3">
    <mergeCell ref="R32:V32"/>
    <mergeCell ref="R33:V33"/>
    <mergeCell ref="R34:V34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AG113"/>
  <sheetViews>
    <sheetView showGridLines="0" showRowColHeaders="0" zoomScale="95" zoomScaleNormal="95" workbookViewId="0">
      <selection activeCell="N7" sqref="N7:Q7"/>
    </sheetView>
  </sheetViews>
  <sheetFormatPr defaultRowHeight="15"/>
  <cols>
    <col min="1" max="1" width="9.140625" style="2323"/>
    <col min="2" max="2" width="15" style="505" customWidth="1"/>
    <col min="3" max="3" width="23.140625" style="504" bestFit="1" customWidth="1"/>
    <col min="4" max="4" width="15" style="505" customWidth="1"/>
    <col min="5" max="5" width="21.42578125" style="505" customWidth="1"/>
    <col min="6" max="6" width="23.7109375" style="505" customWidth="1"/>
    <col min="7" max="11" width="5.7109375" style="2323" customWidth="1"/>
    <col min="12" max="12" width="7.85546875" style="2323" customWidth="1"/>
    <col min="13" max="13" width="53.5703125" style="2323" customWidth="1"/>
    <col min="14" max="14" width="8.28515625" style="2323" customWidth="1"/>
    <col min="15" max="15" width="9.28515625" style="2323" customWidth="1"/>
    <col min="16" max="16" width="5.7109375" style="2323" customWidth="1"/>
    <col min="17" max="17" width="24" style="2323" customWidth="1"/>
    <col min="18" max="18" width="22.140625" style="2323" customWidth="1"/>
    <col min="19" max="23" width="9.140625" style="2323" customWidth="1"/>
    <col min="24" max="24" width="9.140625" style="2323"/>
    <col min="25" max="262" width="9.140625" style="504"/>
    <col min="263" max="272" width="5.7109375" style="504" customWidth="1"/>
    <col min="273" max="279" width="0" style="504" hidden="1" customWidth="1"/>
    <col min="280" max="518" width="9.140625" style="504"/>
    <col min="519" max="528" width="5.7109375" style="504" customWidth="1"/>
    <col min="529" max="535" width="0" style="504" hidden="1" customWidth="1"/>
    <col min="536" max="774" width="9.140625" style="504"/>
    <col min="775" max="784" width="5.7109375" style="504" customWidth="1"/>
    <col min="785" max="791" width="0" style="504" hidden="1" customWidth="1"/>
    <col min="792" max="1030" width="9.140625" style="504"/>
    <col min="1031" max="1040" width="5.7109375" style="504" customWidth="1"/>
    <col min="1041" max="1047" width="0" style="504" hidden="1" customWidth="1"/>
    <col min="1048" max="1286" width="9.140625" style="504"/>
    <col min="1287" max="1296" width="5.7109375" style="504" customWidth="1"/>
    <col min="1297" max="1303" width="0" style="504" hidden="1" customWidth="1"/>
    <col min="1304" max="1542" width="9.140625" style="504"/>
    <col min="1543" max="1552" width="5.7109375" style="504" customWidth="1"/>
    <col min="1553" max="1559" width="0" style="504" hidden="1" customWidth="1"/>
    <col min="1560" max="1798" width="9.140625" style="504"/>
    <col min="1799" max="1808" width="5.7109375" style="504" customWidth="1"/>
    <col min="1809" max="1815" width="0" style="504" hidden="1" customWidth="1"/>
    <col min="1816" max="2054" width="9.140625" style="504"/>
    <col min="2055" max="2064" width="5.7109375" style="504" customWidth="1"/>
    <col min="2065" max="2071" width="0" style="504" hidden="1" customWidth="1"/>
    <col min="2072" max="2310" width="9.140625" style="504"/>
    <col min="2311" max="2320" width="5.7109375" style="504" customWidth="1"/>
    <col min="2321" max="2327" width="0" style="504" hidden="1" customWidth="1"/>
    <col min="2328" max="2566" width="9.140625" style="504"/>
    <col min="2567" max="2576" width="5.7109375" style="504" customWidth="1"/>
    <col min="2577" max="2583" width="0" style="504" hidden="1" customWidth="1"/>
    <col min="2584" max="2822" width="9.140625" style="504"/>
    <col min="2823" max="2832" width="5.7109375" style="504" customWidth="1"/>
    <col min="2833" max="2839" width="0" style="504" hidden="1" customWidth="1"/>
    <col min="2840" max="3078" width="9.140625" style="504"/>
    <col min="3079" max="3088" width="5.7109375" style="504" customWidth="1"/>
    <col min="3089" max="3095" width="0" style="504" hidden="1" customWidth="1"/>
    <col min="3096" max="3334" width="9.140625" style="504"/>
    <col min="3335" max="3344" width="5.7109375" style="504" customWidth="1"/>
    <col min="3345" max="3351" width="0" style="504" hidden="1" customWidth="1"/>
    <col min="3352" max="3590" width="9.140625" style="504"/>
    <col min="3591" max="3600" width="5.7109375" style="504" customWidth="1"/>
    <col min="3601" max="3607" width="0" style="504" hidden="1" customWidth="1"/>
    <col min="3608" max="3846" width="9.140625" style="504"/>
    <col min="3847" max="3856" width="5.7109375" style="504" customWidth="1"/>
    <col min="3857" max="3863" width="0" style="504" hidden="1" customWidth="1"/>
    <col min="3864" max="4102" width="9.140625" style="504"/>
    <col min="4103" max="4112" width="5.7109375" style="504" customWidth="1"/>
    <col min="4113" max="4119" width="0" style="504" hidden="1" customWidth="1"/>
    <col min="4120" max="4358" width="9.140625" style="504"/>
    <col min="4359" max="4368" width="5.7109375" style="504" customWidth="1"/>
    <col min="4369" max="4375" width="0" style="504" hidden="1" customWidth="1"/>
    <col min="4376" max="4614" width="9.140625" style="504"/>
    <col min="4615" max="4624" width="5.7109375" style="504" customWidth="1"/>
    <col min="4625" max="4631" width="0" style="504" hidden="1" customWidth="1"/>
    <col min="4632" max="4870" width="9.140625" style="504"/>
    <col min="4871" max="4880" width="5.7109375" style="504" customWidth="1"/>
    <col min="4881" max="4887" width="0" style="504" hidden="1" customWidth="1"/>
    <col min="4888" max="5126" width="9.140625" style="504"/>
    <col min="5127" max="5136" width="5.7109375" style="504" customWidth="1"/>
    <col min="5137" max="5143" width="0" style="504" hidden="1" customWidth="1"/>
    <col min="5144" max="5382" width="9.140625" style="504"/>
    <col min="5383" max="5392" width="5.7109375" style="504" customWidth="1"/>
    <col min="5393" max="5399" width="0" style="504" hidden="1" customWidth="1"/>
    <col min="5400" max="5638" width="9.140625" style="504"/>
    <col min="5639" max="5648" width="5.7109375" style="504" customWidth="1"/>
    <col min="5649" max="5655" width="0" style="504" hidden="1" customWidth="1"/>
    <col min="5656" max="5894" width="9.140625" style="504"/>
    <col min="5895" max="5904" width="5.7109375" style="504" customWidth="1"/>
    <col min="5905" max="5911" width="0" style="504" hidden="1" customWidth="1"/>
    <col min="5912" max="6150" width="9.140625" style="504"/>
    <col min="6151" max="6160" width="5.7109375" style="504" customWidth="1"/>
    <col min="6161" max="6167" width="0" style="504" hidden="1" customWidth="1"/>
    <col min="6168" max="6406" width="9.140625" style="504"/>
    <col min="6407" max="6416" width="5.7109375" style="504" customWidth="1"/>
    <col min="6417" max="6423" width="0" style="504" hidden="1" customWidth="1"/>
    <col min="6424" max="6662" width="9.140625" style="504"/>
    <col min="6663" max="6672" width="5.7109375" style="504" customWidth="1"/>
    <col min="6673" max="6679" width="0" style="504" hidden="1" customWidth="1"/>
    <col min="6680" max="6918" width="9.140625" style="504"/>
    <col min="6919" max="6928" width="5.7109375" style="504" customWidth="1"/>
    <col min="6929" max="6935" width="0" style="504" hidden="1" customWidth="1"/>
    <col min="6936" max="7174" width="9.140625" style="504"/>
    <col min="7175" max="7184" width="5.7109375" style="504" customWidth="1"/>
    <col min="7185" max="7191" width="0" style="504" hidden="1" customWidth="1"/>
    <col min="7192" max="7430" width="9.140625" style="504"/>
    <col min="7431" max="7440" width="5.7109375" style="504" customWidth="1"/>
    <col min="7441" max="7447" width="0" style="504" hidden="1" customWidth="1"/>
    <col min="7448" max="7686" width="9.140625" style="504"/>
    <col min="7687" max="7696" width="5.7109375" style="504" customWidth="1"/>
    <col min="7697" max="7703" width="0" style="504" hidden="1" customWidth="1"/>
    <col min="7704" max="7942" width="9.140625" style="504"/>
    <col min="7943" max="7952" width="5.7109375" style="504" customWidth="1"/>
    <col min="7953" max="7959" width="0" style="504" hidden="1" customWidth="1"/>
    <col min="7960" max="8198" width="9.140625" style="504"/>
    <col min="8199" max="8208" width="5.7109375" style="504" customWidth="1"/>
    <col min="8209" max="8215" width="0" style="504" hidden="1" customWidth="1"/>
    <col min="8216" max="8454" width="9.140625" style="504"/>
    <col min="8455" max="8464" width="5.7109375" style="504" customWidth="1"/>
    <col min="8465" max="8471" width="0" style="504" hidden="1" customWidth="1"/>
    <col min="8472" max="8710" width="9.140625" style="504"/>
    <col min="8711" max="8720" width="5.7109375" style="504" customWidth="1"/>
    <col min="8721" max="8727" width="0" style="504" hidden="1" customWidth="1"/>
    <col min="8728" max="8966" width="9.140625" style="504"/>
    <col min="8967" max="8976" width="5.7109375" style="504" customWidth="1"/>
    <col min="8977" max="8983" width="0" style="504" hidden="1" customWidth="1"/>
    <col min="8984" max="9222" width="9.140625" style="504"/>
    <col min="9223" max="9232" width="5.7109375" style="504" customWidth="1"/>
    <col min="9233" max="9239" width="0" style="504" hidden="1" customWidth="1"/>
    <col min="9240" max="9478" width="9.140625" style="504"/>
    <col min="9479" max="9488" width="5.7109375" style="504" customWidth="1"/>
    <col min="9489" max="9495" width="0" style="504" hidden="1" customWidth="1"/>
    <col min="9496" max="9734" width="9.140625" style="504"/>
    <col min="9735" max="9744" width="5.7109375" style="504" customWidth="1"/>
    <col min="9745" max="9751" width="0" style="504" hidden="1" customWidth="1"/>
    <col min="9752" max="9990" width="9.140625" style="504"/>
    <col min="9991" max="10000" width="5.7109375" style="504" customWidth="1"/>
    <col min="10001" max="10007" width="0" style="504" hidden="1" customWidth="1"/>
    <col min="10008" max="10246" width="9.140625" style="504"/>
    <col min="10247" max="10256" width="5.7109375" style="504" customWidth="1"/>
    <col min="10257" max="10263" width="0" style="504" hidden="1" customWidth="1"/>
    <col min="10264" max="10502" width="9.140625" style="504"/>
    <col min="10503" max="10512" width="5.7109375" style="504" customWidth="1"/>
    <col min="10513" max="10519" width="0" style="504" hidden="1" customWidth="1"/>
    <col min="10520" max="10758" width="9.140625" style="504"/>
    <col min="10759" max="10768" width="5.7109375" style="504" customWidth="1"/>
    <col min="10769" max="10775" width="0" style="504" hidden="1" customWidth="1"/>
    <col min="10776" max="11014" width="9.140625" style="504"/>
    <col min="11015" max="11024" width="5.7109375" style="504" customWidth="1"/>
    <col min="11025" max="11031" width="0" style="504" hidden="1" customWidth="1"/>
    <col min="11032" max="11270" width="9.140625" style="504"/>
    <col min="11271" max="11280" width="5.7109375" style="504" customWidth="1"/>
    <col min="11281" max="11287" width="0" style="504" hidden="1" customWidth="1"/>
    <col min="11288" max="11526" width="9.140625" style="504"/>
    <col min="11527" max="11536" width="5.7109375" style="504" customWidth="1"/>
    <col min="11537" max="11543" width="0" style="504" hidden="1" customWidth="1"/>
    <col min="11544" max="11782" width="9.140625" style="504"/>
    <col min="11783" max="11792" width="5.7109375" style="504" customWidth="1"/>
    <col min="11793" max="11799" width="0" style="504" hidden="1" customWidth="1"/>
    <col min="11800" max="12038" width="9.140625" style="504"/>
    <col min="12039" max="12048" width="5.7109375" style="504" customWidth="1"/>
    <col min="12049" max="12055" width="0" style="504" hidden="1" customWidth="1"/>
    <col min="12056" max="12294" width="9.140625" style="504"/>
    <col min="12295" max="12304" width="5.7109375" style="504" customWidth="1"/>
    <col min="12305" max="12311" width="0" style="504" hidden="1" customWidth="1"/>
    <col min="12312" max="12550" width="9.140625" style="504"/>
    <col min="12551" max="12560" width="5.7109375" style="504" customWidth="1"/>
    <col min="12561" max="12567" width="0" style="504" hidden="1" customWidth="1"/>
    <col min="12568" max="12806" width="9.140625" style="504"/>
    <col min="12807" max="12816" width="5.7109375" style="504" customWidth="1"/>
    <col min="12817" max="12823" width="0" style="504" hidden="1" customWidth="1"/>
    <col min="12824" max="13062" width="9.140625" style="504"/>
    <col min="13063" max="13072" width="5.7109375" style="504" customWidth="1"/>
    <col min="13073" max="13079" width="0" style="504" hidden="1" customWidth="1"/>
    <col min="13080" max="13318" width="9.140625" style="504"/>
    <col min="13319" max="13328" width="5.7109375" style="504" customWidth="1"/>
    <col min="13329" max="13335" width="0" style="504" hidden="1" customWidth="1"/>
    <col min="13336" max="13574" width="9.140625" style="504"/>
    <col min="13575" max="13584" width="5.7109375" style="504" customWidth="1"/>
    <col min="13585" max="13591" width="0" style="504" hidden="1" customWidth="1"/>
    <col min="13592" max="13830" width="9.140625" style="504"/>
    <col min="13831" max="13840" width="5.7109375" style="504" customWidth="1"/>
    <col min="13841" max="13847" width="0" style="504" hidden="1" customWidth="1"/>
    <col min="13848" max="14086" width="9.140625" style="504"/>
    <col min="14087" max="14096" width="5.7109375" style="504" customWidth="1"/>
    <col min="14097" max="14103" width="0" style="504" hidden="1" customWidth="1"/>
    <col min="14104" max="14342" width="9.140625" style="504"/>
    <col min="14343" max="14352" width="5.7109375" style="504" customWidth="1"/>
    <col min="14353" max="14359" width="0" style="504" hidden="1" customWidth="1"/>
    <col min="14360" max="14598" width="9.140625" style="504"/>
    <col min="14599" max="14608" width="5.7109375" style="504" customWidth="1"/>
    <col min="14609" max="14615" width="0" style="504" hidden="1" customWidth="1"/>
    <col min="14616" max="14854" width="9.140625" style="504"/>
    <col min="14855" max="14864" width="5.7109375" style="504" customWidth="1"/>
    <col min="14865" max="14871" width="0" style="504" hidden="1" customWidth="1"/>
    <col min="14872" max="15110" width="9.140625" style="504"/>
    <col min="15111" max="15120" width="5.7109375" style="504" customWidth="1"/>
    <col min="15121" max="15127" width="0" style="504" hidden="1" customWidth="1"/>
    <col min="15128" max="15366" width="9.140625" style="504"/>
    <col min="15367" max="15376" width="5.7109375" style="504" customWidth="1"/>
    <col min="15377" max="15383" width="0" style="504" hidden="1" customWidth="1"/>
    <col min="15384" max="15622" width="9.140625" style="504"/>
    <col min="15623" max="15632" width="5.7109375" style="504" customWidth="1"/>
    <col min="15633" max="15639" width="0" style="504" hidden="1" customWidth="1"/>
    <col min="15640" max="15878" width="9.140625" style="504"/>
    <col min="15879" max="15888" width="5.7109375" style="504" customWidth="1"/>
    <col min="15889" max="15895" width="0" style="504" hidden="1" customWidth="1"/>
    <col min="15896" max="16134" width="9.140625" style="504"/>
    <col min="16135" max="16144" width="5.7109375" style="504" customWidth="1"/>
    <col min="16145" max="16151" width="0" style="504" hidden="1" customWidth="1"/>
    <col min="16152" max="16384" width="9.140625" style="504"/>
  </cols>
  <sheetData>
    <row r="1" spans="2:33" s="2323" customFormat="1">
      <c r="B1" s="2324"/>
      <c r="D1" s="2324"/>
      <c r="E1" s="2324"/>
      <c r="F1" s="2324"/>
    </row>
    <row r="2" spans="2:33" s="2323" customFormat="1" ht="15.75" thickBot="1">
      <c r="B2" s="2324"/>
      <c r="D2" s="2324"/>
      <c r="E2" s="2324"/>
      <c r="F2" s="2324"/>
    </row>
    <row r="3" spans="2:33" ht="45" customHeight="1" thickBot="1">
      <c r="B3" s="3300" t="s">
        <v>736</v>
      </c>
      <c r="C3" s="3301"/>
      <c r="D3" s="3301"/>
      <c r="E3" s="3301"/>
      <c r="F3" s="3302"/>
      <c r="Y3" s="509"/>
      <c r="Z3" s="509"/>
      <c r="AA3" s="509"/>
      <c r="AB3" s="509"/>
      <c r="AC3" s="509"/>
      <c r="AD3" s="509"/>
      <c r="AE3" s="509"/>
      <c r="AF3" s="509"/>
      <c r="AG3" s="509"/>
    </row>
    <row r="4" spans="2:33" ht="15.75" thickBot="1">
      <c r="B4" s="2325"/>
      <c r="C4" s="2323"/>
      <c r="D4" s="2323"/>
      <c r="E4" s="2323"/>
      <c r="F4" s="2323"/>
      <c r="Y4" s="509"/>
      <c r="Z4" s="509"/>
      <c r="AA4" s="509"/>
      <c r="AB4" s="509"/>
      <c r="AC4" s="509"/>
      <c r="AD4" s="509"/>
      <c r="AE4" s="509"/>
      <c r="AF4" s="509"/>
      <c r="AG4" s="509"/>
    </row>
    <row r="5" spans="2:33" ht="21">
      <c r="B5" s="522" t="s">
        <v>735</v>
      </c>
      <c r="C5" s="524" t="s">
        <v>743</v>
      </c>
      <c r="D5" s="511"/>
      <c r="E5" s="512" t="s">
        <v>737</v>
      </c>
      <c r="F5" s="520" t="s">
        <v>744</v>
      </c>
      <c r="G5" s="2326"/>
      <c r="H5" s="2326"/>
      <c r="I5" s="2326"/>
      <c r="J5" s="2326"/>
      <c r="K5" s="2326"/>
      <c r="L5" s="2326"/>
      <c r="M5" s="2326"/>
      <c r="N5" s="2326"/>
      <c r="Y5" s="509"/>
      <c r="Z5" s="509"/>
      <c r="AA5" s="509"/>
      <c r="AB5" s="509"/>
      <c r="AC5" s="509"/>
      <c r="AD5" s="509"/>
      <c r="AE5" s="509"/>
      <c r="AF5" s="509"/>
      <c r="AG5" s="509"/>
    </row>
    <row r="6" spans="2:33" ht="21.75" thickBot="1">
      <c r="B6" s="523" t="s">
        <v>725</v>
      </c>
      <c r="C6" s="525" t="s">
        <v>742</v>
      </c>
      <c r="D6" s="514" t="s">
        <v>733</v>
      </c>
      <c r="E6" s="513" t="s">
        <v>738</v>
      </c>
      <c r="F6" s="513" t="s">
        <v>726</v>
      </c>
      <c r="Y6" s="509"/>
      <c r="Z6" s="509"/>
      <c r="AA6" s="509"/>
      <c r="AB6" s="509"/>
      <c r="AC6" s="509"/>
      <c r="AD6" s="509"/>
      <c r="AE6" s="509"/>
      <c r="AF6" s="509"/>
      <c r="AG6" s="509"/>
    </row>
    <row r="7" spans="2:33">
      <c r="B7" s="515">
        <v>6</v>
      </c>
      <c r="C7" s="516">
        <v>4</v>
      </c>
      <c r="D7" s="519" t="s">
        <v>727</v>
      </c>
      <c r="E7" s="518" t="s">
        <v>730</v>
      </c>
      <c r="F7" s="517" t="s">
        <v>195</v>
      </c>
      <c r="H7" s="2327"/>
      <c r="N7" s="3299" t="s">
        <v>739</v>
      </c>
      <c r="O7" s="3299"/>
      <c r="P7" s="3299"/>
      <c r="Q7" s="3299"/>
      <c r="Y7" s="509"/>
      <c r="Z7" s="509"/>
      <c r="AA7" s="509"/>
      <c r="AB7" s="509"/>
      <c r="AC7" s="509"/>
      <c r="AD7" s="509"/>
      <c r="AE7" s="509"/>
      <c r="AF7" s="509"/>
      <c r="AG7" s="509"/>
    </row>
    <row r="8" spans="2:33">
      <c r="B8" s="508">
        <v>12</v>
      </c>
      <c r="C8" s="506">
        <v>8</v>
      </c>
      <c r="D8" s="521" t="s">
        <v>727</v>
      </c>
      <c r="E8" s="521" t="s">
        <v>730</v>
      </c>
      <c r="F8" s="506" t="s">
        <v>195</v>
      </c>
      <c r="N8" s="3299" t="s">
        <v>319</v>
      </c>
      <c r="O8" s="3299"/>
      <c r="P8" s="3299"/>
      <c r="Q8" s="3299"/>
      <c r="Y8" s="509"/>
      <c r="Z8" s="509"/>
      <c r="AA8" s="509"/>
      <c r="AB8" s="509"/>
      <c r="AC8" s="509"/>
      <c r="AD8" s="509"/>
      <c r="AE8" s="509"/>
      <c r="AF8" s="509"/>
      <c r="AG8" s="509"/>
    </row>
    <row r="9" spans="2:33">
      <c r="B9" s="508">
        <v>12</v>
      </c>
      <c r="C9" s="506">
        <v>12</v>
      </c>
      <c r="D9" s="521" t="s">
        <v>728</v>
      </c>
      <c r="E9" s="521" t="s">
        <v>731</v>
      </c>
      <c r="F9" s="506" t="s">
        <v>195</v>
      </c>
      <c r="N9" s="3299">
        <v>2026</v>
      </c>
      <c r="O9" s="3299"/>
      <c r="P9" s="3299"/>
      <c r="Q9" s="3299"/>
      <c r="Y9" s="509"/>
      <c r="Z9" s="509"/>
      <c r="AA9" s="509"/>
      <c r="AB9" s="509"/>
      <c r="AC9" s="509"/>
      <c r="AD9" s="509"/>
      <c r="AE9" s="509"/>
      <c r="AF9" s="509"/>
      <c r="AG9" s="509"/>
    </row>
    <row r="10" spans="2:33">
      <c r="B10" s="508">
        <v>18</v>
      </c>
      <c r="C10" s="506">
        <v>12</v>
      </c>
      <c r="D10" s="521" t="s">
        <v>727</v>
      </c>
      <c r="E10" s="521" t="s">
        <v>730</v>
      </c>
      <c r="F10" s="506" t="s">
        <v>195</v>
      </c>
      <c r="Y10" s="509"/>
      <c r="Z10" s="509"/>
      <c r="AA10" s="509"/>
      <c r="AB10" s="509"/>
      <c r="AC10" s="509"/>
      <c r="AD10" s="509"/>
      <c r="AE10" s="509"/>
      <c r="AF10" s="509"/>
      <c r="AG10" s="509"/>
    </row>
    <row r="11" spans="2:33">
      <c r="B11" s="508">
        <v>18</v>
      </c>
      <c r="C11" s="506">
        <v>18</v>
      </c>
      <c r="D11" s="521" t="s">
        <v>728</v>
      </c>
      <c r="E11" s="521" t="s">
        <v>731</v>
      </c>
      <c r="F11" s="506" t="s">
        <v>195</v>
      </c>
      <c r="Y11" s="509"/>
      <c r="Z11" s="509"/>
      <c r="AA11" s="509"/>
      <c r="AB11" s="509"/>
      <c r="AC11" s="509"/>
      <c r="AD11" s="509"/>
      <c r="AE11" s="509"/>
      <c r="AF11" s="509"/>
      <c r="AG11" s="509"/>
    </row>
    <row r="12" spans="2:33">
      <c r="B12" s="508">
        <v>18</v>
      </c>
      <c r="C12" s="506">
        <v>18</v>
      </c>
      <c r="D12" s="521" t="s">
        <v>729</v>
      </c>
      <c r="E12" s="521" t="s">
        <v>732</v>
      </c>
      <c r="F12" s="506" t="s">
        <v>195</v>
      </c>
      <c r="Y12" s="509"/>
      <c r="Z12" s="509"/>
      <c r="AA12" s="509"/>
      <c r="AB12" s="509"/>
      <c r="AC12" s="509"/>
      <c r="AD12" s="509"/>
      <c r="AE12" s="509"/>
      <c r="AF12" s="509"/>
      <c r="AG12" s="509"/>
    </row>
    <row r="13" spans="2:33">
      <c r="B13" s="508">
        <v>24</v>
      </c>
      <c r="C13" s="506">
        <v>18</v>
      </c>
      <c r="D13" s="521" t="s">
        <v>727</v>
      </c>
      <c r="E13" s="521" t="s">
        <v>730</v>
      </c>
      <c r="F13" s="506" t="s">
        <v>195</v>
      </c>
      <c r="Y13" s="509"/>
      <c r="Z13" s="509"/>
      <c r="AA13" s="509"/>
      <c r="AB13" s="509"/>
      <c r="AC13" s="509"/>
      <c r="AD13" s="509"/>
      <c r="AE13" s="509"/>
      <c r="AF13" s="509"/>
      <c r="AG13" s="509"/>
    </row>
    <row r="14" spans="2:33">
      <c r="B14" s="508">
        <v>24</v>
      </c>
      <c r="C14" s="506">
        <v>18</v>
      </c>
      <c r="D14" s="521" t="s">
        <v>728</v>
      </c>
      <c r="E14" s="521" t="s">
        <v>731</v>
      </c>
      <c r="F14" s="506" t="s">
        <v>195</v>
      </c>
      <c r="Y14" s="509"/>
      <c r="Z14" s="509"/>
      <c r="AA14" s="509"/>
      <c r="AB14" s="509"/>
      <c r="AC14" s="509"/>
      <c r="AD14" s="509"/>
      <c r="AE14" s="509"/>
      <c r="AF14" s="509"/>
      <c r="AG14" s="509"/>
    </row>
    <row r="15" spans="2:33">
      <c r="B15" s="508">
        <v>24</v>
      </c>
      <c r="C15" s="506">
        <v>25</v>
      </c>
      <c r="D15" s="521" t="s">
        <v>729</v>
      </c>
      <c r="E15" s="521" t="s">
        <v>732</v>
      </c>
      <c r="F15" s="506" t="s">
        <v>195</v>
      </c>
      <c r="Y15" s="509"/>
      <c r="Z15" s="509"/>
      <c r="AA15" s="509"/>
      <c r="AB15" s="509"/>
      <c r="AC15" s="509"/>
      <c r="AD15" s="509"/>
      <c r="AE15" s="509"/>
      <c r="AF15" s="509"/>
      <c r="AG15" s="509"/>
    </row>
    <row r="16" spans="2:33">
      <c r="B16" s="508">
        <v>34</v>
      </c>
      <c r="C16" s="506">
        <v>25</v>
      </c>
      <c r="D16" s="521" t="s">
        <v>727</v>
      </c>
      <c r="E16" s="521" t="s">
        <v>730</v>
      </c>
      <c r="F16" s="506" t="s">
        <v>195</v>
      </c>
      <c r="Y16" s="509"/>
      <c r="Z16" s="509"/>
      <c r="AA16" s="509"/>
      <c r="AB16" s="509"/>
      <c r="AC16" s="509"/>
      <c r="AD16" s="509"/>
      <c r="AE16" s="509"/>
      <c r="AF16" s="509"/>
      <c r="AG16" s="509"/>
    </row>
    <row r="17" spans="2:33">
      <c r="B17" s="508">
        <v>34</v>
      </c>
      <c r="C17" s="506">
        <v>25</v>
      </c>
      <c r="D17" s="521" t="s">
        <v>728</v>
      </c>
      <c r="E17" s="521" t="s">
        <v>731</v>
      </c>
      <c r="F17" s="506" t="s">
        <v>195</v>
      </c>
      <c r="Y17" s="509"/>
      <c r="Z17" s="509"/>
      <c r="AA17" s="509"/>
      <c r="AB17" s="509"/>
      <c r="AC17" s="509"/>
      <c r="AD17" s="509"/>
      <c r="AE17" s="509"/>
      <c r="AF17" s="509"/>
      <c r="AG17" s="509"/>
    </row>
    <row r="18" spans="2:33">
      <c r="B18" s="508">
        <v>34</v>
      </c>
      <c r="C18" s="506">
        <v>35</v>
      </c>
      <c r="D18" s="521" t="s">
        <v>729</v>
      </c>
      <c r="E18" s="521" t="s">
        <v>732</v>
      </c>
      <c r="F18" s="506" t="s">
        <v>195</v>
      </c>
      <c r="Y18" s="509"/>
      <c r="Z18" s="509"/>
      <c r="AA18" s="509"/>
      <c r="AB18" s="509"/>
      <c r="AC18" s="509"/>
      <c r="AD18" s="509"/>
      <c r="AE18" s="509"/>
      <c r="AF18" s="509"/>
      <c r="AG18" s="509"/>
    </row>
    <row r="19" spans="2:33">
      <c r="B19" s="508">
        <v>45</v>
      </c>
      <c r="C19" s="506">
        <v>25</v>
      </c>
      <c r="D19" s="521" t="s">
        <v>727</v>
      </c>
      <c r="E19" s="521" t="s">
        <v>730</v>
      </c>
      <c r="F19" s="506" t="s">
        <v>195</v>
      </c>
      <c r="Y19" s="509"/>
      <c r="Z19" s="509"/>
      <c r="AA19" s="509"/>
      <c r="AB19" s="509"/>
      <c r="AC19" s="509"/>
      <c r="AD19" s="509"/>
      <c r="AE19" s="509"/>
      <c r="AF19" s="509"/>
      <c r="AG19" s="509"/>
    </row>
    <row r="20" spans="2:33">
      <c r="B20" s="508">
        <v>45</v>
      </c>
      <c r="C20" s="506">
        <v>35</v>
      </c>
      <c r="D20" s="521" t="s">
        <v>728</v>
      </c>
      <c r="E20" s="521" t="s">
        <v>731</v>
      </c>
      <c r="F20" s="506" t="s">
        <v>195</v>
      </c>
      <c r="Y20" s="509"/>
      <c r="Z20" s="509"/>
      <c r="AA20" s="509"/>
      <c r="AB20" s="509"/>
      <c r="AC20" s="509"/>
      <c r="AD20" s="509"/>
      <c r="AE20" s="509"/>
      <c r="AF20" s="509"/>
      <c r="AG20" s="509"/>
    </row>
    <row r="21" spans="2:33">
      <c r="B21" s="508">
        <v>45</v>
      </c>
      <c r="C21" s="506">
        <v>50</v>
      </c>
      <c r="D21" s="521" t="s">
        <v>729</v>
      </c>
      <c r="E21" s="521" t="s">
        <v>732</v>
      </c>
      <c r="F21" s="506" t="s">
        <v>195</v>
      </c>
      <c r="Y21" s="509"/>
      <c r="Z21" s="509"/>
      <c r="AA21" s="509"/>
      <c r="AB21" s="509"/>
      <c r="AC21" s="509"/>
      <c r="AD21" s="509"/>
      <c r="AE21" s="509"/>
      <c r="AF21" s="509"/>
      <c r="AG21" s="509"/>
    </row>
    <row r="22" spans="2:33">
      <c r="B22" s="508">
        <v>50</v>
      </c>
      <c r="C22" s="506">
        <v>35</v>
      </c>
      <c r="D22" s="521" t="s">
        <v>727</v>
      </c>
      <c r="E22" s="521" t="s">
        <v>730</v>
      </c>
      <c r="F22" s="506" t="s">
        <v>195</v>
      </c>
      <c r="Y22" s="509"/>
      <c r="Z22" s="509"/>
      <c r="AA22" s="509"/>
      <c r="AB22" s="509"/>
      <c r="AC22" s="509"/>
      <c r="AD22" s="509"/>
      <c r="AE22" s="509"/>
      <c r="AF22" s="509"/>
      <c r="AG22" s="509"/>
    </row>
    <row r="23" spans="2:33">
      <c r="B23" s="508">
        <v>50</v>
      </c>
      <c r="C23" s="506">
        <v>50</v>
      </c>
      <c r="D23" s="521" t="s">
        <v>728</v>
      </c>
      <c r="E23" s="521" t="s">
        <v>731</v>
      </c>
      <c r="F23" s="506" t="s">
        <v>195</v>
      </c>
      <c r="Y23" s="509"/>
      <c r="Z23" s="509"/>
      <c r="AA23" s="509"/>
      <c r="AB23" s="509"/>
      <c r="AC23" s="509"/>
      <c r="AD23" s="509"/>
      <c r="AE23" s="509"/>
      <c r="AF23" s="509"/>
      <c r="AG23" s="509"/>
    </row>
    <row r="24" spans="2:33">
      <c r="B24" s="508">
        <v>50</v>
      </c>
      <c r="C24" s="506">
        <v>50</v>
      </c>
      <c r="D24" s="521" t="s">
        <v>729</v>
      </c>
      <c r="E24" s="521" t="s">
        <v>732</v>
      </c>
      <c r="F24" s="506" t="s">
        <v>195</v>
      </c>
      <c r="Y24" s="509"/>
      <c r="Z24" s="509"/>
      <c r="AA24" s="509"/>
      <c r="AB24" s="509"/>
      <c r="AC24" s="509"/>
      <c r="AD24" s="509"/>
      <c r="AE24" s="509"/>
      <c r="AF24" s="509"/>
      <c r="AG24" s="509"/>
    </row>
    <row r="25" spans="2:33">
      <c r="B25" s="508">
        <v>75</v>
      </c>
      <c r="C25" s="506">
        <v>50</v>
      </c>
      <c r="D25" s="521" t="s">
        <v>727</v>
      </c>
      <c r="E25" s="521" t="s">
        <v>730</v>
      </c>
      <c r="F25" s="506" t="s">
        <v>195</v>
      </c>
      <c r="Y25" s="509"/>
      <c r="Z25" s="509"/>
      <c r="AA25" s="509"/>
      <c r="AB25" s="509"/>
      <c r="AC25" s="509"/>
      <c r="AD25" s="509"/>
      <c r="AE25" s="509"/>
      <c r="AF25" s="509"/>
      <c r="AG25" s="509"/>
    </row>
    <row r="26" spans="2:33">
      <c r="B26" s="508">
        <v>75</v>
      </c>
      <c r="C26" s="506">
        <v>80</v>
      </c>
      <c r="D26" s="521" t="s">
        <v>728</v>
      </c>
      <c r="E26" s="521" t="s">
        <v>731</v>
      </c>
      <c r="F26" s="506" t="s">
        <v>195</v>
      </c>
      <c r="Y26" s="509"/>
      <c r="Z26" s="509"/>
      <c r="AA26" s="509"/>
      <c r="AB26" s="509"/>
      <c r="AC26" s="509"/>
      <c r="AD26" s="509"/>
      <c r="AE26" s="509"/>
      <c r="AF26" s="509"/>
      <c r="AG26" s="509"/>
    </row>
    <row r="27" spans="2:33">
      <c r="B27" s="508">
        <v>75</v>
      </c>
      <c r="C27" s="506">
        <v>80</v>
      </c>
      <c r="D27" s="521" t="s">
        <v>729</v>
      </c>
      <c r="E27" s="521" t="s">
        <v>732</v>
      </c>
      <c r="F27" s="506" t="s">
        <v>195</v>
      </c>
      <c r="Y27" s="509"/>
      <c r="Z27" s="509"/>
      <c r="AA27" s="509"/>
      <c r="AB27" s="509"/>
      <c r="AC27" s="509"/>
      <c r="AD27" s="509"/>
      <c r="AE27" s="509"/>
      <c r="AF27" s="509"/>
      <c r="AG27" s="509"/>
    </row>
    <row r="28" spans="2:33">
      <c r="B28" s="508">
        <v>100</v>
      </c>
      <c r="C28" s="506">
        <v>80</v>
      </c>
      <c r="D28" s="521" t="s">
        <v>727</v>
      </c>
      <c r="E28" s="521" t="s">
        <v>730</v>
      </c>
      <c r="F28" s="506" t="s">
        <v>195</v>
      </c>
      <c r="Y28" s="509"/>
      <c r="Z28" s="509"/>
      <c r="AA28" s="509"/>
      <c r="AB28" s="509"/>
      <c r="AC28" s="509"/>
      <c r="AD28" s="509"/>
      <c r="AE28" s="509"/>
      <c r="AF28" s="509"/>
      <c r="AG28" s="509"/>
    </row>
    <row r="29" spans="2:33">
      <c r="B29" s="508">
        <v>100</v>
      </c>
      <c r="C29" s="506">
        <v>80</v>
      </c>
      <c r="D29" s="521" t="s">
        <v>728</v>
      </c>
      <c r="E29" s="521" t="s">
        <v>731</v>
      </c>
      <c r="F29" s="506" t="s">
        <v>195</v>
      </c>
      <c r="Y29" s="509"/>
      <c r="Z29" s="509"/>
      <c r="AA29" s="509"/>
      <c r="AB29" s="509"/>
      <c r="AC29" s="509"/>
      <c r="AD29" s="509"/>
      <c r="AE29" s="509"/>
      <c r="AF29" s="509"/>
      <c r="AG29" s="509"/>
    </row>
    <row r="30" spans="2:33">
      <c r="B30" s="508">
        <v>100</v>
      </c>
      <c r="C30" s="506">
        <v>110</v>
      </c>
      <c r="D30" s="521" t="s">
        <v>729</v>
      </c>
      <c r="E30" s="521" t="s">
        <v>732</v>
      </c>
      <c r="F30" s="506" t="s">
        <v>195</v>
      </c>
      <c r="Y30" s="509"/>
      <c r="Z30" s="509"/>
      <c r="AA30" s="509"/>
      <c r="AB30" s="509"/>
      <c r="AC30" s="509"/>
      <c r="AD30" s="509"/>
      <c r="AE30" s="509"/>
      <c r="AF30" s="509"/>
      <c r="AG30" s="509"/>
    </row>
    <row r="31" spans="2:33">
      <c r="B31" s="508">
        <v>125</v>
      </c>
      <c r="C31" s="506">
        <v>80</v>
      </c>
      <c r="D31" s="521" t="s">
        <v>727</v>
      </c>
      <c r="E31" s="521" t="s">
        <v>730</v>
      </c>
      <c r="F31" s="506" t="s">
        <v>195</v>
      </c>
      <c r="Y31" s="509"/>
      <c r="Z31" s="509"/>
      <c r="AA31" s="509"/>
      <c r="AB31" s="509"/>
      <c r="AC31" s="509"/>
      <c r="AD31" s="509"/>
      <c r="AE31" s="509"/>
      <c r="AF31" s="509"/>
      <c r="AG31" s="509"/>
    </row>
    <row r="32" spans="2:33">
      <c r="B32" s="508">
        <v>125</v>
      </c>
      <c r="C32" s="506">
        <v>110</v>
      </c>
      <c r="D32" s="521" t="s">
        <v>728</v>
      </c>
      <c r="E32" s="521" t="s">
        <v>731</v>
      </c>
      <c r="F32" s="506" t="s">
        <v>195</v>
      </c>
      <c r="Y32" s="509"/>
      <c r="Z32" s="509"/>
      <c r="AA32" s="509"/>
      <c r="AB32" s="509"/>
      <c r="AC32" s="509"/>
      <c r="AD32" s="509"/>
      <c r="AE32" s="509"/>
      <c r="AF32" s="509"/>
      <c r="AG32" s="509"/>
    </row>
    <row r="33" spans="2:33">
      <c r="B33" s="508">
        <v>125</v>
      </c>
      <c r="C33" s="506">
        <v>140</v>
      </c>
      <c r="D33" s="521" t="s">
        <v>729</v>
      </c>
      <c r="E33" s="521" t="s">
        <v>732</v>
      </c>
      <c r="F33" s="506" t="s">
        <v>195</v>
      </c>
      <c r="Y33" s="509"/>
      <c r="Z33" s="509"/>
      <c r="AA33" s="509"/>
      <c r="AB33" s="509"/>
      <c r="AC33" s="509"/>
      <c r="AD33" s="509"/>
      <c r="AE33" s="509"/>
      <c r="AF33" s="509"/>
      <c r="AG33" s="509"/>
    </row>
    <row r="34" spans="2:33">
      <c r="B34" s="508">
        <v>165</v>
      </c>
      <c r="C34" s="506">
        <v>110</v>
      </c>
      <c r="D34" s="521" t="s">
        <v>727</v>
      </c>
      <c r="E34" s="521" t="s">
        <v>730</v>
      </c>
      <c r="F34" s="506" t="s">
        <v>198</v>
      </c>
      <c r="Y34" s="509"/>
      <c r="Z34" s="509"/>
      <c r="AA34" s="509"/>
      <c r="AB34" s="509"/>
      <c r="AC34" s="509"/>
      <c r="AD34" s="509"/>
      <c r="AE34" s="509"/>
      <c r="AF34" s="509"/>
      <c r="AG34" s="509"/>
    </row>
    <row r="35" spans="2:33">
      <c r="B35" s="508">
        <v>165</v>
      </c>
      <c r="C35" s="506">
        <v>140</v>
      </c>
      <c r="D35" s="521" t="s">
        <v>728</v>
      </c>
      <c r="E35" s="521" t="s">
        <v>731</v>
      </c>
      <c r="F35" s="506" t="s">
        <v>198</v>
      </c>
      <c r="Y35" s="509"/>
      <c r="Z35" s="509"/>
      <c r="AA35" s="509"/>
      <c r="AB35" s="509"/>
      <c r="AC35" s="509"/>
      <c r="AD35" s="509"/>
      <c r="AE35" s="509"/>
      <c r="AF35" s="509"/>
      <c r="AG35" s="509"/>
    </row>
    <row r="36" spans="2:33">
      <c r="B36" s="508">
        <v>165</v>
      </c>
      <c r="C36" s="506">
        <v>200</v>
      </c>
      <c r="D36" s="521" t="s">
        <v>729</v>
      </c>
      <c r="E36" s="521" t="s">
        <v>732</v>
      </c>
      <c r="F36" s="506" t="s">
        <v>198</v>
      </c>
      <c r="Y36" s="509"/>
      <c r="Z36" s="509"/>
      <c r="AA36" s="509"/>
      <c r="AB36" s="509"/>
      <c r="AC36" s="509"/>
      <c r="AD36" s="509"/>
      <c r="AE36" s="509"/>
      <c r="AF36" s="509"/>
      <c r="AG36" s="509"/>
    </row>
    <row r="37" spans="2:33">
      <c r="B37" s="508">
        <v>200</v>
      </c>
      <c r="C37" s="506">
        <v>140</v>
      </c>
      <c r="D37" s="521" t="s">
        <v>727</v>
      </c>
      <c r="E37" s="521" t="s">
        <v>730</v>
      </c>
      <c r="F37" s="506" t="s">
        <v>201</v>
      </c>
      <c r="Y37" s="509"/>
      <c r="Z37" s="509"/>
      <c r="AA37" s="509"/>
      <c r="AB37" s="509"/>
      <c r="AC37" s="509"/>
      <c r="AD37" s="509"/>
      <c r="AE37" s="509"/>
      <c r="AF37" s="509"/>
      <c r="AG37" s="509"/>
    </row>
    <row r="38" spans="2:33">
      <c r="B38" s="508">
        <v>200</v>
      </c>
      <c r="C38" s="506">
        <v>140</v>
      </c>
      <c r="D38" s="521" t="s">
        <v>728</v>
      </c>
      <c r="E38" s="521" t="s">
        <v>731</v>
      </c>
      <c r="F38" s="506" t="s">
        <v>201</v>
      </c>
      <c r="Y38" s="509"/>
      <c r="Z38" s="509"/>
      <c r="AA38" s="509"/>
      <c r="AB38" s="509"/>
      <c r="AC38" s="509"/>
      <c r="AD38" s="509"/>
      <c r="AE38" s="509"/>
      <c r="AF38" s="509"/>
      <c r="AG38" s="509"/>
    </row>
    <row r="39" spans="2:33">
      <c r="B39" s="508">
        <v>200</v>
      </c>
      <c r="C39" s="506">
        <v>200</v>
      </c>
      <c r="D39" s="521" t="s">
        <v>729</v>
      </c>
      <c r="E39" s="521" t="s">
        <v>732</v>
      </c>
      <c r="F39" s="506" t="s">
        <v>201</v>
      </c>
      <c r="Y39" s="509"/>
      <c r="Z39" s="509"/>
      <c r="AA39" s="509"/>
      <c r="AB39" s="509"/>
      <c r="AC39" s="509"/>
      <c r="AD39" s="509"/>
      <c r="AE39" s="509"/>
      <c r="AF39" s="509"/>
      <c r="AG39" s="509"/>
    </row>
    <row r="40" spans="2:33">
      <c r="B40" s="508">
        <v>240</v>
      </c>
      <c r="C40" s="506">
        <v>140</v>
      </c>
      <c r="D40" s="521" t="s">
        <v>727</v>
      </c>
      <c r="E40" s="521" t="s">
        <v>730</v>
      </c>
      <c r="F40" s="506" t="s">
        <v>201</v>
      </c>
      <c r="Y40" s="509"/>
      <c r="Z40" s="509"/>
      <c r="AA40" s="509"/>
      <c r="AB40" s="509"/>
      <c r="AC40" s="509"/>
      <c r="AD40" s="509"/>
      <c r="AE40" s="509"/>
      <c r="AF40" s="509"/>
      <c r="AG40" s="509"/>
    </row>
    <row r="41" spans="2:33">
      <c r="B41" s="508">
        <v>240</v>
      </c>
      <c r="C41" s="506">
        <v>200</v>
      </c>
      <c r="D41" s="521" t="s">
        <v>728</v>
      </c>
      <c r="E41" s="521" t="s">
        <v>731</v>
      </c>
      <c r="F41" s="506" t="s">
        <v>201</v>
      </c>
      <c r="Y41" s="509"/>
      <c r="Z41" s="509"/>
      <c r="AA41" s="509"/>
      <c r="AB41" s="509"/>
      <c r="AC41" s="509"/>
      <c r="AD41" s="509"/>
      <c r="AE41" s="509"/>
      <c r="AF41" s="509"/>
      <c r="AG41" s="509"/>
    </row>
    <row r="42" spans="2:33">
      <c r="B42" s="508">
        <v>240</v>
      </c>
      <c r="C42" s="506">
        <v>300</v>
      </c>
      <c r="D42" s="521" t="s">
        <v>729</v>
      </c>
      <c r="E42" s="521" t="s">
        <v>732</v>
      </c>
      <c r="F42" s="506" t="s">
        <v>201</v>
      </c>
      <c r="Y42" s="509"/>
      <c r="Z42" s="509"/>
      <c r="AA42" s="509"/>
      <c r="AB42" s="509"/>
      <c r="AC42" s="509"/>
      <c r="AD42" s="509"/>
      <c r="AE42" s="509"/>
      <c r="AF42" s="509"/>
      <c r="AG42" s="509"/>
    </row>
    <row r="43" spans="2:33">
      <c r="B43" s="508">
        <v>280</v>
      </c>
      <c r="C43" s="506">
        <v>200</v>
      </c>
      <c r="D43" s="521" t="s">
        <v>727</v>
      </c>
      <c r="E43" s="521" t="s">
        <v>730</v>
      </c>
      <c r="F43" s="506" t="s">
        <v>201</v>
      </c>
      <c r="Y43" s="509"/>
      <c r="Z43" s="509"/>
      <c r="AA43" s="509"/>
      <c r="AB43" s="509"/>
      <c r="AC43" s="509"/>
      <c r="AD43" s="509"/>
      <c r="AE43" s="509"/>
      <c r="AF43" s="509"/>
      <c r="AG43" s="509"/>
    </row>
    <row r="44" spans="2:33">
      <c r="B44" s="508">
        <v>280</v>
      </c>
      <c r="C44" s="506">
        <v>200</v>
      </c>
      <c r="D44" s="521" t="s">
        <v>728</v>
      </c>
      <c r="E44" s="521" t="s">
        <v>731</v>
      </c>
      <c r="F44" s="506" t="s">
        <v>201</v>
      </c>
      <c r="Y44" s="509"/>
      <c r="Z44" s="509"/>
      <c r="AA44" s="509"/>
      <c r="AB44" s="509"/>
      <c r="AC44" s="509"/>
      <c r="AD44" s="509"/>
      <c r="AE44" s="509"/>
      <c r="AF44" s="509"/>
      <c r="AG44" s="509"/>
    </row>
    <row r="45" spans="2:33">
      <c r="B45" s="508">
        <v>280</v>
      </c>
      <c r="C45" s="506">
        <v>300</v>
      </c>
      <c r="D45" s="521" t="s">
        <v>729</v>
      </c>
      <c r="E45" s="521" t="s">
        <v>732</v>
      </c>
      <c r="F45" s="506" t="s">
        <v>201</v>
      </c>
      <c r="Y45" s="509"/>
      <c r="Z45" s="509"/>
      <c r="AA45" s="509"/>
      <c r="AB45" s="509"/>
      <c r="AC45" s="509"/>
      <c r="AD45" s="509"/>
      <c r="AE45" s="509"/>
      <c r="AF45" s="509"/>
      <c r="AG45" s="509"/>
    </row>
    <row r="46" spans="2:33">
      <c r="B46" s="508">
        <v>320</v>
      </c>
      <c r="C46" s="506">
        <v>200</v>
      </c>
      <c r="D46" s="521" t="s">
        <v>727</v>
      </c>
      <c r="E46" s="521" t="s">
        <v>730</v>
      </c>
      <c r="F46" s="506" t="s">
        <v>201</v>
      </c>
      <c r="Y46" s="509"/>
      <c r="Z46" s="509"/>
      <c r="AA46" s="509"/>
      <c r="AB46" s="509"/>
      <c r="AC46" s="509"/>
      <c r="AD46" s="509"/>
      <c r="AE46" s="509"/>
      <c r="AF46" s="509"/>
      <c r="AG46" s="509"/>
    </row>
    <row r="47" spans="2:33">
      <c r="B47" s="508">
        <v>320</v>
      </c>
      <c r="C47" s="506">
        <v>300</v>
      </c>
      <c r="D47" s="521" t="s">
        <v>728</v>
      </c>
      <c r="E47" s="521" t="s">
        <v>731</v>
      </c>
      <c r="F47" s="506" t="s">
        <v>201</v>
      </c>
      <c r="Y47" s="509"/>
      <c r="Z47" s="509"/>
      <c r="AA47" s="509"/>
      <c r="AB47" s="509"/>
      <c r="AC47" s="509"/>
      <c r="AD47" s="509"/>
      <c r="AE47" s="509"/>
      <c r="AF47" s="509"/>
      <c r="AG47" s="509"/>
    </row>
    <row r="48" spans="2:33">
      <c r="B48" s="508">
        <v>320</v>
      </c>
      <c r="C48" s="506">
        <v>300</v>
      </c>
      <c r="D48" s="521" t="s">
        <v>729</v>
      </c>
      <c r="E48" s="521" t="s">
        <v>732</v>
      </c>
      <c r="F48" s="506" t="s">
        <v>201</v>
      </c>
      <c r="Y48" s="509"/>
      <c r="Z48" s="509"/>
      <c r="AA48" s="509"/>
      <c r="AB48" s="509"/>
      <c r="AC48" s="509"/>
      <c r="AD48" s="509"/>
      <c r="AE48" s="509"/>
      <c r="AF48" s="509"/>
      <c r="AG48" s="509"/>
    </row>
    <row r="49" spans="2:33">
      <c r="B49" s="508">
        <v>385</v>
      </c>
      <c r="C49" s="506">
        <v>300</v>
      </c>
      <c r="D49" s="521" t="s">
        <v>727</v>
      </c>
      <c r="E49" s="521" t="s">
        <v>730</v>
      </c>
      <c r="F49" s="506" t="s">
        <v>201</v>
      </c>
      <c r="Y49" s="509"/>
      <c r="Z49" s="509"/>
      <c r="AA49" s="509"/>
      <c r="AB49" s="509"/>
      <c r="AC49" s="509"/>
      <c r="AD49" s="509"/>
      <c r="AE49" s="509"/>
      <c r="AF49" s="509"/>
      <c r="AG49" s="509"/>
    </row>
    <row r="50" spans="2:33">
      <c r="B50" s="508">
        <v>385</v>
      </c>
      <c r="C50" s="506">
        <v>300</v>
      </c>
      <c r="D50" s="521" t="s">
        <v>728</v>
      </c>
      <c r="E50" s="521" t="s">
        <v>731</v>
      </c>
      <c r="F50" s="506" t="s">
        <v>201</v>
      </c>
      <c r="Y50" s="509"/>
      <c r="Z50" s="509"/>
      <c r="AA50" s="509"/>
      <c r="AB50" s="509"/>
      <c r="AC50" s="509"/>
      <c r="AD50" s="509"/>
      <c r="AE50" s="509"/>
      <c r="AF50" s="509"/>
      <c r="AG50" s="509"/>
    </row>
    <row r="51" spans="2:33">
      <c r="B51" s="508">
        <v>385</v>
      </c>
      <c r="C51" s="506">
        <v>425</v>
      </c>
      <c r="D51" s="521" t="s">
        <v>729</v>
      </c>
      <c r="E51" s="521" t="s">
        <v>732</v>
      </c>
      <c r="F51" s="506" t="s">
        <v>201</v>
      </c>
      <c r="Y51" s="509"/>
      <c r="Z51" s="509"/>
      <c r="AA51" s="509"/>
      <c r="AB51" s="509"/>
      <c r="AC51" s="509"/>
      <c r="AD51" s="509"/>
      <c r="AE51" s="509"/>
      <c r="AF51" s="509"/>
      <c r="AG51" s="509"/>
    </row>
    <row r="52" spans="2:33">
      <c r="B52" s="508">
        <v>450</v>
      </c>
      <c r="C52" s="506">
        <v>300</v>
      </c>
      <c r="D52" s="521" t="s">
        <v>727</v>
      </c>
      <c r="E52" s="521" t="s">
        <v>730</v>
      </c>
      <c r="F52" s="506" t="s">
        <v>204</v>
      </c>
      <c r="Y52" s="509"/>
      <c r="Z52" s="509"/>
      <c r="AA52" s="509"/>
      <c r="AB52" s="509"/>
      <c r="AC52" s="509"/>
      <c r="AD52" s="509"/>
      <c r="AE52" s="509"/>
      <c r="AF52" s="509"/>
      <c r="AG52" s="509"/>
    </row>
    <row r="53" spans="2:33">
      <c r="B53" s="508">
        <v>450</v>
      </c>
      <c r="C53" s="506">
        <v>425</v>
      </c>
      <c r="D53" s="521" t="s">
        <v>728</v>
      </c>
      <c r="E53" s="521" t="s">
        <v>731</v>
      </c>
      <c r="F53" s="506" t="s">
        <v>204</v>
      </c>
      <c r="Y53" s="509"/>
      <c r="Z53" s="509"/>
      <c r="AA53" s="509"/>
      <c r="AB53" s="509"/>
      <c r="AC53" s="509"/>
      <c r="AD53" s="509"/>
      <c r="AE53" s="509"/>
      <c r="AF53" s="509"/>
      <c r="AG53" s="509"/>
    </row>
    <row r="54" spans="2:33">
      <c r="B54" s="508">
        <v>450</v>
      </c>
      <c r="C54" s="506">
        <v>425</v>
      </c>
      <c r="D54" s="521" t="s">
        <v>729</v>
      </c>
      <c r="E54" s="521" t="s">
        <v>732</v>
      </c>
      <c r="F54" s="506" t="s">
        <v>204</v>
      </c>
      <c r="Y54" s="509"/>
      <c r="Z54" s="509"/>
      <c r="AA54" s="509"/>
      <c r="AB54" s="509"/>
      <c r="AC54" s="509"/>
      <c r="AD54" s="509"/>
      <c r="AE54" s="509"/>
      <c r="AF54" s="509"/>
      <c r="AG54" s="509"/>
    </row>
    <row r="55" spans="2:33">
      <c r="B55" s="508">
        <v>515</v>
      </c>
      <c r="C55" s="506">
        <v>300</v>
      </c>
      <c r="D55" s="521" t="s">
        <v>727</v>
      </c>
      <c r="E55" s="521" t="s">
        <v>730</v>
      </c>
      <c r="F55" s="506" t="s">
        <v>204</v>
      </c>
      <c r="Y55" s="509"/>
      <c r="Z55" s="509"/>
      <c r="AA55" s="509"/>
      <c r="AB55" s="509"/>
      <c r="AC55" s="509"/>
      <c r="AD55" s="509"/>
      <c r="AE55" s="509"/>
      <c r="AF55" s="509"/>
      <c r="AG55" s="509"/>
    </row>
    <row r="56" spans="2:33">
      <c r="B56" s="508">
        <v>515</v>
      </c>
      <c r="C56" s="506">
        <v>425</v>
      </c>
      <c r="D56" s="521" t="s">
        <v>728</v>
      </c>
      <c r="E56" s="521" t="s">
        <v>731</v>
      </c>
      <c r="F56" s="506" t="s">
        <v>204</v>
      </c>
      <c r="Y56" s="509"/>
      <c r="Z56" s="509"/>
      <c r="AA56" s="509"/>
      <c r="AB56" s="509"/>
      <c r="AC56" s="509"/>
      <c r="AD56" s="509"/>
      <c r="AE56" s="509"/>
      <c r="AF56" s="509"/>
      <c r="AG56" s="509"/>
    </row>
    <row r="57" spans="2:33">
      <c r="B57" s="508">
        <v>515</v>
      </c>
      <c r="C57" s="506">
        <v>600</v>
      </c>
      <c r="D57" s="521" t="s">
        <v>729</v>
      </c>
      <c r="E57" s="521" t="s">
        <v>732</v>
      </c>
      <c r="F57" s="506" t="s">
        <v>204</v>
      </c>
      <c r="Y57" s="509"/>
      <c r="Z57" s="509"/>
      <c r="AA57" s="509"/>
      <c r="AB57" s="509"/>
      <c r="AC57" s="509"/>
      <c r="AD57" s="509"/>
      <c r="AE57" s="509"/>
      <c r="AF57" s="509"/>
      <c r="AG57" s="509"/>
    </row>
    <row r="58" spans="2:33">
      <c r="B58" s="508">
        <v>580</v>
      </c>
      <c r="C58" s="506">
        <v>425</v>
      </c>
      <c r="D58" s="521" t="s">
        <v>727</v>
      </c>
      <c r="E58" s="521" t="s">
        <v>730</v>
      </c>
      <c r="F58" s="506" t="s">
        <v>204</v>
      </c>
      <c r="Y58" s="509"/>
      <c r="Z58" s="509"/>
      <c r="AA58" s="509"/>
      <c r="AB58" s="509"/>
      <c r="AC58" s="509"/>
      <c r="AD58" s="509"/>
      <c r="AE58" s="509"/>
      <c r="AF58" s="509"/>
      <c r="AG58" s="509"/>
    </row>
    <row r="59" spans="2:33">
      <c r="B59" s="508">
        <v>580</v>
      </c>
      <c r="C59" s="506">
        <v>425</v>
      </c>
      <c r="D59" s="521" t="s">
        <v>728</v>
      </c>
      <c r="E59" s="521" t="s">
        <v>731</v>
      </c>
      <c r="F59" s="506" t="s">
        <v>204</v>
      </c>
      <c r="Y59" s="509"/>
      <c r="Z59" s="509"/>
      <c r="AA59" s="509"/>
      <c r="AB59" s="509"/>
      <c r="AC59" s="509"/>
      <c r="AD59" s="509"/>
      <c r="AE59" s="509"/>
      <c r="AF59" s="509"/>
      <c r="AG59" s="509"/>
    </row>
    <row r="60" spans="2:33">
      <c r="B60" s="508">
        <v>580</v>
      </c>
      <c r="C60" s="506">
        <v>600</v>
      </c>
      <c r="D60" s="521" t="s">
        <v>729</v>
      </c>
      <c r="E60" s="521" t="s">
        <v>732</v>
      </c>
      <c r="F60" s="506" t="s">
        <v>204</v>
      </c>
      <c r="Y60" s="509"/>
      <c r="Z60" s="509"/>
      <c r="AA60" s="509"/>
      <c r="AB60" s="509"/>
      <c r="AC60" s="509"/>
      <c r="AD60" s="509"/>
      <c r="AE60" s="509"/>
      <c r="AF60" s="509"/>
      <c r="AG60" s="509"/>
    </row>
    <row r="61" spans="2:33" ht="15.75">
      <c r="B61" s="508">
        <v>650</v>
      </c>
      <c r="C61" s="506">
        <v>425</v>
      </c>
      <c r="D61" s="521" t="s">
        <v>727</v>
      </c>
      <c r="E61" s="521" t="s">
        <v>730</v>
      </c>
      <c r="F61" s="507" t="s">
        <v>734</v>
      </c>
      <c r="Y61" s="509"/>
      <c r="Z61" s="509"/>
      <c r="AA61" s="509"/>
      <c r="AB61" s="509"/>
      <c r="AC61" s="509"/>
      <c r="AD61" s="509"/>
      <c r="AE61" s="509"/>
      <c r="AF61" s="509"/>
      <c r="AG61" s="509"/>
    </row>
    <row r="62" spans="2:33" ht="15.75">
      <c r="B62" s="508">
        <v>650</v>
      </c>
      <c r="C62" s="506">
        <v>600</v>
      </c>
      <c r="D62" s="521" t="s">
        <v>728</v>
      </c>
      <c r="E62" s="521" t="s">
        <v>731</v>
      </c>
      <c r="F62" s="507" t="s">
        <v>734</v>
      </c>
      <c r="Y62" s="509"/>
      <c r="Z62" s="509"/>
      <c r="AA62" s="509"/>
      <c r="AB62" s="509"/>
      <c r="AC62" s="509"/>
      <c r="AD62" s="509"/>
      <c r="AE62" s="509"/>
      <c r="AF62" s="509"/>
      <c r="AG62" s="509"/>
    </row>
    <row r="63" spans="2:33" ht="15.75">
      <c r="B63" s="508">
        <v>650</v>
      </c>
      <c r="C63" s="506">
        <v>800</v>
      </c>
      <c r="D63" s="521" t="s">
        <v>729</v>
      </c>
      <c r="E63" s="521" t="s">
        <v>732</v>
      </c>
      <c r="F63" s="507" t="s">
        <v>734</v>
      </c>
      <c r="Y63" s="509"/>
      <c r="Z63" s="509"/>
      <c r="AA63" s="509"/>
      <c r="AB63" s="509"/>
      <c r="AC63" s="509"/>
      <c r="AD63" s="509"/>
      <c r="AE63" s="509"/>
      <c r="AF63" s="509"/>
      <c r="AG63" s="509"/>
    </row>
    <row r="64" spans="2:33" ht="15.75">
      <c r="B64" s="508">
        <v>730</v>
      </c>
      <c r="C64" s="506">
        <v>425</v>
      </c>
      <c r="D64" s="521" t="s">
        <v>727</v>
      </c>
      <c r="E64" s="521" t="s">
        <v>730</v>
      </c>
      <c r="F64" s="507" t="s">
        <v>734</v>
      </c>
      <c r="Y64" s="509"/>
      <c r="Z64" s="509"/>
      <c r="AA64" s="509"/>
      <c r="AB64" s="509"/>
      <c r="AC64" s="509"/>
      <c r="AD64" s="509"/>
      <c r="AE64" s="509"/>
      <c r="AF64" s="509"/>
      <c r="AG64" s="509"/>
    </row>
    <row r="65" spans="2:33" ht="15.75">
      <c r="B65" s="508">
        <v>730</v>
      </c>
      <c r="C65" s="506">
        <v>600</v>
      </c>
      <c r="D65" s="521" t="s">
        <v>728</v>
      </c>
      <c r="E65" s="521" t="s">
        <v>731</v>
      </c>
      <c r="F65" s="507" t="s">
        <v>734</v>
      </c>
      <c r="Y65" s="509"/>
      <c r="Z65" s="509"/>
      <c r="AA65" s="509"/>
      <c r="AB65" s="509"/>
      <c r="AC65" s="509"/>
      <c r="AD65" s="509"/>
      <c r="AE65" s="509"/>
      <c r="AF65" s="509"/>
      <c r="AG65" s="509"/>
    </row>
    <row r="66" spans="2:33" ht="15.75">
      <c r="B66" s="508">
        <v>730</v>
      </c>
      <c r="C66" s="506">
        <v>800</v>
      </c>
      <c r="D66" s="521" t="s">
        <v>729</v>
      </c>
      <c r="E66" s="521" t="s">
        <v>732</v>
      </c>
      <c r="F66" s="507" t="s">
        <v>734</v>
      </c>
      <c r="Y66" s="509"/>
      <c r="Z66" s="509"/>
      <c r="AA66" s="509"/>
      <c r="AB66" s="509"/>
      <c r="AC66" s="509"/>
      <c r="AD66" s="509"/>
      <c r="AE66" s="509"/>
      <c r="AF66" s="509"/>
      <c r="AG66" s="509"/>
    </row>
    <row r="67" spans="2:33" ht="15.75">
      <c r="B67" s="508">
        <v>810</v>
      </c>
      <c r="C67" s="506">
        <v>600</v>
      </c>
      <c r="D67" s="521" t="s">
        <v>727</v>
      </c>
      <c r="E67" s="521" t="s">
        <v>730</v>
      </c>
      <c r="F67" s="507" t="s">
        <v>734</v>
      </c>
      <c r="Y67" s="509"/>
      <c r="Z67" s="509"/>
      <c r="AA67" s="509"/>
      <c r="AB67" s="509"/>
      <c r="AC67" s="509"/>
      <c r="AD67" s="509"/>
      <c r="AE67" s="509"/>
      <c r="AF67" s="509"/>
      <c r="AG67" s="509"/>
    </row>
    <row r="68" spans="2:33" ht="15.75">
      <c r="B68" s="508">
        <v>810</v>
      </c>
      <c r="C68" s="506">
        <v>600</v>
      </c>
      <c r="D68" s="521" t="s">
        <v>728</v>
      </c>
      <c r="E68" s="521" t="s">
        <v>731</v>
      </c>
      <c r="F68" s="507" t="s">
        <v>734</v>
      </c>
      <c r="Y68" s="509"/>
      <c r="Z68" s="509"/>
      <c r="AA68" s="509"/>
      <c r="AB68" s="509"/>
      <c r="AC68" s="509"/>
      <c r="AD68" s="509"/>
      <c r="AE68" s="509"/>
      <c r="AF68" s="509"/>
      <c r="AG68" s="509"/>
    </row>
    <row r="69" spans="2:33" ht="15.75">
      <c r="B69" s="508">
        <v>810</v>
      </c>
      <c r="C69" s="506">
        <v>800</v>
      </c>
      <c r="D69" s="521" t="s">
        <v>729</v>
      </c>
      <c r="E69" s="521" t="s">
        <v>732</v>
      </c>
      <c r="F69" s="507" t="s">
        <v>734</v>
      </c>
      <c r="Y69" s="509"/>
      <c r="Z69" s="509"/>
      <c r="AA69" s="509"/>
      <c r="AB69" s="509"/>
      <c r="AC69" s="509"/>
      <c r="AD69" s="509"/>
      <c r="AE69" s="509"/>
      <c r="AF69" s="509"/>
      <c r="AG69" s="509"/>
    </row>
    <row r="70" spans="2:33" s="2323" customFormat="1">
      <c r="B70" s="2328"/>
      <c r="C70" s="2324"/>
      <c r="D70" s="2324"/>
      <c r="E70" s="2324"/>
      <c r="F70" s="2324"/>
    </row>
    <row r="71" spans="2:33" s="2323" customFormat="1">
      <c r="B71" s="2324"/>
      <c r="D71" s="2324"/>
      <c r="E71" s="2324"/>
      <c r="F71" s="2324"/>
      <c r="S71" s="2328"/>
      <c r="T71" s="2324"/>
      <c r="X71" s="2324"/>
    </row>
    <row r="72" spans="2:33" s="2323" customFormat="1">
      <c r="B72" s="2324"/>
      <c r="D72" s="2324"/>
      <c r="E72" s="2324"/>
      <c r="F72" s="2324"/>
      <c r="S72" s="2328"/>
      <c r="T72" s="2324"/>
      <c r="X72" s="2324"/>
    </row>
    <row r="73" spans="2:33" s="2323" customFormat="1">
      <c r="B73" s="2324"/>
      <c r="D73" s="2324"/>
      <c r="E73" s="2324"/>
      <c r="F73" s="2324"/>
      <c r="S73" s="2328"/>
      <c r="T73" s="2324"/>
      <c r="X73" s="2324"/>
    </row>
    <row r="74" spans="2:33" s="2323" customFormat="1">
      <c r="B74" s="2324"/>
      <c r="D74" s="2324"/>
      <c r="E74" s="2324"/>
      <c r="F74" s="2324"/>
      <c r="S74" s="2328"/>
      <c r="T74" s="2324"/>
      <c r="X74" s="2324"/>
    </row>
    <row r="75" spans="2:33" s="2323" customFormat="1">
      <c r="B75" s="2324"/>
      <c r="D75" s="2324"/>
      <c r="E75" s="2324"/>
      <c r="F75" s="2324"/>
      <c r="S75" s="2328"/>
      <c r="T75" s="2324"/>
      <c r="X75" s="2324"/>
    </row>
    <row r="76" spans="2:33" s="2323" customFormat="1">
      <c r="B76" s="2324"/>
      <c r="D76" s="2324"/>
      <c r="E76" s="2324"/>
      <c r="F76" s="2324"/>
      <c r="S76" s="2328"/>
      <c r="T76" s="2324"/>
      <c r="X76" s="2324"/>
    </row>
    <row r="77" spans="2:33" s="2323" customFormat="1">
      <c r="B77" s="2324"/>
      <c r="D77" s="2324"/>
      <c r="E77" s="2324"/>
      <c r="F77" s="2324"/>
      <c r="S77" s="2328"/>
      <c r="T77" s="2324"/>
      <c r="X77" s="2324"/>
    </row>
    <row r="78" spans="2:33" s="2323" customFormat="1">
      <c r="B78" s="2324"/>
      <c r="D78" s="2324"/>
      <c r="E78" s="2324"/>
      <c r="F78" s="2324"/>
      <c r="S78" s="2328"/>
      <c r="T78" s="2324"/>
      <c r="X78" s="2324"/>
    </row>
    <row r="79" spans="2:33" s="2323" customFormat="1">
      <c r="B79" s="2324"/>
      <c r="D79" s="2324"/>
      <c r="E79" s="2324"/>
      <c r="F79" s="2324"/>
      <c r="S79" s="2328"/>
      <c r="T79" s="2324"/>
      <c r="X79" s="2324"/>
    </row>
    <row r="80" spans="2:33" s="2323" customFormat="1">
      <c r="B80" s="2324"/>
      <c r="D80" s="2324"/>
      <c r="E80" s="2324"/>
      <c r="F80" s="2324"/>
      <c r="S80" s="2328"/>
      <c r="T80" s="2324"/>
      <c r="X80" s="2324"/>
    </row>
    <row r="81" spans="2:24" s="2323" customFormat="1">
      <c r="B81" s="2324"/>
      <c r="D81" s="2324"/>
      <c r="E81" s="2324"/>
      <c r="F81" s="2324"/>
      <c r="S81" s="2328"/>
      <c r="T81" s="2324"/>
      <c r="X81" s="2324"/>
    </row>
    <row r="82" spans="2:24" s="2323" customFormat="1">
      <c r="B82" s="2324"/>
      <c r="D82" s="2324"/>
      <c r="E82" s="2324"/>
      <c r="F82" s="2324"/>
      <c r="S82" s="2328"/>
      <c r="T82" s="2324"/>
      <c r="X82" s="2324"/>
    </row>
    <row r="83" spans="2:24" s="2323" customFormat="1">
      <c r="B83" s="2324"/>
      <c r="D83" s="2324"/>
      <c r="E83" s="2324"/>
      <c r="F83" s="2324"/>
      <c r="S83" s="2328"/>
      <c r="T83" s="2324"/>
      <c r="X83" s="2324"/>
    </row>
    <row r="84" spans="2:24" s="2323" customFormat="1">
      <c r="B84" s="2324"/>
      <c r="D84" s="2324"/>
      <c r="E84" s="2324"/>
      <c r="F84" s="2324"/>
      <c r="S84" s="2328"/>
      <c r="T84" s="2324"/>
      <c r="X84" s="2324"/>
    </row>
    <row r="85" spans="2:24" s="2323" customFormat="1">
      <c r="B85" s="2324"/>
      <c r="D85" s="2324"/>
      <c r="E85" s="2324"/>
      <c r="F85" s="2324"/>
      <c r="S85" s="2328"/>
      <c r="T85" s="2324"/>
      <c r="X85" s="2324"/>
    </row>
    <row r="86" spans="2:24" s="2323" customFormat="1">
      <c r="B86" s="2324"/>
      <c r="D86" s="2324"/>
      <c r="E86" s="2324"/>
      <c r="F86" s="2324"/>
      <c r="S86" s="2328"/>
      <c r="T86" s="2324"/>
      <c r="X86" s="2324"/>
    </row>
    <row r="87" spans="2:24" s="2323" customFormat="1">
      <c r="B87" s="2324"/>
      <c r="D87" s="2324"/>
      <c r="E87" s="2324"/>
      <c r="F87" s="2324"/>
      <c r="S87" s="2328"/>
      <c r="T87" s="2324"/>
      <c r="X87" s="2324"/>
    </row>
    <row r="88" spans="2:24" s="2323" customFormat="1">
      <c r="B88" s="2324"/>
      <c r="D88" s="2324"/>
      <c r="E88" s="2324"/>
      <c r="F88" s="2324"/>
    </row>
    <row r="89" spans="2:24" s="2323" customFormat="1">
      <c r="B89" s="2324"/>
      <c r="D89" s="2324"/>
      <c r="E89" s="2324"/>
      <c r="F89" s="2324"/>
    </row>
    <row r="90" spans="2:24" s="2323" customFormat="1">
      <c r="B90" s="2324"/>
      <c r="D90" s="2324"/>
      <c r="E90" s="2324"/>
      <c r="F90" s="2324"/>
    </row>
    <row r="91" spans="2:24" s="2323" customFormat="1">
      <c r="B91" s="2324"/>
      <c r="D91" s="2324"/>
      <c r="E91" s="2324"/>
      <c r="F91" s="2324"/>
    </row>
    <row r="92" spans="2:24" s="2323" customFormat="1">
      <c r="B92" s="2324"/>
      <c r="D92" s="2324"/>
      <c r="E92" s="2324"/>
      <c r="F92" s="2324"/>
    </row>
    <row r="93" spans="2:24" s="2323" customFormat="1">
      <c r="B93" s="2324"/>
      <c r="D93" s="2324"/>
      <c r="E93" s="2324"/>
      <c r="F93" s="2324"/>
    </row>
    <row r="94" spans="2:24" s="2323" customFormat="1">
      <c r="B94" s="2324"/>
      <c r="D94" s="2324"/>
      <c r="E94" s="2324"/>
      <c r="F94" s="2324"/>
    </row>
    <row r="95" spans="2:24" s="2323" customFormat="1">
      <c r="B95" s="2324"/>
      <c r="D95" s="2324"/>
      <c r="E95" s="2324"/>
      <c r="F95" s="2324"/>
    </row>
    <row r="96" spans="2:24" s="2323" customFormat="1">
      <c r="B96" s="2324"/>
      <c r="D96" s="2324"/>
      <c r="E96" s="2324"/>
      <c r="F96" s="2324"/>
    </row>
    <row r="97" spans="2:33" s="2323" customFormat="1">
      <c r="B97" s="2324"/>
      <c r="D97" s="2324"/>
      <c r="E97" s="2324"/>
      <c r="F97" s="2324"/>
    </row>
    <row r="98" spans="2:33" s="2323" customFormat="1">
      <c r="B98" s="2324"/>
      <c r="D98" s="2324"/>
      <c r="E98" s="2324"/>
      <c r="F98" s="2324"/>
    </row>
    <row r="99" spans="2:33" s="2323" customFormat="1">
      <c r="B99" s="2324"/>
      <c r="D99" s="2324"/>
      <c r="E99" s="2324"/>
      <c r="F99" s="2324"/>
    </row>
    <row r="100" spans="2:33" s="2323" customFormat="1">
      <c r="B100" s="2324"/>
      <c r="D100" s="2324"/>
      <c r="E100" s="2324"/>
      <c r="F100" s="2324"/>
    </row>
    <row r="101" spans="2:33" s="2323" customFormat="1">
      <c r="B101" s="2324"/>
      <c r="D101" s="2324"/>
      <c r="E101" s="2324"/>
      <c r="F101" s="2324"/>
    </row>
    <row r="102" spans="2:33" s="2323" customFormat="1">
      <c r="B102" s="2324"/>
      <c r="D102" s="2324"/>
      <c r="E102" s="2324"/>
      <c r="F102" s="2324"/>
    </row>
    <row r="103" spans="2:33" s="2323" customFormat="1">
      <c r="B103" s="2324"/>
      <c r="D103" s="2324"/>
      <c r="E103" s="2324"/>
      <c r="F103" s="2324"/>
    </row>
    <row r="104" spans="2:33">
      <c r="B104" s="510"/>
      <c r="C104" s="509"/>
      <c r="D104" s="510"/>
      <c r="E104" s="510"/>
      <c r="F104" s="510"/>
      <c r="Y104" s="509"/>
      <c r="Z104" s="509"/>
      <c r="AA104" s="509"/>
      <c r="AB104" s="509"/>
      <c r="AC104" s="509"/>
      <c r="AD104" s="509"/>
      <c r="AE104" s="509"/>
      <c r="AF104" s="509"/>
      <c r="AG104" s="509"/>
    </row>
    <row r="105" spans="2:33">
      <c r="B105" s="510"/>
      <c r="C105" s="509"/>
      <c r="D105" s="510"/>
      <c r="E105" s="510"/>
      <c r="F105" s="510"/>
      <c r="Y105" s="509"/>
      <c r="Z105" s="509"/>
      <c r="AA105" s="509"/>
      <c r="AB105" s="509"/>
      <c r="AC105" s="509"/>
      <c r="AD105" s="509"/>
      <c r="AE105" s="509"/>
      <c r="AF105" s="509"/>
      <c r="AG105" s="509"/>
    </row>
    <row r="106" spans="2:33">
      <c r="B106" s="510"/>
      <c r="C106" s="509"/>
      <c r="D106" s="510"/>
      <c r="E106" s="510"/>
      <c r="F106" s="510"/>
      <c r="Y106" s="509"/>
      <c r="Z106" s="509"/>
      <c r="AA106" s="509"/>
      <c r="AB106" s="509"/>
      <c r="AC106" s="509"/>
      <c r="AD106" s="509"/>
      <c r="AE106" s="509"/>
      <c r="AF106" s="509"/>
      <c r="AG106" s="509"/>
    </row>
    <row r="107" spans="2:33">
      <c r="B107" s="510"/>
      <c r="C107" s="509"/>
      <c r="D107" s="510"/>
      <c r="E107" s="510"/>
      <c r="F107" s="510"/>
      <c r="Y107" s="509"/>
      <c r="Z107" s="509"/>
      <c r="AA107" s="509"/>
      <c r="AB107" s="509"/>
      <c r="AC107" s="509"/>
      <c r="AD107" s="509"/>
      <c r="AE107" s="509"/>
      <c r="AF107" s="509"/>
      <c r="AG107" s="509"/>
    </row>
    <row r="108" spans="2:33">
      <c r="B108" s="510"/>
      <c r="C108" s="509"/>
      <c r="D108" s="510"/>
      <c r="E108" s="510"/>
      <c r="F108" s="510"/>
      <c r="Y108" s="509"/>
      <c r="Z108" s="509"/>
      <c r="AA108" s="509"/>
      <c r="AB108" s="509"/>
      <c r="AC108" s="509"/>
      <c r="AD108" s="509"/>
      <c r="AE108" s="509"/>
      <c r="AF108" s="509"/>
      <c r="AG108" s="509"/>
    </row>
    <row r="109" spans="2:33">
      <c r="B109" s="510"/>
      <c r="C109" s="509"/>
      <c r="D109" s="510"/>
      <c r="E109" s="510"/>
      <c r="F109" s="510"/>
      <c r="Y109" s="509"/>
      <c r="Z109" s="509"/>
      <c r="AA109" s="509"/>
      <c r="AB109" s="509"/>
      <c r="AC109" s="509"/>
      <c r="AD109" s="509"/>
      <c r="AE109" s="509"/>
      <c r="AF109" s="509"/>
      <c r="AG109" s="509"/>
    </row>
    <row r="110" spans="2:33">
      <c r="B110" s="510"/>
      <c r="C110" s="509"/>
      <c r="D110" s="510"/>
      <c r="E110" s="510"/>
      <c r="F110" s="510"/>
      <c r="Y110" s="509"/>
      <c r="Z110" s="509"/>
      <c r="AA110" s="509"/>
      <c r="AB110" s="509"/>
      <c r="AC110" s="509"/>
      <c r="AD110" s="509"/>
      <c r="AE110" s="509"/>
      <c r="AF110" s="509"/>
      <c r="AG110" s="509"/>
    </row>
    <row r="111" spans="2:33">
      <c r="B111" s="510"/>
      <c r="C111" s="509"/>
      <c r="D111" s="510"/>
      <c r="E111" s="510"/>
      <c r="F111" s="510"/>
      <c r="Y111" s="509"/>
      <c r="Z111" s="509"/>
      <c r="AA111" s="509"/>
      <c r="AB111" s="509"/>
      <c r="AC111" s="509"/>
      <c r="AD111" s="509"/>
      <c r="AE111" s="509"/>
      <c r="AF111" s="509"/>
      <c r="AG111" s="509"/>
    </row>
    <row r="112" spans="2:33">
      <c r="B112" s="510"/>
      <c r="C112" s="509"/>
      <c r="D112" s="510"/>
      <c r="E112" s="510"/>
      <c r="F112" s="510"/>
      <c r="Y112" s="509"/>
      <c r="Z112" s="509"/>
      <c r="AA112" s="509"/>
      <c r="AB112" s="509"/>
      <c r="AC112" s="509"/>
      <c r="AD112" s="509"/>
      <c r="AE112" s="509"/>
      <c r="AF112" s="509"/>
      <c r="AG112" s="509"/>
    </row>
    <row r="113" spans="2:33">
      <c r="B113" s="510"/>
      <c r="C113" s="509"/>
      <c r="D113" s="510"/>
      <c r="E113" s="510"/>
      <c r="F113" s="510"/>
      <c r="Y113" s="509"/>
      <c r="Z113" s="509"/>
      <c r="AA113" s="509"/>
      <c r="AB113" s="509"/>
      <c r="AC113" s="509"/>
      <c r="AD113" s="509"/>
      <c r="AE113" s="509"/>
      <c r="AF113" s="509"/>
      <c r="AG113" s="509"/>
    </row>
  </sheetData>
  <sheetProtection algorithmName="SHA-512" hashValue="XQwj1o5jRcjX95/xJ7MKwNPrlfs4eY43Tswo4O66L7PA3paNRPBmFhbEBSDGY58WlKY0lYIG/uZrq+j+PMI47A==" saltValue="7E7oOZuiMjStrL0VVtLprQ==" spinCount="100000" sheet="1" objects="1" selectLockedCells="1" autoFilter="0"/>
  <autoFilter ref="B6:F69" xr:uid="{00000000-0009-0000-0000-000017000000}"/>
  <mergeCells count="4">
    <mergeCell ref="N7:Q7"/>
    <mergeCell ref="N8:Q8"/>
    <mergeCell ref="N9:Q9"/>
    <mergeCell ref="B3:F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70C0"/>
  </sheetPr>
  <dimension ref="B3:AH31"/>
  <sheetViews>
    <sheetView showGridLines="0" showRowColHeaders="0" zoomScaleNormal="100" workbookViewId="0">
      <selection activeCell="G19" sqref="G19:J19"/>
    </sheetView>
  </sheetViews>
  <sheetFormatPr defaultRowHeight="15"/>
  <cols>
    <col min="1" max="1" width="9.140625" style="1557"/>
    <col min="2" max="2" width="15" style="1558" customWidth="1"/>
    <col min="3" max="3" width="31.140625" style="1557" bestFit="1" customWidth="1"/>
    <col min="4" max="4" width="23.5703125" style="1558" customWidth="1"/>
    <col min="5" max="5" width="5.7109375" style="1557" hidden="1" customWidth="1"/>
    <col min="6" max="6" width="15" style="1557" customWidth="1"/>
    <col min="7" max="7" width="30.28515625" style="1557" customWidth="1"/>
    <col min="8" max="8" width="22.5703125" style="1557" customWidth="1"/>
    <col min="9" max="9" width="5.7109375" style="1557" hidden="1" customWidth="1"/>
    <col min="10" max="10" width="15" style="1557" customWidth="1"/>
    <col min="11" max="11" width="32.5703125" style="1557" bestFit="1" customWidth="1"/>
    <col min="12" max="12" width="22.5703125" style="1557" customWidth="1"/>
    <col min="13" max="21" width="5.7109375" style="1557" customWidth="1"/>
    <col min="22" max="22" width="7.85546875" style="1557" customWidth="1"/>
    <col min="23" max="23" width="53.5703125" style="1557" customWidth="1"/>
    <col min="24" max="24" width="8.28515625" style="1557" customWidth="1"/>
    <col min="25" max="25" width="9.28515625" style="1557" customWidth="1"/>
    <col min="26" max="26" width="5.7109375" style="1557" customWidth="1"/>
    <col min="27" max="27" width="24" style="1557" customWidth="1"/>
    <col min="28" max="28" width="22.140625" style="1557" customWidth="1"/>
    <col min="29" max="33" width="9.140625" style="1557" customWidth="1"/>
    <col min="34" max="272" width="9.140625" style="1557"/>
    <col min="273" max="282" width="5.7109375" style="1557" customWidth="1"/>
    <col min="283" max="289" width="0" style="1557" hidden="1" customWidth="1"/>
    <col min="290" max="528" width="9.140625" style="1557"/>
    <col min="529" max="538" width="5.7109375" style="1557" customWidth="1"/>
    <col min="539" max="545" width="0" style="1557" hidden="1" customWidth="1"/>
    <col min="546" max="784" width="9.140625" style="1557"/>
    <col min="785" max="794" width="5.7109375" style="1557" customWidth="1"/>
    <col min="795" max="801" width="0" style="1557" hidden="1" customWidth="1"/>
    <col min="802" max="1040" width="9.140625" style="1557"/>
    <col min="1041" max="1050" width="5.7109375" style="1557" customWidth="1"/>
    <col min="1051" max="1057" width="0" style="1557" hidden="1" customWidth="1"/>
    <col min="1058" max="1296" width="9.140625" style="1557"/>
    <col min="1297" max="1306" width="5.7109375" style="1557" customWidth="1"/>
    <col min="1307" max="1313" width="0" style="1557" hidden="1" customWidth="1"/>
    <col min="1314" max="1552" width="9.140625" style="1557"/>
    <col min="1553" max="1562" width="5.7109375" style="1557" customWidth="1"/>
    <col min="1563" max="1569" width="0" style="1557" hidden="1" customWidth="1"/>
    <col min="1570" max="1808" width="9.140625" style="1557"/>
    <col min="1809" max="1818" width="5.7109375" style="1557" customWidth="1"/>
    <col min="1819" max="1825" width="0" style="1557" hidden="1" customWidth="1"/>
    <col min="1826" max="2064" width="9.140625" style="1557"/>
    <col min="2065" max="2074" width="5.7109375" style="1557" customWidth="1"/>
    <col min="2075" max="2081" width="0" style="1557" hidden="1" customWidth="1"/>
    <col min="2082" max="2320" width="9.140625" style="1557"/>
    <col min="2321" max="2330" width="5.7109375" style="1557" customWidth="1"/>
    <col min="2331" max="2337" width="0" style="1557" hidden="1" customWidth="1"/>
    <col min="2338" max="2576" width="9.140625" style="1557"/>
    <col min="2577" max="2586" width="5.7109375" style="1557" customWidth="1"/>
    <col min="2587" max="2593" width="0" style="1557" hidden="1" customWidth="1"/>
    <col min="2594" max="2832" width="9.140625" style="1557"/>
    <col min="2833" max="2842" width="5.7109375" style="1557" customWidth="1"/>
    <col min="2843" max="2849" width="0" style="1557" hidden="1" customWidth="1"/>
    <col min="2850" max="3088" width="9.140625" style="1557"/>
    <col min="3089" max="3098" width="5.7109375" style="1557" customWidth="1"/>
    <col min="3099" max="3105" width="0" style="1557" hidden="1" customWidth="1"/>
    <col min="3106" max="3344" width="9.140625" style="1557"/>
    <col min="3345" max="3354" width="5.7109375" style="1557" customWidth="1"/>
    <col min="3355" max="3361" width="0" style="1557" hidden="1" customWidth="1"/>
    <col min="3362" max="3600" width="9.140625" style="1557"/>
    <col min="3601" max="3610" width="5.7109375" style="1557" customWidth="1"/>
    <col min="3611" max="3617" width="0" style="1557" hidden="1" customWidth="1"/>
    <col min="3618" max="3856" width="9.140625" style="1557"/>
    <col min="3857" max="3866" width="5.7109375" style="1557" customWidth="1"/>
    <col min="3867" max="3873" width="0" style="1557" hidden="1" customWidth="1"/>
    <col min="3874" max="4112" width="9.140625" style="1557"/>
    <col min="4113" max="4122" width="5.7109375" style="1557" customWidth="1"/>
    <col min="4123" max="4129" width="0" style="1557" hidden="1" customWidth="1"/>
    <col min="4130" max="4368" width="9.140625" style="1557"/>
    <col min="4369" max="4378" width="5.7109375" style="1557" customWidth="1"/>
    <col min="4379" max="4385" width="0" style="1557" hidden="1" customWidth="1"/>
    <col min="4386" max="4624" width="9.140625" style="1557"/>
    <col min="4625" max="4634" width="5.7109375" style="1557" customWidth="1"/>
    <col min="4635" max="4641" width="0" style="1557" hidden="1" customWidth="1"/>
    <col min="4642" max="4880" width="9.140625" style="1557"/>
    <col min="4881" max="4890" width="5.7109375" style="1557" customWidth="1"/>
    <col min="4891" max="4897" width="0" style="1557" hidden="1" customWidth="1"/>
    <col min="4898" max="5136" width="9.140625" style="1557"/>
    <col min="5137" max="5146" width="5.7109375" style="1557" customWidth="1"/>
    <col min="5147" max="5153" width="0" style="1557" hidden="1" customWidth="1"/>
    <col min="5154" max="5392" width="9.140625" style="1557"/>
    <col min="5393" max="5402" width="5.7109375" style="1557" customWidth="1"/>
    <col min="5403" max="5409" width="0" style="1557" hidden="1" customWidth="1"/>
    <col min="5410" max="5648" width="9.140625" style="1557"/>
    <col min="5649" max="5658" width="5.7109375" style="1557" customWidth="1"/>
    <col min="5659" max="5665" width="0" style="1557" hidden="1" customWidth="1"/>
    <col min="5666" max="5904" width="9.140625" style="1557"/>
    <col min="5905" max="5914" width="5.7109375" style="1557" customWidth="1"/>
    <col min="5915" max="5921" width="0" style="1557" hidden="1" customWidth="1"/>
    <col min="5922" max="6160" width="9.140625" style="1557"/>
    <col min="6161" max="6170" width="5.7109375" style="1557" customWidth="1"/>
    <col min="6171" max="6177" width="0" style="1557" hidden="1" customWidth="1"/>
    <col min="6178" max="6416" width="9.140625" style="1557"/>
    <col min="6417" max="6426" width="5.7109375" style="1557" customWidth="1"/>
    <col min="6427" max="6433" width="0" style="1557" hidden="1" customWidth="1"/>
    <col min="6434" max="6672" width="9.140625" style="1557"/>
    <col min="6673" max="6682" width="5.7109375" style="1557" customWidth="1"/>
    <col min="6683" max="6689" width="0" style="1557" hidden="1" customWidth="1"/>
    <col min="6690" max="6928" width="9.140625" style="1557"/>
    <col min="6929" max="6938" width="5.7109375" style="1557" customWidth="1"/>
    <col min="6939" max="6945" width="0" style="1557" hidden="1" customWidth="1"/>
    <col min="6946" max="7184" width="9.140625" style="1557"/>
    <col min="7185" max="7194" width="5.7109375" style="1557" customWidth="1"/>
    <col min="7195" max="7201" width="0" style="1557" hidden="1" customWidth="1"/>
    <col min="7202" max="7440" width="9.140625" style="1557"/>
    <col min="7441" max="7450" width="5.7109375" style="1557" customWidth="1"/>
    <col min="7451" max="7457" width="0" style="1557" hidden="1" customWidth="1"/>
    <col min="7458" max="7696" width="9.140625" style="1557"/>
    <col min="7697" max="7706" width="5.7109375" style="1557" customWidth="1"/>
    <col min="7707" max="7713" width="0" style="1557" hidden="1" customWidth="1"/>
    <col min="7714" max="7952" width="9.140625" style="1557"/>
    <col min="7953" max="7962" width="5.7109375" style="1557" customWidth="1"/>
    <col min="7963" max="7969" width="0" style="1557" hidden="1" customWidth="1"/>
    <col min="7970" max="8208" width="9.140625" style="1557"/>
    <col min="8209" max="8218" width="5.7109375" style="1557" customWidth="1"/>
    <col min="8219" max="8225" width="0" style="1557" hidden="1" customWidth="1"/>
    <col min="8226" max="8464" width="9.140625" style="1557"/>
    <col min="8465" max="8474" width="5.7109375" style="1557" customWidth="1"/>
    <col min="8475" max="8481" width="0" style="1557" hidden="1" customWidth="1"/>
    <col min="8482" max="8720" width="9.140625" style="1557"/>
    <col min="8721" max="8730" width="5.7109375" style="1557" customWidth="1"/>
    <col min="8731" max="8737" width="0" style="1557" hidden="1" customWidth="1"/>
    <col min="8738" max="8976" width="9.140625" style="1557"/>
    <col min="8977" max="8986" width="5.7109375" style="1557" customWidth="1"/>
    <col min="8987" max="8993" width="0" style="1557" hidden="1" customWidth="1"/>
    <col min="8994" max="9232" width="9.140625" style="1557"/>
    <col min="9233" max="9242" width="5.7109375" style="1557" customWidth="1"/>
    <col min="9243" max="9249" width="0" style="1557" hidden="1" customWidth="1"/>
    <col min="9250" max="9488" width="9.140625" style="1557"/>
    <col min="9489" max="9498" width="5.7109375" style="1557" customWidth="1"/>
    <col min="9499" max="9505" width="0" style="1557" hidden="1" customWidth="1"/>
    <col min="9506" max="9744" width="9.140625" style="1557"/>
    <col min="9745" max="9754" width="5.7109375" style="1557" customWidth="1"/>
    <col min="9755" max="9761" width="0" style="1557" hidden="1" customWidth="1"/>
    <col min="9762" max="10000" width="9.140625" style="1557"/>
    <col min="10001" max="10010" width="5.7109375" style="1557" customWidth="1"/>
    <col min="10011" max="10017" width="0" style="1557" hidden="1" customWidth="1"/>
    <col min="10018" max="10256" width="9.140625" style="1557"/>
    <col min="10257" max="10266" width="5.7109375" style="1557" customWidth="1"/>
    <col min="10267" max="10273" width="0" style="1557" hidden="1" customWidth="1"/>
    <col min="10274" max="10512" width="9.140625" style="1557"/>
    <col min="10513" max="10522" width="5.7109375" style="1557" customWidth="1"/>
    <col min="10523" max="10529" width="0" style="1557" hidden="1" customWidth="1"/>
    <col min="10530" max="10768" width="9.140625" style="1557"/>
    <col min="10769" max="10778" width="5.7109375" style="1557" customWidth="1"/>
    <col min="10779" max="10785" width="0" style="1557" hidden="1" customWidth="1"/>
    <col min="10786" max="11024" width="9.140625" style="1557"/>
    <col min="11025" max="11034" width="5.7109375" style="1557" customWidth="1"/>
    <col min="11035" max="11041" width="0" style="1557" hidden="1" customWidth="1"/>
    <col min="11042" max="11280" width="9.140625" style="1557"/>
    <col min="11281" max="11290" width="5.7109375" style="1557" customWidth="1"/>
    <col min="11291" max="11297" width="0" style="1557" hidden="1" customWidth="1"/>
    <col min="11298" max="11536" width="9.140625" style="1557"/>
    <col min="11537" max="11546" width="5.7109375" style="1557" customWidth="1"/>
    <col min="11547" max="11553" width="0" style="1557" hidden="1" customWidth="1"/>
    <col min="11554" max="11792" width="9.140625" style="1557"/>
    <col min="11793" max="11802" width="5.7109375" style="1557" customWidth="1"/>
    <col min="11803" max="11809" width="0" style="1557" hidden="1" customWidth="1"/>
    <col min="11810" max="12048" width="9.140625" style="1557"/>
    <col min="12049" max="12058" width="5.7109375" style="1557" customWidth="1"/>
    <col min="12059" max="12065" width="0" style="1557" hidden="1" customWidth="1"/>
    <col min="12066" max="12304" width="9.140625" style="1557"/>
    <col min="12305" max="12314" width="5.7109375" style="1557" customWidth="1"/>
    <col min="12315" max="12321" width="0" style="1557" hidden="1" customWidth="1"/>
    <col min="12322" max="12560" width="9.140625" style="1557"/>
    <col min="12561" max="12570" width="5.7109375" style="1557" customWidth="1"/>
    <col min="12571" max="12577" width="0" style="1557" hidden="1" customWidth="1"/>
    <col min="12578" max="12816" width="9.140625" style="1557"/>
    <col min="12817" max="12826" width="5.7109375" style="1557" customWidth="1"/>
    <col min="12827" max="12833" width="0" style="1557" hidden="1" customWidth="1"/>
    <col min="12834" max="13072" width="9.140625" style="1557"/>
    <col min="13073" max="13082" width="5.7109375" style="1557" customWidth="1"/>
    <col min="13083" max="13089" width="0" style="1557" hidden="1" customWidth="1"/>
    <col min="13090" max="13328" width="9.140625" style="1557"/>
    <col min="13329" max="13338" width="5.7109375" style="1557" customWidth="1"/>
    <col min="13339" max="13345" width="0" style="1557" hidden="1" customWidth="1"/>
    <col min="13346" max="13584" width="9.140625" style="1557"/>
    <col min="13585" max="13594" width="5.7109375" style="1557" customWidth="1"/>
    <col min="13595" max="13601" width="0" style="1557" hidden="1" customWidth="1"/>
    <col min="13602" max="13840" width="9.140625" style="1557"/>
    <col min="13841" max="13850" width="5.7109375" style="1557" customWidth="1"/>
    <col min="13851" max="13857" width="0" style="1557" hidden="1" customWidth="1"/>
    <col min="13858" max="14096" width="9.140625" style="1557"/>
    <col min="14097" max="14106" width="5.7109375" style="1557" customWidth="1"/>
    <col min="14107" max="14113" width="0" style="1557" hidden="1" customWidth="1"/>
    <col min="14114" max="14352" width="9.140625" style="1557"/>
    <col min="14353" max="14362" width="5.7109375" style="1557" customWidth="1"/>
    <col min="14363" max="14369" width="0" style="1557" hidden="1" customWidth="1"/>
    <col min="14370" max="14608" width="9.140625" style="1557"/>
    <col min="14609" max="14618" width="5.7109375" style="1557" customWidth="1"/>
    <col min="14619" max="14625" width="0" style="1557" hidden="1" customWidth="1"/>
    <col min="14626" max="14864" width="9.140625" style="1557"/>
    <col min="14865" max="14874" width="5.7109375" style="1557" customWidth="1"/>
    <col min="14875" max="14881" width="0" style="1557" hidden="1" customWidth="1"/>
    <col min="14882" max="15120" width="9.140625" style="1557"/>
    <col min="15121" max="15130" width="5.7109375" style="1557" customWidth="1"/>
    <col min="15131" max="15137" width="0" style="1557" hidden="1" customWidth="1"/>
    <col min="15138" max="15376" width="9.140625" style="1557"/>
    <col min="15377" max="15386" width="5.7109375" style="1557" customWidth="1"/>
    <col min="15387" max="15393" width="0" style="1557" hidden="1" customWidth="1"/>
    <col min="15394" max="15632" width="9.140625" style="1557"/>
    <col min="15633" max="15642" width="5.7109375" style="1557" customWidth="1"/>
    <col min="15643" max="15649" width="0" style="1557" hidden="1" customWidth="1"/>
    <col min="15650" max="15888" width="9.140625" style="1557"/>
    <col min="15889" max="15898" width="5.7109375" style="1557" customWidth="1"/>
    <col min="15899" max="15905" width="0" style="1557" hidden="1" customWidth="1"/>
    <col min="15906" max="16144" width="9.140625" style="1557"/>
    <col min="16145" max="16154" width="5.7109375" style="1557" customWidth="1"/>
    <col min="16155" max="16161" width="0" style="1557" hidden="1" customWidth="1"/>
    <col min="16162" max="16384" width="9.140625" style="1557"/>
  </cols>
  <sheetData>
    <row r="3" spans="2:34" ht="32.25">
      <c r="B3" s="3304" t="s">
        <v>740</v>
      </c>
      <c r="C3" s="3305"/>
      <c r="D3" s="3305"/>
      <c r="E3" s="3305"/>
      <c r="F3" s="3305"/>
      <c r="G3" s="3305"/>
      <c r="H3" s="3305"/>
      <c r="I3" s="3305"/>
      <c r="J3" s="3305"/>
      <c r="K3" s="3305"/>
      <c r="L3" s="3305"/>
    </row>
    <row r="4" spans="2:34" ht="15.75" thickBot="1">
      <c r="B4" s="1559"/>
      <c r="D4" s="1557"/>
    </row>
    <row r="5" spans="2:34" ht="21">
      <c r="B5" s="1560" t="s">
        <v>741</v>
      </c>
      <c r="C5" s="1561" t="s">
        <v>743</v>
      </c>
      <c r="D5" s="1562" t="s">
        <v>745</v>
      </c>
      <c r="E5" s="1563"/>
      <c r="F5" s="1560" t="s">
        <v>741</v>
      </c>
      <c r="G5" s="1561" t="s">
        <v>743</v>
      </c>
      <c r="H5" s="1562" t="s">
        <v>745</v>
      </c>
      <c r="I5" s="1563"/>
      <c r="J5" s="1560" t="s">
        <v>741</v>
      </c>
      <c r="K5" s="1561" t="s">
        <v>743</v>
      </c>
      <c r="L5" s="1562" t="s">
        <v>745</v>
      </c>
      <c r="M5" s="1563"/>
      <c r="N5" s="1563"/>
      <c r="O5" s="1563"/>
      <c r="P5" s="1563"/>
      <c r="Q5" s="1563"/>
      <c r="R5" s="1563"/>
      <c r="S5" s="1563"/>
      <c r="T5" s="1563"/>
      <c r="U5" s="1563"/>
      <c r="V5" s="1563"/>
      <c r="W5" s="1563"/>
      <c r="X5" s="1563"/>
    </row>
    <row r="6" spans="2:34" ht="21.75" thickBot="1">
      <c r="B6" s="1564" t="s">
        <v>185</v>
      </c>
      <c r="C6" s="1565" t="s">
        <v>749</v>
      </c>
      <c r="D6" s="1565" t="s">
        <v>726</v>
      </c>
      <c r="F6" s="1564" t="s">
        <v>185</v>
      </c>
      <c r="G6" s="1565" t="s">
        <v>748</v>
      </c>
      <c r="H6" s="1565" t="s">
        <v>726</v>
      </c>
      <c r="J6" s="1564" t="s">
        <v>185</v>
      </c>
      <c r="K6" s="1565" t="s">
        <v>747</v>
      </c>
      <c r="L6" s="1565" t="s">
        <v>726</v>
      </c>
    </row>
    <row r="7" spans="2:34">
      <c r="B7" s="1568">
        <v>100</v>
      </c>
      <c r="C7" s="1569">
        <v>12</v>
      </c>
      <c r="D7" s="1570" t="s">
        <v>195</v>
      </c>
      <c r="F7" s="1572">
        <v>100</v>
      </c>
      <c r="G7" s="1573">
        <v>8</v>
      </c>
      <c r="H7" s="1574" t="s">
        <v>195</v>
      </c>
      <c r="J7" s="1576">
        <v>100</v>
      </c>
      <c r="K7" s="1577">
        <v>8</v>
      </c>
      <c r="L7" s="1578" t="s">
        <v>195</v>
      </c>
      <c r="X7" s="3303"/>
      <c r="Y7" s="3303"/>
      <c r="Z7" s="3303"/>
      <c r="AA7" s="3303"/>
    </row>
    <row r="8" spans="2:34">
      <c r="B8" s="1568">
        <v>120</v>
      </c>
      <c r="C8" s="1569">
        <v>12</v>
      </c>
      <c r="D8" s="1569" t="s">
        <v>195</v>
      </c>
      <c r="F8" s="1572">
        <v>120</v>
      </c>
      <c r="G8" s="1573">
        <v>8</v>
      </c>
      <c r="H8" s="1573" t="s">
        <v>195</v>
      </c>
      <c r="J8" s="1576">
        <v>120</v>
      </c>
      <c r="K8" s="1577">
        <v>8</v>
      </c>
      <c r="L8" s="1577" t="s">
        <v>195</v>
      </c>
      <c r="X8" s="3303"/>
      <c r="Y8" s="3303"/>
      <c r="Z8" s="3303"/>
      <c r="AA8" s="3303"/>
    </row>
    <row r="9" spans="2:34">
      <c r="B9" s="1568">
        <v>150</v>
      </c>
      <c r="C9" s="1569">
        <v>18</v>
      </c>
      <c r="D9" s="1569" t="s">
        <v>195</v>
      </c>
      <c r="F9" s="1572">
        <v>150</v>
      </c>
      <c r="G9" s="1573">
        <v>12</v>
      </c>
      <c r="H9" s="1573" t="s">
        <v>195</v>
      </c>
      <c r="J9" s="1576">
        <v>150</v>
      </c>
      <c r="K9" s="1577">
        <v>12</v>
      </c>
      <c r="L9" s="1577" t="s">
        <v>195</v>
      </c>
    </row>
    <row r="10" spans="2:34">
      <c r="B10" s="1568">
        <v>200</v>
      </c>
      <c r="C10" s="1569">
        <v>25</v>
      </c>
      <c r="D10" s="1569" t="s">
        <v>195</v>
      </c>
      <c r="F10" s="1572">
        <v>200</v>
      </c>
      <c r="G10" s="1573">
        <v>12</v>
      </c>
      <c r="H10" s="1573" t="s">
        <v>195</v>
      </c>
      <c r="J10" s="1576">
        <v>200</v>
      </c>
      <c r="K10" s="1577">
        <v>12</v>
      </c>
      <c r="L10" s="1577" t="s">
        <v>195</v>
      </c>
    </row>
    <row r="11" spans="2:34">
      <c r="B11" s="1568">
        <v>300</v>
      </c>
      <c r="C11" s="1569">
        <v>35</v>
      </c>
      <c r="D11" s="1571" t="s">
        <v>198</v>
      </c>
      <c r="F11" s="1572">
        <v>300</v>
      </c>
      <c r="G11" s="1573">
        <v>18</v>
      </c>
      <c r="H11" s="1575" t="s">
        <v>198</v>
      </c>
      <c r="J11" s="1576">
        <v>300</v>
      </c>
      <c r="K11" s="1577">
        <v>12</v>
      </c>
      <c r="L11" s="1579" t="s">
        <v>198</v>
      </c>
    </row>
    <row r="12" spans="2:34">
      <c r="B12" s="1568">
        <v>400</v>
      </c>
      <c r="C12" s="1569">
        <v>50</v>
      </c>
      <c r="D12" s="1571" t="s">
        <v>198</v>
      </c>
      <c r="F12" s="1572">
        <v>400</v>
      </c>
      <c r="G12" s="1573">
        <v>25</v>
      </c>
      <c r="H12" s="1575" t="s">
        <v>198</v>
      </c>
      <c r="J12" s="1576">
        <v>400</v>
      </c>
      <c r="K12" s="1577">
        <v>18</v>
      </c>
      <c r="L12" s="1579" t="s">
        <v>198</v>
      </c>
    </row>
    <row r="13" spans="2:34">
      <c r="B13" s="1568">
        <v>500</v>
      </c>
      <c r="C13" s="1569">
        <v>80</v>
      </c>
      <c r="D13" s="1571" t="s">
        <v>198</v>
      </c>
      <c r="F13" s="1572">
        <v>500</v>
      </c>
      <c r="G13" s="1573">
        <v>35</v>
      </c>
      <c r="H13" s="1575" t="s">
        <v>198</v>
      </c>
      <c r="J13" s="1576">
        <v>500</v>
      </c>
      <c r="K13" s="1577">
        <v>25</v>
      </c>
      <c r="L13" s="1579" t="s">
        <v>198</v>
      </c>
    </row>
    <row r="14" spans="2:34">
      <c r="B14" s="1566"/>
      <c r="C14" s="1558"/>
    </row>
    <row r="15" spans="2:34">
      <c r="AC15" s="1566"/>
      <c r="AD15" s="1558"/>
      <c r="AH15" s="1558"/>
    </row>
    <row r="16" spans="2:34">
      <c r="AC16" s="1566"/>
      <c r="AD16" s="1558"/>
      <c r="AH16" s="1558"/>
    </row>
    <row r="17" spans="7:34">
      <c r="G17" s="1567" t="s">
        <v>746</v>
      </c>
      <c r="AC17" s="1566"/>
      <c r="AD17" s="1558"/>
      <c r="AH17" s="1558"/>
    </row>
    <row r="18" spans="7:34">
      <c r="AC18" s="1566"/>
      <c r="AD18" s="1558"/>
      <c r="AH18" s="1558"/>
    </row>
    <row r="19" spans="7:34">
      <c r="G19" s="2927" t="s">
        <v>739</v>
      </c>
      <c r="H19" s="2927"/>
      <c r="I19" s="2927"/>
      <c r="J19" s="2927"/>
      <c r="AC19" s="1566"/>
      <c r="AD19" s="1558"/>
      <c r="AH19" s="1558"/>
    </row>
    <row r="20" spans="7:34">
      <c r="G20" s="2927" t="s">
        <v>319</v>
      </c>
      <c r="H20" s="2927"/>
      <c r="I20" s="2927"/>
      <c r="J20" s="2927"/>
      <c r="AC20" s="1566"/>
      <c r="AD20" s="1558"/>
      <c r="AH20" s="1558"/>
    </row>
    <row r="21" spans="7:34">
      <c r="G21" s="2927">
        <v>2026</v>
      </c>
      <c r="H21" s="2927"/>
      <c r="I21" s="2927"/>
      <c r="J21" s="2927"/>
      <c r="AC21" s="1566"/>
      <c r="AD21" s="1558"/>
      <c r="AH21" s="1558"/>
    </row>
    <row r="22" spans="7:34">
      <c r="AC22" s="1566"/>
      <c r="AD22" s="1558"/>
      <c r="AH22" s="1558"/>
    </row>
    <row r="23" spans="7:34">
      <c r="AC23" s="1566"/>
      <c r="AD23" s="1558"/>
      <c r="AH23" s="1558"/>
    </row>
    <row r="24" spans="7:34">
      <c r="AC24" s="1566"/>
      <c r="AD24" s="1558"/>
      <c r="AH24" s="1558"/>
    </row>
    <row r="25" spans="7:34">
      <c r="AC25" s="1566"/>
      <c r="AD25" s="1558"/>
      <c r="AH25" s="1558"/>
    </row>
    <row r="26" spans="7:34">
      <c r="AC26" s="1566"/>
      <c r="AD26" s="1558"/>
      <c r="AH26" s="1558"/>
    </row>
    <row r="27" spans="7:34">
      <c r="AC27" s="1566"/>
      <c r="AD27" s="1558"/>
      <c r="AH27" s="1558"/>
    </row>
    <row r="28" spans="7:34">
      <c r="AC28" s="1566"/>
      <c r="AD28" s="1558"/>
      <c r="AH28" s="1558"/>
    </row>
    <row r="29" spans="7:34">
      <c r="AC29" s="1566"/>
      <c r="AD29" s="1558"/>
      <c r="AH29" s="1558"/>
    </row>
    <row r="30" spans="7:34">
      <c r="AC30" s="1566"/>
      <c r="AD30" s="1558"/>
      <c r="AH30" s="1558"/>
    </row>
    <row r="31" spans="7:34">
      <c r="AC31" s="1566"/>
      <c r="AD31" s="1558"/>
      <c r="AH31" s="1558"/>
    </row>
  </sheetData>
  <sheetProtection algorithmName="SHA-512" hashValue="ViNquRokBVm2gken9hFeDFvCsA//Vq6puYuctC69YaRH/zlAIRaOhNyM29cGdbb6tvurx5KHebxbw1111uHrJg==" saltValue="ke0S9jFcEb4rk7iRAVeQBQ==" spinCount="100000" sheet="1" objects="1" selectLockedCells="1" autoFilter="0"/>
  <autoFilter ref="B6:L13" xr:uid="{00000000-0009-0000-0000-000018000000}"/>
  <mergeCells count="6">
    <mergeCell ref="G20:J20"/>
    <mergeCell ref="G21:J21"/>
    <mergeCell ref="X7:AA7"/>
    <mergeCell ref="X8:AA8"/>
    <mergeCell ref="B3:L3"/>
    <mergeCell ref="G19:J1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ayfa2"/>
  <dimension ref="A1:AN84"/>
  <sheetViews>
    <sheetView showGridLines="0" showRowColHeaders="0" zoomScale="98" zoomScaleNormal="98" workbookViewId="0">
      <selection activeCell="C12" sqref="C12"/>
    </sheetView>
  </sheetViews>
  <sheetFormatPr defaultColWidth="9" defaultRowHeight="15"/>
  <cols>
    <col min="1" max="1" width="8" style="7" customWidth="1"/>
    <col min="2" max="2" width="35.42578125" style="7" customWidth="1"/>
    <col min="3" max="3" width="7.5703125" style="7" customWidth="1"/>
    <col min="4" max="4" width="9.140625" style="7" customWidth="1"/>
    <col min="5" max="5" width="7.7109375" style="7" customWidth="1"/>
    <col min="6" max="6" width="5.28515625" style="7" customWidth="1"/>
    <col min="7" max="8" width="4.42578125" style="7" customWidth="1"/>
    <col min="9" max="9" width="9.140625" style="7" customWidth="1"/>
    <col min="10" max="10" width="9.5703125" style="7" customWidth="1"/>
    <col min="11" max="29" width="9.140625" style="7" customWidth="1"/>
    <col min="30" max="256" width="9.140625" customWidth="1"/>
  </cols>
  <sheetData>
    <row r="1" spans="2:40"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0" ht="48">
      <c r="B2" s="3317" t="s">
        <v>900</v>
      </c>
      <c r="C2" s="3318"/>
      <c r="D2" s="3318"/>
      <c r="E2" s="3318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</row>
    <row r="3" spans="2:40" ht="22.5" customHeight="1" thickBot="1"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</row>
    <row r="4" spans="2:40" ht="15.75" thickBot="1">
      <c r="B4" s="4" t="s">
        <v>23</v>
      </c>
      <c r="C4" s="5"/>
      <c r="D4" s="3319" t="s">
        <v>20</v>
      </c>
      <c r="E4" s="3319"/>
      <c r="J4" s="6" t="s">
        <v>87</v>
      </c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</row>
    <row r="5" spans="2:40" ht="15.75" thickBot="1">
      <c r="D5" s="853"/>
      <c r="E5" s="853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</row>
    <row r="6" spans="2:40" ht="15.75" thickBot="1">
      <c r="B6" s="4" t="s">
        <v>22</v>
      </c>
      <c r="C6" s="8"/>
      <c r="D6" s="9" t="s">
        <v>21</v>
      </c>
      <c r="E6" s="10">
        <v>83</v>
      </c>
      <c r="J6" s="11" t="s">
        <v>144</v>
      </c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</row>
    <row r="7" spans="2:40" ht="15.75" thickBot="1">
      <c r="D7" s="854"/>
      <c r="E7" s="12"/>
      <c r="J7" s="3308" t="s">
        <v>142</v>
      </c>
      <c r="K7" s="3308"/>
      <c r="L7" s="3308"/>
      <c r="M7" s="13">
        <v>20</v>
      </c>
      <c r="N7" s="14">
        <f>(M7*D10)/860</f>
        <v>64.81875348837211</v>
      </c>
      <c r="O7" s="15" t="s">
        <v>77</v>
      </c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</row>
    <row r="8" spans="2:40" ht="15.75" thickBot="1">
      <c r="B8" s="4" t="s">
        <v>73</v>
      </c>
      <c r="C8" s="8"/>
      <c r="D8" s="16">
        <v>2.1</v>
      </c>
      <c r="E8" s="160" t="s">
        <v>74</v>
      </c>
      <c r="J8" s="3308" t="s">
        <v>143</v>
      </c>
      <c r="K8" s="3308"/>
      <c r="L8" s="3308"/>
      <c r="M8" s="13">
        <v>42</v>
      </c>
      <c r="N8" s="17">
        <f>((D10/D8)*M8)/860</f>
        <v>64.81875348837211</v>
      </c>
      <c r="O8" s="18" t="s">
        <v>77</v>
      </c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2:40" ht="15.75" thickBot="1">
      <c r="D9" s="854"/>
      <c r="E9" s="12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2:40" ht="15.75" thickBot="1">
      <c r="B10" s="4" t="s">
        <v>71</v>
      </c>
      <c r="C10" s="8"/>
      <c r="D10" s="19">
        <f>4664*0.9*(E6/100)*0.8</f>
        <v>2787.2064000000005</v>
      </c>
      <c r="E10" s="20" t="s">
        <v>18</v>
      </c>
      <c r="F10" s="21"/>
      <c r="I10" s="22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2:40" ht="15.75" thickBot="1">
      <c r="D11" s="22"/>
      <c r="I11" s="22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</row>
    <row r="12" spans="2:40" ht="15.75" thickBot="1">
      <c r="B12" s="4" t="s">
        <v>62</v>
      </c>
      <c r="C12" s="23" t="s">
        <v>68</v>
      </c>
      <c r="D12" s="20">
        <f>IF(C12=F13,60-23.7+5,45-23.7+5)</f>
        <v>41.3</v>
      </c>
      <c r="E12" s="21" t="s">
        <v>19</v>
      </c>
      <c r="F12" s="7" t="s">
        <v>67</v>
      </c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2:40" ht="15.75" thickBot="1">
      <c r="B13" s="4" t="s">
        <v>24</v>
      </c>
      <c r="C13" s="8"/>
      <c r="D13" s="24">
        <v>750</v>
      </c>
      <c r="E13" s="25" t="s">
        <v>1</v>
      </c>
      <c r="F13" s="26" t="s">
        <v>68</v>
      </c>
      <c r="G13" s="27" t="s">
        <v>86</v>
      </c>
      <c r="H13" s="2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2:40" ht="15.75" thickBot="1">
      <c r="B14" s="4" t="s">
        <v>70</v>
      </c>
      <c r="C14" s="8"/>
      <c r="D14" s="20">
        <f>D12*D13</f>
        <v>30974.999999999996</v>
      </c>
      <c r="E14" s="21" t="s">
        <v>25</v>
      </c>
      <c r="F14" s="26" t="s">
        <v>69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2:40" ht="15" hidden="1" customHeight="1">
      <c r="B15" s="28"/>
      <c r="C15" s="28"/>
      <c r="D15" s="29"/>
      <c r="E15" s="29"/>
      <c r="G15" s="30" t="s">
        <v>17</v>
      </c>
      <c r="H15" s="30"/>
      <c r="I15" s="30"/>
      <c r="J15" s="30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</row>
    <row r="16" spans="2:40" hidden="1">
      <c r="B16" s="28"/>
      <c r="C16" s="28"/>
      <c r="D16" s="29"/>
      <c r="E16" s="29"/>
      <c r="G16" s="30">
        <v>2013</v>
      </c>
      <c r="H16" s="30"/>
      <c r="I16" s="30"/>
      <c r="J16" s="30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2:40" hidden="1">
      <c r="B17" s="28"/>
      <c r="C17" s="28"/>
      <c r="D17" s="29">
        <f>(4*D14)/(3.14*3600*0.4)</f>
        <v>27.401804670912945</v>
      </c>
      <c r="E17" s="29"/>
      <c r="G17" s="30"/>
      <c r="H17" s="30"/>
      <c r="I17" s="30"/>
      <c r="J17" s="30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2:40" hidden="1">
      <c r="B18" s="28"/>
      <c r="C18" s="28"/>
      <c r="D18" s="29">
        <f>(D17)^0.5</f>
        <v>5.2346733108106127</v>
      </c>
      <c r="E18" s="29"/>
      <c r="G18" s="30"/>
      <c r="H18" s="30"/>
      <c r="I18" s="30"/>
      <c r="J18" s="30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2:40">
      <c r="B19" s="3308" t="s">
        <v>70</v>
      </c>
      <c r="C19" s="3308"/>
      <c r="D19" s="31">
        <f>D14/860</f>
        <v>36.017441860465112</v>
      </c>
      <c r="E19" s="7" t="s">
        <v>77</v>
      </c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</row>
    <row r="20" spans="2:40" ht="24.75" customHeight="1" thickBot="1">
      <c r="B20" s="7" t="s">
        <v>84</v>
      </c>
      <c r="I20" s="32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2:40" ht="15.75" thickBot="1">
      <c r="B21" s="3306" t="s">
        <v>89</v>
      </c>
      <c r="C21" s="3307"/>
      <c r="D21" s="33">
        <f>D14/D10</f>
        <v>11.113278155503657</v>
      </c>
      <c r="E21" s="34" t="s">
        <v>74</v>
      </c>
      <c r="H21" s="7" t="s">
        <v>16</v>
      </c>
      <c r="I21" s="32"/>
      <c r="J21" s="32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2:40" ht="15.75" thickBot="1">
      <c r="B22" s="3306" t="s">
        <v>90</v>
      </c>
      <c r="C22" s="3307"/>
      <c r="D22" s="35">
        <f>D21/D8</f>
        <v>5.2920372169065031</v>
      </c>
      <c r="E22" s="34" t="s">
        <v>88</v>
      </c>
      <c r="N22" s="32" t="s">
        <v>66</v>
      </c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2:40">
      <c r="N23" s="32" t="s">
        <v>63</v>
      </c>
      <c r="O23" s="36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</row>
    <row r="24" spans="2:40" ht="15.75" thickBot="1">
      <c r="B24" s="7" t="s">
        <v>85</v>
      </c>
      <c r="J24" s="37"/>
      <c r="K24" s="37"/>
      <c r="L24" s="38"/>
      <c r="M24" s="38"/>
      <c r="N24" s="32" t="s">
        <v>65</v>
      </c>
      <c r="O24" s="32" t="s">
        <v>64</v>
      </c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2:40" ht="15.75" thickBot="1">
      <c r="B25" s="3311" t="s">
        <v>75</v>
      </c>
      <c r="C25" s="3312"/>
      <c r="D25" s="3312"/>
      <c r="E25" s="3312"/>
      <c r="F25" s="3313"/>
      <c r="G25" s="9" t="s">
        <v>21</v>
      </c>
      <c r="H25" s="10">
        <v>10</v>
      </c>
      <c r="I25" s="39" t="s">
        <v>76</v>
      </c>
      <c r="J25" s="37"/>
      <c r="K25" s="40"/>
      <c r="L25" s="38"/>
      <c r="M25" s="38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2:40" ht="15.75" thickBot="1">
      <c r="B26" s="41" t="s">
        <v>78</v>
      </c>
      <c r="C26" s="42">
        <v>40</v>
      </c>
      <c r="D26" s="43" t="s">
        <v>77</v>
      </c>
      <c r="E26" s="44" t="s">
        <v>21</v>
      </c>
      <c r="F26" s="45">
        <v>10</v>
      </c>
      <c r="G26" s="7" t="s">
        <v>82</v>
      </c>
      <c r="J26" s="3309"/>
      <c r="K26" s="3310"/>
      <c r="L26" s="3310"/>
      <c r="M26" s="3310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2:40">
      <c r="B27" s="46" t="s">
        <v>79</v>
      </c>
      <c r="C27" s="47">
        <v>40</v>
      </c>
      <c r="D27" s="48" t="s">
        <v>77</v>
      </c>
      <c r="E27" s="854" t="s">
        <v>21</v>
      </c>
      <c r="F27" s="12">
        <f>H25</f>
        <v>10</v>
      </c>
      <c r="G27" s="7" t="s">
        <v>82</v>
      </c>
      <c r="P27" s="3308"/>
      <c r="Q27" s="3308"/>
      <c r="R27" s="3308"/>
      <c r="S27" s="3308"/>
      <c r="T27" s="3308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</row>
    <row r="28" spans="2:40">
      <c r="B28" s="46" t="s">
        <v>81</v>
      </c>
      <c r="C28" s="47">
        <v>8</v>
      </c>
      <c r="D28" s="48" t="s">
        <v>77</v>
      </c>
      <c r="E28" s="854" t="s">
        <v>21</v>
      </c>
      <c r="F28" s="12">
        <f>H25</f>
        <v>10</v>
      </c>
      <c r="G28" s="7" t="s">
        <v>82</v>
      </c>
      <c r="I28" s="32"/>
      <c r="P28" s="3308"/>
      <c r="Q28" s="3308"/>
      <c r="R28" s="3308"/>
      <c r="S28" s="3308"/>
      <c r="T28" s="3308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2:40" ht="15.75" thickBot="1">
      <c r="B29" s="49" t="s">
        <v>80</v>
      </c>
      <c r="C29" s="50">
        <v>0</v>
      </c>
      <c r="D29" s="51" t="s">
        <v>77</v>
      </c>
      <c r="E29" s="854" t="s">
        <v>21</v>
      </c>
      <c r="F29" s="12">
        <f>H25</f>
        <v>10</v>
      </c>
      <c r="G29" s="7" t="s">
        <v>82</v>
      </c>
      <c r="I29" s="32"/>
      <c r="J29" s="36"/>
      <c r="Q29" s="3308"/>
      <c r="R29" s="3308"/>
      <c r="S29" s="3308"/>
      <c r="T29" s="3308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2:40" ht="15.75" thickBot="1">
      <c r="B30" s="3315" t="s">
        <v>83</v>
      </c>
      <c r="C30" s="3316"/>
      <c r="D30" s="52">
        <f>(((C27+C28+C29)*(H25/100))+(C26*(F26/100)))*860</f>
        <v>7568.0000000000009</v>
      </c>
      <c r="E30" s="53" t="s">
        <v>25</v>
      </c>
      <c r="I30" s="32"/>
      <c r="J30" s="32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2:40" ht="15.75" thickBot="1">
      <c r="B31" s="3314" t="s">
        <v>83</v>
      </c>
      <c r="C31" s="3314"/>
      <c r="D31" s="54">
        <f>D30/860</f>
        <v>8.8000000000000007</v>
      </c>
      <c r="E31" s="7" t="s">
        <v>77</v>
      </c>
      <c r="L31" s="3308" t="s">
        <v>47</v>
      </c>
      <c r="M31" s="3308"/>
      <c r="N31" s="3308"/>
      <c r="O31" s="3308"/>
      <c r="P31" s="3308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</row>
    <row r="32" spans="2:40" ht="15.75" thickBot="1">
      <c r="B32" s="3306" t="s">
        <v>89</v>
      </c>
      <c r="C32" s="3307"/>
      <c r="D32" s="33">
        <f>D30/D10</f>
        <v>2.7152635700032834</v>
      </c>
      <c r="E32" s="34" t="s">
        <v>74</v>
      </c>
      <c r="L32" s="3308" t="s">
        <v>17</v>
      </c>
      <c r="M32" s="3308"/>
      <c r="N32" s="3308"/>
      <c r="O32" s="3308"/>
      <c r="P32" s="3308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</row>
    <row r="33" spans="1:40" ht="15.75" thickBot="1">
      <c r="B33" s="3306" t="s">
        <v>90</v>
      </c>
      <c r="C33" s="3307"/>
      <c r="D33" s="55">
        <f>D32/D8</f>
        <v>1.2929826523825159</v>
      </c>
      <c r="E33" s="34" t="s">
        <v>88</v>
      </c>
      <c r="J33" s="37"/>
      <c r="K33" s="37"/>
      <c r="M33" s="3308">
        <v>2026</v>
      </c>
      <c r="N33" s="3308"/>
      <c r="O33" s="3308"/>
      <c r="P33" s="3308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</row>
    <row r="34" spans="1:40">
      <c r="J34" s="37"/>
      <c r="K34" s="40"/>
      <c r="L34" s="38"/>
      <c r="M34" s="38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</row>
    <row r="35" spans="1:40">
      <c r="J35" s="3309"/>
      <c r="K35" s="3310"/>
      <c r="L35" s="3310"/>
      <c r="M35" s="3310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</row>
    <row r="36" spans="1:40"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</row>
    <row r="37" spans="1:40"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</row>
    <row r="38" spans="1:40"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</row>
    <row r="39" spans="1:40" s="56" customForma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</row>
    <row r="40" spans="1:40" s="56" customForma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</row>
    <row r="41" spans="1:40" s="56" customForma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</row>
    <row r="42" spans="1:40" s="56" customForma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</row>
    <row r="43" spans="1:40" s="28" customForma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</row>
    <row r="44" spans="1:40" s="28" customForma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</row>
    <row r="45" spans="1:40" s="28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</row>
    <row r="46" spans="1:40" s="28" customForma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</row>
    <row r="47" spans="1:40" s="28" customForma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</row>
    <row r="48" spans="1:40" s="28" customForma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</row>
    <row r="49" spans="1:40" s="28" customForma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</row>
    <row r="50" spans="1:40" s="28" customForma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</row>
    <row r="51" spans="1:40" s="28" customForma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</row>
    <row r="52" spans="1:40" s="28" customForma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</row>
    <row r="53" spans="1:40" s="28" customForma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</row>
    <row r="54" spans="1:40" s="28" customForma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</row>
    <row r="55" spans="1:40" s="28" customForma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</row>
    <row r="56" spans="1:40" s="28" customForma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</row>
    <row r="57" spans="1:40" s="28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</row>
    <row r="58" spans="1:40" s="28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</row>
    <row r="59" spans="1:40" s="28" customForma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</row>
    <row r="60" spans="1:40" s="28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</row>
    <row r="61" spans="1:40" s="28" customForma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</row>
    <row r="62" spans="1:40" s="28" customForma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</row>
    <row r="63" spans="1:40" s="28" customForma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</row>
    <row r="64" spans="1:40" s="28" customForma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</row>
    <row r="65" spans="1:40" s="28" customForma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</row>
    <row r="66" spans="1:40" s="28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</row>
    <row r="67" spans="1:40" s="28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</row>
    <row r="68" spans="1:40" s="28" customForma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</row>
    <row r="69" spans="1:40" s="28" customForma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</row>
    <row r="70" spans="1:40" s="28" customForma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</row>
    <row r="71" spans="1:40" s="28" customForma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</row>
    <row r="72" spans="1:40" s="28" customForma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</row>
    <row r="73" spans="1:40" s="28" customForma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</row>
    <row r="74" spans="1:40" s="28" customForma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</row>
    <row r="75" spans="1:40" s="28" customForma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</row>
    <row r="76" spans="1:40" s="28" customForma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</row>
    <row r="77" spans="1:40" s="28" customForma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</row>
    <row r="78" spans="1:40" s="28" customForma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</row>
    <row r="79" spans="1:40" s="28" customForma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</row>
    <row r="80" spans="1:40"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</row>
    <row r="81" spans="30:40"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</row>
    <row r="82" spans="30:40"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</row>
    <row r="83" spans="30:40"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</row>
    <row r="84" spans="30:40"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</row>
  </sheetData>
  <sheetProtection algorithmName="SHA-512" hashValue="QsUdG1PomEDzXU2/A7K61Ez2euX6Z235YGtJdPdMFsXMPvThOJ0qXu4MwBRtg3uJaWNX0sq9d5KhaGubCCvw0w==" saltValue="VPa72iEsWYUIg58roCYu7w==" spinCount="100000" sheet="1" objects="1" selectLockedCells="1"/>
  <mergeCells count="20">
    <mergeCell ref="B2:E2"/>
    <mergeCell ref="D4:E4"/>
    <mergeCell ref="J7:L7"/>
    <mergeCell ref="J8:L8"/>
    <mergeCell ref="B21:C21"/>
    <mergeCell ref="B19:C19"/>
    <mergeCell ref="B22:C22"/>
    <mergeCell ref="P27:T27"/>
    <mergeCell ref="P28:T28"/>
    <mergeCell ref="Q29:T29"/>
    <mergeCell ref="J35:M35"/>
    <mergeCell ref="B25:F25"/>
    <mergeCell ref="J26:M26"/>
    <mergeCell ref="B31:C31"/>
    <mergeCell ref="B30:C30"/>
    <mergeCell ref="B32:C32"/>
    <mergeCell ref="B33:C33"/>
    <mergeCell ref="L31:P31"/>
    <mergeCell ref="L32:P32"/>
    <mergeCell ref="M33:P33"/>
  </mergeCells>
  <dataValidations count="1">
    <dataValidation type="list" allowBlank="1" showInputMessage="1" showErrorMessage="1" sqref="C12" xr:uid="{00000000-0002-0000-1900-000000000000}">
      <formula1>$F$13:$F$14</formula1>
    </dataValidation>
  </dataValidations>
  <pageMargins left="0.7" right="0.7" top="0.75" bottom="0.75" header="0.5" footer="0.5"/>
  <headerFooter alignWithMargin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ayfa3"/>
  <dimension ref="A1:AK78"/>
  <sheetViews>
    <sheetView showGridLines="0" showRowColHeaders="0" topLeftCell="A5" zoomScale="112" zoomScaleNormal="112" workbookViewId="0">
      <selection activeCell="O18" sqref="O18"/>
    </sheetView>
  </sheetViews>
  <sheetFormatPr defaultColWidth="9" defaultRowHeight="15"/>
  <cols>
    <col min="1" max="4" width="9.140625" style="7" customWidth="1"/>
    <col min="5" max="5" width="8" style="7" customWidth="1"/>
    <col min="6" max="10" width="9.140625" style="7" customWidth="1"/>
    <col min="11" max="11" width="23.7109375" style="7" customWidth="1"/>
    <col min="12" max="14" width="9.140625" style="7" customWidth="1"/>
    <col min="15" max="15" width="6.5703125" style="7" customWidth="1"/>
    <col min="16" max="37" width="9.140625" style="7" customWidth="1"/>
    <col min="38" max="256" width="9.140625" customWidth="1"/>
  </cols>
  <sheetData>
    <row r="1" spans="2:18" hidden="1"/>
    <row r="2" spans="2:18" hidden="1"/>
    <row r="3" spans="2:18" hidden="1"/>
    <row r="4" spans="2:18" ht="18.75" hidden="1">
      <c r="B4" s="867"/>
    </row>
    <row r="5" spans="2:18" ht="18.75">
      <c r="B5" s="867"/>
    </row>
    <row r="6" spans="2:18" ht="48">
      <c r="C6" s="3321" t="s">
        <v>901</v>
      </c>
      <c r="D6" s="3322"/>
      <c r="E6" s="3322"/>
      <c r="F6" s="3322"/>
      <c r="G6" s="3322"/>
      <c r="H6" s="3322"/>
      <c r="I6" s="3322"/>
      <c r="J6" s="3322"/>
      <c r="K6" s="3322"/>
      <c r="L6" s="3322"/>
      <c r="M6" s="3322"/>
    </row>
    <row r="7" spans="2:18" ht="25.15" customHeight="1" thickBot="1"/>
    <row r="8" spans="2:18" ht="15.75" thickBot="1">
      <c r="F8" s="4" t="s">
        <v>14</v>
      </c>
      <c r="G8" s="57"/>
      <c r="H8" s="57"/>
      <c r="I8" s="57"/>
      <c r="J8" s="57"/>
      <c r="K8" s="5"/>
      <c r="N8" s="7" t="s">
        <v>15</v>
      </c>
      <c r="O8" s="7" t="s">
        <v>11</v>
      </c>
    </row>
    <row r="9" spans="2:18" ht="15.75" thickBot="1">
      <c r="F9" s="58"/>
      <c r="G9" s="59"/>
      <c r="H9" s="59"/>
      <c r="I9" s="59"/>
      <c r="J9" s="3325" t="s">
        <v>9</v>
      </c>
      <c r="K9" s="3326"/>
      <c r="L9" s="60">
        <v>42</v>
      </c>
      <c r="M9" s="25" t="s">
        <v>3</v>
      </c>
      <c r="O9" s="7" t="s">
        <v>12</v>
      </c>
    </row>
    <row r="10" spans="2:18" ht="15.75" thickBot="1">
      <c r="F10" s="3327" t="s">
        <v>10</v>
      </c>
      <c r="G10" s="3328"/>
      <c r="H10" s="3328"/>
      <c r="I10" s="3328"/>
      <c r="J10" s="3328"/>
      <c r="K10" s="3329"/>
      <c r="L10" s="61">
        <v>40</v>
      </c>
      <c r="M10" s="53" t="s">
        <v>0</v>
      </c>
      <c r="O10" s="7" t="s">
        <v>13</v>
      </c>
    </row>
    <row r="11" spans="2:18" ht="18.75" thickBot="1">
      <c r="B11" s="62"/>
      <c r="F11" s="63"/>
      <c r="G11" s="28"/>
      <c r="H11" s="28"/>
      <c r="I11" s="28"/>
      <c r="J11" s="3328" t="s">
        <v>7</v>
      </c>
      <c r="K11" s="3329"/>
      <c r="L11" s="61">
        <f>L9*L10</f>
        <v>1680</v>
      </c>
      <c r="M11" s="53" t="s">
        <v>1</v>
      </c>
    </row>
    <row r="12" spans="2:18" ht="15.75" thickBot="1">
      <c r="B12" s="64"/>
      <c r="F12" s="63"/>
      <c r="G12" s="28"/>
      <c r="H12" s="28"/>
      <c r="I12" s="28"/>
      <c r="J12" s="3328" t="s">
        <v>8</v>
      </c>
      <c r="K12" s="3329"/>
      <c r="L12" s="65">
        <f>L11/1000</f>
        <v>1.68</v>
      </c>
      <c r="M12" s="66" t="s">
        <v>2</v>
      </c>
      <c r="O12" s="3330" t="s">
        <v>120</v>
      </c>
      <c r="P12" s="3330"/>
      <c r="Q12" s="3330"/>
      <c r="R12" s="3330"/>
    </row>
    <row r="13" spans="2:18" ht="15" hidden="1" customHeight="1">
      <c r="B13" s="67"/>
      <c r="F13" s="63"/>
      <c r="G13" s="28"/>
      <c r="H13" s="28"/>
      <c r="I13" s="28"/>
      <c r="J13" s="28"/>
      <c r="K13" s="68"/>
      <c r="L13" s="29"/>
      <c r="M13" s="29"/>
      <c r="O13" s="30"/>
      <c r="P13" s="30"/>
      <c r="Q13" s="30"/>
      <c r="R13" s="30"/>
    </row>
    <row r="14" spans="2:18" ht="15.75" hidden="1" thickBot="1">
      <c r="F14" s="63"/>
      <c r="G14" s="28"/>
      <c r="H14" s="28"/>
      <c r="I14" s="28"/>
      <c r="J14" s="28"/>
      <c r="K14" s="68"/>
      <c r="L14" s="29"/>
      <c r="M14" s="29"/>
      <c r="O14" s="30"/>
      <c r="P14" s="30"/>
      <c r="Q14" s="30"/>
      <c r="R14" s="30"/>
    </row>
    <row r="15" spans="2:18" ht="15.75" hidden="1" thickBot="1">
      <c r="F15" s="63"/>
      <c r="G15" s="28"/>
      <c r="H15" s="28"/>
      <c r="I15" s="28"/>
      <c r="J15" s="28"/>
      <c r="K15" s="855" t="s">
        <v>4</v>
      </c>
      <c r="L15" s="29">
        <f>(4*L12)/(3.14*3600*O18)</f>
        <v>1.4861995753715498E-3</v>
      </c>
      <c r="M15" s="29"/>
      <c r="O15" s="30"/>
      <c r="P15" s="30"/>
      <c r="Q15" s="30"/>
      <c r="R15" s="30"/>
    </row>
    <row r="16" spans="2:18" ht="15.75" hidden="1" thickBot="1">
      <c r="F16" s="63"/>
      <c r="G16" s="28"/>
      <c r="H16" s="28"/>
      <c r="I16" s="28"/>
      <c r="J16" s="28"/>
      <c r="K16" s="68"/>
      <c r="L16" s="29">
        <f>(L15)^0.5</f>
        <v>3.8551259063376253E-2</v>
      </c>
      <c r="M16" s="29"/>
      <c r="O16" s="30"/>
      <c r="P16" s="30"/>
      <c r="Q16" s="30"/>
      <c r="R16" s="30"/>
    </row>
    <row r="17" spans="1:20" ht="15.75" thickBot="1">
      <c r="F17" s="69"/>
      <c r="G17" s="52"/>
      <c r="H17" s="52"/>
      <c r="I17" s="52"/>
      <c r="J17" s="52" t="s">
        <v>6</v>
      </c>
      <c r="K17" s="70"/>
      <c r="L17" s="71">
        <f>L16*1000</f>
        <v>38.55125906337625</v>
      </c>
      <c r="M17" s="72" t="s">
        <v>5</v>
      </c>
      <c r="N17" s="3323" t="s">
        <v>123</v>
      </c>
      <c r="O17" s="3324"/>
      <c r="P17" s="3324"/>
      <c r="Q17" s="3324"/>
      <c r="R17" s="3324"/>
    </row>
    <row r="18" spans="1:20" ht="15.75" thickBot="1">
      <c r="N18" s="158" t="s">
        <v>121</v>
      </c>
      <c r="O18" s="73">
        <v>0.4</v>
      </c>
      <c r="P18" s="74" t="s">
        <v>122</v>
      </c>
      <c r="Q18" s="30"/>
      <c r="R18" s="30"/>
    </row>
    <row r="19" spans="1:20">
      <c r="O19" s="30"/>
      <c r="P19" s="36"/>
      <c r="Q19" s="36"/>
      <c r="R19" s="36"/>
    </row>
    <row r="20" spans="1:20" ht="15.75">
      <c r="P20" s="868"/>
    </row>
    <row r="21" spans="1:20" ht="15.75">
      <c r="P21" s="3320"/>
      <c r="Q21" s="3320"/>
      <c r="R21" s="3320"/>
      <c r="S21" s="3320"/>
      <c r="T21" s="3320"/>
    </row>
    <row r="22" spans="1:20" ht="15.75">
      <c r="S22" s="868"/>
      <c r="T22" s="868"/>
    </row>
    <row r="23" spans="1:20">
      <c r="A23" s="37"/>
      <c r="B23" s="37"/>
      <c r="C23" s="38"/>
      <c r="D23" s="38"/>
    </row>
    <row r="24" spans="1:20">
      <c r="A24" s="37"/>
      <c r="B24" s="40"/>
      <c r="C24" s="38"/>
      <c r="D24" s="38"/>
    </row>
    <row r="25" spans="1:20">
      <c r="A25" s="3309"/>
      <c r="B25" s="3310"/>
      <c r="C25" s="3310"/>
      <c r="D25" s="3310"/>
    </row>
    <row r="33" spans="1:37" ht="15.75">
      <c r="N33" s="3320" t="s">
        <v>902</v>
      </c>
      <c r="O33" s="3320"/>
      <c r="P33" s="3320"/>
      <c r="Q33" s="3320"/>
      <c r="R33" s="3320"/>
      <c r="S33" s="3320"/>
    </row>
    <row r="34" spans="1:37" ht="15.75">
      <c r="N34" s="3320" t="s">
        <v>17</v>
      </c>
      <c r="O34" s="3320"/>
      <c r="P34" s="3320"/>
      <c r="Q34" s="3320"/>
      <c r="R34" s="3320"/>
      <c r="S34" s="3320"/>
    </row>
    <row r="35" spans="1:37" ht="15.75">
      <c r="N35" s="3320">
        <v>2026</v>
      </c>
      <c r="O35" s="3320"/>
      <c r="P35" s="3320"/>
      <c r="Q35" s="3320"/>
      <c r="R35" s="3320"/>
      <c r="S35" s="3320"/>
    </row>
    <row r="38" spans="1:37" s="56" customForma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s="56" customForma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s="56" customForma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s="56" customForma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s="28" customForma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s="28" customForma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s="28" customForma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s="28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 spans="1:37" s="28" customForma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 spans="1:37" s="28" customForma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 spans="1:37" s="28" customForma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 spans="1:37" s="28" customForma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 spans="1:37" s="28" customForma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 spans="1:37" s="28" customForma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 spans="1:37" s="28" customForma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 spans="1:37" s="28" customForma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 spans="1:37" s="28" customForma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 spans="1:37" s="28" customForma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 spans="1:37" s="28" customForma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 spans="1:37" s="28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1:37" s="28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1:37" s="28" customForma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1:37" s="28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s="28" customForma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s="28" customForma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1:37" s="28" customForma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1:37" s="28" customForma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1:37" s="28" customForma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1:37" s="28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1:37" s="28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1:37" s="28" customForma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1:37" s="28" customForma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1:37" s="28" customForma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s="28" customForma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1:37" s="28" customForma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1:37" s="28" customForma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1:37" s="28" customForma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 spans="1:37" s="28" customForma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 spans="1:37" s="28" customForma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 spans="1:37" s="28" customForma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 spans="1:37" s="28" customForma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</sheetData>
  <sheetProtection algorithmName="SHA-512" hashValue="BsQgk+nPyhRJDRSywdLHf9vD401xxQ1dPYbJzGCcX7rYfuteDYbmAZNLQ40xE205nai5VRCMtasgbtB1z5nScA==" saltValue="U8mn7yesxAYC7IDar3Mumw==" spinCount="100000" sheet="1" objects="1" selectLockedCells="1"/>
  <mergeCells count="12">
    <mergeCell ref="C6:M6"/>
    <mergeCell ref="N17:R17"/>
    <mergeCell ref="J9:K9"/>
    <mergeCell ref="F10:K10"/>
    <mergeCell ref="J11:K11"/>
    <mergeCell ref="J12:K12"/>
    <mergeCell ref="O12:R12"/>
    <mergeCell ref="N34:S34"/>
    <mergeCell ref="N33:S33"/>
    <mergeCell ref="N35:S35"/>
    <mergeCell ref="P21:T21"/>
    <mergeCell ref="A25:D25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 tint="0.499984740745262"/>
  </sheetPr>
  <dimension ref="B4:T35"/>
  <sheetViews>
    <sheetView showGridLines="0" showRowColHeaders="0" zoomScale="98" zoomScaleNormal="98" workbookViewId="0">
      <selection activeCell="G8" sqref="G8"/>
    </sheetView>
  </sheetViews>
  <sheetFormatPr defaultRowHeight="12.75"/>
  <cols>
    <col min="1" max="3" width="9.140625" style="807"/>
    <col min="4" max="4" width="42.5703125" style="807" customWidth="1"/>
    <col min="5" max="5" width="21.140625" style="807" bestFit="1" customWidth="1"/>
    <col min="6" max="6" width="6.140625" style="807" bestFit="1" customWidth="1"/>
    <col min="7" max="7" width="8.85546875" style="807" customWidth="1"/>
    <col min="8" max="8" width="9.85546875" style="807" customWidth="1"/>
    <col min="9" max="11" width="7.28515625" style="807" bestFit="1" customWidth="1"/>
    <col min="12" max="12" width="7.140625" style="807" bestFit="1" customWidth="1"/>
    <col min="13" max="13" width="7.140625" style="807" customWidth="1"/>
    <col min="14" max="14" width="5.5703125" style="807" bestFit="1" customWidth="1"/>
    <col min="15" max="15" width="5.7109375" style="807" bestFit="1" customWidth="1"/>
    <col min="16" max="16" width="5.5703125" style="807" bestFit="1" customWidth="1"/>
    <col min="17" max="17" width="6.7109375" style="807" bestFit="1" customWidth="1"/>
    <col min="18" max="19" width="4.42578125" style="807" bestFit="1" customWidth="1"/>
    <col min="20" max="20" width="9.85546875" style="808" customWidth="1"/>
    <col min="21" max="21" width="4.42578125" style="807" customWidth="1"/>
    <col min="22" max="22" width="8.85546875" style="807" bestFit="1" customWidth="1"/>
    <col min="23" max="259" width="9.140625" style="807"/>
    <col min="260" max="260" width="42.5703125" style="807" customWidth="1"/>
    <col min="261" max="261" width="21.140625" style="807" bestFit="1" customWidth="1"/>
    <col min="262" max="262" width="6.140625" style="807" bestFit="1" customWidth="1"/>
    <col min="263" max="263" width="8.85546875" style="807" customWidth="1"/>
    <col min="264" max="264" width="9.85546875" style="807" customWidth="1"/>
    <col min="265" max="267" width="7.28515625" style="807" bestFit="1" customWidth="1"/>
    <col min="268" max="268" width="7.140625" style="807" bestFit="1" customWidth="1"/>
    <col min="269" max="269" width="7.140625" style="807" customWidth="1"/>
    <col min="270" max="270" width="5.5703125" style="807" bestFit="1" customWidth="1"/>
    <col min="271" max="271" width="5.7109375" style="807" bestFit="1" customWidth="1"/>
    <col min="272" max="272" width="5.5703125" style="807" bestFit="1" customWidth="1"/>
    <col min="273" max="273" width="6.7109375" style="807" bestFit="1" customWidth="1"/>
    <col min="274" max="275" width="4.42578125" style="807" bestFit="1" customWidth="1"/>
    <col min="276" max="276" width="9.85546875" style="807" customWidth="1"/>
    <col min="277" max="277" width="4.42578125" style="807" customWidth="1"/>
    <col min="278" max="278" width="8.85546875" style="807" bestFit="1" customWidth="1"/>
    <col min="279" max="515" width="9.140625" style="807"/>
    <col min="516" max="516" width="42.5703125" style="807" customWidth="1"/>
    <col min="517" max="517" width="21.140625" style="807" bestFit="1" customWidth="1"/>
    <col min="518" max="518" width="6.140625" style="807" bestFit="1" customWidth="1"/>
    <col min="519" max="519" width="8.85546875" style="807" customWidth="1"/>
    <col min="520" max="520" width="9.85546875" style="807" customWidth="1"/>
    <col min="521" max="523" width="7.28515625" style="807" bestFit="1" customWidth="1"/>
    <col min="524" max="524" width="7.140625" style="807" bestFit="1" customWidth="1"/>
    <col min="525" max="525" width="7.140625" style="807" customWidth="1"/>
    <col min="526" max="526" width="5.5703125" style="807" bestFit="1" customWidth="1"/>
    <col min="527" max="527" width="5.7109375" style="807" bestFit="1" customWidth="1"/>
    <col min="528" max="528" width="5.5703125" style="807" bestFit="1" customWidth="1"/>
    <col min="529" max="529" width="6.7109375" style="807" bestFit="1" customWidth="1"/>
    <col min="530" max="531" width="4.42578125" style="807" bestFit="1" customWidth="1"/>
    <col min="532" max="532" width="9.85546875" style="807" customWidth="1"/>
    <col min="533" max="533" width="4.42578125" style="807" customWidth="1"/>
    <col min="534" max="534" width="8.85546875" style="807" bestFit="1" customWidth="1"/>
    <col min="535" max="771" width="9.140625" style="807"/>
    <col min="772" max="772" width="42.5703125" style="807" customWidth="1"/>
    <col min="773" max="773" width="21.140625" style="807" bestFit="1" customWidth="1"/>
    <col min="774" max="774" width="6.140625" style="807" bestFit="1" customWidth="1"/>
    <col min="775" max="775" width="8.85546875" style="807" customWidth="1"/>
    <col min="776" max="776" width="9.85546875" style="807" customWidth="1"/>
    <col min="777" max="779" width="7.28515625" style="807" bestFit="1" customWidth="1"/>
    <col min="780" max="780" width="7.140625" style="807" bestFit="1" customWidth="1"/>
    <col min="781" max="781" width="7.140625" style="807" customWidth="1"/>
    <col min="782" max="782" width="5.5703125" style="807" bestFit="1" customWidth="1"/>
    <col min="783" max="783" width="5.7109375" style="807" bestFit="1" customWidth="1"/>
    <col min="784" max="784" width="5.5703125" style="807" bestFit="1" customWidth="1"/>
    <col min="785" max="785" width="6.7109375" style="807" bestFit="1" customWidth="1"/>
    <col min="786" max="787" width="4.42578125" style="807" bestFit="1" customWidth="1"/>
    <col min="788" max="788" width="9.85546875" style="807" customWidth="1"/>
    <col min="789" max="789" width="4.42578125" style="807" customWidth="1"/>
    <col min="790" max="790" width="8.85546875" style="807" bestFit="1" customWidth="1"/>
    <col min="791" max="1027" width="9.140625" style="807"/>
    <col min="1028" max="1028" width="42.5703125" style="807" customWidth="1"/>
    <col min="1029" max="1029" width="21.140625" style="807" bestFit="1" customWidth="1"/>
    <col min="1030" max="1030" width="6.140625" style="807" bestFit="1" customWidth="1"/>
    <col min="1031" max="1031" width="8.85546875" style="807" customWidth="1"/>
    <col min="1032" max="1032" width="9.85546875" style="807" customWidth="1"/>
    <col min="1033" max="1035" width="7.28515625" style="807" bestFit="1" customWidth="1"/>
    <col min="1036" max="1036" width="7.140625" style="807" bestFit="1" customWidth="1"/>
    <col min="1037" max="1037" width="7.140625" style="807" customWidth="1"/>
    <col min="1038" max="1038" width="5.5703125" style="807" bestFit="1" customWidth="1"/>
    <col min="1039" max="1039" width="5.7109375" style="807" bestFit="1" customWidth="1"/>
    <col min="1040" max="1040" width="5.5703125" style="807" bestFit="1" customWidth="1"/>
    <col min="1041" max="1041" width="6.7109375" style="807" bestFit="1" customWidth="1"/>
    <col min="1042" max="1043" width="4.42578125" style="807" bestFit="1" customWidth="1"/>
    <col min="1044" max="1044" width="9.85546875" style="807" customWidth="1"/>
    <col min="1045" max="1045" width="4.42578125" style="807" customWidth="1"/>
    <col min="1046" max="1046" width="8.85546875" style="807" bestFit="1" customWidth="1"/>
    <col min="1047" max="1283" width="9.140625" style="807"/>
    <col min="1284" max="1284" width="42.5703125" style="807" customWidth="1"/>
    <col min="1285" max="1285" width="21.140625" style="807" bestFit="1" customWidth="1"/>
    <col min="1286" max="1286" width="6.140625" style="807" bestFit="1" customWidth="1"/>
    <col min="1287" max="1287" width="8.85546875" style="807" customWidth="1"/>
    <col min="1288" max="1288" width="9.85546875" style="807" customWidth="1"/>
    <col min="1289" max="1291" width="7.28515625" style="807" bestFit="1" customWidth="1"/>
    <col min="1292" max="1292" width="7.140625" style="807" bestFit="1" customWidth="1"/>
    <col min="1293" max="1293" width="7.140625" style="807" customWidth="1"/>
    <col min="1294" max="1294" width="5.5703125" style="807" bestFit="1" customWidth="1"/>
    <col min="1295" max="1295" width="5.7109375" style="807" bestFit="1" customWidth="1"/>
    <col min="1296" max="1296" width="5.5703125" style="807" bestFit="1" customWidth="1"/>
    <col min="1297" max="1297" width="6.7109375" style="807" bestFit="1" customWidth="1"/>
    <col min="1298" max="1299" width="4.42578125" style="807" bestFit="1" customWidth="1"/>
    <col min="1300" max="1300" width="9.85546875" style="807" customWidth="1"/>
    <col min="1301" max="1301" width="4.42578125" style="807" customWidth="1"/>
    <col min="1302" max="1302" width="8.85546875" style="807" bestFit="1" customWidth="1"/>
    <col min="1303" max="1539" width="9.140625" style="807"/>
    <col min="1540" max="1540" width="42.5703125" style="807" customWidth="1"/>
    <col min="1541" max="1541" width="21.140625" style="807" bestFit="1" customWidth="1"/>
    <col min="1542" max="1542" width="6.140625" style="807" bestFit="1" customWidth="1"/>
    <col min="1543" max="1543" width="8.85546875" style="807" customWidth="1"/>
    <col min="1544" max="1544" width="9.85546875" style="807" customWidth="1"/>
    <col min="1545" max="1547" width="7.28515625" style="807" bestFit="1" customWidth="1"/>
    <col min="1548" max="1548" width="7.140625" style="807" bestFit="1" customWidth="1"/>
    <col min="1549" max="1549" width="7.140625" style="807" customWidth="1"/>
    <col min="1550" max="1550" width="5.5703125" style="807" bestFit="1" customWidth="1"/>
    <col min="1551" max="1551" width="5.7109375" style="807" bestFit="1" customWidth="1"/>
    <col min="1552" max="1552" width="5.5703125" style="807" bestFit="1" customWidth="1"/>
    <col min="1553" max="1553" width="6.7109375" style="807" bestFit="1" customWidth="1"/>
    <col min="1554" max="1555" width="4.42578125" style="807" bestFit="1" customWidth="1"/>
    <col min="1556" max="1556" width="9.85546875" style="807" customWidth="1"/>
    <col min="1557" max="1557" width="4.42578125" style="807" customWidth="1"/>
    <col min="1558" max="1558" width="8.85546875" style="807" bestFit="1" customWidth="1"/>
    <col min="1559" max="1795" width="9.140625" style="807"/>
    <col min="1796" max="1796" width="42.5703125" style="807" customWidth="1"/>
    <col min="1797" max="1797" width="21.140625" style="807" bestFit="1" customWidth="1"/>
    <col min="1798" max="1798" width="6.140625" style="807" bestFit="1" customWidth="1"/>
    <col min="1799" max="1799" width="8.85546875" style="807" customWidth="1"/>
    <col min="1800" max="1800" width="9.85546875" style="807" customWidth="1"/>
    <col min="1801" max="1803" width="7.28515625" style="807" bestFit="1" customWidth="1"/>
    <col min="1804" max="1804" width="7.140625" style="807" bestFit="1" customWidth="1"/>
    <col min="1805" max="1805" width="7.140625" style="807" customWidth="1"/>
    <col min="1806" max="1806" width="5.5703125" style="807" bestFit="1" customWidth="1"/>
    <col min="1807" max="1807" width="5.7109375" style="807" bestFit="1" customWidth="1"/>
    <col min="1808" max="1808" width="5.5703125" style="807" bestFit="1" customWidth="1"/>
    <col min="1809" max="1809" width="6.7109375" style="807" bestFit="1" customWidth="1"/>
    <col min="1810" max="1811" width="4.42578125" style="807" bestFit="1" customWidth="1"/>
    <col min="1812" max="1812" width="9.85546875" style="807" customWidth="1"/>
    <col min="1813" max="1813" width="4.42578125" style="807" customWidth="1"/>
    <col min="1814" max="1814" width="8.85546875" style="807" bestFit="1" customWidth="1"/>
    <col min="1815" max="2051" width="9.140625" style="807"/>
    <col min="2052" max="2052" width="42.5703125" style="807" customWidth="1"/>
    <col min="2053" max="2053" width="21.140625" style="807" bestFit="1" customWidth="1"/>
    <col min="2054" max="2054" width="6.140625" style="807" bestFit="1" customWidth="1"/>
    <col min="2055" max="2055" width="8.85546875" style="807" customWidth="1"/>
    <col min="2056" max="2056" width="9.85546875" style="807" customWidth="1"/>
    <col min="2057" max="2059" width="7.28515625" style="807" bestFit="1" customWidth="1"/>
    <col min="2060" max="2060" width="7.140625" style="807" bestFit="1" customWidth="1"/>
    <col min="2061" max="2061" width="7.140625" style="807" customWidth="1"/>
    <col min="2062" max="2062" width="5.5703125" style="807" bestFit="1" customWidth="1"/>
    <col min="2063" max="2063" width="5.7109375" style="807" bestFit="1" customWidth="1"/>
    <col min="2064" max="2064" width="5.5703125" style="807" bestFit="1" customWidth="1"/>
    <col min="2065" max="2065" width="6.7109375" style="807" bestFit="1" customWidth="1"/>
    <col min="2066" max="2067" width="4.42578125" style="807" bestFit="1" customWidth="1"/>
    <col min="2068" max="2068" width="9.85546875" style="807" customWidth="1"/>
    <col min="2069" max="2069" width="4.42578125" style="807" customWidth="1"/>
    <col min="2070" max="2070" width="8.85546875" style="807" bestFit="1" customWidth="1"/>
    <col min="2071" max="2307" width="9.140625" style="807"/>
    <col min="2308" max="2308" width="42.5703125" style="807" customWidth="1"/>
    <col min="2309" max="2309" width="21.140625" style="807" bestFit="1" customWidth="1"/>
    <col min="2310" max="2310" width="6.140625" style="807" bestFit="1" customWidth="1"/>
    <col min="2311" max="2311" width="8.85546875" style="807" customWidth="1"/>
    <col min="2312" max="2312" width="9.85546875" style="807" customWidth="1"/>
    <col min="2313" max="2315" width="7.28515625" style="807" bestFit="1" customWidth="1"/>
    <col min="2316" max="2316" width="7.140625" style="807" bestFit="1" customWidth="1"/>
    <col min="2317" max="2317" width="7.140625" style="807" customWidth="1"/>
    <col min="2318" max="2318" width="5.5703125" style="807" bestFit="1" customWidth="1"/>
    <col min="2319" max="2319" width="5.7109375" style="807" bestFit="1" customWidth="1"/>
    <col min="2320" max="2320" width="5.5703125" style="807" bestFit="1" customWidth="1"/>
    <col min="2321" max="2321" width="6.7109375" style="807" bestFit="1" customWidth="1"/>
    <col min="2322" max="2323" width="4.42578125" style="807" bestFit="1" customWidth="1"/>
    <col min="2324" max="2324" width="9.85546875" style="807" customWidth="1"/>
    <col min="2325" max="2325" width="4.42578125" style="807" customWidth="1"/>
    <col min="2326" max="2326" width="8.85546875" style="807" bestFit="1" customWidth="1"/>
    <col min="2327" max="2563" width="9.140625" style="807"/>
    <col min="2564" max="2564" width="42.5703125" style="807" customWidth="1"/>
    <col min="2565" max="2565" width="21.140625" style="807" bestFit="1" customWidth="1"/>
    <col min="2566" max="2566" width="6.140625" style="807" bestFit="1" customWidth="1"/>
    <col min="2567" max="2567" width="8.85546875" style="807" customWidth="1"/>
    <col min="2568" max="2568" width="9.85546875" style="807" customWidth="1"/>
    <col min="2569" max="2571" width="7.28515625" style="807" bestFit="1" customWidth="1"/>
    <col min="2572" max="2572" width="7.140625" style="807" bestFit="1" customWidth="1"/>
    <col min="2573" max="2573" width="7.140625" style="807" customWidth="1"/>
    <col min="2574" max="2574" width="5.5703125" style="807" bestFit="1" customWidth="1"/>
    <col min="2575" max="2575" width="5.7109375" style="807" bestFit="1" customWidth="1"/>
    <col min="2576" max="2576" width="5.5703125" style="807" bestFit="1" customWidth="1"/>
    <col min="2577" max="2577" width="6.7109375" style="807" bestFit="1" customWidth="1"/>
    <col min="2578" max="2579" width="4.42578125" style="807" bestFit="1" customWidth="1"/>
    <col min="2580" max="2580" width="9.85546875" style="807" customWidth="1"/>
    <col min="2581" max="2581" width="4.42578125" style="807" customWidth="1"/>
    <col min="2582" max="2582" width="8.85546875" style="807" bestFit="1" customWidth="1"/>
    <col min="2583" max="2819" width="9.140625" style="807"/>
    <col min="2820" max="2820" width="42.5703125" style="807" customWidth="1"/>
    <col min="2821" max="2821" width="21.140625" style="807" bestFit="1" customWidth="1"/>
    <col min="2822" max="2822" width="6.140625" style="807" bestFit="1" customWidth="1"/>
    <col min="2823" max="2823" width="8.85546875" style="807" customWidth="1"/>
    <col min="2824" max="2824" width="9.85546875" style="807" customWidth="1"/>
    <col min="2825" max="2827" width="7.28515625" style="807" bestFit="1" customWidth="1"/>
    <col min="2828" max="2828" width="7.140625" style="807" bestFit="1" customWidth="1"/>
    <col min="2829" max="2829" width="7.140625" style="807" customWidth="1"/>
    <col min="2830" max="2830" width="5.5703125" style="807" bestFit="1" customWidth="1"/>
    <col min="2831" max="2831" width="5.7109375" style="807" bestFit="1" customWidth="1"/>
    <col min="2832" max="2832" width="5.5703125" style="807" bestFit="1" customWidth="1"/>
    <col min="2833" max="2833" width="6.7109375" style="807" bestFit="1" customWidth="1"/>
    <col min="2834" max="2835" width="4.42578125" style="807" bestFit="1" customWidth="1"/>
    <col min="2836" max="2836" width="9.85546875" style="807" customWidth="1"/>
    <col min="2837" max="2837" width="4.42578125" style="807" customWidth="1"/>
    <col min="2838" max="2838" width="8.85546875" style="807" bestFit="1" customWidth="1"/>
    <col min="2839" max="3075" width="9.140625" style="807"/>
    <col min="3076" max="3076" width="42.5703125" style="807" customWidth="1"/>
    <col min="3077" max="3077" width="21.140625" style="807" bestFit="1" customWidth="1"/>
    <col min="3078" max="3078" width="6.140625" style="807" bestFit="1" customWidth="1"/>
    <col min="3079" max="3079" width="8.85546875" style="807" customWidth="1"/>
    <col min="3080" max="3080" width="9.85546875" style="807" customWidth="1"/>
    <col min="3081" max="3083" width="7.28515625" style="807" bestFit="1" customWidth="1"/>
    <col min="3084" max="3084" width="7.140625" style="807" bestFit="1" customWidth="1"/>
    <col min="3085" max="3085" width="7.140625" style="807" customWidth="1"/>
    <col min="3086" max="3086" width="5.5703125" style="807" bestFit="1" customWidth="1"/>
    <col min="3087" max="3087" width="5.7109375" style="807" bestFit="1" customWidth="1"/>
    <col min="3088" max="3088" width="5.5703125" style="807" bestFit="1" customWidth="1"/>
    <col min="3089" max="3089" width="6.7109375" style="807" bestFit="1" customWidth="1"/>
    <col min="3090" max="3091" width="4.42578125" style="807" bestFit="1" customWidth="1"/>
    <col min="3092" max="3092" width="9.85546875" style="807" customWidth="1"/>
    <col min="3093" max="3093" width="4.42578125" style="807" customWidth="1"/>
    <col min="3094" max="3094" width="8.85546875" style="807" bestFit="1" customWidth="1"/>
    <col min="3095" max="3331" width="9.140625" style="807"/>
    <col min="3332" max="3332" width="42.5703125" style="807" customWidth="1"/>
    <col min="3333" max="3333" width="21.140625" style="807" bestFit="1" customWidth="1"/>
    <col min="3334" max="3334" width="6.140625" style="807" bestFit="1" customWidth="1"/>
    <col min="3335" max="3335" width="8.85546875" style="807" customWidth="1"/>
    <col min="3336" max="3336" width="9.85546875" style="807" customWidth="1"/>
    <col min="3337" max="3339" width="7.28515625" style="807" bestFit="1" customWidth="1"/>
    <col min="3340" max="3340" width="7.140625" style="807" bestFit="1" customWidth="1"/>
    <col min="3341" max="3341" width="7.140625" style="807" customWidth="1"/>
    <col min="3342" max="3342" width="5.5703125" style="807" bestFit="1" customWidth="1"/>
    <col min="3343" max="3343" width="5.7109375" style="807" bestFit="1" customWidth="1"/>
    <col min="3344" max="3344" width="5.5703125" style="807" bestFit="1" customWidth="1"/>
    <col min="3345" max="3345" width="6.7109375" style="807" bestFit="1" customWidth="1"/>
    <col min="3346" max="3347" width="4.42578125" style="807" bestFit="1" customWidth="1"/>
    <col min="3348" max="3348" width="9.85546875" style="807" customWidth="1"/>
    <col min="3349" max="3349" width="4.42578125" style="807" customWidth="1"/>
    <col min="3350" max="3350" width="8.85546875" style="807" bestFit="1" customWidth="1"/>
    <col min="3351" max="3587" width="9.140625" style="807"/>
    <col min="3588" max="3588" width="42.5703125" style="807" customWidth="1"/>
    <col min="3589" max="3589" width="21.140625" style="807" bestFit="1" customWidth="1"/>
    <col min="3590" max="3590" width="6.140625" style="807" bestFit="1" customWidth="1"/>
    <col min="3591" max="3591" width="8.85546875" style="807" customWidth="1"/>
    <col min="3592" max="3592" width="9.85546875" style="807" customWidth="1"/>
    <col min="3593" max="3595" width="7.28515625" style="807" bestFit="1" customWidth="1"/>
    <col min="3596" max="3596" width="7.140625" style="807" bestFit="1" customWidth="1"/>
    <col min="3597" max="3597" width="7.140625" style="807" customWidth="1"/>
    <col min="3598" max="3598" width="5.5703125" style="807" bestFit="1" customWidth="1"/>
    <col min="3599" max="3599" width="5.7109375" style="807" bestFit="1" customWidth="1"/>
    <col min="3600" max="3600" width="5.5703125" style="807" bestFit="1" customWidth="1"/>
    <col min="3601" max="3601" width="6.7109375" style="807" bestFit="1" customWidth="1"/>
    <col min="3602" max="3603" width="4.42578125" style="807" bestFit="1" customWidth="1"/>
    <col min="3604" max="3604" width="9.85546875" style="807" customWidth="1"/>
    <col min="3605" max="3605" width="4.42578125" style="807" customWidth="1"/>
    <col min="3606" max="3606" width="8.85546875" style="807" bestFit="1" customWidth="1"/>
    <col min="3607" max="3843" width="9.140625" style="807"/>
    <col min="3844" max="3844" width="42.5703125" style="807" customWidth="1"/>
    <col min="3845" max="3845" width="21.140625" style="807" bestFit="1" customWidth="1"/>
    <col min="3846" max="3846" width="6.140625" style="807" bestFit="1" customWidth="1"/>
    <col min="3847" max="3847" width="8.85546875" style="807" customWidth="1"/>
    <col min="3848" max="3848" width="9.85546875" style="807" customWidth="1"/>
    <col min="3849" max="3851" width="7.28515625" style="807" bestFit="1" customWidth="1"/>
    <col min="3852" max="3852" width="7.140625" style="807" bestFit="1" customWidth="1"/>
    <col min="3853" max="3853" width="7.140625" style="807" customWidth="1"/>
    <col min="3854" max="3854" width="5.5703125" style="807" bestFit="1" customWidth="1"/>
    <col min="3855" max="3855" width="5.7109375" style="807" bestFit="1" customWidth="1"/>
    <col min="3856" max="3856" width="5.5703125" style="807" bestFit="1" customWidth="1"/>
    <col min="3857" max="3857" width="6.7109375" style="807" bestFit="1" customWidth="1"/>
    <col min="3858" max="3859" width="4.42578125" style="807" bestFit="1" customWidth="1"/>
    <col min="3860" max="3860" width="9.85546875" style="807" customWidth="1"/>
    <col min="3861" max="3861" width="4.42578125" style="807" customWidth="1"/>
    <col min="3862" max="3862" width="8.85546875" style="807" bestFit="1" customWidth="1"/>
    <col min="3863" max="4099" width="9.140625" style="807"/>
    <col min="4100" max="4100" width="42.5703125" style="807" customWidth="1"/>
    <col min="4101" max="4101" width="21.140625" style="807" bestFit="1" customWidth="1"/>
    <col min="4102" max="4102" width="6.140625" style="807" bestFit="1" customWidth="1"/>
    <col min="4103" max="4103" width="8.85546875" style="807" customWidth="1"/>
    <col min="4104" max="4104" width="9.85546875" style="807" customWidth="1"/>
    <col min="4105" max="4107" width="7.28515625" style="807" bestFit="1" customWidth="1"/>
    <col min="4108" max="4108" width="7.140625" style="807" bestFit="1" customWidth="1"/>
    <col min="4109" max="4109" width="7.140625" style="807" customWidth="1"/>
    <col min="4110" max="4110" width="5.5703125" style="807" bestFit="1" customWidth="1"/>
    <col min="4111" max="4111" width="5.7109375" style="807" bestFit="1" customWidth="1"/>
    <col min="4112" max="4112" width="5.5703125" style="807" bestFit="1" customWidth="1"/>
    <col min="4113" max="4113" width="6.7109375" style="807" bestFit="1" customWidth="1"/>
    <col min="4114" max="4115" width="4.42578125" style="807" bestFit="1" customWidth="1"/>
    <col min="4116" max="4116" width="9.85546875" style="807" customWidth="1"/>
    <col min="4117" max="4117" width="4.42578125" style="807" customWidth="1"/>
    <col min="4118" max="4118" width="8.85546875" style="807" bestFit="1" customWidth="1"/>
    <col min="4119" max="4355" width="9.140625" style="807"/>
    <col min="4356" max="4356" width="42.5703125" style="807" customWidth="1"/>
    <col min="4357" max="4357" width="21.140625" style="807" bestFit="1" customWidth="1"/>
    <col min="4358" max="4358" width="6.140625" style="807" bestFit="1" customWidth="1"/>
    <col min="4359" max="4359" width="8.85546875" style="807" customWidth="1"/>
    <col min="4360" max="4360" width="9.85546875" style="807" customWidth="1"/>
    <col min="4361" max="4363" width="7.28515625" style="807" bestFit="1" customWidth="1"/>
    <col min="4364" max="4364" width="7.140625" style="807" bestFit="1" customWidth="1"/>
    <col min="4365" max="4365" width="7.140625" style="807" customWidth="1"/>
    <col min="4366" max="4366" width="5.5703125" style="807" bestFit="1" customWidth="1"/>
    <col min="4367" max="4367" width="5.7109375" style="807" bestFit="1" customWidth="1"/>
    <col min="4368" max="4368" width="5.5703125" style="807" bestFit="1" customWidth="1"/>
    <col min="4369" max="4369" width="6.7109375" style="807" bestFit="1" customWidth="1"/>
    <col min="4370" max="4371" width="4.42578125" style="807" bestFit="1" customWidth="1"/>
    <col min="4372" max="4372" width="9.85546875" style="807" customWidth="1"/>
    <col min="4373" max="4373" width="4.42578125" style="807" customWidth="1"/>
    <col min="4374" max="4374" width="8.85546875" style="807" bestFit="1" customWidth="1"/>
    <col min="4375" max="4611" width="9.140625" style="807"/>
    <col min="4612" max="4612" width="42.5703125" style="807" customWidth="1"/>
    <col min="4613" max="4613" width="21.140625" style="807" bestFit="1" customWidth="1"/>
    <col min="4614" max="4614" width="6.140625" style="807" bestFit="1" customWidth="1"/>
    <col min="4615" max="4615" width="8.85546875" style="807" customWidth="1"/>
    <col min="4616" max="4616" width="9.85546875" style="807" customWidth="1"/>
    <col min="4617" max="4619" width="7.28515625" style="807" bestFit="1" customWidth="1"/>
    <col min="4620" max="4620" width="7.140625" style="807" bestFit="1" customWidth="1"/>
    <col min="4621" max="4621" width="7.140625" style="807" customWidth="1"/>
    <col min="4622" max="4622" width="5.5703125" style="807" bestFit="1" customWidth="1"/>
    <col min="4623" max="4623" width="5.7109375" style="807" bestFit="1" customWidth="1"/>
    <col min="4624" max="4624" width="5.5703125" style="807" bestFit="1" customWidth="1"/>
    <col min="4625" max="4625" width="6.7109375" style="807" bestFit="1" customWidth="1"/>
    <col min="4626" max="4627" width="4.42578125" style="807" bestFit="1" customWidth="1"/>
    <col min="4628" max="4628" width="9.85546875" style="807" customWidth="1"/>
    <col min="4629" max="4629" width="4.42578125" style="807" customWidth="1"/>
    <col min="4630" max="4630" width="8.85546875" style="807" bestFit="1" customWidth="1"/>
    <col min="4631" max="4867" width="9.140625" style="807"/>
    <col min="4868" max="4868" width="42.5703125" style="807" customWidth="1"/>
    <col min="4869" max="4869" width="21.140625" style="807" bestFit="1" customWidth="1"/>
    <col min="4870" max="4870" width="6.140625" style="807" bestFit="1" customWidth="1"/>
    <col min="4871" max="4871" width="8.85546875" style="807" customWidth="1"/>
    <col min="4872" max="4872" width="9.85546875" style="807" customWidth="1"/>
    <col min="4873" max="4875" width="7.28515625" style="807" bestFit="1" customWidth="1"/>
    <col min="4876" max="4876" width="7.140625" style="807" bestFit="1" customWidth="1"/>
    <col min="4877" max="4877" width="7.140625" style="807" customWidth="1"/>
    <col min="4878" max="4878" width="5.5703125" style="807" bestFit="1" customWidth="1"/>
    <col min="4879" max="4879" width="5.7109375" style="807" bestFit="1" customWidth="1"/>
    <col min="4880" max="4880" width="5.5703125" style="807" bestFit="1" customWidth="1"/>
    <col min="4881" max="4881" width="6.7109375" style="807" bestFit="1" customWidth="1"/>
    <col min="4882" max="4883" width="4.42578125" style="807" bestFit="1" customWidth="1"/>
    <col min="4884" max="4884" width="9.85546875" style="807" customWidth="1"/>
    <col min="4885" max="4885" width="4.42578125" style="807" customWidth="1"/>
    <col min="4886" max="4886" width="8.85546875" style="807" bestFit="1" customWidth="1"/>
    <col min="4887" max="5123" width="9.140625" style="807"/>
    <col min="5124" max="5124" width="42.5703125" style="807" customWidth="1"/>
    <col min="5125" max="5125" width="21.140625" style="807" bestFit="1" customWidth="1"/>
    <col min="5126" max="5126" width="6.140625" style="807" bestFit="1" customWidth="1"/>
    <col min="5127" max="5127" width="8.85546875" style="807" customWidth="1"/>
    <col min="5128" max="5128" width="9.85546875" style="807" customWidth="1"/>
    <col min="5129" max="5131" width="7.28515625" style="807" bestFit="1" customWidth="1"/>
    <col min="5132" max="5132" width="7.140625" style="807" bestFit="1" customWidth="1"/>
    <col min="5133" max="5133" width="7.140625" style="807" customWidth="1"/>
    <col min="5134" max="5134" width="5.5703125" style="807" bestFit="1" customWidth="1"/>
    <col min="5135" max="5135" width="5.7109375" style="807" bestFit="1" customWidth="1"/>
    <col min="5136" max="5136" width="5.5703125" style="807" bestFit="1" customWidth="1"/>
    <col min="5137" max="5137" width="6.7109375" style="807" bestFit="1" customWidth="1"/>
    <col min="5138" max="5139" width="4.42578125" style="807" bestFit="1" customWidth="1"/>
    <col min="5140" max="5140" width="9.85546875" style="807" customWidth="1"/>
    <col min="5141" max="5141" width="4.42578125" style="807" customWidth="1"/>
    <col min="5142" max="5142" width="8.85546875" style="807" bestFit="1" customWidth="1"/>
    <col min="5143" max="5379" width="9.140625" style="807"/>
    <col min="5380" max="5380" width="42.5703125" style="807" customWidth="1"/>
    <col min="5381" max="5381" width="21.140625" style="807" bestFit="1" customWidth="1"/>
    <col min="5382" max="5382" width="6.140625" style="807" bestFit="1" customWidth="1"/>
    <col min="5383" max="5383" width="8.85546875" style="807" customWidth="1"/>
    <col min="5384" max="5384" width="9.85546875" style="807" customWidth="1"/>
    <col min="5385" max="5387" width="7.28515625" style="807" bestFit="1" customWidth="1"/>
    <col min="5388" max="5388" width="7.140625" style="807" bestFit="1" customWidth="1"/>
    <col min="5389" max="5389" width="7.140625" style="807" customWidth="1"/>
    <col min="5390" max="5390" width="5.5703125" style="807" bestFit="1" customWidth="1"/>
    <col min="5391" max="5391" width="5.7109375" style="807" bestFit="1" customWidth="1"/>
    <col min="5392" max="5392" width="5.5703125" style="807" bestFit="1" customWidth="1"/>
    <col min="5393" max="5393" width="6.7109375" style="807" bestFit="1" customWidth="1"/>
    <col min="5394" max="5395" width="4.42578125" style="807" bestFit="1" customWidth="1"/>
    <col min="5396" max="5396" width="9.85546875" style="807" customWidth="1"/>
    <col min="5397" max="5397" width="4.42578125" style="807" customWidth="1"/>
    <col min="5398" max="5398" width="8.85546875" style="807" bestFit="1" customWidth="1"/>
    <col min="5399" max="5635" width="9.140625" style="807"/>
    <col min="5636" max="5636" width="42.5703125" style="807" customWidth="1"/>
    <col min="5637" max="5637" width="21.140625" style="807" bestFit="1" customWidth="1"/>
    <col min="5638" max="5638" width="6.140625" style="807" bestFit="1" customWidth="1"/>
    <col min="5639" max="5639" width="8.85546875" style="807" customWidth="1"/>
    <col min="5640" max="5640" width="9.85546875" style="807" customWidth="1"/>
    <col min="5641" max="5643" width="7.28515625" style="807" bestFit="1" customWidth="1"/>
    <col min="5644" max="5644" width="7.140625" style="807" bestFit="1" customWidth="1"/>
    <col min="5645" max="5645" width="7.140625" style="807" customWidth="1"/>
    <col min="5646" max="5646" width="5.5703125" style="807" bestFit="1" customWidth="1"/>
    <col min="5647" max="5647" width="5.7109375" style="807" bestFit="1" customWidth="1"/>
    <col min="5648" max="5648" width="5.5703125" style="807" bestFit="1" customWidth="1"/>
    <col min="5649" max="5649" width="6.7109375" style="807" bestFit="1" customWidth="1"/>
    <col min="5650" max="5651" width="4.42578125" style="807" bestFit="1" customWidth="1"/>
    <col min="5652" max="5652" width="9.85546875" style="807" customWidth="1"/>
    <col min="5653" max="5653" width="4.42578125" style="807" customWidth="1"/>
    <col min="5654" max="5654" width="8.85546875" style="807" bestFit="1" customWidth="1"/>
    <col min="5655" max="5891" width="9.140625" style="807"/>
    <col min="5892" max="5892" width="42.5703125" style="807" customWidth="1"/>
    <col min="5893" max="5893" width="21.140625" style="807" bestFit="1" customWidth="1"/>
    <col min="5894" max="5894" width="6.140625" style="807" bestFit="1" customWidth="1"/>
    <col min="5895" max="5895" width="8.85546875" style="807" customWidth="1"/>
    <col min="5896" max="5896" width="9.85546875" style="807" customWidth="1"/>
    <col min="5897" max="5899" width="7.28515625" style="807" bestFit="1" customWidth="1"/>
    <col min="5900" max="5900" width="7.140625" style="807" bestFit="1" customWidth="1"/>
    <col min="5901" max="5901" width="7.140625" style="807" customWidth="1"/>
    <col min="5902" max="5902" width="5.5703125" style="807" bestFit="1" customWidth="1"/>
    <col min="5903" max="5903" width="5.7109375" style="807" bestFit="1" customWidth="1"/>
    <col min="5904" max="5904" width="5.5703125" style="807" bestFit="1" customWidth="1"/>
    <col min="5905" max="5905" width="6.7109375" style="807" bestFit="1" customWidth="1"/>
    <col min="5906" max="5907" width="4.42578125" style="807" bestFit="1" customWidth="1"/>
    <col min="5908" max="5908" width="9.85546875" style="807" customWidth="1"/>
    <col min="5909" max="5909" width="4.42578125" style="807" customWidth="1"/>
    <col min="5910" max="5910" width="8.85546875" style="807" bestFit="1" customWidth="1"/>
    <col min="5911" max="6147" width="9.140625" style="807"/>
    <col min="6148" max="6148" width="42.5703125" style="807" customWidth="1"/>
    <col min="6149" max="6149" width="21.140625" style="807" bestFit="1" customWidth="1"/>
    <col min="6150" max="6150" width="6.140625" style="807" bestFit="1" customWidth="1"/>
    <col min="6151" max="6151" width="8.85546875" style="807" customWidth="1"/>
    <col min="6152" max="6152" width="9.85546875" style="807" customWidth="1"/>
    <col min="6153" max="6155" width="7.28515625" style="807" bestFit="1" customWidth="1"/>
    <col min="6156" max="6156" width="7.140625" style="807" bestFit="1" customWidth="1"/>
    <col min="6157" max="6157" width="7.140625" style="807" customWidth="1"/>
    <col min="6158" max="6158" width="5.5703125" style="807" bestFit="1" customWidth="1"/>
    <col min="6159" max="6159" width="5.7109375" style="807" bestFit="1" customWidth="1"/>
    <col min="6160" max="6160" width="5.5703125" style="807" bestFit="1" customWidth="1"/>
    <col min="6161" max="6161" width="6.7109375" style="807" bestFit="1" customWidth="1"/>
    <col min="6162" max="6163" width="4.42578125" style="807" bestFit="1" customWidth="1"/>
    <col min="6164" max="6164" width="9.85546875" style="807" customWidth="1"/>
    <col min="6165" max="6165" width="4.42578125" style="807" customWidth="1"/>
    <col min="6166" max="6166" width="8.85546875" style="807" bestFit="1" customWidth="1"/>
    <col min="6167" max="6403" width="9.140625" style="807"/>
    <col min="6404" max="6404" width="42.5703125" style="807" customWidth="1"/>
    <col min="6405" max="6405" width="21.140625" style="807" bestFit="1" customWidth="1"/>
    <col min="6406" max="6406" width="6.140625" style="807" bestFit="1" customWidth="1"/>
    <col min="6407" max="6407" width="8.85546875" style="807" customWidth="1"/>
    <col min="6408" max="6408" width="9.85546875" style="807" customWidth="1"/>
    <col min="6409" max="6411" width="7.28515625" style="807" bestFit="1" customWidth="1"/>
    <col min="6412" max="6412" width="7.140625" style="807" bestFit="1" customWidth="1"/>
    <col min="6413" max="6413" width="7.140625" style="807" customWidth="1"/>
    <col min="6414" max="6414" width="5.5703125" style="807" bestFit="1" customWidth="1"/>
    <col min="6415" max="6415" width="5.7109375" style="807" bestFit="1" customWidth="1"/>
    <col min="6416" max="6416" width="5.5703125" style="807" bestFit="1" customWidth="1"/>
    <col min="6417" max="6417" width="6.7109375" style="807" bestFit="1" customWidth="1"/>
    <col min="6418" max="6419" width="4.42578125" style="807" bestFit="1" customWidth="1"/>
    <col min="6420" max="6420" width="9.85546875" style="807" customWidth="1"/>
    <col min="6421" max="6421" width="4.42578125" style="807" customWidth="1"/>
    <col min="6422" max="6422" width="8.85546875" style="807" bestFit="1" customWidth="1"/>
    <col min="6423" max="6659" width="9.140625" style="807"/>
    <col min="6660" max="6660" width="42.5703125" style="807" customWidth="1"/>
    <col min="6661" max="6661" width="21.140625" style="807" bestFit="1" customWidth="1"/>
    <col min="6662" max="6662" width="6.140625" style="807" bestFit="1" customWidth="1"/>
    <col min="6663" max="6663" width="8.85546875" style="807" customWidth="1"/>
    <col min="6664" max="6664" width="9.85546875" style="807" customWidth="1"/>
    <col min="6665" max="6667" width="7.28515625" style="807" bestFit="1" customWidth="1"/>
    <col min="6668" max="6668" width="7.140625" style="807" bestFit="1" customWidth="1"/>
    <col min="6669" max="6669" width="7.140625" style="807" customWidth="1"/>
    <col min="6670" max="6670" width="5.5703125" style="807" bestFit="1" customWidth="1"/>
    <col min="6671" max="6671" width="5.7109375" style="807" bestFit="1" customWidth="1"/>
    <col min="6672" max="6672" width="5.5703125" style="807" bestFit="1" customWidth="1"/>
    <col min="6673" max="6673" width="6.7109375" style="807" bestFit="1" customWidth="1"/>
    <col min="6674" max="6675" width="4.42578125" style="807" bestFit="1" customWidth="1"/>
    <col min="6676" max="6676" width="9.85546875" style="807" customWidth="1"/>
    <col min="6677" max="6677" width="4.42578125" style="807" customWidth="1"/>
    <col min="6678" max="6678" width="8.85546875" style="807" bestFit="1" customWidth="1"/>
    <col min="6679" max="6915" width="9.140625" style="807"/>
    <col min="6916" max="6916" width="42.5703125" style="807" customWidth="1"/>
    <col min="6917" max="6917" width="21.140625" style="807" bestFit="1" customWidth="1"/>
    <col min="6918" max="6918" width="6.140625" style="807" bestFit="1" customWidth="1"/>
    <col min="6919" max="6919" width="8.85546875" style="807" customWidth="1"/>
    <col min="6920" max="6920" width="9.85546875" style="807" customWidth="1"/>
    <col min="6921" max="6923" width="7.28515625" style="807" bestFit="1" customWidth="1"/>
    <col min="6924" max="6924" width="7.140625" style="807" bestFit="1" customWidth="1"/>
    <col min="6925" max="6925" width="7.140625" style="807" customWidth="1"/>
    <col min="6926" max="6926" width="5.5703125" style="807" bestFit="1" customWidth="1"/>
    <col min="6927" max="6927" width="5.7109375" style="807" bestFit="1" customWidth="1"/>
    <col min="6928" max="6928" width="5.5703125" style="807" bestFit="1" customWidth="1"/>
    <col min="6929" max="6929" width="6.7109375" style="807" bestFit="1" customWidth="1"/>
    <col min="6930" max="6931" width="4.42578125" style="807" bestFit="1" customWidth="1"/>
    <col min="6932" max="6932" width="9.85546875" style="807" customWidth="1"/>
    <col min="6933" max="6933" width="4.42578125" style="807" customWidth="1"/>
    <col min="6934" max="6934" width="8.85546875" style="807" bestFit="1" customWidth="1"/>
    <col min="6935" max="7171" width="9.140625" style="807"/>
    <col min="7172" max="7172" width="42.5703125" style="807" customWidth="1"/>
    <col min="7173" max="7173" width="21.140625" style="807" bestFit="1" customWidth="1"/>
    <col min="7174" max="7174" width="6.140625" style="807" bestFit="1" customWidth="1"/>
    <col min="7175" max="7175" width="8.85546875" style="807" customWidth="1"/>
    <col min="7176" max="7176" width="9.85546875" style="807" customWidth="1"/>
    <col min="7177" max="7179" width="7.28515625" style="807" bestFit="1" customWidth="1"/>
    <col min="7180" max="7180" width="7.140625" style="807" bestFit="1" customWidth="1"/>
    <col min="7181" max="7181" width="7.140625" style="807" customWidth="1"/>
    <col min="7182" max="7182" width="5.5703125" style="807" bestFit="1" customWidth="1"/>
    <col min="7183" max="7183" width="5.7109375" style="807" bestFit="1" customWidth="1"/>
    <col min="7184" max="7184" width="5.5703125" style="807" bestFit="1" customWidth="1"/>
    <col min="7185" max="7185" width="6.7109375" style="807" bestFit="1" customWidth="1"/>
    <col min="7186" max="7187" width="4.42578125" style="807" bestFit="1" customWidth="1"/>
    <col min="7188" max="7188" width="9.85546875" style="807" customWidth="1"/>
    <col min="7189" max="7189" width="4.42578125" style="807" customWidth="1"/>
    <col min="7190" max="7190" width="8.85546875" style="807" bestFit="1" customWidth="1"/>
    <col min="7191" max="7427" width="9.140625" style="807"/>
    <col min="7428" max="7428" width="42.5703125" style="807" customWidth="1"/>
    <col min="7429" max="7429" width="21.140625" style="807" bestFit="1" customWidth="1"/>
    <col min="7430" max="7430" width="6.140625" style="807" bestFit="1" customWidth="1"/>
    <col min="7431" max="7431" width="8.85546875" style="807" customWidth="1"/>
    <col min="7432" max="7432" width="9.85546875" style="807" customWidth="1"/>
    <col min="7433" max="7435" width="7.28515625" style="807" bestFit="1" customWidth="1"/>
    <col min="7436" max="7436" width="7.140625" style="807" bestFit="1" customWidth="1"/>
    <col min="7437" max="7437" width="7.140625" style="807" customWidth="1"/>
    <col min="7438" max="7438" width="5.5703125" style="807" bestFit="1" customWidth="1"/>
    <col min="7439" max="7439" width="5.7109375" style="807" bestFit="1" customWidth="1"/>
    <col min="7440" max="7440" width="5.5703125" style="807" bestFit="1" customWidth="1"/>
    <col min="7441" max="7441" width="6.7109375" style="807" bestFit="1" customWidth="1"/>
    <col min="7442" max="7443" width="4.42578125" style="807" bestFit="1" customWidth="1"/>
    <col min="7444" max="7444" width="9.85546875" style="807" customWidth="1"/>
    <col min="7445" max="7445" width="4.42578125" style="807" customWidth="1"/>
    <col min="7446" max="7446" width="8.85546875" style="807" bestFit="1" customWidth="1"/>
    <col min="7447" max="7683" width="9.140625" style="807"/>
    <col min="7684" max="7684" width="42.5703125" style="807" customWidth="1"/>
    <col min="7685" max="7685" width="21.140625" style="807" bestFit="1" customWidth="1"/>
    <col min="7686" max="7686" width="6.140625" style="807" bestFit="1" customWidth="1"/>
    <col min="7687" max="7687" width="8.85546875" style="807" customWidth="1"/>
    <col min="7688" max="7688" width="9.85546875" style="807" customWidth="1"/>
    <col min="7689" max="7691" width="7.28515625" style="807" bestFit="1" customWidth="1"/>
    <col min="7692" max="7692" width="7.140625" style="807" bestFit="1" customWidth="1"/>
    <col min="7693" max="7693" width="7.140625" style="807" customWidth="1"/>
    <col min="7694" max="7694" width="5.5703125" style="807" bestFit="1" customWidth="1"/>
    <col min="7695" max="7695" width="5.7109375" style="807" bestFit="1" customWidth="1"/>
    <col min="7696" max="7696" width="5.5703125" style="807" bestFit="1" customWidth="1"/>
    <col min="7697" max="7697" width="6.7109375" style="807" bestFit="1" customWidth="1"/>
    <col min="7698" max="7699" width="4.42578125" style="807" bestFit="1" customWidth="1"/>
    <col min="7700" max="7700" width="9.85546875" style="807" customWidth="1"/>
    <col min="7701" max="7701" width="4.42578125" style="807" customWidth="1"/>
    <col min="7702" max="7702" width="8.85546875" style="807" bestFit="1" customWidth="1"/>
    <col min="7703" max="7939" width="9.140625" style="807"/>
    <col min="7940" max="7940" width="42.5703125" style="807" customWidth="1"/>
    <col min="7941" max="7941" width="21.140625" style="807" bestFit="1" customWidth="1"/>
    <col min="7942" max="7942" width="6.140625" style="807" bestFit="1" customWidth="1"/>
    <col min="7943" max="7943" width="8.85546875" style="807" customWidth="1"/>
    <col min="7944" max="7944" width="9.85546875" style="807" customWidth="1"/>
    <col min="7945" max="7947" width="7.28515625" style="807" bestFit="1" customWidth="1"/>
    <col min="7948" max="7948" width="7.140625" style="807" bestFit="1" customWidth="1"/>
    <col min="7949" max="7949" width="7.140625" style="807" customWidth="1"/>
    <col min="7950" max="7950" width="5.5703125" style="807" bestFit="1" customWidth="1"/>
    <col min="7951" max="7951" width="5.7109375" style="807" bestFit="1" customWidth="1"/>
    <col min="7952" max="7952" width="5.5703125" style="807" bestFit="1" customWidth="1"/>
    <col min="7953" max="7953" width="6.7109375" style="807" bestFit="1" customWidth="1"/>
    <col min="7954" max="7955" width="4.42578125" style="807" bestFit="1" customWidth="1"/>
    <col min="7956" max="7956" width="9.85546875" style="807" customWidth="1"/>
    <col min="7957" max="7957" width="4.42578125" style="807" customWidth="1"/>
    <col min="7958" max="7958" width="8.85546875" style="807" bestFit="1" customWidth="1"/>
    <col min="7959" max="8195" width="9.140625" style="807"/>
    <col min="8196" max="8196" width="42.5703125" style="807" customWidth="1"/>
    <col min="8197" max="8197" width="21.140625" style="807" bestFit="1" customWidth="1"/>
    <col min="8198" max="8198" width="6.140625" style="807" bestFit="1" customWidth="1"/>
    <col min="8199" max="8199" width="8.85546875" style="807" customWidth="1"/>
    <col min="8200" max="8200" width="9.85546875" style="807" customWidth="1"/>
    <col min="8201" max="8203" width="7.28515625" style="807" bestFit="1" customWidth="1"/>
    <col min="8204" max="8204" width="7.140625" style="807" bestFit="1" customWidth="1"/>
    <col min="8205" max="8205" width="7.140625" style="807" customWidth="1"/>
    <col min="8206" max="8206" width="5.5703125" style="807" bestFit="1" customWidth="1"/>
    <col min="8207" max="8207" width="5.7109375" style="807" bestFit="1" customWidth="1"/>
    <col min="8208" max="8208" width="5.5703125" style="807" bestFit="1" customWidth="1"/>
    <col min="8209" max="8209" width="6.7109375" style="807" bestFit="1" customWidth="1"/>
    <col min="8210" max="8211" width="4.42578125" style="807" bestFit="1" customWidth="1"/>
    <col min="8212" max="8212" width="9.85546875" style="807" customWidth="1"/>
    <col min="8213" max="8213" width="4.42578125" style="807" customWidth="1"/>
    <col min="8214" max="8214" width="8.85546875" style="807" bestFit="1" customWidth="1"/>
    <col min="8215" max="8451" width="9.140625" style="807"/>
    <col min="8452" max="8452" width="42.5703125" style="807" customWidth="1"/>
    <col min="8453" max="8453" width="21.140625" style="807" bestFit="1" customWidth="1"/>
    <col min="8454" max="8454" width="6.140625" style="807" bestFit="1" customWidth="1"/>
    <col min="8455" max="8455" width="8.85546875" style="807" customWidth="1"/>
    <col min="8456" max="8456" width="9.85546875" style="807" customWidth="1"/>
    <col min="8457" max="8459" width="7.28515625" style="807" bestFit="1" customWidth="1"/>
    <col min="8460" max="8460" width="7.140625" style="807" bestFit="1" customWidth="1"/>
    <col min="8461" max="8461" width="7.140625" style="807" customWidth="1"/>
    <col min="8462" max="8462" width="5.5703125" style="807" bestFit="1" customWidth="1"/>
    <col min="8463" max="8463" width="5.7109375" style="807" bestFit="1" customWidth="1"/>
    <col min="8464" max="8464" width="5.5703125" style="807" bestFit="1" customWidth="1"/>
    <col min="8465" max="8465" width="6.7109375" style="807" bestFit="1" customWidth="1"/>
    <col min="8466" max="8467" width="4.42578125" style="807" bestFit="1" customWidth="1"/>
    <col min="8468" max="8468" width="9.85546875" style="807" customWidth="1"/>
    <col min="8469" max="8469" width="4.42578125" style="807" customWidth="1"/>
    <col min="8470" max="8470" width="8.85546875" style="807" bestFit="1" customWidth="1"/>
    <col min="8471" max="8707" width="9.140625" style="807"/>
    <col min="8708" max="8708" width="42.5703125" style="807" customWidth="1"/>
    <col min="8709" max="8709" width="21.140625" style="807" bestFit="1" customWidth="1"/>
    <col min="8710" max="8710" width="6.140625" style="807" bestFit="1" customWidth="1"/>
    <col min="8711" max="8711" width="8.85546875" style="807" customWidth="1"/>
    <col min="8712" max="8712" width="9.85546875" style="807" customWidth="1"/>
    <col min="8713" max="8715" width="7.28515625" style="807" bestFit="1" customWidth="1"/>
    <col min="8716" max="8716" width="7.140625" style="807" bestFit="1" customWidth="1"/>
    <col min="8717" max="8717" width="7.140625" style="807" customWidth="1"/>
    <col min="8718" max="8718" width="5.5703125" style="807" bestFit="1" customWidth="1"/>
    <col min="8719" max="8719" width="5.7109375" style="807" bestFit="1" customWidth="1"/>
    <col min="8720" max="8720" width="5.5703125" style="807" bestFit="1" customWidth="1"/>
    <col min="8721" max="8721" width="6.7109375" style="807" bestFit="1" customWidth="1"/>
    <col min="8722" max="8723" width="4.42578125" style="807" bestFit="1" customWidth="1"/>
    <col min="8724" max="8724" width="9.85546875" style="807" customWidth="1"/>
    <col min="8725" max="8725" width="4.42578125" style="807" customWidth="1"/>
    <col min="8726" max="8726" width="8.85546875" style="807" bestFit="1" customWidth="1"/>
    <col min="8727" max="8963" width="9.140625" style="807"/>
    <col min="8964" max="8964" width="42.5703125" style="807" customWidth="1"/>
    <col min="8965" max="8965" width="21.140625" style="807" bestFit="1" customWidth="1"/>
    <col min="8966" max="8966" width="6.140625" style="807" bestFit="1" customWidth="1"/>
    <col min="8967" max="8967" width="8.85546875" style="807" customWidth="1"/>
    <col min="8968" max="8968" width="9.85546875" style="807" customWidth="1"/>
    <col min="8969" max="8971" width="7.28515625" style="807" bestFit="1" customWidth="1"/>
    <col min="8972" max="8972" width="7.140625" style="807" bestFit="1" customWidth="1"/>
    <col min="8973" max="8973" width="7.140625" style="807" customWidth="1"/>
    <col min="8974" max="8974" width="5.5703125" style="807" bestFit="1" customWidth="1"/>
    <col min="8975" max="8975" width="5.7109375" style="807" bestFit="1" customWidth="1"/>
    <col min="8976" max="8976" width="5.5703125" style="807" bestFit="1" customWidth="1"/>
    <col min="8977" max="8977" width="6.7109375" style="807" bestFit="1" customWidth="1"/>
    <col min="8978" max="8979" width="4.42578125" style="807" bestFit="1" customWidth="1"/>
    <col min="8980" max="8980" width="9.85546875" style="807" customWidth="1"/>
    <col min="8981" max="8981" width="4.42578125" style="807" customWidth="1"/>
    <col min="8982" max="8982" width="8.85546875" style="807" bestFit="1" customWidth="1"/>
    <col min="8983" max="9219" width="9.140625" style="807"/>
    <col min="9220" max="9220" width="42.5703125" style="807" customWidth="1"/>
    <col min="9221" max="9221" width="21.140625" style="807" bestFit="1" customWidth="1"/>
    <col min="9222" max="9222" width="6.140625" style="807" bestFit="1" customWidth="1"/>
    <col min="9223" max="9223" width="8.85546875" style="807" customWidth="1"/>
    <col min="9224" max="9224" width="9.85546875" style="807" customWidth="1"/>
    <col min="9225" max="9227" width="7.28515625" style="807" bestFit="1" customWidth="1"/>
    <col min="9228" max="9228" width="7.140625" style="807" bestFit="1" customWidth="1"/>
    <col min="9229" max="9229" width="7.140625" style="807" customWidth="1"/>
    <col min="9230" max="9230" width="5.5703125" style="807" bestFit="1" customWidth="1"/>
    <col min="9231" max="9231" width="5.7109375" style="807" bestFit="1" customWidth="1"/>
    <col min="9232" max="9232" width="5.5703125" style="807" bestFit="1" customWidth="1"/>
    <col min="9233" max="9233" width="6.7109375" style="807" bestFit="1" customWidth="1"/>
    <col min="9234" max="9235" width="4.42578125" style="807" bestFit="1" customWidth="1"/>
    <col min="9236" max="9236" width="9.85546875" style="807" customWidth="1"/>
    <col min="9237" max="9237" width="4.42578125" style="807" customWidth="1"/>
    <col min="9238" max="9238" width="8.85546875" style="807" bestFit="1" customWidth="1"/>
    <col min="9239" max="9475" width="9.140625" style="807"/>
    <col min="9476" max="9476" width="42.5703125" style="807" customWidth="1"/>
    <col min="9477" max="9477" width="21.140625" style="807" bestFit="1" customWidth="1"/>
    <col min="9478" max="9478" width="6.140625" style="807" bestFit="1" customWidth="1"/>
    <col min="9479" max="9479" width="8.85546875" style="807" customWidth="1"/>
    <col min="9480" max="9480" width="9.85546875" style="807" customWidth="1"/>
    <col min="9481" max="9483" width="7.28515625" style="807" bestFit="1" customWidth="1"/>
    <col min="9484" max="9484" width="7.140625" style="807" bestFit="1" customWidth="1"/>
    <col min="9485" max="9485" width="7.140625" style="807" customWidth="1"/>
    <col min="9486" max="9486" width="5.5703125" style="807" bestFit="1" customWidth="1"/>
    <col min="9487" max="9487" width="5.7109375" style="807" bestFit="1" customWidth="1"/>
    <col min="9488" max="9488" width="5.5703125" style="807" bestFit="1" customWidth="1"/>
    <col min="9489" max="9489" width="6.7109375" style="807" bestFit="1" customWidth="1"/>
    <col min="9490" max="9491" width="4.42578125" style="807" bestFit="1" customWidth="1"/>
    <col min="9492" max="9492" width="9.85546875" style="807" customWidth="1"/>
    <col min="9493" max="9493" width="4.42578125" style="807" customWidth="1"/>
    <col min="9494" max="9494" width="8.85546875" style="807" bestFit="1" customWidth="1"/>
    <col min="9495" max="9731" width="9.140625" style="807"/>
    <col min="9732" max="9732" width="42.5703125" style="807" customWidth="1"/>
    <col min="9733" max="9733" width="21.140625" style="807" bestFit="1" customWidth="1"/>
    <col min="9734" max="9734" width="6.140625" style="807" bestFit="1" customWidth="1"/>
    <col min="9735" max="9735" width="8.85546875" style="807" customWidth="1"/>
    <col min="9736" max="9736" width="9.85546875" style="807" customWidth="1"/>
    <col min="9737" max="9739" width="7.28515625" style="807" bestFit="1" customWidth="1"/>
    <col min="9740" max="9740" width="7.140625" style="807" bestFit="1" customWidth="1"/>
    <col min="9741" max="9741" width="7.140625" style="807" customWidth="1"/>
    <col min="9742" max="9742" width="5.5703125" style="807" bestFit="1" customWidth="1"/>
    <col min="9743" max="9743" width="5.7109375" style="807" bestFit="1" customWidth="1"/>
    <col min="9744" max="9744" width="5.5703125" style="807" bestFit="1" customWidth="1"/>
    <col min="9745" max="9745" width="6.7109375" style="807" bestFit="1" customWidth="1"/>
    <col min="9746" max="9747" width="4.42578125" style="807" bestFit="1" customWidth="1"/>
    <col min="9748" max="9748" width="9.85546875" style="807" customWidth="1"/>
    <col min="9749" max="9749" width="4.42578125" style="807" customWidth="1"/>
    <col min="9750" max="9750" width="8.85546875" style="807" bestFit="1" customWidth="1"/>
    <col min="9751" max="9987" width="9.140625" style="807"/>
    <col min="9988" max="9988" width="42.5703125" style="807" customWidth="1"/>
    <col min="9989" max="9989" width="21.140625" style="807" bestFit="1" customWidth="1"/>
    <col min="9990" max="9990" width="6.140625" style="807" bestFit="1" customWidth="1"/>
    <col min="9991" max="9991" width="8.85546875" style="807" customWidth="1"/>
    <col min="9992" max="9992" width="9.85546875" style="807" customWidth="1"/>
    <col min="9993" max="9995" width="7.28515625" style="807" bestFit="1" customWidth="1"/>
    <col min="9996" max="9996" width="7.140625" style="807" bestFit="1" customWidth="1"/>
    <col min="9997" max="9997" width="7.140625" style="807" customWidth="1"/>
    <col min="9998" max="9998" width="5.5703125" style="807" bestFit="1" customWidth="1"/>
    <col min="9999" max="9999" width="5.7109375" style="807" bestFit="1" customWidth="1"/>
    <col min="10000" max="10000" width="5.5703125" style="807" bestFit="1" customWidth="1"/>
    <col min="10001" max="10001" width="6.7109375" style="807" bestFit="1" customWidth="1"/>
    <col min="10002" max="10003" width="4.42578125" style="807" bestFit="1" customWidth="1"/>
    <col min="10004" max="10004" width="9.85546875" style="807" customWidth="1"/>
    <col min="10005" max="10005" width="4.42578125" style="807" customWidth="1"/>
    <col min="10006" max="10006" width="8.85546875" style="807" bestFit="1" customWidth="1"/>
    <col min="10007" max="10243" width="9.140625" style="807"/>
    <col min="10244" max="10244" width="42.5703125" style="807" customWidth="1"/>
    <col min="10245" max="10245" width="21.140625" style="807" bestFit="1" customWidth="1"/>
    <col min="10246" max="10246" width="6.140625" style="807" bestFit="1" customWidth="1"/>
    <col min="10247" max="10247" width="8.85546875" style="807" customWidth="1"/>
    <col min="10248" max="10248" width="9.85546875" style="807" customWidth="1"/>
    <col min="10249" max="10251" width="7.28515625" style="807" bestFit="1" customWidth="1"/>
    <col min="10252" max="10252" width="7.140625" style="807" bestFit="1" customWidth="1"/>
    <col min="10253" max="10253" width="7.140625" style="807" customWidth="1"/>
    <col min="10254" max="10254" width="5.5703125" style="807" bestFit="1" customWidth="1"/>
    <col min="10255" max="10255" width="5.7109375" style="807" bestFit="1" customWidth="1"/>
    <col min="10256" max="10256" width="5.5703125" style="807" bestFit="1" customWidth="1"/>
    <col min="10257" max="10257" width="6.7109375" style="807" bestFit="1" customWidth="1"/>
    <col min="10258" max="10259" width="4.42578125" style="807" bestFit="1" customWidth="1"/>
    <col min="10260" max="10260" width="9.85546875" style="807" customWidth="1"/>
    <col min="10261" max="10261" width="4.42578125" style="807" customWidth="1"/>
    <col min="10262" max="10262" width="8.85546875" style="807" bestFit="1" customWidth="1"/>
    <col min="10263" max="10499" width="9.140625" style="807"/>
    <col min="10500" max="10500" width="42.5703125" style="807" customWidth="1"/>
    <col min="10501" max="10501" width="21.140625" style="807" bestFit="1" customWidth="1"/>
    <col min="10502" max="10502" width="6.140625" style="807" bestFit="1" customWidth="1"/>
    <col min="10503" max="10503" width="8.85546875" style="807" customWidth="1"/>
    <col min="10504" max="10504" width="9.85546875" style="807" customWidth="1"/>
    <col min="10505" max="10507" width="7.28515625" style="807" bestFit="1" customWidth="1"/>
    <col min="10508" max="10508" width="7.140625" style="807" bestFit="1" customWidth="1"/>
    <col min="10509" max="10509" width="7.140625" style="807" customWidth="1"/>
    <col min="10510" max="10510" width="5.5703125" style="807" bestFit="1" customWidth="1"/>
    <col min="10511" max="10511" width="5.7109375" style="807" bestFit="1" customWidth="1"/>
    <col min="10512" max="10512" width="5.5703125" style="807" bestFit="1" customWidth="1"/>
    <col min="10513" max="10513" width="6.7109375" style="807" bestFit="1" customWidth="1"/>
    <col min="10514" max="10515" width="4.42578125" style="807" bestFit="1" customWidth="1"/>
    <col min="10516" max="10516" width="9.85546875" style="807" customWidth="1"/>
    <col min="10517" max="10517" width="4.42578125" style="807" customWidth="1"/>
    <col min="10518" max="10518" width="8.85546875" style="807" bestFit="1" customWidth="1"/>
    <col min="10519" max="10755" width="9.140625" style="807"/>
    <col min="10756" max="10756" width="42.5703125" style="807" customWidth="1"/>
    <col min="10757" max="10757" width="21.140625" style="807" bestFit="1" customWidth="1"/>
    <col min="10758" max="10758" width="6.140625" style="807" bestFit="1" customWidth="1"/>
    <col min="10759" max="10759" width="8.85546875" style="807" customWidth="1"/>
    <col min="10760" max="10760" width="9.85546875" style="807" customWidth="1"/>
    <col min="10761" max="10763" width="7.28515625" style="807" bestFit="1" customWidth="1"/>
    <col min="10764" max="10764" width="7.140625" style="807" bestFit="1" customWidth="1"/>
    <col min="10765" max="10765" width="7.140625" style="807" customWidth="1"/>
    <col min="10766" max="10766" width="5.5703125" style="807" bestFit="1" customWidth="1"/>
    <col min="10767" max="10767" width="5.7109375" style="807" bestFit="1" customWidth="1"/>
    <col min="10768" max="10768" width="5.5703125" style="807" bestFit="1" customWidth="1"/>
    <col min="10769" max="10769" width="6.7109375" style="807" bestFit="1" customWidth="1"/>
    <col min="10770" max="10771" width="4.42578125" style="807" bestFit="1" customWidth="1"/>
    <col min="10772" max="10772" width="9.85546875" style="807" customWidth="1"/>
    <col min="10773" max="10773" width="4.42578125" style="807" customWidth="1"/>
    <col min="10774" max="10774" width="8.85546875" style="807" bestFit="1" customWidth="1"/>
    <col min="10775" max="11011" width="9.140625" style="807"/>
    <col min="11012" max="11012" width="42.5703125" style="807" customWidth="1"/>
    <col min="11013" max="11013" width="21.140625" style="807" bestFit="1" customWidth="1"/>
    <col min="11014" max="11014" width="6.140625" style="807" bestFit="1" customWidth="1"/>
    <col min="11015" max="11015" width="8.85546875" style="807" customWidth="1"/>
    <col min="11016" max="11016" width="9.85546875" style="807" customWidth="1"/>
    <col min="11017" max="11019" width="7.28515625" style="807" bestFit="1" customWidth="1"/>
    <col min="11020" max="11020" width="7.140625" style="807" bestFit="1" customWidth="1"/>
    <col min="11021" max="11021" width="7.140625" style="807" customWidth="1"/>
    <col min="11022" max="11022" width="5.5703125" style="807" bestFit="1" customWidth="1"/>
    <col min="11023" max="11023" width="5.7109375" style="807" bestFit="1" customWidth="1"/>
    <col min="11024" max="11024" width="5.5703125" style="807" bestFit="1" customWidth="1"/>
    <col min="11025" max="11025" width="6.7109375" style="807" bestFit="1" customWidth="1"/>
    <col min="11026" max="11027" width="4.42578125" style="807" bestFit="1" customWidth="1"/>
    <col min="11028" max="11028" width="9.85546875" style="807" customWidth="1"/>
    <col min="11029" max="11029" width="4.42578125" style="807" customWidth="1"/>
    <col min="11030" max="11030" width="8.85546875" style="807" bestFit="1" customWidth="1"/>
    <col min="11031" max="11267" width="9.140625" style="807"/>
    <col min="11268" max="11268" width="42.5703125" style="807" customWidth="1"/>
    <col min="11269" max="11269" width="21.140625" style="807" bestFit="1" customWidth="1"/>
    <col min="11270" max="11270" width="6.140625" style="807" bestFit="1" customWidth="1"/>
    <col min="11271" max="11271" width="8.85546875" style="807" customWidth="1"/>
    <col min="11272" max="11272" width="9.85546875" style="807" customWidth="1"/>
    <col min="11273" max="11275" width="7.28515625" style="807" bestFit="1" customWidth="1"/>
    <col min="11276" max="11276" width="7.140625" style="807" bestFit="1" customWidth="1"/>
    <col min="11277" max="11277" width="7.140625" style="807" customWidth="1"/>
    <col min="11278" max="11278" width="5.5703125" style="807" bestFit="1" customWidth="1"/>
    <col min="11279" max="11279" width="5.7109375" style="807" bestFit="1" customWidth="1"/>
    <col min="11280" max="11280" width="5.5703125" style="807" bestFit="1" customWidth="1"/>
    <col min="11281" max="11281" width="6.7109375" style="807" bestFit="1" customWidth="1"/>
    <col min="11282" max="11283" width="4.42578125" style="807" bestFit="1" customWidth="1"/>
    <col min="11284" max="11284" width="9.85546875" style="807" customWidth="1"/>
    <col min="11285" max="11285" width="4.42578125" style="807" customWidth="1"/>
    <col min="11286" max="11286" width="8.85546875" style="807" bestFit="1" customWidth="1"/>
    <col min="11287" max="11523" width="9.140625" style="807"/>
    <col min="11524" max="11524" width="42.5703125" style="807" customWidth="1"/>
    <col min="11525" max="11525" width="21.140625" style="807" bestFit="1" customWidth="1"/>
    <col min="11526" max="11526" width="6.140625" style="807" bestFit="1" customWidth="1"/>
    <col min="11527" max="11527" width="8.85546875" style="807" customWidth="1"/>
    <col min="11528" max="11528" width="9.85546875" style="807" customWidth="1"/>
    <col min="11529" max="11531" width="7.28515625" style="807" bestFit="1" customWidth="1"/>
    <col min="11532" max="11532" width="7.140625" style="807" bestFit="1" customWidth="1"/>
    <col min="11533" max="11533" width="7.140625" style="807" customWidth="1"/>
    <col min="11534" max="11534" width="5.5703125" style="807" bestFit="1" customWidth="1"/>
    <col min="11535" max="11535" width="5.7109375" style="807" bestFit="1" customWidth="1"/>
    <col min="11536" max="11536" width="5.5703125" style="807" bestFit="1" customWidth="1"/>
    <col min="11537" max="11537" width="6.7109375" style="807" bestFit="1" customWidth="1"/>
    <col min="11538" max="11539" width="4.42578125" style="807" bestFit="1" customWidth="1"/>
    <col min="11540" max="11540" width="9.85546875" style="807" customWidth="1"/>
    <col min="11541" max="11541" width="4.42578125" style="807" customWidth="1"/>
    <col min="11542" max="11542" width="8.85546875" style="807" bestFit="1" customWidth="1"/>
    <col min="11543" max="11779" width="9.140625" style="807"/>
    <col min="11780" max="11780" width="42.5703125" style="807" customWidth="1"/>
    <col min="11781" max="11781" width="21.140625" style="807" bestFit="1" customWidth="1"/>
    <col min="11782" max="11782" width="6.140625" style="807" bestFit="1" customWidth="1"/>
    <col min="11783" max="11783" width="8.85546875" style="807" customWidth="1"/>
    <col min="11784" max="11784" width="9.85546875" style="807" customWidth="1"/>
    <col min="11785" max="11787" width="7.28515625" style="807" bestFit="1" customWidth="1"/>
    <col min="11788" max="11788" width="7.140625" style="807" bestFit="1" customWidth="1"/>
    <col min="11789" max="11789" width="7.140625" style="807" customWidth="1"/>
    <col min="11790" max="11790" width="5.5703125" style="807" bestFit="1" customWidth="1"/>
    <col min="11791" max="11791" width="5.7109375" style="807" bestFit="1" customWidth="1"/>
    <col min="11792" max="11792" width="5.5703125" style="807" bestFit="1" customWidth="1"/>
    <col min="11793" max="11793" width="6.7109375" style="807" bestFit="1" customWidth="1"/>
    <col min="11794" max="11795" width="4.42578125" style="807" bestFit="1" customWidth="1"/>
    <col min="11796" max="11796" width="9.85546875" style="807" customWidth="1"/>
    <col min="11797" max="11797" width="4.42578125" style="807" customWidth="1"/>
    <col min="11798" max="11798" width="8.85546875" style="807" bestFit="1" customWidth="1"/>
    <col min="11799" max="12035" width="9.140625" style="807"/>
    <col min="12036" max="12036" width="42.5703125" style="807" customWidth="1"/>
    <col min="12037" max="12037" width="21.140625" style="807" bestFit="1" customWidth="1"/>
    <col min="12038" max="12038" width="6.140625" style="807" bestFit="1" customWidth="1"/>
    <col min="12039" max="12039" width="8.85546875" style="807" customWidth="1"/>
    <col min="12040" max="12040" width="9.85546875" style="807" customWidth="1"/>
    <col min="12041" max="12043" width="7.28515625" style="807" bestFit="1" customWidth="1"/>
    <col min="12044" max="12044" width="7.140625" style="807" bestFit="1" customWidth="1"/>
    <col min="12045" max="12045" width="7.140625" style="807" customWidth="1"/>
    <col min="12046" max="12046" width="5.5703125" style="807" bestFit="1" customWidth="1"/>
    <col min="12047" max="12047" width="5.7109375" style="807" bestFit="1" customWidth="1"/>
    <col min="12048" max="12048" width="5.5703125" style="807" bestFit="1" customWidth="1"/>
    <col min="12049" max="12049" width="6.7109375" style="807" bestFit="1" customWidth="1"/>
    <col min="12050" max="12051" width="4.42578125" style="807" bestFit="1" customWidth="1"/>
    <col min="12052" max="12052" width="9.85546875" style="807" customWidth="1"/>
    <col min="12053" max="12053" width="4.42578125" style="807" customWidth="1"/>
    <col min="12054" max="12054" width="8.85546875" style="807" bestFit="1" customWidth="1"/>
    <col min="12055" max="12291" width="9.140625" style="807"/>
    <col min="12292" max="12292" width="42.5703125" style="807" customWidth="1"/>
    <col min="12293" max="12293" width="21.140625" style="807" bestFit="1" customWidth="1"/>
    <col min="12294" max="12294" width="6.140625" style="807" bestFit="1" customWidth="1"/>
    <col min="12295" max="12295" width="8.85546875" style="807" customWidth="1"/>
    <col min="12296" max="12296" width="9.85546875" style="807" customWidth="1"/>
    <col min="12297" max="12299" width="7.28515625" style="807" bestFit="1" customWidth="1"/>
    <col min="12300" max="12300" width="7.140625" style="807" bestFit="1" customWidth="1"/>
    <col min="12301" max="12301" width="7.140625" style="807" customWidth="1"/>
    <col min="12302" max="12302" width="5.5703125" style="807" bestFit="1" customWidth="1"/>
    <col min="12303" max="12303" width="5.7109375" style="807" bestFit="1" customWidth="1"/>
    <col min="12304" max="12304" width="5.5703125" style="807" bestFit="1" customWidth="1"/>
    <col min="12305" max="12305" width="6.7109375" style="807" bestFit="1" customWidth="1"/>
    <col min="12306" max="12307" width="4.42578125" style="807" bestFit="1" customWidth="1"/>
    <col min="12308" max="12308" width="9.85546875" style="807" customWidth="1"/>
    <col min="12309" max="12309" width="4.42578125" style="807" customWidth="1"/>
    <col min="12310" max="12310" width="8.85546875" style="807" bestFit="1" customWidth="1"/>
    <col min="12311" max="12547" width="9.140625" style="807"/>
    <col min="12548" max="12548" width="42.5703125" style="807" customWidth="1"/>
    <col min="12549" max="12549" width="21.140625" style="807" bestFit="1" customWidth="1"/>
    <col min="12550" max="12550" width="6.140625" style="807" bestFit="1" customWidth="1"/>
    <col min="12551" max="12551" width="8.85546875" style="807" customWidth="1"/>
    <col min="12552" max="12552" width="9.85546875" style="807" customWidth="1"/>
    <col min="12553" max="12555" width="7.28515625" style="807" bestFit="1" customWidth="1"/>
    <col min="12556" max="12556" width="7.140625" style="807" bestFit="1" customWidth="1"/>
    <col min="12557" max="12557" width="7.140625" style="807" customWidth="1"/>
    <col min="12558" max="12558" width="5.5703125" style="807" bestFit="1" customWidth="1"/>
    <col min="12559" max="12559" width="5.7109375" style="807" bestFit="1" customWidth="1"/>
    <col min="12560" max="12560" width="5.5703125" style="807" bestFit="1" customWidth="1"/>
    <col min="12561" max="12561" width="6.7109375" style="807" bestFit="1" customWidth="1"/>
    <col min="12562" max="12563" width="4.42578125" style="807" bestFit="1" customWidth="1"/>
    <col min="12564" max="12564" width="9.85546875" style="807" customWidth="1"/>
    <col min="12565" max="12565" width="4.42578125" style="807" customWidth="1"/>
    <col min="12566" max="12566" width="8.85546875" style="807" bestFit="1" customWidth="1"/>
    <col min="12567" max="12803" width="9.140625" style="807"/>
    <col min="12804" max="12804" width="42.5703125" style="807" customWidth="1"/>
    <col min="12805" max="12805" width="21.140625" style="807" bestFit="1" customWidth="1"/>
    <col min="12806" max="12806" width="6.140625" style="807" bestFit="1" customWidth="1"/>
    <col min="12807" max="12807" width="8.85546875" style="807" customWidth="1"/>
    <col min="12808" max="12808" width="9.85546875" style="807" customWidth="1"/>
    <col min="12809" max="12811" width="7.28515625" style="807" bestFit="1" customWidth="1"/>
    <col min="12812" max="12812" width="7.140625" style="807" bestFit="1" customWidth="1"/>
    <col min="12813" max="12813" width="7.140625" style="807" customWidth="1"/>
    <col min="12814" max="12814" width="5.5703125" style="807" bestFit="1" customWidth="1"/>
    <col min="12815" max="12815" width="5.7109375" style="807" bestFit="1" customWidth="1"/>
    <col min="12816" max="12816" width="5.5703125" style="807" bestFit="1" customWidth="1"/>
    <col min="12817" max="12817" width="6.7109375" style="807" bestFit="1" customWidth="1"/>
    <col min="12818" max="12819" width="4.42578125" style="807" bestFit="1" customWidth="1"/>
    <col min="12820" max="12820" width="9.85546875" style="807" customWidth="1"/>
    <col min="12821" max="12821" width="4.42578125" style="807" customWidth="1"/>
    <col min="12822" max="12822" width="8.85546875" style="807" bestFit="1" customWidth="1"/>
    <col min="12823" max="13059" width="9.140625" style="807"/>
    <col min="13060" max="13060" width="42.5703125" style="807" customWidth="1"/>
    <col min="13061" max="13061" width="21.140625" style="807" bestFit="1" customWidth="1"/>
    <col min="13062" max="13062" width="6.140625" style="807" bestFit="1" customWidth="1"/>
    <col min="13063" max="13063" width="8.85546875" style="807" customWidth="1"/>
    <col min="13064" max="13064" width="9.85546875" style="807" customWidth="1"/>
    <col min="13065" max="13067" width="7.28515625" style="807" bestFit="1" customWidth="1"/>
    <col min="13068" max="13068" width="7.140625" style="807" bestFit="1" customWidth="1"/>
    <col min="13069" max="13069" width="7.140625" style="807" customWidth="1"/>
    <col min="13070" max="13070" width="5.5703125" style="807" bestFit="1" customWidth="1"/>
    <col min="13071" max="13071" width="5.7109375" style="807" bestFit="1" customWidth="1"/>
    <col min="13072" max="13072" width="5.5703125" style="807" bestFit="1" customWidth="1"/>
    <col min="13073" max="13073" width="6.7109375" style="807" bestFit="1" customWidth="1"/>
    <col min="13074" max="13075" width="4.42578125" style="807" bestFit="1" customWidth="1"/>
    <col min="13076" max="13076" width="9.85546875" style="807" customWidth="1"/>
    <col min="13077" max="13077" width="4.42578125" style="807" customWidth="1"/>
    <col min="13078" max="13078" width="8.85546875" style="807" bestFit="1" customWidth="1"/>
    <col min="13079" max="13315" width="9.140625" style="807"/>
    <col min="13316" max="13316" width="42.5703125" style="807" customWidth="1"/>
    <col min="13317" max="13317" width="21.140625" style="807" bestFit="1" customWidth="1"/>
    <col min="13318" max="13318" width="6.140625" style="807" bestFit="1" customWidth="1"/>
    <col min="13319" max="13319" width="8.85546875" style="807" customWidth="1"/>
    <col min="13320" max="13320" width="9.85546875" style="807" customWidth="1"/>
    <col min="13321" max="13323" width="7.28515625" style="807" bestFit="1" customWidth="1"/>
    <col min="13324" max="13324" width="7.140625" style="807" bestFit="1" customWidth="1"/>
    <col min="13325" max="13325" width="7.140625" style="807" customWidth="1"/>
    <col min="13326" max="13326" width="5.5703125" style="807" bestFit="1" customWidth="1"/>
    <col min="13327" max="13327" width="5.7109375" style="807" bestFit="1" customWidth="1"/>
    <col min="13328" max="13328" width="5.5703125" style="807" bestFit="1" customWidth="1"/>
    <col min="13329" max="13329" width="6.7109375" style="807" bestFit="1" customWidth="1"/>
    <col min="13330" max="13331" width="4.42578125" style="807" bestFit="1" customWidth="1"/>
    <col min="13332" max="13332" width="9.85546875" style="807" customWidth="1"/>
    <col min="13333" max="13333" width="4.42578125" style="807" customWidth="1"/>
    <col min="13334" max="13334" width="8.85546875" style="807" bestFit="1" customWidth="1"/>
    <col min="13335" max="13571" width="9.140625" style="807"/>
    <col min="13572" max="13572" width="42.5703125" style="807" customWidth="1"/>
    <col min="13573" max="13573" width="21.140625" style="807" bestFit="1" customWidth="1"/>
    <col min="13574" max="13574" width="6.140625" style="807" bestFit="1" customWidth="1"/>
    <col min="13575" max="13575" width="8.85546875" style="807" customWidth="1"/>
    <col min="13576" max="13576" width="9.85546875" style="807" customWidth="1"/>
    <col min="13577" max="13579" width="7.28515625" style="807" bestFit="1" customWidth="1"/>
    <col min="13580" max="13580" width="7.140625" style="807" bestFit="1" customWidth="1"/>
    <col min="13581" max="13581" width="7.140625" style="807" customWidth="1"/>
    <col min="13582" max="13582" width="5.5703125" style="807" bestFit="1" customWidth="1"/>
    <col min="13583" max="13583" width="5.7109375" style="807" bestFit="1" customWidth="1"/>
    <col min="13584" max="13584" width="5.5703125" style="807" bestFit="1" customWidth="1"/>
    <col min="13585" max="13585" width="6.7109375" style="807" bestFit="1" customWidth="1"/>
    <col min="13586" max="13587" width="4.42578125" style="807" bestFit="1" customWidth="1"/>
    <col min="13588" max="13588" width="9.85546875" style="807" customWidth="1"/>
    <col min="13589" max="13589" width="4.42578125" style="807" customWidth="1"/>
    <col min="13590" max="13590" width="8.85546875" style="807" bestFit="1" customWidth="1"/>
    <col min="13591" max="13827" width="9.140625" style="807"/>
    <col min="13828" max="13828" width="42.5703125" style="807" customWidth="1"/>
    <col min="13829" max="13829" width="21.140625" style="807" bestFit="1" customWidth="1"/>
    <col min="13830" max="13830" width="6.140625" style="807" bestFit="1" customWidth="1"/>
    <col min="13831" max="13831" width="8.85546875" style="807" customWidth="1"/>
    <col min="13832" max="13832" width="9.85546875" style="807" customWidth="1"/>
    <col min="13833" max="13835" width="7.28515625" style="807" bestFit="1" customWidth="1"/>
    <col min="13836" max="13836" width="7.140625" style="807" bestFit="1" customWidth="1"/>
    <col min="13837" max="13837" width="7.140625" style="807" customWidth="1"/>
    <col min="13838" max="13838" width="5.5703125" style="807" bestFit="1" customWidth="1"/>
    <col min="13839" max="13839" width="5.7109375" style="807" bestFit="1" customWidth="1"/>
    <col min="13840" max="13840" width="5.5703125" style="807" bestFit="1" customWidth="1"/>
    <col min="13841" max="13841" width="6.7109375" style="807" bestFit="1" customWidth="1"/>
    <col min="13842" max="13843" width="4.42578125" style="807" bestFit="1" customWidth="1"/>
    <col min="13844" max="13844" width="9.85546875" style="807" customWidth="1"/>
    <col min="13845" max="13845" width="4.42578125" style="807" customWidth="1"/>
    <col min="13846" max="13846" width="8.85546875" style="807" bestFit="1" customWidth="1"/>
    <col min="13847" max="14083" width="9.140625" style="807"/>
    <col min="14084" max="14084" width="42.5703125" style="807" customWidth="1"/>
    <col min="14085" max="14085" width="21.140625" style="807" bestFit="1" customWidth="1"/>
    <col min="14086" max="14086" width="6.140625" style="807" bestFit="1" customWidth="1"/>
    <col min="14087" max="14087" width="8.85546875" style="807" customWidth="1"/>
    <col min="14088" max="14088" width="9.85546875" style="807" customWidth="1"/>
    <col min="14089" max="14091" width="7.28515625" style="807" bestFit="1" customWidth="1"/>
    <col min="14092" max="14092" width="7.140625" style="807" bestFit="1" customWidth="1"/>
    <col min="14093" max="14093" width="7.140625" style="807" customWidth="1"/>
    <col min="14094" max="14094" width="5.5703125" style="807" bestFit="1" customWidth="1"/>
    <col min="14095" max="14095" width="5.7109375" style="807" bestFit="1" customWidth="1"/>
    <col min="14096" max="14096" width="5.5703125" style="807" bestFit="1" customWidth="1"/>
    <col min="14097" max="14097" width="6.7109375" style="807" bestFit="1" customWidth="1"/>
    <col min="14098" max="14099" width="4.42578125" style="807" bestFit="1" customWidth="1"/>
    <col min="14100" max="14100" width="9.85546875" style="807" customWidth="1"/>
    <col min="14101" max="14101" width="4.42578125" style="807" customWidth="1"/>
    <col min="14102" max="14102" width="8.85546875" style="807" bestFit="1" customWidth="1"/>
    <col min="14103" max="14339" width="9.140625" style="807"/>
    <col min="14340" max="14340" width="42.5703125" style="807" customWidth="1"/>
    <col min="14341" max="14341" width="21.140625" style="807" bestFit="1" customWidth="1"/>
    <col min="14342" max="14342" width="6.140625" style="807" bestFit="1" customWidth="1"/>
    <col min="14343" max="14343" width="8.85546875" style="807" customWidth="1"/>
    <col min="14344" max="14344" width="9.85546875" style="807" customWidth="1"/>
    <col min="14345" max="14347" width="7.28515625" style="807" bestFit="1" customWidth="1"/>
    <col min="14348" max="14348" width="7.140625" style="807" bestFit="1" customWidth="1"/>
    <col min="14349" max="14349" width="7.140625" style="807" customWidth="1"/>
    <col min="14350" max="14350" width="5.5703125" style="807" bestFit="1" customWidth="1"/>
    <col min="14351" max="14351" width="5.7109375" style="807" bestFit="1" customWidth="1"/>
    <col min="14352" max="14352" width="5.5703125" style="807" bestFit="1" customWidth="1"/>
    <col min="14353" max="14353" width="6.7109375" style="807" bestFit="1" customWidth="1"/>
    <col min="14354" max="14355" width="4.42578125" style="807" bestFit="1" customWidth="1"/>
    <col min="14356" max="14356" width="9.85546875" style="807" customWidth="1"/>
    <col min="14357" max="14357" width="4.42578125" style="807" customWidth="1"/>
    <col min="14358" max="14358" width="8.85546875" style="807" bestFit="1" customWidth="1"/>
    <col min="14359" max="14595" width="9.140625" style="807"/>
    <col min="14596" max="14596" width="42.5703125" style="807" customWidth="1"/>
    <col min="14597" max="14597" width="21.140625" style="807" bestFit="1" customWidth="1"/>
    <col min="14598" max="14598" width="6.140625" style="807" bestFit="1" customWidth="1"/>
    <col min="14599" max="14599" width="8.85546875" style="807" customWidth="1"/>
    <col min="14600" max="14600" width="9.85546875" style="807" customWidth="1"/>
    <col min="14601" max="14603" width="7.28515625" style="807" bestFit="1" customWidth="1"/>
    <col min="14604" max="14604" width="7.140625" style="807" bestFit="1" customWidth="1"/>
    <col min="14605" max="14605" width="7.140625" style="807" customWidth="1"/>
    <col min="14606" max="14606" width="5.5703125" style="807" bestFit="1" customWidth="1"/>
    <col min="14607" max="14607" width="5.7109375" style="807" bestFit="1" customWidth="1"/>
    <col min="14608" max="14608" width="5.5703125" style="807" bestFit="1" customWidth="1"/>
    <col min="14609" max="14609" width="6.7109375" style="807" bestFit="1" customWidth="1"/>
    <col min="14610" max="14611" width="4.42578125" style="807" bestFit="1" customWidth="1"/>
    <col min="14612" max="14612" width="9.85546875" style="807" customWidth="1"/>
    <col min="14613" max="14613" width="4.42578125" style="807" customWidth="1"/>
    <col min="14614" max="14614" width="8.85546875" style="807" bestFit="1" customWidth="1"/>
    <col min="14615" max="14851" width="9.140625" style="807"/>
    <col min="14852" max="14852" width="42.5703125" style="807" customWidth="1"/>
    <col min="14853" max="14853" width="21.140625" style="807" bestFit="1" customWidth="1"/>
    <col min="14854" max="14854" width="6.140625" style="807" bestFit="1" customWidth="1"/>
    <col min="14855" max="14855" width="8.85546875" style="807" customWidth="1"/>
    <col min="14856" max="14856" width="9.85546875" style="807" customWidth="1"/>
    <col min="14857" max="14859" width="7.28515625" style="807" bestFit="1" customWidth="1"/>
    <col min="14860" max="14860" width="7.140625" style="807" bestFit="1" customWidth="1"/>
    <col min="14861" max="14861" width="7.140625" style="807" customWidth="1"/>
    <col min="14862" max="14862" width="5.5703125" style="807" bestFit="1" customWidth="1"/>
    <col min="14863" max="14863" width="5.7109375" style="807" bestFit="1" customWidth="1"/>
    <col min="14864" max="14864" width="5.5703125" style="807" bestFit="1" customWidth="1"/>
    <col min="14865" max="14865" width="6.7109375" style="807" bestFit="1" customWidth="1"/>
    <col min="14866" max="14867" width="4.42578125" style="807" bestFit="1" customWidth="1"/>
    <col min="14868" max="14868" width="9.85546875" style="807" customWidth="1"/>
    <col min="14869" max="14869" width="4.42578125" style="807" customWidth="1"/>
    <col min="14870" max="14870" width="8.85546875" style="807" bestFit="1" customWidth="1"/>
    <col min="14871" max="15107" width="9.140625" style="807"/>
    <col min="15108" max="15108" width="42.5703125" style="807" customWidth="1"/>
    <col min="15109" max="15109" width="21.140625" style="807" bestFit="1" customWidth="1"/>
    <col min="15110" max="15110" width="6.140625" style="807" bestFit="1" customWidth="1"/>
    <col min="15111" max="15111" width="8.85546875" style="807" customWidth="1"/>
    <col min="15112" max="15112" width="9.85546875" style="807" customWidth="1"/>
    <col min="15113" max="15115" width="7.28515625" style="807" bestFit="1" customWidth="1"/>
    <col min="15116" max="15116" width="7.140625" style="807" bestFit="1" customWidth="1"/>
    <col min="15117" max="15117" width="7.140625" style="807" customWidth="1"/>
    <col min="15118" max="15118" width="5.5703125" style="807" bestFit="1" customWidth="1"/>
    <col min="15119" max="15119" width="5.7109375" style="807" bestFit="1" customWidth="1"/>
    <col min="15120" max="15120" width="5.5703125" style="807" bestFit="1" customWidth="1"/>
    <col min="15121" max="15121" width="6.7109375" style="807" bestFit="1" customWidth="1"/>
    <col min="15122" max="15123" width="4.42578125" style="807" bestFit="1" customWidth="1"/>
    <col min="15124" max="15124" width="9.85546875" style="807" customWidth="1"/>
    <col min="15125" max="15125" width="4.42578125" style="807" customWidth="1"/>
    <col min="15126" max="15126" width="8.85546875" style="807" bestFit="1" customWidth="1"/>
    <col min="15127" max="15363" width="9.140625" style="807"/>
    <col min="15364" max="15364" width="42.5703125" style="807" customWidth="1"/>
    <col min="15365" max="15365" width="21.140625" style="807" bestFit="1" customWidth="1"/>
    <col min="15366" max="15366" width="6.140625" style="807" bestFit="1" customWidth="1"/>
    <col min="15367" max="15367" width="8.85546875" style="807" customWidth="1"/>
    <col min="15368" max="15368" width="9.85546875" style="807" customWidth="1"/>
    <col min="15369" max="15371" width="7.28515625" style="807" bestFit="1" customWidth="1"/>
    <col min="15372" max="15372" width="7.140625" style="807" bestFit="1" customWidth="1"/>
    <col min="15373" max="15373" width="7.140625" style="807" customWidth="1"/>
    <col min="15374" max="15374" width="5.5703125" style="807" bestFit="1" customWidth="1"/>
    <col min="15375" max="15375" width="5.7109375" style="807" bestFit="1" customWidth="1"/>
    <col min="15376" max="15376" width="5.5703125" style="807" bestFit="1" customWidth="1"/>
    <col min="15377" max="15377" width="6.7109375" style="807" bestFit="1" customWidth="1"/>
    <col min="15378" max="15379" width="4.42578125" style="807" bestFit="1" customWidth="1"/>
    <col min="15380" max="15380" width="9.85546875" style="807" customWidth="1"/>
    <col min="15381" max="15381" width="4.42578125" style="807" customWidth="1"/>
    <col min="15382" max="15382" width="8.85546875" style="807" bestFit="1" customWidth="1"/>
    <col min="15383" max="15619" width="9.140625" style="807"/>
    <col min="15620" max="15620" width="42.5703125" style="807" customWidth="1"/>
    <col min="15621" max="15621" width="21.140625" style="807" bestFit="1" customWidth="1"/>
    <col min="15622" max="15622" width="6.140625" style="807" bestFit="1" customWidth="1"/>
    <col min="15623" max="15623" width="8.85546875" style="807" customWidth="1"/>
    <col min="15624" max="15624" width="9.85546875" style="807" customWidth="1"/>
    <col min="15625" max="15627" width="7.28515625" style="807" bestFit="1" customWidth="1"/>
    <col min="15628" max="15628" width="7.140625" style="807" bestFit="1" customWidth="1"/>
    <col min="15629" max="15629" width="7.140625" style="807" customWidth="1"/>
    <col min="15630" max="15630" width="5.5703125" style="807" bestFit="1" customWidth="1"/>
    <col min="15631" max="15631" width="5.7109375" style="807" bestFit="1" customWidth="1"/>
    <col min="15632" max="15632" width="5.5703125" style="807" bestFit="1" customWidth="1"/>
    <col min="15633" max="15633" width="6.7109375" style="807" bestFit="1" customWidth="1"/>
    <col min="15634" max="15635" width="4.42578125" style="807" bestFit="1" customWidth="1"/>
    <col min="15636" max="15636" width="9.85546875" style="807" customWidth="1"/>
    <col min="15637" max="15637" width="4.42578125" style="807" customWidth="1"/>
    <col min="15638" max="15638" width="8.85546875" style="807" bestFit="1" customWidth="1"/>
    <col min="15639" max="15875" width="9.140625" style="807"/>
    <col min="15876" max="15876" width="42.5703125" style="807" customWidth="1"/>
    <col min="15877" max="15877" width="21.140625" style="807" bestFit="1" customWidth="1"/>
    <col min="15878" max="15878" width="6.140625" style="807" bestFit="1" customWidth="1"/>
    <col min="15879" max="15879" width="8.85546875" style="807" customWidth="1"/>
    <col min="15880" max="15880" width="9.85546875" style="807" customWidth="1"/>
    <col min="15881" max="15883" width="7.28515625" style="807" bestFit="1" customWidth="1"/>
    <col min="15884" max="15884" width="7.140625" style="807" bestFit="1" customWidth="1"/>
    <col min="15885" max="15885" width="7.140625" style="807" customWidth="1"/>
    <col min="15886" max="15886" width="5.5703125" style="807" bestFit="1" customWidth="1"/>
    <col min="15887" max="15887" width="5.7109375" style="807" bestFit="1" customWidth="1"/>
    <col min="15888" max="15888" width="5.5703125" style="807" bestFit="1" customWidth="1"/>
    <col min="15889" max="15889" width="6.7109375" style="807" bestFit="1" customWidth="1"/>
    <col min="15890" max="15891" width="4.42578125" style="807" bestFit="1" customWidth="1"/>
    <col min="15892" max="15892" width="9.85546875" style="807" customWidth="1"/>
    <col min="15893" max="15893" width="4.42578125" style="807" customWidth="1"/>
    <col min="15894" max="15894" width="8.85546875" style="807" bestFit="1" customWidth="1"/>
    <col min="15895" max="16131" width="9.140625" style="807"/>
    <col min="16132" max="16132" width="42.5703125" style="807" customWidth="1"/>
    <col min="16133" max="16133" width="21.140625" style="807" bestFit="1" customWidth="1"/>
    <col min="16134" max="16134" width="6.140625" style="807" bestFit="1" customWidth="1"/>
    <col min="16135" max="16135" width="8.85546875" style="807" customWidth="1"/>
    <col min="16136" max="16136" width="9.85546875" style="807" customWidth="1"/>
    <col min="16137" max="16139" width="7.28515625" style="807" bestFit="1" customWidth="1"/>
    <col min="16140" max="16140" width="7.140625" style="807" bestFit="1" customWidth="1"/>
    <col min="16141" max="16141" width="7.140625" style="807" customWidth="1"/>
    <col min="16142" max="16142" width="5.5703125" style="807" bestFit="1" customWidth="1"/>
    <col min="16143" max="16143" width="5.7109375" style="807" bestFit="1" customWidth="1"/>
    <col min="16144" max="16144" width="5.5703125" style="807" bestFit="1" customWidth="1"/>
    <col min="16145" max="16145" width="6.7109375" style="807" bestFit="1" customWidth="1"/>
    <col min="16146" max="16147" width="4.42578125" style="807" bestFit="1" customWidth="1"/>
    <col min="16148" max="16148" width="9.85546875" style="807" customWidth="1"/>
    <col min="16149" max="16149" width="4.42578125" style="807" customWidth="1"/>
    <col min="16150" max="16150" width="8.85546875" style="807" bestFit="1" customWidth="1"/>
    <col min="16151" max="16384" width="9.140625" style="807"/>
  </cols>
  <sheetData>
    <row r="4" spans="2:20" ht="48">
      <c r="B4" s="1850" t="s">
        <v>891</v>
      </c>
      <c r="C4" s="1851"/>
      <c r="D4" s="1851"/>
      <c r="E4" s="1851"/>
      <c r="F4" s="1851"/>
    </row>
    <row r="6" spans="2:20" ht="13.5" thickBot="1"/>
    <row r="7" spans="2:20" s="809" customFormat="1" ht="19.5" thickBot="1">
      <c r="D7" s="3331" t="s">
        <v>854</v>
      </c>
      <c r="E7" s="3332"/>
      <c r="F7" s="3332"/>
      <c r="G7" s="3332"/>
      <c r="H7" s="3333"/>
      <c r="I7" s="807"/>
      <c r="J7" s="807"/>
      <c r="K7" s="807"/>
      <c r="L7" s="807"/>
      <c r="M7" s="807"/>
      <c r="N7" s="807"/>
      <c r="O7" s="807"/>
      <c r="P7" s="807"/>
      <c r="Q7" s="807"/>
      <c r="R7" s="807"/>
      <c r="S7" s="807"/>
      <c r="T7" s="808"/>
    </row>
    <row r="8" spans="2:20" s="810" customFormat="1" ht="15.75">
      <c r="D8" s="811" t="s">
        <v>855</v>
      </c>
      <c r="E8" s="812" t="s">
        <v>856</v>
      </c>
      <c r="F8" s="813" t="s">
        <v>42</v>
      </c>
      <c r="G8" s="830">
        <v>20000</v>
      </c>
      <c r="H8" s="814" t="s">
        <v>857</v>
      </c>
      <c r="I8" s="807"/>
      <c r="J8" s="807"/>
      <c r="K8" s="807"/>
      <c r="L8" s="807"/>
      <c r="M8" s="807"/>
      <c r="N8" s="807"/>
      <c r="O8" s="807"/>
      <c r="P8" s="807"/>
      <c r="Q8" s="807"/>
      <c r="R8" s="807"/>
      <c r="S8" s="807"/>
      <c r="T8" s="828"/>
    </row>
    <row r="9" spans="2:20" s="810" customFormat="1" ht="15.75">
      <c r="D9" s="816" t="s">
        <v>858</v>
      </c>
      <c r="E9" s="817" t="s">
        <v>859</v>
      </c>
      <c r="F9" s="3334" t="s">
        <v>860</v>
      </c>
      <c r="G9" s="3336">
        <v>20</v>
      </c>
      <c r="H9" s="3338" t="s">
        <v>857</v>
      </c>
      <c r="I9" s="807"/>
      <c r="J9" s="807"/>
      <c r="K9" s="807"/>
      <c r="L9" s="807"/>
      <c r="M9" s="807"/>
      <c r="N9" s="807"/>
      <c r="O9" s="807"/>
      <c r="P9" s="807"/>
      <c r="Q9" s="807"/>
      <c r="R9" s="807"/>
      <c r="S9" s="807"/>
      <c r="T9" s="829"/>
    </row>
    <row r="10" spans="2:20" s="810" customFormat="1" ht="15.75" customHeight="1">
      <c r="D10" s="818" t="s">
        <v>861</v>
      </c>
      <c r="E10" s="819" t="s">
        <v>862</v>
      </c>
      <c r="F10" s="3335"/>
      <c r="G10" s="3337"/>
      <c r="H10" s="3338"/>
      <c r="I10" s="807"/>
      <c r="J10" s="807"/>
      <c r="K10" s="807"/>
      <c r="L10" s="807"/>
      <c r="M10" s="807"/>
      <c r="N10" s="807"/>
      <c r="O10" s="807"/>
      <c r="P10" s="807"/>
      <c r="Q10" s="807"/>
      <c r="R10" s="807"/>
      <c r="S10" s="807"/>
      <c r="T10" s="829"/>
    </row>
    <row r="11" spans="2:20" s="810" customFormat="1" ht="15.75" customHeight="1">
      <c r="D11" s="818" t="s">
        <v>863</v>
      </c>
      <c r="E11" s="819" t="s">
        <v>864</v>
      </c>
      <c r="F11" s="3335"/>
      <c r="G11" s="3337"/>
      <c r="H11" s="3338"/>
      <c r="I11" s="807"/>
      <c r="J11" s="807"/>
      <c r="K11" s="807"/>
      <c r="L11" s="807"/>
      <c r="M11" s="807"/>
      <c r="N11" s="807"/>
      <c r="O11" s="807"/>
      <c r="P11" s="807"/>
      <c r="Q11" s="807"/>
      <c r="R11" s="807"/>
      <c r="S11" s="807"/>
      <c r="T11" s="829"/>
    </row>
    <row r="12" spans="2:20" s="810" customFormat="1" ht="15.75">
      <c r="D12" s="820" t="s">
        <v>865</v>
      </c>
      <c r="E12" s="819" t="s">
        <v>866</v>
      </c>
      <c r="F12" s="3335"/>
      <c r="G12" s="3337"/>
      <c r="H12" s="3339"/>
      <c r="I12" s="807"/>
      <c r="J12" s="807"/>
      <c r="K12" s="807"/>
      <c r="L12" s="807"/>
      <c r="M12" s="807"/>
      <c r="N12" s="807"/>
      <c r="O12" s="807"/>
      <c r="P12" s="807"/>
      <c r="Q12" s="807"/>
      <c r="R12" s="807"/>
      <c r="S12" s="807"/>
      <c r="T12" s="829"/>
    </row>
    <row r="13" spans="2:20" s="810" customFormat="1" ht="15.75">
      <c r="D13" s="821" t="s">
        <v>874</v>
      </c>
      <c r="E13" s="822" t="s">
        <v>875</v>
      </c>
      <c r="F13" s="815" t="s">
        <v>876</v>
      </c>
      <c r="G13" s="831">
        <f>(G8/G9)/1000</f>
        <v>1</v>
      </c>
      <c r="H13" s="797" t="s">
        <v>877</v>
      </c>
      <c r="I13" s="807"/>
      <c r="J13" s="807"/>
      <c r="K13" s="807"/>
      <c r="L13" s="807"/>
      <c r="M13" s="807"/>
      <c r="N13" s="807"/>
      <c r="O13" s="807"/>
      <c r="P13" s="807"/>
      <c r="Q13" s="807"/>
      <c r="R13" s="807"/>
      <c r="S13" s="807"/>
      <c r="T13" s="829"/>
    </row>
    <row r="14" spans="2:20" s="810" customFormat="1" ht="15.75">
      <c r="D14" s="3344" t="s">
        <v>878</v>
      </c>
      <c r="E14" s="3345"/>
      <c r="F14" s="815" t="s">
        <v>5</v>
      </c>
      <c r="G14" s="832">
        <v>25</v>
      </c>
      <c r="H14" s="797" t="s">
        <v>857</v>
      </c>
      <c r="I14" s="807"/>
      <c r="J14" s="807"/>
      <c r="K14" s="807"/>
      <c r="L14" s="807"/>
      <c r="M14" s="807"/>
      <c r="N14" s="807"/>
      <c r="O14" s="807"/>
      <c r="P14" s="807"/>
      <c r="Q14" s="807"/>
      <c r="R14" s="807"/>
      <c r="S14" s="807"/>
      <c r="T14" s="829"/>
    </row>
    <row r="15" spans="2:20" s="810" customFormat="1" ht="16.5" thickBot="1">
      <c r="D15" s="3346" t="s">
        <v>879</v>
      </c>
      <c r="E15" s="3347"/>
      <c r="F15" s="823" t="s">
        <v>827</v>
      </c>
      <c r="G15" s="833">
        <f>G13/(3600*3.14*((G14*0.5*0.001)^2))</f>
        <v>0.56617126680820939</v>
      </c>
      <c r="H15" s="798" t="s">
        <v>877</v>
      </c>
      <c r="I15" s="807"/>
      <c r="J15" s="807"/>
      <c r="K15" s="807"/>
      <c r="L15" s="807"/>
      <c r="M15" s="807"/>
      <c r="N15" s="807"/>
      <c r="O15" s="807"/>
      <c r="P15" s="807"/>
      <c r="Q15" s="807"/>
      <c r="R15" s="807"/>
      <c r="S15" s="807"/>
      <c r="T15" s="829"/>
    </row>
    <row r="16" spans="2:20" s="824" customFormat="1" ht="15.75">
      <c r="D16" s="825"/>
      <c r="E16" s="825"/>
      <c r="F16" s="825"/>
      <c r="G16" s="825"/>
      <c r="T16" s="826"/>
    </row>
    <row r="17" spans="4:20" s="824" customFormat="1" ht="15.75">
      <c r="D17" s="825"/>
      <c r="E17" s="3340" t="s">
        <v>880</v>
      </c>
      <c r="F17" s="3341"/>
      <c r="G17" s="3341"/>
      <c r="H17" s="3342"/>
      <c r="T17" s="826"/>
    </row>
    <row r="18" spans="4:20" s="824" customFormat="1" ht="15.75">
      <c r="D18" s="825"/>
      <c r="E18" s="839" t="s">
        <v>881</v>
      </c>
      <c r="F18" s="839"/>
      <c r="G18" s="839" t="s">
        <v>882</v>
      </c>
      <c r="H18" s="839" t="s">
        <v>883</v>
      </c>
      <c r="I18" s="3348"/>
      <c r="J18" s="3348"/>
      <c r="K18" s="3348"/>
      <c r="L18" s="3348"/>
      <c r="T18" s="826"/>
    </row>
    <row r="19" spans="4:20" s="824" customFormat="1" ht="15.75">
      <c r="D19" s="825"/>
      <c r="E19" s="840" t="s">
        <v>195</v>
      </c>
      <c r="F19" s="841">
        <v>15</v>
      </c>
      <c r="G19" s="842">
        <v>15.75</v>
      </c>
      <c r="H19" s="843">
        <v>0.32</v>
      </c>
      <c r="I19" s="834"/>
      <c r="J19" s="834"/>
      <c r="K19" s="834"/>
      <c r="L19" s="834"/>
      <c r="T19" s="826"/>
    </row>
    <row r="20" spans="4:20" s="824" customFormat="1" ht="15.75">
      <c r="D20" s="825"/>
      <c r="E20" s="840" t="s">
        <v>198</v>
      </c>
      <c r="F20" s="841">
        <v>20</v>
      </c>
      <c r="G20" s="842">
        <v>21.25</v>
      </c>
      <c r="H20" s="843">
        <v>0.4</v>
      </c>
      <c r="I20" s="835"/>
      <c r="J20" s="836"/>
      <c r="K20" s="837"/>
      <c r="L20" s="838"/>
      <c r="T20" s="826"/>
    </row>
    <row r="21" spans="4:20" s="824" customFormat="1" ht="15.75">
      <c r="D21" s="825"/>
      <c r="E21" s="840" t="s">
        <v>201</v>
      </c>
      <c r="F21" s="841">
        <v>25</v>
      </c>
      <c r="G21" s="842">
        <v>27</v>
      </c>
      <c r="H21" s="843">
        <v>0.48</v>
      </c>
      <c r="I21" s="835"/>
      <c r="J21" s="836"/>
      <c r="K21" s="837"/>
      <c r="L21" s="838"/>
      <c r="T21" s="826"/>
    </row>
    <row r="22" spans="4:20" s="824" customFormat="1" ht="15.75">
      <c r="D22" s="825"/>
      <c r="E22" s="840" t="s">
        <v>867</v>
      </c>
      <c r="F22" s="841">
        <v>32</v>
      </c>
      <c r="G22" s="842">
        <v>35.75</v>
      </c>
      <c r="H22" s="843">
        <v>0.55000000000000004</v>
      </c>
      <c r="I22" s="835"/>
      <c r="J22" s="836"/>
      <c r="K22" s="837"/>
      <c r="L22" s="838"/>
      <c r="T22" s="826"/>
    </row>
    <row r="23" spans="4:20">
      <c r="D23" s="827"/>
      <c r="E23" s="840" t="s">
        <v>868</v>
      </c>
      <c r="F23" s="841">
        <v>40</v>
      </c>
      <c r="G23" s="842">
        <v>41.25</v>
      </c>
      <c r="H23" s="843">
        <v>0.65</v>
      </c>
      <c r="I23" s="835"/>
      <c r="J23" s="836"/>
      <c r="K23" s="837"/>
      <c r="L23" s="838"/>
    </row>
    <row r="24" spans="4:20">
      <c r="D24" s="827"/>
      <c r="E24" s="840" t="s">
        <v>209</v>
      </c>
      <c r="F24" s="841">
        <v>50</v>
      </c>
      <c r="G24" s="842">
        <v>51.5</v>
      </c>
      <c r="H24" s="843">
        <v>0.75</v>
      </c>
      <c r="I24" s="835"/>
      <c r="J24" s="836"/>
      <c r="K24" s="837"/>
      <c r="L24" s="838"/>
    </row>
    <row r="25" spans="4:20">
      <c r="D25" s="827"/>
      <c r="E25" s="840" t="s">
        <v>869</v>
      </c>
      <c r="F25" s="841">
        <v>65</v>
      </c>
      <c r="G25" s="842">
        <v>70</v>
      </c>
      <c r="H25" s="843">
        <v>0.9</v>
      </c>
      <c r="I25" s="835"/>
      <c r="J25" s="836"/>
      <c r="K25" s="837"/>
      <c r="L25" s="838"/>
    </row>
    <row r="26" spans="4:20">
      <c r="D26" s="827"/>
      <c r="E26" s="840" t="s">
        <v>225</v>
      </c>
      <c r="F26" s="841">
        <v>80</v>
      </c>
      <c r="G26" s="842">
        <v>82.5</v>
      </c>
      <c r="H26" s="843">
        <v>1</v>
      </c>
      <c r="I26" s="835"/>
      <c r="J26" s="836"/>
      <c r="K26" s="837"/>
      <c r="L26" s="838"/>
    </row>
    <row r="27" spans="4:20">
      <c r="D27" s="827"/>
      <c r="E27" s="840" t="s">
        <v>870</v>
      </c>
      <c r="F27" s="841">
        <v>100</v>
      </c>
      <c r="G27" s="842">
        <v>100.5</v>
      </c>
      <c r="H27" s="843">
        <v>1.1000000000000001</v>
      </c>
      <c r="I27" s="835"/>
      <c r="J27" s="836"/>
      <c r="K27" s="837"/>
      <c r="L27" s="838"/>
    </row>
    <row r="28" spans="4:20">
      <c r="E28" s="840" t="s">
        <v>871</v>
      </c>
      <c r="F28" s="841">
        <v>125</v>
      </c>
      <c r="G28" s="842">
        <v>125</v>
      </c>
      <c r="H28" s="843">
        <v>1.3</v>
      </c>
      <c r="I28" s="835"/>
      <c r="J28" s="836"/>
      <c r="K28" s="837"/>
      <c r="L28" s="838"/>
    </row>
    <row r="29" spans="4:20">
      <c r="E29" s="840" t="s">
        <v>872</v>
      </c>
      <c r="F29" s="841">
        <v>150</v>
      </c>
      <c r="G29" s="842">
        <v>150</v>
      </c>
      <c r="H29" s="843">
        <v>1.4</v>
      </c>
      <c r="I29" s="835"/>
      <c r="J29" s="836"/>
      <c r="K29" s="837"/>
      <c r="L29" s="838"/>
    </row>
    <row r="30" spans="4:20">
      <c r="E30" s="840" t="s">
        <v>873</v>
      </c>
      <c r="F30" s="841">
        <v>200</v>
      </c>
      <c r="G30" s="842">
        <v>204</v>
      </c>
      <c r="H30" s="843">
        <v>1.7</v>
      </c>
      <c r="I30" s="835"/>
      <c r="J30" s="836"/>
      <c r="K30" s="837"/>
      <c r="L30" s="838"/>
    </row>
    <row r="31" spans="4:20">
      <c r="E31" s="840" t="s">
        <v>884</v>
      </c>
      <c r="F31" s="841">
        <v>250</v>
      </c>
      <c r="G31" s="842">
        <v>254</v>
      </c>
      <c r="H31" s="843">
        <v>2</v>
      </c>
      <c r="I31" s="835"/>
      <c r="J31" s="836"/>
      <c r="K31" s="837"/>
      <c r="L31" s="838"/>
    </row>
    <row r="32" spans="4:20">
      <c r="I32" s="835"/>
      <c r="J32" s="836"/>
      <c r="K32" s="837"/>
      <c r="L32" s="838"/>
    </row>
    <row r="33" spans="5:10" ht="15">
      <c r="E33" s="3343" t="s">
        <v>47</v>
      </c>
      <c r="F33" s="3343"/>
      <c r="G33" s="3343"/>
      <c r="H33" s="3343"/>
      <c r="I33" s="3343"/>
      <c r="J33" s="844"/>
    </row>
    <row r="34" spans="5:10">
      <c r="E34" s="3343" t="s">
        <v>17</v>
      </c>
      <c r="F34" s="3343"/>
      <c r="G34" s="3343"/>
      <c r="H34" s="3343"/>
      <c r="I34" s="3343"/>
      <c r="J34" s="845"/>
    </row>
    <row r="35" spans="5:10">
      <c r="E35" s="846"/>
      <c r="F35" s="846"/>
      <c r="G35" s="846"/>
      <c r="H35" s="847"/>
      <c r="I35" s="848">
        <v>2026</v>
      </c>
      <c r="J35" s="849"/>
    </row>
  </sheetData>
  <sheetProtection algorithmName="SHA-512" hashValue="Ok9RO70zjaQEwLMPxceUbVz6xV0busaDqDUxM4Bpq312gJJ6lbpTnZtYnejRrH6Q0bKNrl7Myf7ZmZswCFz0Pg==" saltValue="62J3gF6t4O/S1MPsBj2hdQ==" spinCount="100000" sheet="1" objects="1" selectLockedCells="1"/>
  <mergeCells count="10">
    <mergeCell ref="E34:I34"/>
    <mergeCell ref="E33:I33"/>
    <mergeCell ref="D14:E14"/>
    <mergeCell ref="D15:E15"/>
    <mergeCell ref="I18:L18"/>
    <mergeCell ref="D7:H7"/>
    <mergeCell ref="F9:F12"/>
    <mergeCell ref="G9:G12"/>
    <mergeCell ref="H9:H12"/>
    <mergeCell ref="E17:H1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D4:AH95"/>
  <sheetViews>
    <sheetView showGridLines="0" showRowColHeaders="0" topLeftCell="G1" zoomScale="77" zoomScaleNormal="77" workbookViewId="0">
      <selection activeCell="G5" sqref="G5"/>
    </sheetView>
  </sheetViews>
  <sheetFormatPr defaultColWidth="9.140625" defaultRowHeight="15"/>
  <cols>
    <col min="1" max="8" width="9.140625" style="252"/>
    <col min="9" max="9" width="12.5703125" style="252" customWidth="1"/>
    <col min="10" max="10" width="61.140625" style="252" customWidth="1"/>
    <col min="11" max="12" width="9.140625" style="252"/>
    <col min="13" max="13" width="8.85546875" style="252" customWidth="1"/>
    <col min="14" max="14" width="9.140625" style="252"/>
    <col min="15" max="15" width="12" style="252" customWidth="1"/>
    <col min="16" max="16" width="9.140625" style="252"/>
    <col min="17" max="17" width="12.85546875" style="252" customWidth="1"/>
    <col min="18" max="18" width="60.85546875" style="252" customWidth="1"/>
    <col min="19" max="16384" width="9.140625" style="252"/>
  </cols>
  <sheetData>
    <row r="4" spans="4:26">
      <c r="G4" s="458" t="s">
        <v>190</v>
      </c>
      <c r="I4" s="252" t="s">
        <v>964</v>
      </c>
      <c r="Q4" s="252" t="s">
        <v>965</v>
      </c>
    </row>
    <row r="5" spans="4:26">
      <c r="D5" s="3349" t="s">
        <v>664</v>
      </c>
      <c r="E5" s="3349"/>
      <c r="F5" s="3349"/>
      <c r="G5" s="469">
        <v>7</v>
      </c>
      <c r="I5" s="3350" t="s">
        <v>702</v>
      </c>
      <c r="J5" s="3351"/>
      <c r="K5" s="470">
        <v>2</v>
      </c>
      <c r="L5" s="466" t="s">
        <v>163</v>
      </c>
      <c r="Q5" s="3350" t="s">
        <v>702</v>
      </c>
      <c r="R5" s="3351"/>
      <c r="S5" s="470">
        <v>10</v>
      </c>
      <c r="T5" s="466" t="s">
        <v>163</v>
      </c>
      <c r="U5" s="3363"/>
      <c r="V5" s="3364"/>
      <c r="W5" s="3364"/>
      <c r="X5" s="3364"/>
      <c r="Y5" s="3364"/>
      <c r="Z5" s="3364"/>
    </row>
    <row r="6" spans="4:26">
      <c r="N6" s="3356" t="s">
        <v>1393</v>
      </c>
      <c r="O6" s="3357"/>
      <c r="U6" s="3283"/>
      <c r="V6" s="3283"/>
      <c r="W6" s="3283"/>
      <c r="X6" s="3283"/>
      <c r="Y6" s="3283"/>
      <c r="Z6" s="3283"/>
    </row>
    <row r="7" spans="4:26">
      <c r="I7" s="457" t="s">
        <v>665</v>
      </c>
      <c r="J7" s="458" t="s">
        <v>666</v>
      </c>
      <c r="K7" s="458" t="s">
        <v>443</v>
      </c>
      <c r="L7" s="3352" t="s">
        <v>701</v>
      </c>
      <c r="M7" s="3353"/>
      <c r="N7" s="1483" t="s">
        <v>1394</v>
      </c>
      <c r="O7" s="482"/>
      <c r="P7" s="465"/>
      <c r="Q7" s="457" t="s">
        <v>665</v>
      </c>
      <c r="R7" s="458" t="s">
        <v>666</v>
      </c>
      <c r="S7" s="458" t="s">
        <v>443</v>
      </c>
      <c r="T7" s="3352" t="s">
        <v>701</v>
      </c>
      <c r="U7" s="3353"/>
      <c r="V7" s="3284"/>
      <c r="W7" s="3284"/>
      <c r="X7" s="3284"/>
      <c r="Y7" s="3284"/>
      <c r="Z7" s="3284"/>
    </row>
    <row r="8" spans="4:26">
      <c r="I8" s="875" t="s">
        <v>939</v>
      </c>
      <c r="J8" s="460" t="s">
        <v>668</v>
      </c>
      <c r="K8" s="454">
        <v>3</v>
      </c>
      <c r="L8" s="467">
        <f>G$5*K8</f>
        <v>21</v>
      </c>
      <c r="M8" s="468" t="s">
        <v>88</v>
      </c>
      <c r="N8" s="1484">
        <v>314354</v>
      </c>
      <c r="Q8" s="875" t="s">
        <v>939</v>
      </c>
      <c r="R8" s="460" t="s">
        <v>668</v>
      </c>
      <c r="S8" s="454">
        <v>3</v>
      </c>
      <c r="T8" s="467">
        <f>G$5*S8</f>
        <v>21</v>
      </c>
      <c r="U8" s="468" t="s">
        <v>88</v>
      </c>
    </row>
    <row r="9" spans="4:26">
      <c r="I9" s="877" t="s">
        <v>667</v>
      </c>
      <c r="J9" s="460" t="s">
        <v>669</v>
      </c>
      <c r="K9" s="454">
        <v>2</v>
      </c>
      <c r="L9" s="354">
        <f>G$5*K9</f>
        <v>14</v>
      </c>
      <c r="M9" s="466" t="s">
        <v>88</v>
      </c>
      <c r="N9" s="1484">
        <v>281502</v>
      </c>
      <c r="Q9" s="877" t="s">
        <v>667</v>
      </c>
      <c r="R9" s="460" t="s">
        <v>669</v>
      </c>
      <c r="S9" s="454">
        <v>2</v>
      </c>
      <c r="T9" s="467">
        <f>G$5*S9</f>
        <v>14</v>
      </c>
      <c r="U9" s="466" t="s">
        <v>88</v>
      </c>
    </row>
    <row r="10" spans="4:26">
      <c r="I10" s="877" t="s">
        <v>670</v>
      </c>
      <c r="J10" s="459" t="s">
        <v>671</v>
      </c>
      <c r="K10" s="454">
        <v>1</v>
      </c>
      <c r="L10" s="354">
        <f>G$5*K10</f>
        <v>7</v>
      </c>
      <c r="M10" s="466" t="s">
        <v>88</v>
      </c>
      <c r="N10" s="1484">
        <v>283230</v>
      </c>
      <c r="Q10" s="968" t="s">
        <v>966</v>
      </c>
      <c r="R10" s="459" t="s">
        <v>967</v>
      </c>
      <c r="S10" s="454">
        <v>2</v>
      </c>
      <c r="T10" s="467">
        <f>G$5*S10</f>
        <v>14</v>
      </c>
      <c r="U10" s="466" t="s">
        <v>88</v>
      </c>
    </row>
    <row r="11" spans="4:26">
      <c r="I11" s="877" t="s">
        <v>672</v>
      </c>
      <c r="J11" s="459" t="s">
        <v>673</v>
      </c>
      <c r="K11" s="455">
        <v>5</v>
      </c>
      <c r="L11" s="354">
        <f>G$5*K11</f>
        <v>35</v>
      </c>
      <c r="M11" s="466" t="s">
        <v>88</v>
      </c>
      <c r="N11" s="1484">
        <v>291495</v>
      </c>
      <c r="Q11" s="968" t="s">
        <v>979</v>
      </c>
      <c r="R11" s="459" t="s">
        <v>974</v>
      </c>
      <c r="S11" s="455">
        <v>5</v>
      </c>
      <c r="T11" s="467">
        <f>G$5*S11</f>
        <v>35</v>
      </c>
      <c r="U11" s="466" t="s">
        <v>88</v>
      </c>
    </row>
    <row r="12" spans="4:26">
      <c r="I12" s="876" t="s">
        <v>674</v>
      </c>
      <c r="J12" s="462" t="s">
        <v>675</v>
      </c>
      <c r="K12" s="471">
        <f>K5</f>
        <v>2</v>
      </c>
      <c r="L12" s="354">
        <f>G5*K5</f>
        <v>14</v>
      </c>
      <c r="M12" s="466" t="s">
        <v>163</v>
      </c>
      <c r="N12" s="3354" t="s">
        <v>1390</v>
      </c>
      <c r="O12" s="3355"/>
      <c r="Q12" s="968" t="s">
        <v>977</v>
      </c>
      <c r="R12" s="462" t="s">
        <v>978</v>
      </c>
      <c r="S12" s="471">
        <f>S5</f>
        <v>10</v>
      </c>
      <c r="T12" s="354">
        <f>G$5*S12</f>
        <v>70</v>
      </c>
      <c r="U12" s="466" t="s">
        <v>163</v>
      </c>
    </row>
    <row r="13" spans="4:26">
      <c r="J13" s="463"/>
    </row>
    <row r="16" spans="4:26">
      <c r="N16" s="465"/>
      <c r="O16" s="3364" t="s">
        <v>1159</v>
      </c>
      <c r="P16" s="3364"/>
      <c r="Q16" s="3364"/>
      <c r="R16" s="3364"/>
      <c r="S16" s="3364"/>
      <c r="T16" s="3364"/>
    </row>
    <row r="17" spans="4:34">
      <c r="O17" s="3283" t="s">
        <v>267</v>
      </c>
      <c r="P17" s="3283"/>
      <c r="Q17" s="3283"/>
      <c r="R17" s="3283"/>
      <c r="S17" s="3283"/>
      <c r="T17" s="3283"/>
      <c r="AC17" s="3358"/>
      <c r="AD17" s="3358"/>
      <c r="AE17" s="3358"/>
      <c r="AF17" s="3358"/>
      <c r="AG17" s="3358"/>
    </row>
    <row r="18" spans="4:34">
      <c r="N18" s="3362"/>
      <c r="O18" s="3362"/>
      <c r="P18" s="3284">
        <v>2026</v>
      </c>
      <c r="Q18" s="3284"/>
      <c r="R18" s="3284"/>
      <c r="S18" s="3284"/>
      <c r="T18" s="3284"/>
      <c r="AD18" s="3359"/>
      <c r="AE18" s="3359"/>
      <c r="AF18" s="3359"/>
      <c r="AG18" s="3359"/>
      <c r="AH18" s="3359"/>
    </row>
    <row r="19" spans="4:34">
      <c r="AD19" s="3360"/>
      <c r="AE19" s="3360"/>
      <c r="AF19" s="3360"/>
      <c r="AG19" s="3360"/>
      <c r="AH19" s="3360"/>
    </row>
    <row r="22" spans="4:34">
      <c r="N22" s="3361"/>
      <c r="O22" s="3361"/>
    </row>
    <row r="23" spans="4:34">
      <c r="N23" s="3355"/>
      <c r="O23" s="3355"/>
    </row>
    <row r="24" spans="4:34">
      <c r="N24" s="3355"/>
      <c r="O24" s="3355"/>
    </row>
    <row r="25" spans="4:34">
      <c r="N25" s="3355"/>
      <c r="O25" s="3355"/>
    </row>
    <row r="29" spans="4:34">
      <c r="G29" s="458" t="s">
        <v>190</v>
      </c>
      <c r="Q29" s="252" t="s">
        <v>970</v>
      </c>
    </row>
    <row r="30" spans="4:34">
      <c r="D30" s="3349" t="s">
        <v>676</v>
      </c>
      <c r="E30" s="3349"/>
      <c r="F30" s="3349"/>
      <c r="G30" s="469">
        <v>5</v>
      </c>
      <c r="I30" s="3350" t="s">
        <v>703</v>
      </c>
      <c r="J30" s="3351"/>
      <c r="K30" s="470">
        <v>2</v>
      </c>
      <c r="L30" s="466" t="s">
        <v>163</v>
      </c>
      <c r="Q30" s="3350" t="s">
        <v>703</v>
      </c>
      <c r="R30" s="3351"/>
      <c r="S30" s="470">
        <v>10</v>
      </c>
      <c r="T30" s="466" t="s">
        <v>163</v>
      </c>
    </row>
    <row r="31" spans="4:34">
      <c r="N31" s="3356" t="s">
        <v>1393</v>
      </c>
      <c r="O31" s="3357"/>
    </row>
    <row r="32" spans="4:34">
      <c r="I32" s="457" t="s">
        <v>665</v>
      </c>
      <c r="J32" s="458" t="s">
        <v>666</v>
      </c>
      <c r="K32" s="458" t="s">
        <v>443</v>
      </c>
      <c r="L32" s="3352" t="s">
        <v>701</v>
      </c>
      <c r="M32" s="3353"/>
      <c r="N32" s="1482" t="s">
        <v>1392</v>
      </c>
      <c r="O32" s="482"/>
      <c r="Q32" s="457" t="s">
        <v>665</v>
      </c>
      <c r="R32" s="458" t="s">
        <v>666</v>
      </c>
      <c r="S32" s="458" t="s">
        <v>443</v>
      </c>
      <c r="T32" s="3352" t="s">
        <v>701</v>
      </c>
      <c r="U32" s="3353"/>
    </row>
    <row r="33" spans="9:21">
      <c r="I33" s="875" t="s">
        <v>678</v>
      </c>
      <c r="J33" s="462" t="s">
        <v>677</v>
      </c>
      <c r="K33" s="456">
        <v>1</v>
      </c>
      <c r="L33" s="467">
        <f>G$30*K33</f>
        <v>5</v>
      </c>
      <c r="M33" s="468" t="s">
        <v>88</v>
      </c>
      <c r="N33" s="1484">
        <v>115630</v>
      </c>
      <c r="Q33" s="968" t="s">
        <v>968</v>
      </c>
      <c r="R33" s="462" t="s">
        <v>969</v>
      </c>
      <c r="S33" s="456">
        <v>1</v>
      </c>
      <c r="T33" s="467">
        <f>G$30*S33</f>
        <v>5</v>
      </c>
      <c r="U33" s="468" t="s">
        <v>88</v>
      </c>
    </row>
    <row r="34" spans="9:21">
      <c r="I34" s="875" t="s">
        <v>679</v>
      </c>
      <c r="J34" s="459" t="s">
        <v>680</v>
      </c>
      <c r="K34" s="456">
        <v>2</v>
      </c>
      <c r="L34" s="467">
        <f>G$30*K34</f>
        <v>10</v>
      </c>
      <c r="M34" s="468" t="s">
        <v>88</v>
      </c>
      <c r="N34" s="1484">
        <v>105044</v>
      </c>
      <c r="Q34" s="875" t="s">
        <v>679</v>
      </c>
      <c r="R34" s="459" t="s">
        <v>680</v>
      </c>
      <c r="S34" s="456">
        <v>2</v>
      </c>
      <c r="T34" s="467">
        <f>G$30*S34</f>
        <v>10</v>
      </c>
      <c r="U34" s="468" t="s">
        <v>88</v>
      </c>
    </row>
    <row r="35" spans="9:21">
      <c r="I35" s="875" t="s">
        <v>681</v>
      </c>
      <c r="J35" s="462" t="s">
        <v>682</v>
      </c>
      <c r="K35" s="456">
        <v>1</v>
      </c>
      <c r="L35" s="467">
        <f>G$30*K35</f>
        <v>5</v>
      </c>
      <c r="M35" s="468" t="s">
        <v>88</v>
      </c>
      <c r="N35" s="1484">
        <v>108441</v>
      </c>
      <c r="Q35" s="875" t="s">
        <v>681</v>
      </c>
      <c r="R35" s="462" t="s">
        <v>682</v>
      </c>
      <c r="S35" s="456">
        <v>1</v>
      </c>
      <c r="T35" s="467">
        <f>G$30*S35</f>
        <v>5</v>
      </c>
      <c r="U35" s="468" t="s">
        <v>88</v>
      </c>
    </row>
    <row r="36" spans="9:21">
      <c r="I36" s="875" t="s">
        <v>683</v>
      </c>
      <c r="J36" s="459" t="s">
        <v>684</v>
      </c>
      <c r="K36" s="461">
        <v>5</v>
      </c>
      <c r="L36" s="467">
        <f>G$30*K36</f>
        <v>25</v>
      </c>
      <c r="M36" s="468" t="s">
        <v>88</v>
      </c>
      <c r="N36" s="1484">
        <v>291501</v>
      </c>
      <c r="Q36" s="875" t="s">
        <v>683</v>
      </c>
      <c r="R36" s="459" t="s">
        <v>684</v>
      </c>
      <c r="S36" s="461">
        <v>5</v>
      </c>
      <c r="T36" s="467">
        <f>G$30*S36</f>
        <v>25</v>
      </c>
      <c r="U36" s="468" t="s">
        <v>88</v>
      </c>
    </row>
    <row r="37" spans="9:21">
      <c r="I37" s="969" t="s">
        <v>685</v>
      </c>
      <c r="J37" s="462" t="s">
        <v>686</v>
      </c>
      <c r="K37" s="456">
        <f>K30</f>
        <v>2</v>
      </c>
      <c r="L37" s="354">
        <f>G30*K30</f>
        <v>10</v>
      </c>
      <c r="M37" s="466" t="s">
        <v>163</v>
      </c>
      <c r="N37" s="3354" t="s">
        <v>1391</v>
      </c>
      <c r="O37" s="3355"/>
      <c r="Q37" s="876" t="s">
        <v>685</v>
      </c>
      <c r="R37" s="462" t="s">
        <v>686</v>
      </c>
      <c r="S37" s="456">
        <f>S30</f>
        <v>10</v>
      </c>
      <c r="T37" s="354">
        <f>G$30*S37</f>
        <v>50</v>
      </c>
      <c r="U37" s="466" t="s">
        <v>163</v>
      </c>
    </row>
    <row r="53" spans="4:21">
      <c r="G53" s="458" t="s">
        <v>190</v>
      </c>
      <c r="I53" s="252" t="s">
        <v>971</v>
      </c>
      <c r="Q53" s="252" t="s">
        <v>964</v>
      </c>
    </row>
    <row r="54" spans="4:21">
      <c r="D54" s="3349" t="s">
        <v>687</v>
      </c>
      <c r="E54" s="3349"/>
      <c r="F54" s="3349"/>
      <c r="G54" s="469">
        <v>14</v>
      </c>
      <c r="I54" s="3350" t="s">
        <v>982</v>
      </c>
      <c r="J54" s="3351"/>
      <c r="K54" s="470">
        <v>2.5</v>
      </c>
      <c r="L54" s="466" t="s">
        <v>163</v>
      </c>
      <c r="Q54" s="3350" t="s">
        <v>982</v>
      </c>
      <c r="R54" s="3351"/>
      <c r="S54" s="470">
        <v>10</v>
      </c>
      <c r="T54" s="466" t="s">
        <v>163</v>
      </c>
    </row>
    <row r="55" spans="4:21">
      <c r="N55" s="3356" t="s">
        <v>1393</v>
      </c>
      <c r="O55" s="3357"/>
    </row>
    <row r="56" spans="4:21">
      <c r="I56" s="457" t="s">
        <v>665</v>
      </c>
      <c r="J56" s="458" t="s">
        <v>666</v>
      </c>
      <c r="K56" s="458" t="s">
        <v>443</v>
      </c>
      <c r="L56" s="3352" t="s">
        <v>701</v>
      </c>
      <c r="M56" s="3353"/>
      <c r="N56" s="1482" t="s">
        <v>1392</v>
      </c>
      <c r="O56" s="482"/>
      <c r="Q56" s="457" t="s">
        <v>665</v>
      </c>
      <c r="R56" s="458" t="s">
        <v>666</v>
      </c>
      <c r="S56" s="458" t="s">
        <v>443</v>
      </c>
      <c r="T56" s="3352" t="s">
        <v>701</v>
      </c>
      <c r="U56" s="3353"/>
    </row>
    <row r="57" spans="4:21">
      <c r="I57" s="876" t="s">
        <v>688</v>
      </c>
      <c r="J57" s="231" t="s">
        <v>689</v>
      </c>
      <c r="K57" s="456">
        <v>1</v>
      </c>
      <c r="L57" s="467">
        <f>G$54*K57</f>
        <v>14</v>
      </c>
      <c r="M57" s="468" t="s">
        <v>88</v>
      </c>
      <c r="N57" s="1484">
        <v>291952</v>
      </c>
      <c r="Q57" s="968" t="s">
        <v>972</v>
      </c>
      <c r="R57" s="231" t="s">
        <v>973</v>
      </c>
      <c r="S57" s="456">
        <v>1</v>
      </c>
      <c r="T57" s="467">
        <f t="shared" ref="T57:T62" si="0">G$54*S57</f>
        <v>14</v>
      </c>
      <c r="U57" s="468" t="s">
        <v>88</v>
      </c>
    </row>
    <row r="58" spans="4:21">
      <c r="I58" s="968" t="s">
        <v>697</v>
      </c>
      <c r="J58" s="462" t="s">
        <v>980</v>
      </c>
      <c r="K58" s="456">
        <v>2</v>
      </c>
      <c r="L58" s="467">
        <f>G$54*K58</f>
        <v>28</v>
      </c>
      <c r="M58" s="468" t="s">
        <v>88</v>
      </c>
      <c r="N58" s="1484">
        <v>107345</v>
      </c>
      <c r="Q58" s="968" t="s">
        <v>667</v>
      </c>
      <c r="R58" s="462" t="s">
        <v>975</v>
      </c>
      <c r="S58" s="456">
        <v>2</v>
      </c>
      <c r="T58" s="467">
        <f t="shared" si="0"/>
        <v>28</v>
      </c>
      <c r="U58" s="468" t="s">
        <v>88</v>
      </c>
    </row>
    <row r="59" spans="4:21">
      <c r="I59" s="876" t="s">
        <v>690</v>
      </c>
      <c r="J59" s="462" t="s">
        <v>691</v>
      </c>
      <c r="K59" s="456">
        <v>1</v>
      </c>
      <c r="L59" s="467">
        <f>G$54*K59</f>
        <v>14</v>
      </c>
      <c r="M59" s="468" t="s">
        <v>88</v>
      </c>
      <c r="N59" s="1484" t="s">
        <v>1389</v>
      </c>
      <c r="Q59" s="876" t="s">
        <v>690</v>
      </c>
      <c r="R59" s="462" t="s">
        <v>691</v>
      </c>
      <c r="S59" s="456">
        <v>1</v>
      </c>
      <c r="T59" s="467">
        <f t="shared" si="0"/>
        <v>14</v>
      </c>
      <c r="U59" s="468" t="s">
        <v>88</v>
      </c>
    </row>
    <row r="60" spans="4:21">
      <c r="I60" s="876" t="s">
        <v>692</v>
      </c>
      <c r="J60" s="462" t="s">
        <v>693</v>
      </c>
      <c r="K60" s="456">
        <v>1</v>
      </c>
      <c r="L60" s="467">
        <f>G$54*K60</f>
        <v>14</v>
      </c>
      <c r="M60" s="468" t="s">
        <v>88</v>
      </c>
      <c r="N60" s="1484" t="s">
        <v>1389</v>
      </c>
      <c r="Q60" s="876" t="s">
        <v>692</v>
      </c>
      <c r="R60" s="462" t="s">
        <v>693</v>
      </c>
      <c r="S60" s="456">
        <v>1</v>
      </c>
      <c r="T60" s="467">
        <f t="shared" si="0"/>
        <v>14</v>
      </c>
      <c r="U60" s="468" t="s">
        <v>88</v>
      </c>
    </row>
    <row r="61" spans="4:21">
      <c r="I61" s="875" t="s">
        <v>683</v>
      </c>
      <c r="J61" s="459" t="s">
        <v>684</v>
      </c>
      <c r="K61" s="461">
        <v>6</v>
      </c>
      <c r="L61" s="467">
        <f>G$54*K61</f>
        <v>84</v>
      </c>
      <c r="M61" s="468" t="s">
        <v>88</v>
      </c>
      <c r="N61" s="1484">
        <v>291501</v>
      </c>
      <c r="Q61" s="968" t="s">
        <v>672</v>
      </c>
      <c r="R61" s="459" t="s">
        <v>673</v>
      </c>
      <c r="S61" s="461">
        <v>8</v>
      </c>
      <c r="T61" s="467">
        <f t="shared" si="0"/>
        <v>112</v>
      </c>
      <c r="U61" s="468" t="s">
        <v>88</v>
      </c>
    </row>
    <row r="62" spans="4:21">
      <c r="I62" s="876" t="s">
        <v>685</v>
      </c>
      <c r="J62" s="462" t="s">
        <v>686</v>
      </c>
      <c r="K62" s="456">
        <f>K54</f>
        <v>2.5</v>
      </c>
      <c r="L62" s="354">
        <f>G54*K54</f>
        <v>35</v>
      </c>
      <c r="M62" s="466" t="s">
        <v>163</v>
      </c>
      <c r="N62" s="3354" t="s">
        <v>1391</v>
      </c>
      <c r="O62" s="3355"/>
      <c r="Q62" s="968" t="s">
        <v>674</v>
      </c>
      <c r="R62" s="462" t="s">
        <v>976</v>
      </c>
      <c r="S62" s="456">
        <f>S54</f>
        <v>10</v>
      </c>
      <c r="T62" s="354">
        <f t="shared" si="0"/>
        <v>140</v>
      </c>
      <c r="U62" s="466" t="s">
        <v>163</v>
      </c>
    </row>
    <row r="72" spans="4:15">
      <c r="G72" s="458" t="s">
        <v>190</v>
      </c>
    </row>
    <row r="73" spans="4:15">
      <c r="D73" s="3349" t="s">
        <v>694</v>
      </c>
      <c r="E73" s="3349"/>
      <c r="F73" s="3349"/>
      <c r="G73" s="469">
        <v>5</v>
      </c>
      <c r="N73" s="3356" t="s">
        <v>1393</v>
      </c>
      <c r="O73" s="3357"/>
    </row>
    <row r="74" spans="4:15">
      <c r="I74" s="457" t="s">
        <v>665</v>
      </c>
      <c r="J74" s="458" t="s">
        <v>666</v>
      </c>
      <c r="K74" s="458" t="s">
        <v>443</v>
      </c>
      <c r="L74" s="3352" t="s">
        <v>701</v>
      </c>
      <c r="M74" s="3353"/>
      <c r="N74" s="1482" t="s">
        <v>1392</v>
      </c>
      <c r="O74" s="482"/>
    </row>
    <row r="75" spans="4:15">
      <c r="I75" s="876" t="s">
        <v>695</v>
      </c>
      <c r="J75" s="462" t="s">
        <v>696</v>
      </c>
      <c r="K75" s="456">
        <v>1</v>
      </c>
      <c r="L75" s="467">
        <f>G$73*K75</f>
        <v>5</v>
      </c>
      <c r="M75" s="468" t="s">
        <v>88</v>
      </c>
      <c r="N75" s="392" t="s">
        <v>1389</v>
      </c>
      <c r="O75" s="1484"/>
    </row>
    <row r="76" spans="4:15">
      <c r="I76" s="875" t="s">
        <v>697</v>
      </c>
      <c r="J76" s="462" t="s">
        <v>698</v>
      </c>
      <c r="K76" s="456">
        <v>1</v>
      </c>
      <c r="L76" s="354">
        <f>G$73*K76</f>
        <v>5</v>
      </c>
      <c r="M76" s="466" t="s">
        <v>88</v>
      </c>
      <c r="N76" s="1484">
        <v>107345</v>
      </c>
      <c r="O76" s="1484"/>
    </row>
    <row r="77" spans="4:15">
      <c r="I77" s="464" t="s">
        <v>699</v>
      </c>
      <c r="J77" s="231"/>
      <c r="K77" s="394"/>
    </row>
    <row r="78" spans="4:15">
      <c r="I78" s="231"/>
      <c r="J78" s="231"/>
      <c r="K78" s="394"/>
    </row>
    <row r="79" spans="4:15">
      <c r="K79" s="394"/>
    </row>
    <row r="80" spans="4:15">
      <c r="I80" s="231"/>
      <c r="J80" s="231"/>
      <c r="K80" s="394"/>
    </row>
    <row r="90" spans="4:15">
      <c r="G90" s="458" t="s">
        <v>190</v>
      </c>
    </row>
    <row r="91" spans="4:15">
      <c r="D91" s="3349" t="s">
        <v>700</v>
      </c>
      <c r="E91" s="3349"/>
      <c r="F91" s="3349"/>
      <c r="G91" s="469">
        <v>2</v>
      </c>
      <c r="N91" s="3356" t="s">
        <v>1393</v>
      </c>
      <c r="O91" s="3357"/>
    </row>
    <row r="92" spans="4:15">
      <c r="I92" s="457" t="s">
        <v>665</v>
      </c>
      <c r="J92" s="458" t="s">
        <v>666</v>
      </c>
      <c r="K92" s="458" t="s">
        <v>443</v>
      </c>
      <c r="L92" s="3352" t="s">
        <v>701</v>
      </c>
      <c r="M92" s="3353"/>
      <c r="N92" s="1482" t="s">
        <v>1392</v>
      </c>
      <c r="O92" s="482"/>
    </row>
    <row r="93" spans="4:15">
      <c r="I93" s="876" t="s">
        <v>695</v>
      </c>
      <c r="J93" s="462" t="s">
        <v>696</v>
      </c>
      <c r="K93" s="456">
        <v>1</v>
      </c>
      <c r="L93" s="467">
        <f>G$91*K93</f>
        <v>2</v>
      </c>
      <c r="M93" s="468" t="s">
        <v>88</v>
      </c>
      <c r="N93" s="392" t="s">
        <v>1389</v>
      </c>
      <c r="O93" s="1484"/>
    </row>
    <row r="94" spans="4:15">
      <c r="I94" s="875" t="s">
        <v>697</v>
      </c>
      <c r="J94" s="462" t="s">
        <v>698</v>
      </c>
      <c r="K94" s="456">
        <v>1</v>
      </c>
      <c r="L94" s="354">
        <f>G$91*K94</f>
        <v>2</v>
      </c>
      <c r="M94" s="466" t="s">
        <v>88</v>
      </c>
      <c r="N94" s="1484">
        <v>107345</v>
      </c>
      <c r="O94" s="1484"/>
    </row>
    <row r="95" spans="4:15">
      <c r="I95" s="464" t="s">
        <v>699</v>
      </c>
      <c r="J95" s="231"/>
      <c r="K95" s="394"/>
    </row>
  </sheetData>
  <sheetProtection algorithmName="SHA-512" hashValue="W2VEkw2FA8s2eGp1cJd/3K/Pzn1JjvzL8/VzoL4NQflPCy04EB7KD+LEZDc6K1NbDbt2e3Ef7/byS5z7j9GKMw==" saltValue="xEu52Qqhvc9BNzKurBbeeA==" spinCount="100000" sheet="1" objects="1" selectLockedCells="1"/>
  <mergeCells count="41">
    <mergeCell ref="V7:Z7"/>
    <mergeCell ref="U6:Z6"/>
    <mergeCell ref="U5:Z5"/>
    <mergeCell ref="L92:M92"/>
    <mergeCell ref="L7:M7"/>
    <mergeCell ref="N91:O91"/>
    <mergeCell ref="O16:T16"/>
    <mergeCell ref="P18:T18"/>
    <mergeCell ref="N6:O6"/>
    <mergeCell ref="N12:O12"/>
    <mergeCell ref="Q5:R5"/>
    <mergeCell ref="T7:U7"/>
    <mergeCell ref="AC17:AG17"/>
    <mergeCell ref="AD18:AH18"/>
    <mergeCell ref="AD19:AH19"/>
    <mergeCell ref="N55:O55"/>
    <mergeCell ref="N62:O62"/>
    <mergeCell ref="N31:O31"/>
    <mergeCell ref="N22:O22"/>
    <mergeCell ref="N23:O23"/>
    <mergeCell ref="N24:O24"/>
    <mergeCell ref="N25:O25"/>
    <mergeCell ref="O17:T17"/>
    <mergeCell ref="N18:O18"/>
    <mergeCell ref="D5:F5"/>
    <mergeCell ref="D54:F54"/>
    <mergeCell ref="I5:J5"/>
    <mergeCell ref="I30:J30"/>
    <mergeCell ref="L32:M32"/>
    <mergeCell ref="I54:J54"/>
    <mergeCell ref="D73:F73"/>
    <mergeCell ref="D91:F91"/>
    <mergeCell ref="Q54:R54"/>
    <mergeCell ref="T56:U56"/>
    <mergeCell ref="D30:F30"/>
    <mergeCell ref="Q30:R30"/>
    <mergeCell ref="T32:U32"/>
    <mergeCell ref="L56:M56"/>
    <mergeCell ref="L74:M74"/>
    <mergeCell ref="N37:O37"/>
    <mergeCell ref="N73:O73"/>
  </mergeCells>
  <pageMargins left="0.7" right="0.7" top="0.75" bottom="0.75" header="0.3" footer="0.3"/>
  <pageSetup paperSize="9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90"/>
  <sheetViews>
    <sheetView showRowColHeaders="0" zoomScale="77" zoomScaleNormal="77" workbookViewId="0">
      <selection activeCell="E11" sqref="E11"/>
    </sheetView>
  </sheetViews>
  <sheetFormatPr defaultColWidth="9.140625" defaultRowHeight="15"/>
  <cols>
    <col min="1" max="1" width="3.42578125" style="406" customWidth="1"/>
    <col min="2" max="2" width="10.5703125" style="252" bestFit="1" customWidth="1"/>
    <col min="3" max="3" width="55.42578125" style="252" customWidth="1"/>
    <col min="4" max="4" width="7.5703125" style="252" customWidth="1"/>
    <col min="5" max="5" width="8.5703125" style="394" customWidth="1"/>
    <col min="6" max="6" width="6" style="252" customWidth="1"/>
    <col min="7" max="7" width="16.28515625" style="252" customWidth="1"/>
    <col min="8" max="12" width="12.42578125" style="252" customWidth="1"/>
    <col min="13" max="16384" width="9.140625" style="252"/>
  </cols>
  <sheetData>
    <row r="1" spans="1:12" ht="15.75" thickBot="1"/>
    <row r="2" spans="1:12">
      <c r="G2" s="395" t="s">
        <v>517</v>
      </c>
      <c r="H2" s="395" t="s">
        <v>517</v>
      </c>
      <c r="I2" s="395" t="s">
        <v>517</v>
      </c>
      <c r="J2" s="395" t="s">
        <v>517</v>
      </c>
      <c r="K2" s="395" t="s">
        <v>517</v>
      </c>
      <c r="L2" s="395" t="s">
        <v>517</v>
      </c>
    </row>
    <row r="3" spans="1:12" ht="25.5">
      <c r="B3" s="396" t="s">
        <v>437</v>
      </c>
      <c r="C3" s="407" t="s">
        <v>438</v>
      </c>
      <c r="D3" s="396" t="s">
        <v>439</v>
      </c>
      <c r="E3" s="397" t="s">
        <v>440</v>
      </c>
      <c r="G3" s="398">
        <f>SUM(G5:G12)</f>
        <v>10</v>
      </c>
      <c r="H3" s="398">
        <f>SUM(H5:H12)</f>
        <v>20.5</v>
      </c>
      <c r="I3" s="398">
        <f>SUM(I5:I12)</f>
        <v>34.25</v>
      </c>
      <c r="J3" s="398">
        <f>SUM(J5:J10)</f>
        <v>12</v>
      </c>
      <c r="K3" s="398">
        <f>SUM(K5:K8)</f>
        <v>0</v>
      </c>
      <c r="L3" s="398">
        <f>SUM(L5:L7)</f>
        <v>0</v>
      </c>
    </row>
    <row r="4" spans="1:12" ht="15.75" thickBot="1">
      <c r="B4" s="1286"/>
      <c r="C4" s="1287"/>
      <c r="D4" s="399"/>
      <c r="E4" s="1204"/>
      <c r="G4" s="400" t="s">
        <v>518</v>
      </c>
      <c r="H4" s="400" t="s">
        <v>516</v>
      </c>
      <c r="I4" s="400" t="s">
        <v>519</v>
      </c>
      <c r="J4" s="400" t="s">
        <v>520</v>
      </c>
      <c r="K4" s="400" t="s">
        <v>521</v>
      </c>
      <c r="L4" s="400" t="s">
        <v>522</v>
      </c>
    </row>
    <row r="5" spans="1:12">
      <c r="A5" s="406">
        <v>0.15</v>
      </c>
      <c r="B5" s="1288" t="s">
        <v>441</v>
      </c>
      <c r="C5" s="1289" t="s">
        <v>442</v>
      </c>
      <c r="D5" s="401" t="s">
        <v>443</v>
      </c>
      <c r="E5" s="1325"/>
      <c r="G5" s="406">
        <f t="shared" ref="G5:G12" si="0">A5*E5</f>
        <v>0</v>
      </c>
      <c r="H5" s="406">
        <f t="shared" ref="H5:H12" si="1">A14*E14</f>
        <v>0</v>
      </c>
      <c r="I5" s="406">
        <f>A23*E23</f>
        <v>0</v>
      </c>
      <c r="J5" s="406">
        <f t="shared" ref="J5:J10" si="2">A32*E32</f>
        <v>0</v>
      </c>
      <c r="K5" s="406">
        <f>A39*E39</f>
        <v>0</v>
      </c>
      <c r="L5" s="406">
        <f>A44*E44</f>
        <v>0</v>
      </c>
    </row>
    <row r="6" spans="1:12">
      <c r="A6" s="406">
        <v>0.25</v>
      </c>
      <c r="B6" s="1288" t="s">
        <v>444</v>
      </c>
      <c r="C6" s="1289" t="s">
        <v>445</v>
      </c>
      <c r="D6" s="401" t="s">
        <v>443</v>
      </c>
      <c r="E6" s="1325">
        <v>2</v>
      </c>
      <c r="G6" s="406">
        <f t="shared" si="0"/>
        <v>0.5</v>
      </c>
      <c r="H6" s="406">
        <f t="shared" si="1"/>
        <v>0</v>
      </c>
      <c r="I6" s="406">
        <f t="shared" ref="I6:I12" si="3">A24*E24</f>
        <v>0.25</v>
      </c>
      <c r="J6" s="406">
        <f t="shared" si="2"/>
        <v>0</v>
      </c>
      <c r="K6" s="406">
        <f>A40*E40</f>
        <v>0</v>
      </c>
      <c r="L6" s="406">
        <f>A45*E45</f>
        <v>0</v>
      </c>
    </row>
    <row r="7" spans="1:12">
      <c r="A7" s="406">
        <v>0.5</v>
      </c>
      <c r="B7" s="1288" t="s">
        <v>446</v>
      </c>
      <c r="C7" s="1289" t="s">
        <v>447</v>
      </c>
      <c r="D7" s="401" t="s">
        <v>443</v>
      </c>
      <c r="E7" s="1325">
        <v>3</v>
      </c>
      <c r="G7" s="406">
        <f t="shared" si="0"/>
        <v>1.5</v>
      </c>
      <c r="H7" s="406">
        <f t="shared" si="1"/>
        <v>2.5</v>
      </c>
      <c r="I7" s="406">
        <f t="shared" si="3"/>
        <v>3.5</v>
      </c>
      <c r="J7" s="406">
        <f t="shared" si="2"/>
        <v>1</v>
      </c>
      <c r="K7" s="406">
        <f>A41*E41</f>
        <v>0</v>
      </c>
      <c r="L7" s="406">
        <f>A46*E46</f>
        <v>0</v>
      </c>
    </row>
    <row r="8" spans="1:12">
      <c r="A8" s="406">
        <v>0.75</v>
      </c>
      <c r="B8" s="1288" t="s">
        <v>448</v>
      </c>
      <c r="C8" s="1289" t="s">
        <v>449</v>
      </c>
      <c r="D8" s="401" t="s">
        <v>443</v>
      </c>
      <c r="E8" s="1325"/>
      <c r="G8" s="406">
        <f t="shared" si="0"/>
        <v>0</v>
      </c>
      <c r="H8" s="406">
        <f t="shared" si="1"/>
        <v>0</v>
      </c>
      <c r="I8" s="406">
        <f t="shared" si="3"/>
        <v>0</v>
      </c>
      <c r="J8" s="406">
        <f t="shared" si="2"/>
        <v>0</v>
      </c>
      <c r="K8" s="406">
        <f>A42*E42</f>
        <v>0</v>
      </c>
      <c r="L8" s="406"/>
    </row>
    <row r="9" spans="1:12">
      <c r="A9" s="406">
        <v>1</v>
      </c>
      <c r="B9" s="1288" t="s">
        <v>450</v>
      </c>
      <c r="C9" s="1289" t="s">
        <v>451</v>
      </c>
      <c r="D9" s="401" t="s">
        <v>443</v>
      </c>
      <c r="E9" s="1325">
        <v>8</v>
      </c>
      <c r="G9" s="406">
        <f t="shared" si="0"/>
        <v>8</v>
      </c>
      <c r="H9" s="406">
        <f t="shared" si="1"/>
        <v>3</v>
      </c>
      <c r="I9" s="406">
        <f t="shared" si="3"/>
        <v>6</v>
      </c>
      <c r="J9" s="406">
        <f t="shared" si="2"/>
        <v>2</v>
      </c>
      <c r="K9" s="406"/>
      <c r="L9" s="406"/>
    </row>
    <row r="10" spans="1:12">
      <c r="A10" s="406">
        <v>1.5</v>
      </c>
      <c r="B10" s="1288" t="s">
        <v>452</v>
      </c>
      <c r="C10" s="1289" t="s">
        <v>453</v>
      </c>
      <c r="D10" s="401" t="s">
        <v>443</v>
      </c>
      <c r="E10" s="1325"/>
      <c r="G10" s="406">
        <f t="shared" si="0"/>
        <v>0</v>
      </c>
      <c r="H10" s="406">
        <f t="shared" si="1"/>
        <v>0</v>
      </c>
      <c r="I10" s="406">
        <f t="shared" si="3"/>
        <v>1.5</v>
      </c>
      <c r="J10" s="406">
        <f t="shared" si="2"/>
        <v>9</v>
      </c>
      <c r="K10" s="406"/>
      <c r="L10" s="406"/>
    </row>
    <row r="11" spans="1:12">
      <c r="A11" s="406">
        <v>2</v>
      </c>
      <c r="B11" s="1288" t="s">
        <v>454</v>
      </c>
      <c r="C11" s="1289" t="s">
        <v>455</v>
      </c>
      <c r="D11" s="401" t="s">
        <v>443</v>
      </c>
      <c r="E11" s="1325"/>
      <c r="G11" s="406">
        <f t="shared" si="0"/>
        <v>0</v>
      </c>
      <c r="H11" s="406">
        <f t="shared" si="1"/>
        <v>0</v>
      </c>
      <c r="I11" s="406">
        <f t="shared" si="3"/>
        <v>2</v>
      </c>
      <c r="J11" s="406"/>
      <c r="K11" s="406"/>
      <c r="L11" s="406"/>
    </row>
    <row r="12" spans="1:12">
      <c r="A12" s="406">
        <v>3</v>
      </c>
      <c r="B12" s="1290" t="s">
        <v>456</v>
      </c>
      <c r="C12" s="1291" t="s">
        <v>457</v>
      </c>
      <c r="D12" s="402" t="s">
        <v>443</v>
      </c>
      <c r="E12" s="1326"/>
      <c r="G12" s="406">
        <f t="shared" si="0"/>
        <v>0</v>
      </c>
      <c r="H12" s="406">
        <f t="shared" si="1"/>
        <v>15</v>
      </c>
      <c r="I12" s="406">
        <f t="shared" si="3"/>
        <v>21</v>
      </c>
      <c r="J12" s="406"/>
      <c r="K12" s="406"/>
      <c r="L12" s="406"/>
    </row>
    <row r="13" spans="1:12">
      <c r="B13" s="1292"/>
      <c r="C13" s="1289"/>
      <c r="D13" s="401"/>
      <c r="E13" s="1325"/>
    </row>
    <row r="14" spans="1:12">
      <c r="A14" s="406">
        <v>0.15</v>
      </c>
      <c r="B14" s="1288" t="s">
        <v>458</v>
      </c>
      <c r="C14" s="1289" t="s">
        <v>459</v>
      </c>
      <c r="D14" s="401" t="s">
        <v>443</v>
      </c>
      <c r="E14" s="1325"/>
    </row>
    <row r="15" spans="1:12">
      <c r="A15" s="406">
        <v>0.25</v>
      </c>
      <c r="B15" s="1288" t="s">
        <v>460</v>
      </c>
      <c r="C15" s="1289" t="s">
        <v>461</v>
      </c>
      <c r="D15" s="401" t="s">
        <v>443</v>
      </c>
      <c r="E15" s="1325"/>
      <c r="G15" s="231"/>
    </row>
    <row r="16" spans="1:12">
      <c r="A16" s="406">
        <v>0.5</v>
      </c>
      <c r="B16" s="1288" t="s">
        <v>462</v>
      </c>
      <c r="C16" s="1289" t="s">
        <v>463</v>
      </c>
      <c r="D16" s="401" t="s">
        <v>443</v>
      </c>
      <c r="E16" s="1325">
        <v>5</v>
      </c>
      <c r="G16" s="231"/>
    </row>
    <row r="17" spans="1:14">
      <c r="A17" s="406">
        <v>0.75</v>
      </c>
      <c r="B17" s="1288" t="s">
        <v>464</v>
      </c>
      <c r="C17" s="1289" t="s">
        <v>465</v>
      </c>
      <c r="D17" s="401" t="s">
        <v>443</v>
      </c>
      <c r="E17" s="1325"/>
      <c r="G17" s="231"/>
    </row>
    <row r="18" spans="1:14" ht="15.75" thickBot="1">
      <c r="A18" s="406">
        <v>1</v>
      </c>
      <c r="B18" s="1288" t="s">
        <v>466</v>
      </c>
      <c r="C18" s="1289" t="s">
        <v>467</v>
      </c>
      <c r="D18" s="401" t="s">
        <v>443</v>
      </c>
      <c r="E18" s="1325">
        <v>3</v>
      </c>
      <c r="G18" s="231"/>
    </row>
    <row r="19" spans="1:14" ht="21.75" thickBot="1">
      <c r="A19" s="406">
        <v>1.5</v>
      </c>
      <c r="B19" s="1288" t="s">
        <v>468</v>
      </c>
      <c r="C19" s="1289" t="s">
        <v>469</v>
      </c>
      <c r="D19" s="401" t="s">
        <v>443</v>
      </c>
      <c r="E19" s="1325"/>
      <c r="G19" s="3369" t="s">
        <v>525</v>
      </c>
      <c r="H19" s="3370"/>
      <c r="I19" s="3370"/>
      <c r="J19" s="3370"/>
      <c r="K19" s="3370"/>
      <c r="L19" s="3370"/>
      <c r="M19" s="3370"/>
      <c r="N19" s="3371"/>
    </row>
    <row r="20" spans="1:14" ht="15.75" thickBot="1">
      <c r="A20" s="406">
        <v>2</v>
      </c>
      <c r="B20" s="1288" t="s">
        <v>470</v>
      </c>
      <c r="C20" s="1289" t="s">
        <v>471</v>
      </c>
      <c r="D20" s="401" t="s">
        <v>443</v>
      </c>
      <c r="E20" s="1325"/>
    </row>
    <row r="21" spans="1:14" ht="15.75" thickBot="1">
      <c r="A21" s="406">
        <v>3</v>
      </c>
      <c r="B21" s="1290" t="s">
        <v>472</v>
      </c>
      <c r="C21" s="1291" t="s">
        <v>473</v>
      </c>
      <c r="D21" s="402" t="s">
        <v>443</v>
      </c>
      <c r="E21" s="1326">
        <v>5</v>
      </c>
      <c r="G21" s="3372" t="s">
        <v>523</v>
      </c>
      <c r="H21" s="3373"/>
      <c r="I21" s="3373"/>
      <c r="J21" s="3373"/>
      <c r="K21" s="3373"/>
      <c r="L21" s="403" t="s">
        <v>527</v>
      </c>
      <c r="M21" s="404">
        <f>G3/2.5</f>
        <v>4</v>
      </c>
      <c r="N21" s="405" t="s">
        <v>88</v>
      </c>
    </row>
    <row r="22" spans="1:14" ht="15.75" thickBot="1">
      <c r="B22" s="1292"/>
      <c r="C22" s="1289"/>
      <c r="D22" s="401"/>
      <c r="E22" s="1325"/>
      <c r="G22" s="3372" t="s">
        <v>1975</v>
      </c>
      <c r="H22" s="3373"/>
      <c r="I22" s="3373"/>
      <c r="J22" s="3373"/>
      <c r="K22" s="3373"/>
      <c r="L22" s="403" t="s">
        <v>527</v>
      </c>
      <c r="M22" s="404">
        <f>H3/1.1</f>
        <v>18.636363636363633</v>
      </c>
      <c r="N22" s="405" t="s">
        <v>88</v>
      </c>
    </row>
    <row r="23" spans="1:14" ht="15.75" thickBot="1">
      <c r="A23" s="406">
        <v>0.15</v>
      </c>
      <c r="B23" s="1288" t="s">
        <v>474</v>
      </c>
      <c r="C23" s="1289" t="s">
        <v>475</v>
      </c>
      <c r="D23" s="401" t="s">
        <v>443</v>
      </c>
      <c r="E23" s="1325"/>
      <c r="G23" s="3372" t="s">
        <v>1974</v>
      </c>
      <c r="H23" s="3373"/>
      <c r="I23" s="3373"/>
      <c r="J23" s="3373"/>
      <c r="K23" s="3373"/>
      <c r="L23" s="403" t="s">
        <v>527</v>
      </c>
      <c r="M23" s="404">
        <f>I3/1.7</f>
        <v>20.147058823529413</v>
      </c>
      <c r="N23" s="405" t="s">
        <v>88</v>
      </c>
    </row>
    <row r="24" spans="1:14" ht="15.75" thickBot="1">
      <c r="A24" s="406">
        <v>0.25</v>
      </c>
      <c r="B24" s="1288" t="s">
        <v>476</v>
      </c>
      <c r="C24" s="1289" t="s">
        <v>477</v>
      </c>
      <c r="D24" s="401" t="s">
        <v>443</v>
      </c>
      <c r="E24" s="1325">
        <v>1</v>
      </c>
      <c r="G24" s="3372" t="s">
        <v>524</v>
      </c>
      <c r="H24" s="3373"/>
      <c r="I24" s="3373"/>
      <c r="J24" s="3373"/>
      <c r="K24" s="3373"/>
      <c r="L24" s="403" t="s">
        <v>527</v>
      </c>
      <c r="M24" s="404">
        <f>J3/1.9</f>
        <v>6.3157894736842106</v>
      </c>
      <c r="N24" s="405" t="s">
        <v>88</v>
      </c>
    </row>
    <row r="25" spans="1:14" ht="15.75" thickBot="1">
      <c r="A25" s="406">
        <v>0.5</v>
      </c>
      <c r="B25" s="1288" t="s">
        <v>478</v>
      </c>
      <c r="C25" s="1289" t="s">
        <v>479</v>
      </c>
      <c r="D25" s="401" t="s">
        <v>443</v>
      </c>
      <c r="E25" s="1325">
        <v>7</v>
      </c>
      <c r="G25" s="3372" t="s">
        <v>526</v>
      </c>
      <c r="H25" s="3373"/>
      <c r="I25" s="3373"/>
      <c r="J25" s="3373"/>
      <c r="K25" s="3373"/>
      <c r="L25" s="403" t="s">
        <v>527</v>
      </c>
      <c r="M25" s="404">
        <f>K3/2.4</f>
        <v>0</v>
      </c>
      <c r="N25" s="405" t="s">
        <v>88</v>
      </c>
    </row>
    <row r="26" spans="1:14" ht="15.75" thickBot="1">
      <c r="A26" s="406">
        <v>0.75</v>
      </c>
      <c r="B26" s="1288" t="s">
        <v>480</v>
      </c>
      <c r="C26" s="1289" t="s">
        <v>481</v>
      </c>
      <c r="D26" s="401" t="s">
        <v>443</v>
      </c>
      <c r="E26" s="1325"/>
      <c r="G26" s="3372" t="s">
        <v>528</v>
      </c>
      <c r="H26" s="3373"/>
      <c r="I26" s="3373"/>
      <c r="J26" s="3373"/>
      <c r="K26" s="3373"/>
      <c r="L26" s="403" t="s">
        <v>527</v>
      </c>
      <c r="M26" s="404">
        <f>L3/2.4</f>
        <v>0</v>
      </c>
      <c r="N26" s="405" t="s">
        <v>88</v>
      </c>
    </row>
    <row r="27" spans="1:14">
      <c r="A27" s="406">
        <v>1</v>
      </c>
      <c r="B27" s="1288" t="s">
        <v>482</v>
      </c>
      <c r="C27" s="1289" t="s">
        <v>483</v>
      </c>
      <c r="D27" s="401" t="s">
        <v>443</v>
      </c>
      <c r="E27" s="1325">
        <v>6</v>
      </c>
    </row>
    <row r="28" spans="1:14">
      <c r="A28" s="406">
        <v>1.5</v>
      </c>
      <c r="B28" s="1288" t="s">
        <v>484</v>
      </c>
      <c r="C28" s="1289" t="s">
        <v>485</v>
      </c>
      <c r="D28" s="401" t="s">
        <v>443</v>
      </c>
      <c r="E28" s="1325">
        <v>1</v>
      </c>
    </row>
    <row r="29" spans="1:14">
      <c r="A29" s="406">
        <v>2</v>
      </c>
      <c r="B29" s="1288" t="s">
        <v>486</v>
      </c>
      <c r="C29" s="1289" t="s">
        <v>487</v>
      </c>
      <c r="D29" s="401" t="s">
        <v>443</v>
      </c>
      <c r="E29" s="1325">
        <v>1</v>
      </c>
    </row>
    <row r="30" spans="1:14">
      <c r="A30" s="406">
        <v>3</v>
      </c>
      <c r="B30" s="1290" t="s">
        <v>488</v>
      </c>
      <c r="C30" s="1291" t="s">
        <v>489</v>
      </c>
      <c r="D30" s="402" t="s">
        <v>443</v>
      </c>
      <c r="E30" s="1327">
        <v>7</v>
      </c>
    </row>
    <row r="31" spans="1:14">
      <c r="B31" s="1292"/>
      <c r="C31" s="1289"/>
      <c r="D31" s="401"/>
      <c r="E31" s="1328"/>
      <c r="G31" s="3366" t="s">
        <v>47</v>
      </c>
      <c r="H31" s="3366"/>
      <c r="I31" s="3366"/>
      <c r="J31" s="3366"/>
      <c r="K31" s="3366"/>
      <c r="L31" s="3366"/>
      <c r="M31" s="3366"/>
    </row>
    <row r="32" spans="1:14">
      <c r="A32" s="406">
        <v>0.25</v>
      </c>
      <c r="B32" s="1288" t="s">
        <v>490</v>
      </c>
      <c r="C32" s="1289" t="s">
        <v>491</v>
      </c>
      <c r="D32" s="401" t="s">
        <v>443</v>
      </c>
      <c r="E32" s="1325"/>
      <c r="H32" s="871"/>
      <c r="I32" s="3367" t="s">
        <v>17</v>
      </c>
      <c r="J32" s="3367"/>
      <c r="K32" s="3367"/>
      <c r="L32" s="3367"/>
      <c r="M32" s="3367"/>
    </row>
    <row r="33" spans="1:22">
      <c r="A33" s="406">
        <v>0.5</v>
      </c>
      <c r="B33" s="1288" t="s">
        <v>492</v>
      </c>
      <c r="C33" s="1289" t="s">
        <v>493</v>
      </c>
      <c r="D33" s="401" t="s">
        <v>443</v>
      </c>
      <c r="E33" s="1325"/>
      <c r="H33" s="3368">
        <v>2026</v>
      </c>
      <c r="I33" s="3368"/>
      <c r="J33" s="3368"/>
      <c r="K33" s="3368"/>
      <c r="L33" s="3368"/>
      <c r="M33" s="3368"/>
    </row>
    <row r="34" spans="1:22">
      <c r="A34" s="406">
        <v>1</v>
      </c>
      <c r="B34" s="1288" t="s">
        <v>494</v>
      </c>
      <c r="C34" s="1289" t="s">
        <v>495</v>
      </c>
      <c r="D34" s="401" t="s">
        <v>443</v>
      </c>
      <c r="E34" s="1325">
        <v>1</v>
      </c>
      <c r="G34" s="3365"/>
      <c r="H34" s="3365"/>
      <c r="I34" s="3365"/>
      <c r="J34" s="3365"/>
      <c r="K34" s="3365"/>
    </row>
    <row r="35" spans="1:22">
      <c r="A35" s="406">
        <v>1.5</v>
      </c>
      <c r="B35" s="1288" t="s">
        <v>496</v>
      </c>
      <c r="C35" s="1289" t="s">
        <v>497</v>
      </c>
      <c r="D35" s="401" t="s">
        <v>443</v>
      </c>
      <c r="E35" s="1325"/>
    </row>
    <row r="36" spans="1:22">
      <c r="A36" s="406">
        <v>2</v>
      </c>
      <c r="B36" s="1288" t="s">
        <v>498</v>
      </c>
      <c r="C36" s="1289" t="s">
        <v>499</v>
      </c>
      <c r="D36" s="401" t="s">
        <v>443</v>
      </c>
      <c r="E36" s="1325">
        <v>1</v>
      </c>
    </row>
    <row r="37" spans="1:22">
      <c r="A37" s="406">
        <v>3</v>
      </c>
      <c r="B37" s="1290" t="s">
        <v>500</v>
      </c>
      <c r="C37" s="1291" t="s">
        <v>501</v>
      </c>
      <c r="D37" s="402" t="s">
        <v>443</v>
      </c>
      <c r="E37" s="1326">
        <v>3</v>
      </c>
    </row>
    <row r="38" spans="1:22">
      <c r="B38" s="1292"/>
      <c r="C38" s="1289"/>
      <c r="D38" s="401"/>
      <c r="E38" s="1328"/>
    </row>
    <row r="39" spans="1:22">
      <c r="A39" s="406">
        <v>0.5</v>
      </c>
      <c r="B39" s="1288" t="s">
        <v>502</v>
      </c>
      <c r="C39" s="1289" t="s">
        <v>503</v>
      </c>
      <c r="D39" s="401" t="s">
        <v>443</v>
      </c>
      <c r="E39" s="1328"/>
      <c r="R39" s="871"/>
      <c r="S39" s="869"/>
      <c r="T39" s="869"/>
      <c r="U39" s="870"/>
      <c r="V39" s="870"/>
    </row>
    <row r="40" spans="1:22">
      <c r="A40" s="406">
        <v>1</v>
      </c>
      <c r="B40" s="1288" t="s">
        <v>504</v>
      </c>
      <c r="C40" s="1289" t="s">
        <v>505</v>
      </c>
      <c r="D40" s="401" t="s">
        <v>443</v>
      </c>
      <c r="E40" s="1328"/>
      <c r="R40" s="871"/>
      <c r="S40" s="869"/>
      <c r="T40" s="852"/>
      <c r="U40" s="870"/>
      <c r="V40" s="870"/>
    </row>
    <row r="41" spans="1:22">
      <c r="A41" s="406">
        <v>2</v>
      </c>
      <c r="B41" s="1288" t="s">
        <v>506</v>
      </c>
      <c r="C41" s="1289" t="s">
        <v>507</v>
      </c>
      <c r="D41" s="401" t="s">
        <v>443</v>
      </c>
      <c r="E41" s="1328"/>
      <c r="R41" s="3365"/>
      <c r="S41" s="3365"/>
      <c r="T41" s="3365"/>
      <c r="U41" s="3365"/>
      <c r="V41" s="3365"/>
    </row>
    <row r="42" spans="1:22">
      <c r="A42" s="406">
        <v>3</v>
      </c>
      <c r="B42" s="1290" t="s">
        <v>508</v>
      </c>
      <c r="C42" s="1291" t="s">
        <v>509</v>
      </c>
      <c r="D42" s="402" t="s">
        <v>443</v>
      </c>
      <c r="E42" s="1329"/>
    </row>
    <row r="43" spans="1:22">
      <c r="B43" s="1288"/>
      <c r="C43" s="1289"/>
      <c r="D43" s="401"/>
      <c r="E43" s="1328"/>
    </row>
    <row r="44" spans="1:22">
      <c r="A44" s="406">
        <v>1</v>
      </c>
      <c r="B44" s="1288" t="s">
        <v>510</v>
      </c>
      <c r="C44" s="1289" t="s">
        <v>511</v>
      </c>
      <c r="D44" s="401" t="s">
        <v>443</v>
      </c>
      <c r="E44" s="1328"/>
    </row>
    <row r="45" spans="1:22">
      <c r="A45" s="406">
        <v>2</v>
      </c>
      <c r="B45" s="1288" t="s">
        <v>512</v>
      </c>
      <c r="C45" s="1289" t="s">
        <v>513</v>
      </c>
      <c r="D45" s="401" t="s">
        <v>443</v>
      </c>
      <c r="E45" s="1328"/>
    </row>
    <row r="46" spans="1:22">
      <c r="A46" s="406">
        <v>3</v>
      </c>
      <c r="B46" s="1290" t="s">
        <v>514</v>
      </c>
      <c r="C46" s="1291" t="s">
        <v>515</v>
      </c>
      <c r="D46" s="402" t="s">
        <v>443</v>
      </c>
      <c r="E46" s="1329"/>
    </row>
    <row r="47" spans="1:22" ht="15.75" thickBot="1"/>
    <row r="48" spans="1:22" ht="15" customHeight="1">
      <c r="B48" s="3374" t="s">
        <v>1236</v>
      </c>
      <c r="C48" s="3375"/>
      <c r="D48" s="3375"/>
      <c r="E48" s="3375"/>
      <c r="F48" s="3375"/>
      <c r="G48" s="383"/>
      <c r="H48" s="383"/>
      <c r="I48" s="383"/>
      <c r="J48" s="383"/>
      <c r="K48" s="383"/>
      <c r="L48" s="383"/>
      <c r="M48" s="383"/>
      <c r="N48" s="383"/>
      <c r="O48" s="384"/>
    </row>
    <row r="49" spans="2:15" ht="15" customHeight="1">
      <c r="B49" s="3376"/>
      <c r="C49" s="3377"/>
      <c r="D49" s="3377"/>
      <c r="E49" s="3377"/>
      <c r="F49" s="3377"/>
      <c r="O49" s="385"/>
    </row>
    <row r="50" spans="2:15" ht="15.75">
      <c r="B50" s="391"/>
      <c r="C50" s="1317"/>
      <c r="G50" s="1323" t="s">
        <v>1450</v>
      </c>
      <c r="H50" s="1318"/>
      <c r="K50" s="1304" t="s">
        <v>1254</v>
      </c>
      <c r="L50" s="1304"/>
      <c r="O50" s="385"/>
    </row>
    <row r="51" spans="2:15">
      <c r="B51" s="391"/>
      <c r="C51" s="462" t="s">
        <v>1216</v>
      </c>
      <c r="D51" s="1293" t="s">
        <v>443</v>
      </c>
      <c r="E51" s="1324">
        <v>4</v>
      </c>
      <c r="G51" s="1296">
        <f>0.15*E51</f>
        <v>0.6</v>
      </c>
      <c r="H51" s="1318"/>
      <c r="K51" s="1294">
        <f>E51*1</f>
        <v>4</v>
      </c>
      <c r="L51" s="1318"/>
      <c r="O51" s="385"/>
    </row>
    <row r="52" spans="2:15">
      <c r="B52" s="391"/>
      <c r="C52" s="462" t="s">
        <v>1217</v>
      </c>
      <c r="D52" s="1293" t="s">
        <v>443</v>
      </c>
      <c r="E52" s="1324">
        <v>9</v>
      </c>
      <c r="G52" s="1296">
        <f>0.25*E52</f>
        <v>2.25</v>
      </c>
      <c r="H52" s="1318"/>
      <c r="K52" s="1294">
        <f>E52*1</f>
        <v>9</v>
      </c>
      <c r="L52" s="1318"/>
      <c r="O52" s="385"/>
    </row>
    <row r="53" spans="2:15">
      <c r="B53" s="391"/>
      <c r="C53" s="462" t="s">
        <v>1218</v>
      </c>
      <c r="D53" s="1293" t="s">
        <v>443</v>
      </c>
      <c r="E53" s="1324">
        <v>30</v>
      </c>
      <c r="G53" s="1296">
        <f>0.5*E53</f>
        <v>15</v>
      </c>
      <c r="H53" s="1318"/>
      <c r="K53" s="1294">
        <f>E53*1</f>
        <v>30</v>
      </c>
      <c r="L53" s="1318"/>
      <c r="O53" s="385"/>
    </row>
    <row r="54" spans="2:15">
      <c r="B54" s="391"/>
      <c r="C54" s="462" t="s">
        <v>1219</v>
      </c>
      <c r="D54" s="1293" t="s">
        <v>443</v>
      </c>
      <c r="E54" s="1324">
        <v>1</v>
      </c>
      <c r="G54" s="1296">
        <f>1*E54</f>
        <v>1</v>
      </c>
      <c r="H54" s="1318"/>
      <c r="K54" s="1294">
        <f>E54*1</f>
        <v>1</v>
      </c>
      <c r="L54" s="1318"/>
      <c r="O54" s="385"/>
    </row>
    <row r="55" spans="2:15">
      <c r="B55" s="391"/>
      <c r="C55" s="462" t="s">
        <v>1220</v>
      </c>
      <c r="D55" s="1293" t="s">
        <v>443</v>
      </c>
      <c r="E55" s="1324">
        <v>16</v>
      </c>
      <c r="G55" s="1298">
        <f>2*E55</f>
        <v>32</v>
      </c>
      <c r="H55" s="3378" t="s">
        <v>1450</v>
      </c>
      <c r="I55" s="3379"/>
      <c r="K55" s="1297">
        <f>E55*2</f>
        <v>32</v>
      </c>
      <c r="L55" s="3380" t="s">
        <v>1453</v>
      </c>
      <c r="M55" s="3379"/>
      <c r="O55" s="385"/>
    </row>
    <row r="56" spans="2:15">
      <c r="B56" s="391"/>
      <c r="C56" s="462" t="s">
        <v>1221</v>
      </c>
      <c r="D56" s="1293" t="s">
        <v>443</v>
      </c>
      <c r="E56" s="1324">
        <v>6</v>
      </c>
      <c r="G56" s="1298">
        <f>3*E56</f>
        <v>18</v>
      </c>
      <c r="H56" s="1306">
        <f>SUM(G51:G56)</f>
        <v>68.849999999999994</v>
      </c>
      <c r="I56" s="1307" t="s">
        <v>163</v>
      </c>
      <c r="K56" s="1297">
        <f>E56*3</f>
        <v>18</v>
      </c>
      <c r="L56" s="1309">
        <f>SUM(K51:K56)</f>
        <v>94</v>
      </c>
      <c r="M56" s="1307" t="s">
        <v>88</v>
      </c>
      <c r="O56" s="385"/>
    </row>
    <row r="57" spans="2:15">
      <c r="B57" s="391"/>
      <c r="C57" s="231"/>
      <c r="D57" s="1305"/>
      <c r="E57" s="1319"/>
      <c r="G57" s="1318"/>
      <c r="H57" s="3383"/>
      <c r="I57" s="3383"/>
      <c r="K57" s="243"/>
      <c r="L57" s="3383"/>
      <c r="M57" s="3383"/>
      <c r="O57" s="385"/>
    </row>
    <row r="58" spans="2:15">
      <c r="B58" s="391"/>
      <c r="C58" s="231"/>
      <c r="D58" s="1305"/>
      <c r="E58" s="1319"/>
      <c r="G58" s="1318"/>
      <c r="H58" s="1320"/>
      <c r="O58" s="385"/>
    </row>
    <row r="59" spans="2:15">
      <c r="B59" s="391"/>
      <c r="C59" s="231"/>
      <c r="D59" s="1305"/>
      <c r="E59" s="1319"/>
      <c r="G59" s="1323" t="s">
        <v>1451</v>
      </c>
      <c r="K59" s="1304" t="s">
        <v>1254</v>
      </c>
      <c r="L59" s="1304"/>
      <c r="O59" s="385"/>
    </row>
    <row r="60" spans="2:15">
      <c r="B60" s="391"/>
      <c r="C60" s="462" t="s">
        <v>1222</v>
      </c>
      <c r="D60" s="1293" t="s">
        <v>443</v>
      </c>
      <c r="E60" s="1324">
        <v>1</v>
      </c>
      <c r="G60" s="1294">
        <f>0.15*E60</f>
        <v>0.15</v>
      </c>
      <c r="H60" s="1318"/>
      <c r="K60" s="1294">
        <f>E60*1</f>
        <v>1</v>
      </c>
      <c r="L60" s="1318"/>
      <c r="O60" s="385"/>
    </row>
    <row r="61" spans="2:15">
      <c r="B61" s="391"/>
      <c r="C61" s="462" t="s">
        <v>1223</v>
      </c>
      <c r="D61" s="1293" t="s">
        <v>443</v>
      </c>
      <c r="E61" s="1324">
        <v>5</v>
      </c>
      <c r="G61" s="1294">
        <f>0.25*E61</f>
        <v>1.25</v>
      </c>
      <c r="H61" s="1318"/>
      <c r="K61" s="1294">
        <f>E61*1</f>
        <v>5</v>
      </c>
      <c r="L61" s="1318"/>
      <c r="O61" s="385"/>
    </row>
    <row r="62" spans="2:15">
      <c r="B62" s="391"/>
      <c r="C62" s="462" t="s">
        <v>1224</v>
      </c>
      <c r="D62" s="1293" t="s">
        <v>443</v>
      </c>
      <c r="E62" s="1324">
        <v>8</v>
      </c>
      <c r="G62" s="1294">
        <f>0.5*E62</f>
        <v>4</v>
      </c>
      <c r="H62" s="1318"/>
      <c r="K62" s="1294">
        <f>E62*1</f>
        <v>8</v>
      </c>
      <c r="L62" s="1318"/>
      <c r="O62" s="385"/>
    </row>
    <row r="63" spans="2:15">
      <c r="B63" s="391"/>
      <c r="C63" s="462" t="s">
        <v>1225</v>
      </c>
      <c r="D63" s="1293" t="s">
        <v>443</v>
      </c>
      <c r="E63" s="1324">
        <v>34</v>
      </c>
      <c r="G63" s="1294">
        <f>1*E63</f>
        <v>34</v>
      </c>
      <c r="H63" s="1318"/>
      <c r="K63" s="1294">
        <f>E63*1</f>
        <v>34</v>
      </c>
      <c r="L63" s="1318"/>
      <c r="O63" s="385"/>
    </row>
    <row r="64" spans="2:15">
      <c r="B64" s="391"/>
      <c r="C64" s="462" t="s">
        <v>1226</v>
      </c>
      <c r="D64" s="1293" t="s">
        <v>443</v>
      </c>
      <c r="E64" s="1324">
        <v>0</v>
      </c>
      <c r="G64" s="1295">
        <f>2*E64</f>
        <v>0</v>
      </c>
      <c r="H64" s="3378" t="s">
        <v>1234</v>
      </c>
      <c r="I64" s="3379"/>
      <c r="K64" s="1297">
        <f>E64*2</f>
        <v>0</v>
      </c>
      <c r="L64" s="3380" t="s">
        <v>1452</v>
      </c>
      <c r="M64" s="3379"/>
      <c r="O64" s="385"/>
    </row>
    <row r="65" spans="2:15">
      <c r="B65" s="391"/>
      <c r="C65" s="462" t="s">
        <v>1227</v>
      </c>
      <c r="D65" s="1293" t="s">
        <v>443</v>
      </c>
      <c r="E65" s="1324">
        <v>20</v>
      </c>
      <c r="G65" s="1295">
        <f>3*E65</f>
        <v>60</v>
      </c>
      <c r="H65" s="1306">
        <f>SUM(G60:G65)</f>
        <v>99.4</v>
      </c>
      <c r="I65" s="1308" t="s">
        <v>163</v>
      </c>
      <c r="K65" s="1297">
        <f>E65*3</f>
        <v>60</v>
      </c>
      <c r="L65" s="1309">
        <f>SUM(K60:K65)</f>
        <v>108</v>
      </c>
      <c r="M65" s="1307" t="s">
        <v>88</v>
      </c>
      <c r="O65" s="385"/>
    </row>
    <row r="66" spans="2:15">
      <c r="B66" s="391"/>
      <c r="C66" s="231"/>
      <c r="D66" s="1305"/>
      <c r="E66" s="1319"/>
      <c r="G66" s="1320"/>
      <c r="H66" s="3383"/>
      <c r="I66" s="3383"/>
      <c r="K66" s="243"/>
      <c r="L66" s="1320"/>
      <c r="O66" s="385"/>
    </row>
    <row r="67" spans="2:15">
      <c r="B67" s="391"/>
      <c r="C67" s="231"/>
      <c r="D67" s="1305"/>
      <c r="E67" s="1319"/>
      <c r="O67" s="385"/>
    </row>
    <row r="68" spans="2:15">
      <c r="B68" s="391"/>
      <c r="C68" s="231"/>
      <c r="D68" s="1305"/>
      <c r="E68" s="1319"/>
      <c r="G68" s="1323" t="s">
        <v>1235</v>
      </c>
      <c r="K68" s="1304" t="s">
        <v>1254</v>
      </c>
      <c r="L68" s="1304"/>
      <c r="O68" s="385"/>
    </row>
    <row r="69" spans="2:15">
      <c r="B69" s="391"/>
      <c r="C69" s="462" t="s">
        <v>1228</v>
      </c>
      <c r="D69" s="1293" t="s">
        <v>443</v>
      </c>
      <c r="E69" s="1324">
        <v>1</v>
      </c>
      <c r="G69" s="1294">
        <f>0.15*E69</f>
        <v>0.15</v>
      </c>
      <c r="H69" s="1318"/>
      <c r="K69" s="1294">
        <f>E69*1</f>
        <v>1</v>
      </c>
      <c r="L69" s="1318"/>
      <c r="O69" s="385"/>
    </row>
    <row r="70" spans="2:15">
      <c r="B70" s="391"/>
      <c r="C70" s="462" t="s">
        <v>1229</v>
      </c>
      <c r="D70" s="1293" t="s">
        <v>443</v>
      </c>
      <c r="E70" s="1324">
        <v>1</v>
      </c>
      <c r="G70" s="1294">
        <f>0.25*E70</f>
        <v>0.25</v>
      </c>
      <c r="H70" s="1318"/>
      <c r="K70" s="1294">
        <f>E70*1</f>
        <v>1</v>
      </c>
      <c r="L70" s="1318"/>
      <c r="O70" s="385"/>
    </row>
    <row r="71" spans="2:15">
      <c r="B71" s="391"/>
      <c r="C71" s="462" t="s">
        <v>1230</v>
      </c>
      <c r="D71" s="1293" t="s">
        <v>443</v>
      </c>
      <c r="E71" s="1324">
        <v>1</v>
      </c>
      <c r="G71" s="1294">
        <f>0.5*E71</f>
        <v>0.5</v>
      </c>
      <c r="H71" s="1318"/>
      <c r="K71" s="1294">
        <f>E71*1</f>
        <v>1</v>
      </c>
      <c r="L71" s="1318"/>
      <c r="O71" s="385"/>
    </row>
    <row r="72" spans="2:15">
      <c r="B72" s="391"/>
      <c r="C72" s="462" t="s">
        <v>1231</v>
      </c>
      <c r="D72" s="1293" t="s">
        <v>443</v>
      </c>
      <c r="E72" s="1324">
        <v>1</v>
      </c>
      <c r="G72" s="1294">
        <f>1*E72</f>
        <v>1</v>
      </c>
      <c r="H72" s="1318"/>
      <c r="K72" s="1294">
        <f>E72*1</f>
        <v>1</v>
      </c>
      <c r="L72" s="1318"/>
      <c r="O72" s="385"/>
    </row>
    <row r="73" spans="2:15">
      <c r="B73" s="391"/>
      <c r="C73" s="462" t="s">
        <v>1232</v>
      </c>
      <c r="D73" s="1293" t="s">
        <v>443</v>
      </c>
      <c r="E73" s="1324">
        <v>1</v>
      </c>
      <c r="G73" s="1295">
        <f>2*E73</f>
        <v>2</v>
      </c>
      <c r="H73" s="3378" t="s">
        <v>1235</v>
      </c>
      <c r="I73" s="3379"/>
      <c r="K73" s="1297">
        <f>E73*2</f>
        <v>2</v>
      </c>
      <c r="L73" s="3380" t="s">
        <v>1255</v>
      </c>
      <c r="M73" s="3379"/>
      <c r="O73" s="385"/>
    </row>
    <row r="74" spans="2:15">
      <c r="B74" s="391"/>
      <c r="C74" s="462" t="s">
        <v>1233</v>
      </c>
      <c r="D74" s="1293" t="s">
        <v>443</v>
      </c>
      <c r="E74" s="1324">
        <v>1</v>
      </c>
      <c r="G74" s="1295">
        <f>3*E74</f>
        <v>3</v>
      </c>
      <c r="H74" s="1306">
        <f>SUM(G69:G74)</f>
        <v>6.9</v>
      </c>
      <c r="I74" s="1308" t="s">
        <v>163</v>
      </c>
      <c r="K74" s="1297">
        <f>E74*3</f>
        <v>3</v>
      </c>
      <c r="L74" s="1309">
        <f>SUM(K69:K74)</f>
        <v>9</v>
      </c>
      <c r="M74" s="1307" t="s">
        <v>88</v>
      </c>
      <c r="O74" s="385"/>
    </row>
    <row r="75" spans="2:15">
      <c r="B75" s="391"/>
      <c r="D75" s="1305"/>
      <c r="E75" s="1319"/>
      <c r="H75" s="3383"/>
      <c r="I75" s="3383"/>
      <c r="O75" s="385"/>
    </row>
    <row r="76" spans="2:15">
      <c r="B76" s="391"/>
      <c r="D76" s="1305"/>
      <c r="E76" s="1319"/>
      <c r="K76" s="3381" t="s">
        <v>1268</v>
      </c>
      <c r="L76" s="3382"/>
      <c r="O76" s="385"/>
    </row>
    <row r="77" spans="2:15" ht="15.75">
      <c r="B77" s="391"/>
      <c r="C77" s="1321" t="s">
        <v>1257</v>
      </c>
      <c r="D77" s="1300"/>
      <c r="E77" s="1319"/>
      <c r="K77" s="1313">
        <f>L56+L65+L74</f>
        <v>211</v>
      </c>
      <c r="L77" s="1314" t="s">
        <v>88</v>
      </c>
      <c r="O77" s="385"/>
    </row>
    <row r="78" spans="2:15">
      <c r="B78" s="391"/>
      <c r="C78" s="1310" t="s">
        <v>1256</v>
      </c>
      <c r="D78" s="1311" t="s">
        <v>852</v>
      </c>
      <c r="E78" s="1315">
        <f>K77*0.3</f>
        <v>63.3</v>
      </c>
      <c r="O78" s="385"/>
    </row>
    <row r="79" spans="2:15">
      <c r="B79" s="391"/>
      <c r="C79" s="1312" t="s">
        <v>1258</v>
      </c>
      <c r="D79" s="1311" t="s">
        <v>443</v>
      </c>
      <c r="E79" s="1316">
        <f>K$77</f>
        <v>211</v>
      </c>
      <c r="O79" s="385"/>
    </row>
    <row r="80" spans="2:15">
      <c r="B80" s="391"/>
      <c r="C80" s="1312" t="s">
        <v>1259</v>
      </c>
      <c r="D80" s="1311" t="s">
        <v>443</v>
      </c>
      <c r="E80" s="1316">
        <f t="shared" ref="E80:E88" si="4">K$77</f>
        <v>211</v>
      </c>
      <c r="O80" s="385"/>
    </row>
    <row r="81" spans="2:15">
      <c r="B81" s="391"/>
      <c r="C81" s="1312" t="s">
        <v>1260</v>
      </c>
      <c r="D81" s="1311" t="s">
        <v>443</v>
      </c>
      <c r="E81" s="1316">
        <f t="shared" si="4"/>
        <v>211</v>
      </c>
      <c r="O81" s="385"/>
    </row>
    <row r="82" spans="2:15">
      <c r="B82" s="391"/>
      <c r="C82" s="1312" t="s">
        <v>1261</v>
      </c>
      <c r="D82" s="1311" t="s">
        <v>443</v>
      </c>
      <c r="E82" s="1316">
        <f t="shared" si="4"/>
        <v>211</v>
      </c>
      <c r="O82" s="385"/>
    </row>
    <row r="83" spans="2:15">
      <c r="B83" s="391"/>
      <c r="C83" s="1312" t="s">
        <v>1262</v>
      </c>
      <c r="D83" s="1311" t="s">
        <v>443</v>
      </c>
      <c r="E83" s="1316">
        <f t="shared" si="4"/>
        <v>211</v>
      </c>
      <c r="O83" s="385"/>
    </row>
    <row r="84" spans="2:15">
      <c r="B84" s="391"/>
      <c r="C84" s="1312" t="s">
        <v>1263</v>
      </c>
      <c r="D84" s="1311" t="s">
        <v>443</v>
      </c>
      <c r="E84" s="1316">
        <f t="shared" si="4"/>
        <v>211</v>
      </c>
      <c r="O84" s="385"/>
    </row>
    <row r="85" spans="2:15">
      <c r="B85" s="391"/>
      <c r="C85" s="1312" t="s">
        <v>1264</v>
      </c>
      <c r="D85" s="1311" t="s">
        <v>443</v>
      </c>
      <c r="E85" s="1316">
        <f t="shared" si="4"/>
        <v>211</v>
      </c>
      <c r="O85" s="385"/>
    </row>
    <row r="86" spans="2:15">
      <c r="B86" s="391"/>
      <c r="C86" s="1312" t="s">
        <v>1265</v>
      </c>
      <c r="D86" s="1311" t="s">
        <v>852</v>
      </c>
      <c r="E86" s="1316">
        <f>K77/10</f>
        <v>21.1</v>
      </c>
      <c r="O86" s="385"/>
    </row>
    <row r="87" spans="2:15">
      <c r="B87" s="391"/>
      <c r="C87" s="1312" t="s">
        <v>1266</v>
      </c>
      <c r="D87" s="1311" t="s">
        <v>443</v>
      </c>
      <c r="E87" s="1316">
        <f t="shared" si="4"/>
        <v>211</v>
      </c>
      <c r="O87" s="385"/>
    </row>
    <row r="88" spans="2:15">
      <c r="B88" s="391"/>
      <c r="C88" s="1312" t="s">
        <v>1267</v>
      </c>
      <c r="D88" s="1311" t="s">
        <v>443</v>
      </c>
      <c r="E88" s="1316">
        <f t="shared" si="4"/>
        <v>211</v>
      </c>
      <c r="O88" s="385"/>
    </row>
    <row r="89" spans="2:15">
      <c r="B89" s="391"/>
      <c r="O89" s="385"/>
    </row>
    <row r="90" spans="2:15" ht="15.75" thickBot="1">
      <c r="B90" s="386"/>
      <c r="C90" s="387"/>
      <c r="D90" s="387"/>
      <c r="E90" s="1322"/>
      <c r="F90" s="387"/>
      <c r="G90" s="387"/>
      <c r="H90" s="387"/>
      <c r="I90" s="387"/>
      <c r="J90" s="387"/>
      <c r="K90" s="387"/>
      <c r="L90" s="387"/>
      <c r="M90" s="387"/>
      <c r="N90" s="387"/>
      <c r="O90" s="388"/>
    </row>
  </sheetData>
  <sheetProtection algorithmName="SHA-512" hashValue="Jf4KxgJkuyNvSA2MxBLoaN96kl1Gzv+Bj68v1wRR/khZA/J76Z6JBscjGrnmONL+qsJST1jsgPQudAXjxmwEzA==" saltValue="UIJWPUIiV12he7qCQE3Gfg==" spinCount="100000" sheet="1" objects="1" selectLockedCells="1"/>
  <mergeCells count="24">
    <mergeCell ref="B48:F49"/>
    <mergeCell ref="H73:I73"/>
    <mergeCell ref="L64:M64"/>
    <mergeCell ref="L73:M73"/>
    <mergeCell ref="K76:L76"/>
    <mergeCell ref="H75:I75"/>
    <mergeCell ref="H66:I66"/>
    <mergeCell ref="H57:I57"/>
    <mergeCell ref="L57:M57"/>
    <mergeCell ref="H55:I55"/>
    <mergeCell ref="L55:M55"/>
    <mergeCell ref="H64:I64"/>
    <mergeCell ref="R41:V41"/>
    <mergeCell ref="G31:M31"/>
    <mergeCell ref="I32:M32"/>
    <mergeCell ref="H33:M33"/>
    <mergeCell ref="G19:N19"/>
    <mergeCell ref="G34:K34"/>
    <mergeCell ref="G21:K21"/>
    <mergeCell ref="G22:K22"/>
    <mergeCell ref="G23:K23"/>
    <mergeCell ref="G24:K24"/>
    <mergeCell ref="G25:K25"/>
    <mergeCell ref="G26:K26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ayfa10">
    <tabColor theme="9" tint="-0.249977111117893"/>
  </sheetPr>
  <dimension ref="B1:T46"/>
  <sheetViews>
    <sheetView showGridLines="0" showRowColHeaders="0" zoomScale="77" zoomScaleNormal="77" workbookViewId="0">
      <selection activeCell="D12" sqref="D12"/>
    </sheetView>
  </sheetViews>
  <sheetFormatPr defaultColWidth="9.140625" defaultRowHeight="15"/>
  <cols>
    <col min="1" max="1" width="9.140625" style="201"/>
    <col min="2" max="2" width="20.140625" style="201" bestFit="1" customWidth="1"/>
    <col min="3" max="3" width="11.140625" style="201" bestFit="1" customWidth="1"/>
    <col min="4" max="4" width="9.140625" style="201"/>
    <col min="5" max="5" width="19.85546875" style="201" bestFit="1" customWidth="1"/>
    <col min="6" max="6" width="9.140625" style="201"/>
    <col min="7" max="7" width="10.140625" style="201" bestFit="1" customWidth="1"/>
    <col min="8" max="8" width="7.5703125" style="201" customWidth="1"/>
    <col min="9" max="9" width="8.85546875" style="328" customWidth="1"/>
    <col min="10" max="11" width="9.140625" style="328"/>
    <col min="12" max="12" width="5.85546875" style="201" customWidth="1"/>
    <col min="13" max="14" width="9.140625" style="201"/>
    <col min="15" max="15" width="12.140625" style="201" bestFit="1" customWidth="1"/>
    <col min="16" max="16" width="9.140625" style="201"/>
    <col min="17" max="17" width="12.140625" style="201" bestFit="1" customWidth="1"/>
    <col min="18" max="16384" width="9.140625" style="201"/>
  </cols>
  <sheetData>
    <row r="1" spans="2:20" ht="16.5" thickBot="1">
      <c r="B1" s="3388"/>
      <c r="C1" s="3388"/>
      <c r="D1" s="3388"/>
      <c r="E1" s="3388"/>
      <c r="F1" s="3388"/>
      <c r="G1" s="3388"/>
      <c r="H1" s="3388"/>
    </row>
    <row r="2" spans="2:20" ht="16.5" thickBot="1">
      <c r="B2" s="3405" t="s">
        <v>215</v>
      </c>
      <c r="C2" s="3406"/>
      <c r="D2" s="3406"/>
      <c r="E2" s="3406"/>
      <c r="F2" s="3406"/>
      <c r="G2" s="3406"/>
      <c r="H2" s="3407"/>
    </row>
    <row r="3" spans="2:20" ht="21.75" customHeight="1" thickBot="1">
      <c r="B3" s="3399" t="s">
        <v>188</v>
      </c>
      <c r="C3" s="3401" t="s">
        <v>189</v>
      </c>
      <c r="D3" s="3401" t="s">
        <v>190</v>
      </c>
      <c r="E3" s="3403" t="s">
        <v>191</v>
      </c>
      <c r="F3" s="3403" t="s">
        <v>192</v>
      </c>
      <c r="G3" s="3403" t="s">
        <v>193</v>
      </c>
      <c r="H3" s="3418"/>
    </row>
    <row r="4" spans="2:20" ht="18" customHeight="1" thickBot="1">
      <c r="B4" s="3400"/>
      <c r="C4" s="3402"/>
      <c r="D4" s="3402"/>
      <c r="E4" s="3404"/>
      <c r="F4" s="3404"/>
      <c r="G4" s="3404"/>
      <c r="H4" s="3419"/>
      <c r="I4" s="2346" t="s">
        <v>363</v>
      </c>
      <c r="J4" s="2347" t="s">
        <v>364</v>
      </c>
      <c r="K4" s="2348" t="s">
        <v>1356</v>
      </c>
      <c r="P4" s="3384"/>
      <c r="Q4" s="3384"/>
      <c r="R4" s="3384"/>
      <c r="S4" s="3384"/>
      <c r="T4" s="3384"/>
    </row>
    <row r="5" spans="2:20">
      <c r="B5" s="211" t="s">
        <v>32</v>
      </c>
      <c r="C5" s="207">
        <v>2.5</v>
      </c>
      <c r="D5" s="225">
        <v>2</v>
      </c>
      <c r="E5" s="207">
        <f>D5*C5</f>
        <v>5</v>
      </c>
      <c r="F5" s="209"/>
      <c r="G5" s="210" t="s">
        <v>194</v>
      </c>
      <c r="H5" s="212" t="s">
        <v>195</v>
      </c>
      <c r="I5" s="2355" t="s">
        <v>365</v>
      </c>
      <c r="J5" s="2349" t="s">
        <v>366</v>
      </c>
      <c r="K5" s="2352" t="s">
        <v>1923</v>
      </c>
      <c r="P5" s="3384"/>
      <c r="Q5" s="3384"/>
      <c r="R5" s="3384"/>
      <c r="S5" s="3384"/>
      <c r="T5" s="3384"/>
    </row>
    <row r="6" spans="2:20">
      <c r="B6" s="213" t="s">
        <v>196</v>
      </c>
      <c r="C6" s="203">
        <v>1</v>
      </c>
      <c r="D6" s="226">
        <v>1</v>
      </c>
      <c r="E6" s="203">
        <f t="shared" ref="E6:E14" si="0">D6*C6</f>
        <v>1</v>
      </c>
      <c r="F6" s="202"/>
      <c r="G6" s="205" t="s">
        <v>197</v>
      </c>
      <c r="H6" s="214" t="s">
        <v>198</v>
      </c>
      <c r="I6" s="2356" t="s">
        <v>367</v>
      </c>
      <c r="J6" s="2350" t="s">
        <v>365</v>
      </c>
      <c r="K6" s="2353" t="s">
        <v>1924</v>
      </c>
      <c r="P6" s="3385"/>
      <c r="Q6" s="3385"/>
      <c r="R6" s="3385"/>
      <c r="S6" s="3385"/>
      <c r="T6" s="3385"/>
    </row>
    <row r="7" spans="2:20">
      <c r="B7" s="213" t="s">
        <v>199</v>
      </c>
      <c r="C7" s="203">
        <v>1</v>
      </c>
      <c r="D7" s="226"/>
      <c r="E7" s="203">
        <f t="shared" si="0"/>
        <v>0</v>
      </c>
      <c r="F7" s="202"/>
      <c r="G7" s="204" t="s">
        <v>200</v>
      </c>
      <c r="H7" s="214" t="s">
        <v>201</v>
      </c>
      <c r="I7" s="2356" t="s">
        <v>368</v>
      </c>
      <c r="J7" s="2350" t="s">
        <v>367</v>
      </c>
      <c r="K7" s="2353" t="s">
        <v>1925</v>
      </c>
    </row>
    <row r="8" spans="2:20">
      <c r="B8" s="213" t="s">
        <v>202</v>
      </c>
      <c r="C8" s="203">
        <v>1</v>
      </c>
      <c r="D8" s="226">
        <v>2</v>
      </c>
      <c r="E8" s="203">
        <f t="shared" si="0"/>
        <v>2</v>
      </c>
      <c r="F8" s="202"/>
      <c r="G8" s="204" t="s">
        <v>203</v>
      </c>
      <c r="H8" s="215" t="s">
        <v>204</v>
      </c>
      <c r="I8" s="2356" t="s">
        <v>369</v>
      </c>
      <c r="J8" s="2350" t="s">
        <v>368</v>
      </c>
      <c r="K8" s="2353" t="s">
        <v>1926</v>
      </c>
    </row>
    <row r="9" spans="2:20">
      <c r="B9" s="213" t="s">
        <v>751</v>
      </c>
      <c r="C9" s="203">
        <v>1</v>
      </c>
      <c r="D9" s="226">
        <v>1</v>
      </c>
      <c r="E9" s="203">
        <f>D9*C9</f>
        <v>1</v>
      </c>
      <c r="F9" s="202"/>
      <c r="G9" s="204" t="s">
        <v>205</v>
      </c>
      <c r="H9" s="214" t="s">
        <v>206</v>
      </c>
      <c r="I9" s="2356" t="s">
        <v>232</v>
      </c>
      <c r="J9" s="2350" t="s">
        <v>369</v>
      </c>
      <c r="K9" s="2353" t="s">
        <v>1927</v>
      </c>
    </row>
    <row r="10" spans="2:20">
      <c r="B10" s="213" t="s">
        <v>72</v>
      </c>
      <c r="C10" s="203">
        <v>0.5</v>
      </c>
      <c r="D10" s="226">
        <v>3</v>
      </c>
      <c r="E10" s="203">
        <f t="shared" si="0"/>
        <v>1.5</v>
      </c>
      <c r="F10" s="202"/>
      <c r="G10" s="204" t="s">
        <v>208</v>
      </c>
      <c r="H10" s="214" t="s">
        <v>209</v>
      </c>
      <c r="I10" s="2356" t="s">
        <v>370</v>
      </c>
      <c r="J10" s="2350" t="s">
        <v>232</v>
      </c>
      <c r="K10" s="2353" t="s">
        <v>1928</v>
      </c>
    </row>
    <row r="11" spans="2:20" ht="15.75" thickBot="1">
      <c r="B11" s="213" t="s">
        <v>207</v>
      </c>
      <c r="C11" s="203">
        <v>0.5</v>
      </c>
      <c r="D11" s="226"/>
      <c r="E11" s="203">
        <f t="shared" si="0"/>
        <v>0</v>
      </c>
      <c r="F11" s="202"/>
      <c r="G11" s="204" t="s">
        <v>211</v>
      </c>
      <c r="H11" s="214" t="s">
        <v>212</v>
      </c>
      <c r="I11" s="2357" t="s">
        <v>371</v>
      </c>
      <c r="J11" s="2351" t="s">
        <v>370</v>
      </c>
      <c r="K11" s="2354" t="s">
        <v>1928</v>
      </c>
    </row>
    <row r="12" spans="2:20">
      <c r="B12" s="213" t="s">
        <v>210</v>
      </c>
      <c r="C12" s="203">
        <v>0.5</v>
      </c>
      <c r="D12" s="226"/>
      <c r="E12" s="203">
        <f t="shared" si="0"/>
        <v>0</v>
      </c>
      <c r="F12" s="202"/>
      <c r="G12" s="204"/>
      <c r="H12" s="214"/>
    </row>
    <row r="13" spans="2:20">
      <c r="B13" s="213" t="s">
        <v>213</v>
      </c>
      <c r="C13" s="203">
        <v>0.5</v>
      </c>
      <c r="D13" s="226">
        <v>3</v>
      </c>
      <c r="E13" s="203">
        <f t="shared" si="0"/>
        <v>1.5</v>
      </c>
      <c r="F13" s="202"/>
      <c r="G13" s="204"/>
      <c r="H13" s="214"/>
    </row>
    <row r="14" spans="2:20" ht="15.75" thickBot="1">
      <c r="B14" s="213" t="s">
        <v>214</v>
      </c>
      <c r="C14" s="203">
        <v>2.5</v>
      </c>
      <c r="D14" s="226"/>
      <c r="E14" s="206">
        <f t="shared" si="0"/>
        <v>0</v>
      </c>
      <c r="F14" s="202"/>
      <c r="G14" s="204"/>
      <c r="H14" s="214"/>
    </row>
    <row r="15" spans="2:20" ht="16.5" thickTop="1" thickBot="1">
      <c r="B15" s="216"/>
      <c r="C15" s="217"/>
      <c r="D15" s="217"/>
      <c r="E15" s="227">
        <f>SUM(E5:E14)</f>
        <v>12</v>
      </c>
      <c r="F15" s="218"/>
      <c r="G15" s="217"/>
      <c r="H15" s="219"/>
    </row>
    <row r="16" spans="2:20" ht="15.75" thickBot="1"/>
    <row r="17" spans="2:15" ht="16.5" thickBot="1">
      <c r="B17" s="3415" t="s">
        <v>240</v>
      </c>
      <c r="C17" s="3416"/>
      <c r="D17" s="3416"/>
      <c r="E17" s="3416"/>
      <c r="F17" s="3416"/>
      <c r="G17" s="3416"/>
      <c r="H17" s="3417"/>
    </row>
    <row r="18" spans="2:15" ht="21.75" thickBot="1">
      <c r="B18" s="3389" t="s">
        <v>216</v>
      </c>
      <c r="C18" s="3391" t="s">
        <v>189</v>
      </c>
      <c r="D18" s="3391" t="s">
        <v>190</v>
      </c>
      <c r="E18" s="3393" t="s">
        <v>191</v>
      </c>
      <c r="F18" s="3393" t="s">
        <v>192</v>
      </c>
      <c r="G18" s="3395" t="s">
        <v>217</v>
      </c>
      <c r="H18" s="3396"/>
      <c r="M18" s="3420" t="s">
        <v>922</v>
      </c>
      <c r="N18" s="3421"/>
      <c r="O18" s="3422"/>
    </row>
    <row r="19" spans="2:15" ht="24" customHeight="1" thickBot="1">
      <c r="B19" s="3390"/>
      <c r="C19" s="3392"/>
      <c r="D19" s="3392"/>
      <c r="E19" s="3394"/>
      <c r="F19" s="3394"/>
      <c r="G19" s="3397"/>
      <c r="H19" s="3398"/>
      <c r="I19" s="2346" t="s">
        <v>363</v>
      </c>
      <c r="J19" s="2347" t="s">
        <v>364</v>
      </c>
      <c r="K19" s="2348" t="s">
        <v>1356</v>
      </c>
      <c r="M19" s="918" t="s">
        <v>914</v>
      </c>
      <c r="N19" s="2345" t="s">
        <v>363</v>
      </c>
      <c r="O19" s="917" t="s">
        <v>915</v>
      </c>
    </row>
    <row r="20" spans="2:15">
      <c r="B20" s="211" t="s">
        <v>32</v>
      </c>
      <c r="C20" s="207">
        <v>2</v>
      </c>
      <c r="D20" s="225">
        <v>1</v>
      </c>
      <c r="E20" s="207">
        <f t="shared" ref="E20:E25" si="1">D20*C20</f>
        <v>2</v>
      </c>
      <c r="F20" s="209"/>
      <c r="G20" s="210" t="s">
        <v>194</v>
      </c>
      <c r="H20" s="212" t="s">
        <v>195</v>
      </c>
      <c r="I20" s="2355" t="s">
        <v>365</v>
      </c>
      <c r="J20" s="2349" t="s">
        <v>366</v>
      </c>
      <c r="K20" s="2352" t="s">
        <v>1923</v>
      </c>
      <c r="M20" s="919" t="s">
        <v>195</v>
      </c>
      <c r="N20" s="2355" t="s">
        <v>365</v>
      </c>
      <c r="O20" s="923" t="s">
        <v>916</v>
      </c>
    </row>
    <row r="21" spans="2:15">
      <c r="B21" s="213" t="s">
        <v>196</v>
      </c>
      <c r="C21" s="203">
        <v>1</v>
      </c>
      <c r="D21" s="226">
        <v>1</v>
      </c>
      <c r="E21" s="203">
        <f t="shared" si="1"/>
        <v>1</v>
      </c>
      <c r="F21" s="202"/>
      <c r="G21" s="208" t="s">
        <v>218</v>
      </c>
      <c r="H21" s="214" t="s">
        <v>198</v>
      </c>
      <c r="I21" s="2356" t="s">
        <v>367</v>
      </c>
      <c r="J21" s="2350" t="s">
        <v>365</v>
      </c>
      <c r="K21" s="2353" t="s">
        <v>1924</v>
      </c>
      <c r="M21" s="920" t="s">
        <v>198</v>
      </c>
      <c r="N21" s="2356" t="s">
        <v>367</v>
      </c>
      <c r="O21" s="924" t="s">
        <v>917</v>
      </c>
    </row>
    <row r="22" spans="2:15">
      <c r="B22" s="213" t="s">
        <v>199</v>
      </c>
      <c r="C22" s="203">
        <v>1</v>
      </c>
      <c r="D22" s="226"/>
      <c r="E22" s="203">
        <f t="shared" si="1"/>
        <v>0</v>
      </c>
      <c r="F22" s="202"/>
      <c r="G22" s="204" t="s">
        <v>219</v>
      </c>
      <c r="H22" s="214" t="s">
        <v>201</v>
      </c>
      <c r="I22" s="2356" t="s">
        <v>368</v>
      </c>
      <c r="J22" s="2350" t="s">
        <v>367</v>
      </c>
      <c r="K22" s="2353" t="s">
        <v>1925</v>
      </c>
      <c r="M22" s="920" t="s">
        <v>201</v>
      </c>
      <c r="N22" s="2356" t="s">
        <v>368</v>
      </c>
      <c r="O22" s="924" t="s">
        <v>918</v>
      </c>
    </row>
    <row r="23" spans="2:15">
      <c r="B23" s="213" t="s">
        <v>202</v>
      </c>
      <c r="C23" s="203">
        <v>1</v>
      </c>
      <c r="D23" s="226">
        <v>1</v>
      </c>
      <c r="E23" s="203">
        <f t="shared" si="1"/>
        <v>1</v>
      </c>
      <c r="F23" s="202"/>
      <c r="G23" s="204" t="s">
        <v>220</v>
      </c>
      <c r="H23" s="215" t="s">
        <v>204</v>
      </c>
      <c r="I23" s="2356" t="s">
        <v>369</v>
      </c>
      <c r="J23" s="2350" t="s">
        <v>368</v>
      </c>
      <c r="K23" s="2353" t="s">
        <v>1926</v>
      </c>
      <c r="M23" s="921" t="s">
        <v>204</v>
      </c>
      <c r="N23" s="2356" t="s">
        <v>369</v>
      </c>
      <c r="O23" s="924" t="s">
        <v>919</v>
      </c>
    </row>
    <row r="24" spans="2:15">
      <c r="B24" s="213" t="s">
        <v>72</v>
      </c>
      <c r="C24" s="203">
        <v>0.5</v>
      </c>
      <c r="D24" s="226">
        <v>2</v>
      </c>
      <c r="E24" s="203">
        <f t="shared" si="1"/>
        <v>1</v>
      </c>
      <c r="F24" s="202"/>
      <c r="G24" s="204" t="s">
        <v>221</v>
      </c>
      <c r="H24" s="214" t="s">
        <v>206</v>
      </c>
      <c r="I24" s="2356" t="s">
        <v>232</v>
      </c>
      <c r="J24" s="2350" t="s">
        <v>369</v>
      </c>
      <c r="K24" s="2353" t="s">
        <v>1927</v>
      </c>
      <c r="M24" s="920" t="s">
        <v>206</v>
      </c>
      <c r="N24" s="2356" t="s">
        <v>232</v>
      </c>
      <c r="O24" s="924" t="s">
        <v>920</v>
      </c>
    </row>
    <row r="25" spans="2:15" ht="15.75" thickBot="1">
      <c r="B25" s="213" t="s">
        <v>214</v>
      </c>
      <c r="C25" s="203">
        <v>2</v>
      </c>
      <c r="D25" s="226"/>
      <c r="E25" s="203">
        <f t="shared" si="1"/>
        <v>0</v>
      </c>
      <c r="F25" s="202"/>
      <c r="G25" s="204" t="s">
        <v>222</v>
      </c>
      <c r="H25" s="214" t="s">
        <v>209</v>
      </c>
      <c r="I25" s="2356" t="s">
        <v>370</v>
      </c>
      <c r="J25" s="2350" t="s">
        <v>232</v>
      </c>
      <c r="K25" s="2353" t="s">
        <v>1928</v>
      </c>
      <c r="M25" s="922" t="s">
        <v>209</v>
      </c>
      <c r="N25" s="2357" t="s">
        <v>370</v>
      </c>
      <c r="O25" s="925" t="s">
        <v>921</v>
      </c>
    </row>
    <row r="26" spans="2:15">
      <c r="B26" s="213"/>
      <c r="C26" s="203"/>
      <c r="D26" s="204"/>
      <c r="E26" s="203"/>
      <c r="F26" s="202"/>
      <c r="G26" s="204" t="s">
        <v>223</v>
      </c>
      <c r="H26" s="214" t="s">
        <v>212</v>
      </c>
      <c r="I26" s="2356" t="s">
        <v>371</v>
      </c>
      <c r="J26" s="2350" t="s">
        <v>370</v>
      </c>
      <c r="K26" s="2353" t="s">
        <v>1928</v>
      </c>
    </row>
    <row r="27" spans="2:15" ht="15.75" thickBot="1">
      <c r="B27" s="213"/>
      <c r="C27" s="203"/>
      <c r="D27" s="204"/>
      <c r="E27" s="203"/>
      <c r="F27" s="202"/>
      <c r="G27" s="204" t="s">
        <v>224</v>
      </c>
      <c r="H27" s="214" t="s">
        <v>225</v>
      </c>
      <c r="I27" s="2357" t="s">
        <v>372</v>
      </c>
      <c r="J27" s="2351" t="s">
        <v>371</v>
      </c>
      <c r="K27" s="2354" t="s">
        <v>1929</v>
      </c>
    </row>
    <row r="28" spans="2:15" ht="15.75" thickBot="1">
      <c r="B28" s="213"/>
      <c r="C28" s="203"/>
      <c r="D28" s="204"/>
      <c r="E28" s="206"/>
      <c r="F28" s="202"/>
      <c r="G28" s="204"/>
      <c r="H28" s="214"/>
    </row>
    <row r="29" spans="2:15" ht="16.5" thickTop="1" thickBot="1">
      <c r="B29" s="216"/>
      <c r="C29" s="217"/>
      <c r="D29" s="217"/>
      <c r="E29" s="228">
        <f>SUM(E20:E28)</f>
        <v>5</v>
      </c>
      <c r="F29" s="218"/>
      <c r="G29" s="217"/>
      <c r="H29" s="219"/>
    </row>
    <row r="30" spans="2:15" ht="15.75" thickBot="1"/>
    <row r="31" spans="2:15" ht="16.5" thickBot="1">
      <c r="B31" s="3412" t="s">
        <v>239</v>
      </c>
      <c r="C31" s="3413"/>
      <c r="D31" s="3413"/>
      <c r="E31" s="3413"/>
      <c r="F31" s="3413"/>
      <c r="G31" s="3413"/>
      <c r="H31" s="3413"/>
      <c r="I31" s="3414"/>
    </row>
    <row r="32" spans="2:15">
      <c r="B32" s="3399" t="s">
        <v>226</v>
      </c>
      <c r="C32" s="3401" t="s">
        <v>189</v>
      </c>
      <c r="D32" s="3401" t="s">
        <v>190</v>
      </c>
      <c r="E32" s="3403" t="s">
        <v>191</v>
      </c>
      <c r="F32" s="3423" t="s">
        <v>192</v>
      </c>
      <c r="G32" s="3408" t="s">
        <v>227</v>
      </c>
      <c r="H32" s="3409"/>
      <c r="I32" s="3396"/>
    </row>
    <row r="33" spans="2:20" ht="15.75" thickBot="1">
      <c r="B33" s="3400"/>
      <c r="C33" s="3402"/>
      <c r="D33" s="3402"/>
      <c r="E33" s="3404"/>
      <c r="F33" s="3424"/>
      <c r="G33" s="3410"/>
      <c r="H33" s="3411"/>
      <c r="I33" s="3398"/>
    </row>
    <row r="34" spans="2:20" ht="15.75" thickBot="1">
      <c r="B34" s="224"/>
      <c r="C34" s="220"/>
      <c r="D34" s="220"/>
      <c r="E34" s="221"/>
      <c r="F34" s="222"/>
      <c r="G34" s="223" t="s">
        <v>228</v>
      </c>
      <c r="H34" s="223" t="s">
        <v>229</v>
      </c>
      <c r="I34" s="223" t="s">
        <v>230</v>
      </c>
    </row>
    <row r="35" spans="2:20">
      <c r="B35" s="213" t="s">
        <v>231</v>
      </c>
      <c r="C35" s="203">
        <v>10</v>
      </c>
      <c r="D35" s="226"/>
      <c r="E35" s="203">
        <f t="shared" ref="E35:E44" si="2">D35*C35</f>
        <v>0</v>
      </c>
      <c r="F35" s="202"/>
      <c r="G35" s="210"/>
      <c r="H35" s="210"/>
      <c r="I35" s="212"/>
    </row>
    <row r="36" spans="2:20">
      <c r="B36" s="213" t="s">
        <v>213</v>
      </c>
      <c r="C36" s="203">
        <v>10</v>
      </c>
      <c r="D36" s="226"/>
      <c r="E36" s="203">
        <f t="shared" si="2"/>
        <v>0</v>
      </c>
      <c r="F36" s="202"/>
      <c r="G36" s="208" t="s">
        <v>232</v>
      </c>
      <c r="H36" s="204" t="s">
        <v>233</v>
      </c>
      <c r="I36" s="214">
        <v>10</v>
      </c>
      <c r="J36" s="3386" t="s">
        <v>373</v>
      </c>
      <c r="K36" s="3387"/>
      <c r="L36" s="3387"/>
      <c r="M36" s="3387"/>
    </row>
    <row r="37" spans="2:20">
      <c r="B37" s="213" t="s">
        <v>32</v>
      </c>
      <c r="C37" s="203">
        <v>7</v>
      </c>
      <c r="D37" s="226"/>
      <c r="E37" s="203">
        <f t="shared" si="2"/>
        <v>0</v>
      </c>
      <c r="F37" s="202"/>
      <c r="G37" s="204" t="s">
        <v>234</v>
      </c>
      <c r="H37" s="204">
        <v>40</v>
      </c>
      <c r="I37" s="214">
        <v>25</v>
      </c>
      <c r="J37" s="3386" t="s">
        <v>373</v>
      </c>
      <c r="K37" s="3387"/>
      <c r="L37" s="3387"/>
      <c r="M37" s="3387"/>
    </row>
    <row r="38" spans="2:20">
      <c r="B38" s="213" t="s">
        <v>196</v>
      </c>
      <c r="C38" s="203">
        <v>4</v>
      </c>
      <c r="D38" s="226">
        <v>8</v>
      </c>
      <c r="E38" s="203">
        <f t="shared" si="2"/>
        <v>32</v>
      </c>
      <c r="F38" s="202"/>
      <c r="G38" s="204" t="s">
        <v>235</v>
      </c>
      <c r="H38" s="204">
        <v>150</v>
      </c>
      <c r="I38" s="214">
        <v>100</v>
      </c>
      <c r="J38" s="3386" t="s">
        <v>373</v>
      </c>
      <c r="K38" s="3387"/>
      <c r="L38" s="3387"/>
      <c r="M38" s="3387"/>
    </row>
    <row r="39" spans="2:20">
      <c r="B39" s="213" t="s">
        <v>750</v>
      </c>
      <c r="C39" s="203">
        <v>4</v>
      </c>
      <c r="D39" s="226"/>
      <c r="E39" s="203">
        <f>D39*C39</f>
        <v>0</v>
      </c>
      <c r="F39" s="202"/>
      <c r="G39" s="204" t="s">
        <v>237</v>
      </c>
      <c r="H39" s="204">
        <v>400</v>
      </c>
      <c r="I39" s="214">
        <v>270</v>
      </c>
      <c r="J39" s="3386" t="s">
        <v>373</v>
      </c>
      <c r="K39" s="3387"/>
      <c r="L39" s="3387"/>
      <c r="M39" s="3387"/>
    </row>
    <row r="40" spans="2:20">
      <c r="B40" s="213" t="s">
        <v>751</v>
      </c>
      <c r="C40" s="203">
        <v>4</v>
      </c>
      <c r="D40" s="226">
        <v>10</v>
      </c>
      <c r="E40" s="203">
        <f>D40*C40</f>
        <v>40</v>
      </c>
      <c r="F40" s="202"/>
      <c r="G40" s="204" t="s">
        <v>238</v>
      </c>
      <c r="H40" s="204">
        <v>900</v>
      </c>
      <c r="I40" s="214">
        <v>600</v>
      </c>
      <c r="J40" s="3386" t="s">
        <v>373</v>
      </c>
      <c r="K40" s="3387"/>
      <c r="L40" s="3387"/>
      <c r="M40" s="3387"/>
    </row>
    <row r="41" spans="2:20">
      <c r="B41" s="213" t="s">
        <v>236</v>
      </c>
      <c r="C41" s="203">
        <v>2</v>
      </c>
      <c r="D41" s="226"/>
      <c r="E41" s="203">
        <f t="shared" si="2"/>
        <v>0</v>
      </c>
      <c r="F41" s="202"/>
      <c r="G41" s="204"/>
      <c r="H41" s="204"/>
      <c r="I41" s="214"/>
      <c r="J41" s="3386"/>
      <c r="K41" s="3387"/>
      <c r="L41" s="3387"/>
      <c r="M41" s="3387"/>
    </row>
    <row r="42" spans="2:20">
      <c r="B42" s="213" t="s">
        <v>72</v>
      </c>
      <c r="C42" s="203">
        <v>2</v>
      </c>
      <c r="D42" s="226"/>
      <c r="E42" s="203">
        <f t="shared" si="2"/>
        <v>0</v>
      </c>
      <c r="F42" s="202"/>
      <c r="G42" s="204"/>
      <c r="H42" s="204"/>
      <c r="I42" s="214"/>
      <c r="J42" s="3386"/>
      <c r="K42" s="3387"/>
      <c r="L42" s="3387"/>
      <c r="M42" s="3387"/>
    </row>
    <row r="43" spans="2:20">
      <c r="B43" s="213" t="s">
        <v>207</v>
      </c>
      <c r="C43" s="203">
        <v>2</v>
      </c>
      <c r="D43" s="226"/>
      <c r="E43" s="203">
        <f t="shared" si="2"/>
        <v>0</v>
      </c>
      <c r="F43" s="202"/>
      <c r="G43" s="204"/>
      <c r="H43" s="204"/>
      <c r="I43" s="214"/>
    </row>
    <row r="44" spans="2:20">
      <c r="B44" s="213" t="s">
        <v>210</v>
      </c>
      <c r="C44" s="203">
        <v>1</v>
      </c>
      <c r="D44" s="226"/>
      <c r="E44" s="203">
        <f t="shared" si="2"/>
        <v>0</v>
      </c>
      <c r="F44" s="202"/>
      <c r="G44" s="204"/>
      <c r="H44" s="204"/>
      <c r="I44" s="214"/>
      <c r="P44" s="3384" t="s">
        <v>158</v>
      </c>
      <c r="Q44" s="3384"/>
      <c r="R44" s="3384"/>
      <c r="S44" s="3384"/>
      <c r="T44" s="3384"/>
    </row>
    <row r="45" spans="2:20" ht="15.75" thickBot="1">
      <c r="B45" s="213"/>
      <c r="C45" s="203"/>
      <c r="D45" s="204"/>
      <c r="E45" s="206"/>
      <c r="F45" s="202"/>
      <c r="G45" s="204"/>
      <c r="H45" s="204"/>
      <c r="I45" s="214"/>
      <c r="P45" s="3384" t="s">
        <v>17</v>
      </c>
      <c r="Q45" s="3384"/>
      <c r="R45" s="3384"/>
      <c r="S45" s="3384"/>
      <c r="T45" s="3384"/>
    </row>
    <row r="46" spans="2:20" ht="16.5" thickTop="1" thickBot="1">
      <c r="B46" s="216"/>
      <c r="C46" s="217"/>
      <c r="D46" s="217"/>
      <c r="E46" s="229">
        <f>SUM(E35:E45)</f>
        <v>72</v>
      </c>
      <c r="F46" s="218"/>
      <c r="G46" s="217"/>
      <c r="H46" s="217"/>
      <c r="I46" s="219"/>
      <c r="P46" s="3385">
        <v>2026</v>
      </c>
      <c r="Q46" s="3385"/>
      <c r="R46" s="3385"/>
      <c r="S46" s="3385"/>
      <c r="T46" s="3385"/>
    </row>
  </sheetData>
  <sheetProtection algorithmName="SHA-512" hashValue="oh+VUrVpXVi/pBrGeZOkm6E2OI7c3UMgsxhAn6VewibUOTE6xab7SO9eIYsGGwRh8KuzPyu/7RPRxKEhgw/WRA==" saltValue="uBl967o26EvuAj3WoOBr2Q==" spinCount="100000" sheet="1" objects="1" selectLockedCells="1"/>
  <mergeCells count="36">
    <mergeCell ref="G32:I33"/>
    <mergeCell ref="P5:T5"/>
    <mergeCell ref="P4:T4"/>
    <mergeCell ref="P6:T6"/>
    <mergeCell ref="B31:I31"/>
    <mergeCell ref="B17:H17"/>
    <mergeCell ref="G3:H4"/>
    <mergeCell ref="M18:O18"/>
    <mergeCell ref="B32:B33"/>
    <mergeCell ref="C32:C33"/>
    <mergeCell ref="D32:D33"/>
    <mergeCell ref="E32:E33"/>
    <mergeCell ref="F32:F33"/>
    <mergeCell ref="B1:H1"/>
    <mergeCell ref="B18:B19"/>
    <mergeCell ref="C18:C19"/>
    <mergeCell ref="D18:D19"/>
    <mergeCell ref="E18:E19"/>
    <mergeCell ref="F18:F19"/>
    <mergeCell ref="G18:H19"/>
    <mergeCell ref="B3:B4"/>
    <mergeCell ref="C3:C4"/>
    <mergeCell ref="D3:D4"/>
    <mergeCell ref="E3:E4"/>
    <mergeCell ref="F3:F4"/>
    <mergeCell ref="B2:H2"/>
    <mergeCell ref="P44:T44"/>
    <mergeCell ref="P45:T45"/>
    <mergeCell ref="P46:T46"/>
    <mergeCell ref="J36:M36"/>
    <mergeCell ref="J37:M37"/>
    <mergeCell ref="J38:M38"/>
    <mergeCell ref="J41:M41"/>
    <mergeCell ref="J42:M42"/>
    <mergeCell ref="J39:M39"/>
    <mergeCell ref="J40:M40"/>
  </mergeCells>
  <phoneticPr fontId="365" type="noConversion"/>
  <pageMargins left="0.7" right="0.7" top="0.75" bottom="0.75" header="0.3" footer="0.3"/>
  <pageSetup paperSize="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6" tint="0.39997558519241921"/>
  </sheetPr>
  <dimension ref="B1:AG39"/>
  <sheetViews>
    <sheetView showGridLines="0" showRowColHeaders="0" zoomScale="71" zoomScaleNormal="71" workbookViewId="0">
      <selection activeCell="E25" sqref="E25"/>
    </sheetView>
  </sheetViews>
  <sheetFormatPr defaultColWidth="9.140625" defaultRowHeight="15"/>
  <cols>
    <col min="1" max="1" width="5.140625" style="672" customWidth="1"/>
    <col min="2" max="3" width="9.140625" style="672"/>
    <col min="4" max="4" width="12" style="672" bestFit="1" customWidth="1"/>
    <col min="5" max="5" width="5.7109375" style="672" customWidth="1"/>
    <col min="6" max="6" width="4.5703125" style="672" customWidth="1"/>
    <col min="7" max="7" width="9.140625" style="672"/>
    <col min="8" max="8" width="12.140625" style="672" customWidth="1"/>
    <col min="9" max="9" width="9.140625" style="672" customWidth="1"/>
    <col min="10" max="10" width="5.7109375" style="672" customWidth="1"/>
    <col min="11" max="11" width="3.5703125" style="672" bestFit="1" customWidth="1"/>
    <col min="12" max="12" width="2.140625" style="672" bestFit="1" customWidth="1"/>
    <col min="13" max="13" width="5.7109375" style="672" customWidth="1"/>
    <col min="14" max="14" width="7.5703125" style="672" customWidth="1"/>
    <col min="15" max="17" width="9.140625" style="672"/>
    <col min="18" max="18" width="6.7109375" style="672" customWidth="1"/>
    <col min="19" max="19" width="5" style="672" customWidth="1"/>
    <col min="20" max="20" width="9.140625" style="672" customWidth="1"/>
    <col min="21" max="21" width="9.140625" style="672"/>
    <col min="22" max="22" width="11" style="672" customWidth="1"/>
    <col min="23" max="23" width="9.140625" style="672" customWidth="1"/>
    <col min="24" max="24" width="9.140625" style="672"/>
    <col min="25" max="25" width="3.7109375" style="672" customWidth="1"/>
    <col min="26" max="26" width="4.5703125" style="672" customWidth="1"/>
    <col min="27" max="16384" width="9.140625" style="672"/>
  </cols>
  <sheetData>
    <row r="1" spans="2:25" ht="15.75" thickBot="1"/>
    <row r="2" spans="2:25" ht="48.75" thickBot="1">
      <c r="B2" s="3426" t="s">
        <v>813</v>
      </c>
      <c r="C2" s="3427"/>
      <c r="D2" s="3427"/>
      <c r="E2" s="3427"/>
      <c r="F2" s="3427"/>
      <c r="G2" s="3427"/>
      <c r="H2" s="3427"/>
      <c r="I2" s="3427"/>
      <c r="J2" s="3427"/>
      <c r="K2" s="3427"/>
      <c r="L2" s="3427"/>
      <c r="M2" s="3427"/>
      <c r="N2" s="3427"/>
      <c r="O2" s="3428"/>
    </row>
    <row r="3" spans="2:25" ht="19.5" thickBot="1">
      <c r="C3" s="677"/>
    </row>
    <row r="4" spans="2:25" ht="21">
      <c r="B4" s="727" t="s">
        <v>814</v>
      </c>
      <c r="C4" s="728"/>
      <c r="D4" s="728"/>
      <c r="E4" s="728"/>
      <c r="F4" s="728"/>
      <c r="G4" s="729" t="s">
        <v>824</v>
      </c>
      <c r="H4" s="728"/>
      <c r="I4" s="728"/>
      <c r="J4" s="728"/>
      <c r="K4" s="728"/>
      <c r="L4" s="728"/>
      <c r="M4" s="728"/>
      <c r="N4" s="728"/>
      <c r="O4" s="730"/>
    </row>
    <row r="5" spans="2:25" ht="9" customHeight="1">
      <c r="B5" s="731"/>
      <c r="O5" s="732"/>
    </row>
    <row r="6" spans="2:25" ht="15.75">
      <c r="B6" s="733"/>
      <c r="C6" s="3429" t="s">
        <v>805</v>
      </c>
      <c r="D6" s="3430"/>
      <c r="E6" s="679">
        <v>240</v>
      </c>
      <c r="F6" s="680" t="s">
        <v>77</v>
      </c>
      <c r="O6" s="732"/>
    </row>
    <row r="7" spans="2:25">
      <c r="B7" s="733"/>
      <c r="O7" s="732"/>
    </row>
    <row r="8" spans="2:25" ht="15.75">
      <c r="B8" s="733"/>
      <c r="C8" s="689"/>
      <c r="D8" s="690"/>
      <c r="E8" s="690"/>
      <c r="F8" s="690"/>
      <c r="G8" s="690"/>
      <c r="H8" s="691" t="s">
        <v>815</v>
      </c>
      <c r="I8" s="690"/>
      <c r="J8" s="690"/>
      <c r="K8" s="690"/>
      <c r="L8" s="690"/>
      <c r="M8" s="690"/>
      <c r="N8" s="692"/>
      <c r="O8" s="732"/>
      <c r="Y8" s="678"/>
    </row>
    <row r="9" spans="2:25" ht="9" customHeight="1">
      <c r="B9" s="733"/>
      <c r="C9" s="687"/>
      <c r="D9" s="682"/>
      <c r="E9" s="682"/>
      <c r="F9" s="682"/>
      <c r="G9" s="682"/>
      <c r="H9" s="693"/>
      <c r="I9" s="682"/>
      <c r="J9" s="682"/>
      <c r="K9" s="682"/>
      <c r="L9" s="682"/>
      <c r="M9" s="682"/>
      <c r="N9" s="684"/>
      <c r="O9" s="732"/>
      <c r="Y9" s="678"/>
    </row>
    <row r="10" spans="2:25" ht="15.75">
      <c r="B10" s="733"/>
      <c r="C10" s="686" t="s">
        <v>807</v>
      </c>
      <c r="D10" s="682"/>
      <c r="E10" s="682"/>
      <c r="F10" s="682"/>
      <c r="G10" s="682"/>
      <c r="H10" s="682" t="s">
        <v>811</v>
      </c>
      <c r="I10" s="682">
        <f>(E11)^(1/2)</f>
        <v>28.930952282978865</v>
      </c>
      <c r="J10" s="683">
        <f>ROUNDUP(I10,0)</f>
        <v>29</v>
      </c>
      <c r="K10" s="682" t="s">
        <v>255</v>
      </c>
      <c r="L10" s="682" t="s">
        <v>817</v>
      </c>
      <c r="M10" s="683">
        <f>ROUNDUP(I10,0)</f>
        <v>29</v>
      </c>
      <c r="N10" s="684" t="s">
        <v>255</v>
      </c>
      <c r="O10" s="732"/>
    </row>
    <row r="11" spans="2:25" ht="15.75">
      <c r="B11" s="733"/>
      <c r="C11" s="687"/>
      <c r="D11" s="688" t="s">
        <v>808</v>
      </c>
      <c r="E11" s="682">
        <f>1*1.2*2.25*(E6+70)</f>
        <v>836.99999999999989</v>
      </c>
      <c r="F11" s="682" t="s">
        <v>806</v>
      </c>
      <c r="G11" s="682"/>
      <c r="H11" s="682" t="s">
        <v>812</v>
      </c>
      <c r="I11" s="682">
        <f>(((E11/3.14)^(1/2))*2)</f>
        <v>32.653361821052364</v>
      </c>
      <c r="J11" s="685">
        <f>ROUNDUP(I11,0)</f>
        <v>33</v>
      </c>
      <c r="K11" s="682" t="s">
        <v>255</v>
      </c>
      <c r="L11" s="682"/>
      <c r="M11" s="682"/>
      <c r="N11" s="684"/>
      <c r="O11" s="732"/>
    </row>
    <row r="12" spans="2:25" ht="20.25" customHeight="1">
      <c r="B12" s="733"/>
      <c r="C12" s="694"/>
      <c r="D12" s="695"/>
      <c r="E12" s="696"/>
      <c r="F12" s="696"/>
      <c r="G12" s="696"/>
      <c r="H12" s="696"/>
      <c r="I12" s="696"/>
      <c r="J12" s="697"/>
      <c r="K12" s="696"/>
      <c r="L12" s="696"/>
      <c r="M12" s="696"/>
      <c r="N12" s="698"/>
      <c r="O12" s="732"/>
    </row>
    <row r="13" spans="2:25" ht="20.25" customHeight="1">
      <c r="B13" s="733"/>
      <c r="D13" s="674"/>
      <c r="H13" s="673"/>
      <c r="J13" s="675"/>
      <c r="K13" s="673"/>
      <c r="O13" s="732"/>
    </row>
    <row r="14" spans="2:25" ht="15.75">
      <c r="B14" s="733"/>
      <c r="C14" s="689"/>
      <c r="D14" s="690"/>
      <c r="E14" s="690"/>
      <c r="F14" s="690"/>
      <c r="G14" s="690"/>
      <c r="H14" s="691" t="s">
        <v>816</v>
      </c>
      <c r="I14" s="690"/>
      <c r="J14" s="690"/>
      <c r="K14" s="690"/>
      <c r="L14" s="690"/>
      <c r="M14" s="690"/>
      <c r="N14" s="692"/>
      <c r="O14" s="732"/>
    </row>
    <row r="15" spans="2:25" ht="11.25" customHeight="1">
      <c r="B15" s="733"/>
      <c r="C15" s="687"/>
      <c r="D15" s="682"/>
      <c r="E15" s="682"/>
      <c r="F15" s="682"/>
      <c r="G15" s="682"/>
      <c r="H15" s="693"/>
      <c r="I15" s="682"/>
      <c r="J15" s="682"/>
      <c r="K15" s="682"/>
      <c r="L15" s="682"/>
      <c r="M15" s="682"/>
      <c r="N15" s="684"/>
      <c r="O15" s="732"/>
    </row>
    <row r="16" spans="2:25" ht="15.75">
      <c r="B16" s="733"/>
      <c r="C16" s="686" t="s">
        <v>809</v>
      </c>
      <c r="D16" s="682"/>
      <c r="E16" s="682"/>
      <c r="F16" s="682"/>
      <c r="G16" s="682"/>
      <c r="H16" s="682" t="s">
        <v>811</v>
      </c>
      <c r="I16" s="682">
        <f>(E17)^(1/2)</f>
        <v>22.409819276379718</v>
      </c>
      <c r="J16" s="683">
        <f>ROUNDUP(I16,0)</f>
        <v>23</v>
      </c>
      <c r="K16" s="682" t="s">
        <v>255</v>
      </c>
      <c r="L16" s="682" t="s">
        <v>817</v>
      </c>
      <c r="M16" s="683">
        <f>ROUNDUP(I16,0)</f>
        <v>23</v>
      </c>
      <c r="N16" s="684" t="s">
        <v>255</v>
      </c>
      <c r="O16" s="732"/>
    </row>
    <row r="17" spans="2:28" ht="15.75">
      <c r="B17" s="733"/>
      <c r="C17" s="687"/>
      <c r="D17" s="688" t="s">
        <v>810</v>
      </c>
      <c r="E17" s="682">
        <f>E11*0.6</f>
        <v>502.19999999999993</v>
      </c>
      <c r="F17" s="682" t="s">
        <v>806</v>
      </c>
      <c r="G17" s="682"/>
      <c r="H17" s="682" t="s">
        <v>812</v>
      </c>
      <c r="I17" s="682">
        <f>(((E17/3.14)^(1/2))*2)</f>
        <v>25.29318530612418</v>
      </c>
      <c r="J17" s="685">
        <f>ROUNDUP(I17,0)</f>
        <v>26</v>
      </c>
      <c r="K17" s="682" t="s">
        <v>255</v>
      </c>
      <c r="L17" s="682"/>
      <c r="M17" s="682"/>
      <c r="N17" s="684"/>
      <c r="O17" s="732"/>
    </row>
    <row r="18" spans="2:28" ht="15.75">
      <c r="B18" s="733"/>
      <c r="C18" s="694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8"/>
      <c r="O18" s="732"/>
    </row>
    <row r="19" spans="2:28" ht="15.75" thickBot="1">
      <c r="B19" s="734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6"/>
    </row>
    <row r="21" spans="2:28" ht="21">
      <c r="B21" s="676"/>
      <c r="G21" s="726"/>
    </row>
    <row r="22" spans="2:28" ht="21.75" thickBot="1">
      <c r="B22" s="676"/>
    </row>
    <row r="23" spans="2:28" ht="21">
      <c r="B23" s="727" t="s">
        <v>814</v>
      </c>
      <c r="C23" s="728"/>
      <c r="D23" s="728"/>
      <c r="E23" s="728"/>
      <c r="F23" s="728"/>
      <c r="G23" s="729" t="s">
        <v>825</v>
      </c>
      <c r="H23" s="728"/>
      <c r="I23" s="728"/>
      <c r="J23" s="728"/>
      <c r="K23" s="728"/>
      <c r="L23" s="728"/>
      <c r="M23" s="728"/>
      <c r="N23" s="728"/>
      <c r="O23" s="730"/>
    </row>
    <row r="24" spans="2:28" ht="21.75" thickBot="1">
      <c r="B24" s="731"/>
      <c r="O24" s="732"/>
    </row>
    <row r="25" spans="2:28" ht="18.75" customHeight="1">
      <c r="B25" s="733"/>
      <c r="C25" s="3429" t="s">
        <v>805</v>
      </c>
      <c r="D25" s="3430"/>
      <c r="E25" s="679">
        <v>240</v>
      </c>
      <c r="F25" s="680" t="s">
        <v>77</v>
      </c>
      <c r="H25" s="3431" t="s">
        <v>829</v>
      </c>
      <c r="I25" s="3431"/>
      <c r="J25" s="3431"/>
      <c r="K25" s="3432"/>
      <c r="L25" s="749">
        <v>6</v>
      </c>
      <c r="M25" s="680" t="s">
        <v>827</v>
      </c>
      <c r="O25" s="732"/>
      <c r="Q25" s="3441" t="s">
        <v>1213</v>
      </c>
      <c r="R25" s="3442"/>
      <c r="S25" s="3442"/>
      <c r="T25" s="3442"/>
      <c r="U25" s="3442"/>
      <c r="V25" s="3442"/>
      <c r="W25" s="3442"/>
      <c r="X25" s="3442"/>
      <c r="Y25" s="3442"/>
      <c r="Z25" s="3442"/>
      <c r="AA25" s="3442"/>
      <c r="AB25" s="3443"/>
    </row>
    <row r="26" spans="2:28" ht="19.5" customHeight="1">
      <c r="B26" s="733"/>
      <c r="L26" s="673" t="s">
        <v>828</v>
      </c>
      <c r="O26" s="732"/>
      <c r="Q26" s="3444"/>
      <c r="R26" s="2560"/>
      <c r="S26" s="2560"/>
      <c r="T26" s="2560"/>
      <c r="U26" s="2560"/>
      <c r="V26" s="2560"/>
      <c r="W26" s="2560"/>
      <c r="X26" s="2560"/>
      <c r="Y26" s="2560"/>
      <c r="Z26" s="2560"/>
      <c r="AA26" s="2560"/>
      <c r="AB26" s="3445"/>
    </row>
    <row r="27" spans="2:28" ht="15.75">
      <c r="B27" s="733"/>
      <c r="C27" s="737" t="s">
        <v>807</v>
      </c>
      <c r="D27" s="738"/>
      <c r="E27" s="739"/>
      <c r="F27" s="740"/>
      <c r="G27" s="739"/>
      <c r="H27" s="690"/>
      <c r="I27" s="690"/>
      <c r="J27" s="741"/>
      <c r="K27" s="690"/>
      <c r="L27" s="690"/>
      <c r="M27" s="741"/>
      <c r="N27" s="742"/>
      <c r="O27" s="732"/>
      <c r="Q27" s="733"/>
      <c r="R27" s="1802"/>
      <c r="S27" s="740"/>
      <c r="T27" s="742"/>
      <c r="V27" s="1802"/>
      <c r="W27" s="742"/>
      <c r="Y27" s="1802"/>
      <c r="Z27" s="740"/>
      <c r="AA27" s="1870"/>
      <c r="AB27" s="748"/>
    </row>
    <row r="28" spans="2:28" ht="21">
      <c r="B28" s="733"/>
      <c r="C28" s="743" t="s">
        <v>826</v>
      </c>
      <c r="D28" s="744">
        <f>E25*1.304*3.6</f>
        <v>1126.6560000000002</v>
      </c>
      <c r="E28" s="673" t="s">
        <v>2</v>
      </c>
      <c r="H28" s="682" t="s">
        <v>811</v>
      </c>
      <c r="I28" s="682">
        <f>(D29)^(1/2)</f>
        <v>22.838563877792318</v>
      </c>
      <c r="J28" s="683">
        <f>ROUNDUP(I28,0)</f>
        <v>23</v>
      </c>
      <c r="K28" s="682" t="s">
        <v>255</v>
      </c>
      <c r="L28" s="682" t="s">
        <v>817</v>
      </c>
      <c r="M28" s="683">
        <f>ROUNDUP(I28,0)</f>
        <v>23</v>
      </c>
      <c r="N28" s="684" t="s">
        <v>255</v>
      </c>
      <c r="O28" s="732"/>
      <c r="Q28" s="733"/>
      <c r="R28" s="3448">
        <v>49</v>
      </c>
      <c r="S28" s="3449"/>
      <c r="T28" s="1865" t="s">
        <v>77</v>
      </c>
      <c r="V28" s="1864">
        <v>20640</v>
      </c>
      <c r="W28" s="1865" t="s">
        <v>42</v>
      </c>
      <c r="Y28" s="3439">
        <v>11.4</v>
      </c>
      <c r="Z28" s="3440"/>
      <c r="AA28" s="1865" t="s">
        <v>2</v>
      </c>
      <c r="AB28" s="748"/>
    </row>
    <row r="29" spans="2:28" ht="18.75">
      <c r="B29" s="733"/>
      <c r="C29" s="745" t="s">
        <v>808</v>
      </c>
      <c r="D29" s="750">
        <f>(D28/(3600*L25))*10000</f>
        <v>521.6</v>
      </c>
      <c r="E29" s="746" t="s">
        <v>806</v>
      </c>
      <c r="F29" s="747"/>
      <c r="G29" s="747"/>
      <c r="H29" s="696" t="s">
        <v>812</v>
      </c>
      <c r="I29" s="696">
        <f>(((D29/3.14)^(1/2))*2)</f>
        <v>25.777094458571444</v>
      </c>
      <c r="J29" s="697">
        <f>ROUNDUP(I29,0)</f>
        <v>26</v>
      </c>
      <c r="K29" s="696" t="s">
        <v>255</v>
      </c>
      <c r="L29" s="696"/>
      <c r="M29" s="696"/>
      <c r="N29" s="698"/>
      <c r="O29" s="748"/>
      <c r="P29" s="699"/>
      <c r="Q29" s="733"/>
      <c r="R29" s="1804"/>
      <c r="T29" s="1808"/>
      <c r="V29" s="1804"/>
      <c r="W29" s="1808"/>
      <c r="Y29" s="1804"/>
      <c r="AA29" s="1871"/>
      <c r="AB29" s="748"/>
    </row>
    <row r="30" spans="2:28" ht="15.75">
      <c r="B30" s="733"/>
      <c r="J30" s="681"/>
      <c r="K30" s="681"/>
      <c r="L30" s="681"/>
      <c r="M30" s="681"/>
      <c r="N30" s="681"/>
      <c r="O30" s="748"/>
      <c r="P30" s="700"/>
      <c r="Q30" s="733"/>
      <c r="R30" s="3435">
        <f>R28*860</f>
        <v>42140</v>
      </c>
      <c r="S30" s="3436"/>
      <c r="T30" s="1862" t="s">
        <v>42</v>
      </c>
      <c r="V30" s="1866">
        <f>V28/860</f>
        <v>24</v>
      </c>
      <c r="W30" s="1867" t="s">
        <v>77</v>
      </c>
      <c r="Y30" s="3437">
        <f>Y28*8250</f>
        <v>94050</v>
      </c>
      <c r="Z30" s="3438"/>
      <c r="AA30" s="1872" t="s">
        <v>42</v>
      </c>
      <c r="AB30" s="748"/>
    </row>
    <row r="31" spans="2:28" ht="15.75">
      <c r="B31" s="733"/>
      <c r="C31" s="737" t="s">
        <v>809</v>
      </c>
      <c r="D31" s="738"/>
      <c r="E31" s="739"/>
      <c r="F31" s="740"/>
      <c r="G31" s="739"/>
      <c r="H31" s="690"/>
      <c r="I31" s="690"/>
      <c r="J31" s="741"/>
      <c r="K31" s="690"/>
      <c r="L31" s="690"/>
      <c r="M31" s="741"/>
      <c r="N31" s="742"/>
      <c r="O31" s="748"/>
      <c r="P31" s="699"/>
      <c r="Q31" s="733"/>
      <c r="R31" s="1804"/>
      <c r="T31" s="1808"/>
      <c r="V31" s="1804"/>
      <c r="W31" s="1808"/>
      <c r="Y31" s="1804"/>
      <c r="AA31" s="1871"/>
      <c r="AB31" s="748"/>
    </row>
    <row r="32" spans="2:28" ht="21">
      <c r="B32" s="733"/>
      <c r="C32" s="743" t="s">
        <v>830</v>
      </c>
      <c r="D32" s="744">
        <f>E25*0.709*3.6</f>
        <v>612.57600000000002</v>
      </c>
      <c r="E32" s="673" t="s">
        <v>2</v>
      </c>
      <c r="H32" s="682" t="s">
        <v>811</v>
      </c>
      <c r="I32" s="682">
        <f>(D33)^(1/2)</f>
        <v>16.840427548016709</v>
      </c>
      <c r="J32" s="683">
        <f>ROUNDUP(I32,0)</f>
        <v>17</v>
      </c>
      <c r="K32" s="682" t="s">
        <v>255</v>
      </c>
      <c r="L32" s="682" t="s">
        <v>817</v>
      </c>
      <c r="M32" s="683">
        <f>ROUNDUP(I32,0)</f>
        <v>17</v>
      </c>
      <c r="N32" s="684" t="s">
        <v>255</v>
      </c>
      <c r="O32" s="732"/>
      <c r="Q32" s="733"/>
      <c r="R32" s="3446">
        <f>R30/8250</f>
        <v>5.1078787878787875</v>
      </c>
      <c r="S32" s="3447"/>
      <c r="T32" s="1863" t="s">
        <v>2</v>
      </c>
      <c r="V32" s="1868">
        <f>V28/8250</f>
        <v>2.5018181818181819</v>
      </c>
      <c r="W32" s="1869" t="s">
        <v>2</v>
      </c>
      <c r="Y32" s="3433">
        <f>Y30/860</f>
        <v>109.36046511627907</v>
      </c>
      <c r="Z32" s="3434"/>
      <c r="AA32" s="1873" t="s">
        <v>77</v>
      </c>
      <c r="AB32" s="748"/>
    </row>
    <row r="33" spans="2:33" ht="18.75">
      <c r="B33" s="733"/>
      <c r="C33" s="745" t="s">
        <v>831</v>
      </c>
      <c r="D33" s="750">
        <f>(D32/(3600*L25))*10000</f>
        <v>283.60000000000002</v>
      </c>
      <c r="E33" s="746" t="s">
        <v>806</v>
      </c>
      <c r="F33" s="747"/>
      <c r="G33" s="747"/>
      <c r="H33" s="696" t="s">
        <v>812</v>
      </c>
      <c r="I33" s="696">
        <f>(((D33/3.14)^(1/2))*2)</f>
        <v>19.007206142679635</v>
      </c>
      <c r="J33" s="697">
        <f>ROUNDUP(I33,0)</f>
        <v>20</v>
      </c>
      <c r="K33" s="696" t="s">
        <v>255</v>
      </c>
      <c r="L33" s="696"/>
      <c r="M33" s="696"/>
      <c r="N33" s="698"/>
      <c r="O33" s="732"/>
      <c r="Q33" s="733"/>
      <c r="AA33" s="681"/>
      <c r="AB33" s="748"/>
      <c r="AC33" s="681"/>
      <c r="AD33" s="681"/>
      <c r="AE33" s="681"/>
      <c r="AF33" s="681"/>
      <c r="AG33" s="699"/>
    </row>
    <row r="34" spans="2:33" ht="15.75" thickBot="1">
      <c r="B34" s="734"/>
      <c r="C34" s="735"/>
      <c r="D34" s="735"/>
      <c r="E34" s="735"/>
      <c r="F34" s="735"/>
      <c r="G34" s="735"/>
      <c r="H34" s="735"/>
      <c r="I34" s="735"/>
      <c r="J34" s="735"/>
      <c r="K34" s="735"/>
      <c r="L34" s="735"/>
      <c r="M34" s="735"/>
      <c r="N34" s="735"/>
      <c r="O34" s="736"/>
      <c r="Q34" s="734"/>
      <c r="R34" s="735"/>
      <c r="S34" s="735"/>
      <c r="T34" s="735"/>
      <c r="U34" s="735"/>
      <c r="V34" s="735"/>
      <c r="W34" s="735"/>
      <c r="X34" s="735"/>
      <c r="Y34" s="735"/>
      <c r="Z34" s="735"/>
      <c r="AA34" s="1266"/>
      <c r="AB34" s="1267"/>
      <c r="AC34" s="681"/>
      <c r="AD34" s="681"/>
      <c r="AE34" s="681"/>
      <c r="AF34" s="681"/>
      <c r="AG34" s="700"/>
    </row>
    <row r="35" spans="2:33">
      <c r="AA35" s="681"/>
      <c r="AB35" s="681"/>
      <c r="AC35" s="681"/>
      <c r="AD35" s="681"/>
      <c r="AE35" s="681"/>
      <c r="AF35" s="681"/>
      <c r="AG35" s="699"/>
    </row>
    <row r="36" spans="2:33" ht="18">
      <c r="V36" s="681"/>
      <c r="W36" s="681"/>
      <c r="X36" s="681"/>
      <c r="Y36" s="681"/>
      <c r="Z36" s="2276" t="s">
        <v>2304</v>
      </c>
      <c r="AB36" s="681"/>
      <c r="AC36" s="681"/>
      <c r="AD36" s="681"/>
      <c r="AE36" s="699"/>
    </row>
    <row r="37" spans="2:33" ht="18">
      <c r="V37" s="681"/>
      <c r="W37" s="681"/>
      <c r="X37" s="681"/>
      <c r="Y37" s="681"/>
      <c r="Z37" s="2277" t="s">
        <v>17</v>
      </c>
    </row>
    <row r="38" spans="2:33" ht="14.45" customHeight="1">
      <c r="V38" s="681"/>
      <c r="W38" s="3425">
        <v>2026</v>
      </c>
      <c r="X38" s="3425"/>
      <c r="Y38" s="3425"/>
      <c r="Z38" s="3425"/>
    </row>
    <row r="39" spans="2:33">
      <c r="W39" s="681"/>
      <c r="X39" s="681"/>
      <c r="Y39" s="681"/>
      <c r="Z39" s="681"/>
      <c r="AA39" s="699"/>
    </row>
  </sheetData>
  <sheetProtection algorithmName="SHA-512" hashValue="BkZy6elxCwvNCRKyeBkZYxfk4T4l1MvW9VRe3++uHX38xfSDtBzwtJNqUz2lcifS8BxMrjSLz6nqhmpi+ivN6A==" saltValue="+4wByyvqgbj04Q+gcuWOvQ==" spinCount="100000" sheet="1" objects="1" selectLockedCells="1"/>
  <mergeCells count="12">
    <mergeCell ref="W38:Z38"/>
    <mergeCell ref="B2:O2"/>
    <mergeCell ref="C6:D6"/>
    <mergeCell ref="C25:D25"/>
    <mergeCell ref="H25:K25"/>
    <mergeCell ref="Y32:Z32"/>
    <mergeCell ref="R30:S30"/>
    <mergeCell ref="Y30:Z30"/>
    <mergeCell ref="Y28:Z28"/>
    <mergeCell ref="Q25:AB26"/>
    <mergeCell ref="R32:S32"/>
    <mergeCell ref="R28:S2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F135-D32D-4A51-B817-A652EC36D5E3}">
  <dimension ref="B1:AB41"/>
  <sheetViews>
    <sheetView showRowColHeaders="0" zoomScale="86" zoomScaleNormal="86" workbookViewId="0">
      <selection activeCell="D22" sqref="D22"/>
    </sheetView>
  </sheetViews>
  <sheetFormatPr defaultColWidth="9.140625" defaultRowHeight="15"/>
  <cols>
    <col min="1" max="2" width="9.140625" style="252"/>
    <col min="3" max="3" width="22.7109375" style="252" customWidth="1"/>
    <col min="4" max="4" width="10.5703125" style="252" customWidth="1"/>
    <col min="5" max="5" width="3.28515625" style="252" customWidth="1"/>
    <col min="6" max="6" width="6.7109375" style="252" customWidth="1"/>
    <col min="7" max="17" width="9.140625" style="252"/>
    <col min="18" max="18" width="22.7109375" style="252" customWidth="1"/>
    <col min="19" max="19" width="10.5703125" style="252" customWidth="1"/>
    <col min="20" max="20" width="3.28515625" style="252" customWidth="1"/>
    <col min="21" max="21" width="6.7109375" style="252" customWidth="1"/>
    <col min="22" max="23" width="9.140625" style="252"/>
    <col min="24" max="24" width="5.42578125" style="252" customWidth="1"/>
    <col min="25" max="16384" width="9.140625" style="252"/>
  </cols>
  <sheetData>
    <row r="1" spans="2:21" ht="15.75" thickBot="1"/>
    <row r="2" spans="2:21" ht="48.75" thickBot="1">
      <c r="B2" s="3450" t="s">
        <v>2017</v>
      </c>
      <c r="C2" s="3451"/>
      <c r="D2" s="3451"/>
      <c r="E2" s="3451"/>
      <c r="F2" s="3451"/>
      <c r="G2" s="3451"/>
      <c r="H2" s="3451"/>
      <c r="I2" s="3451"/>
      <c r="J2" s="3451"/>
      <c r="K2" s="3451"/>
      <c r="L2" s="3451"/>
      <c r="M2" s="3451"/>
      <c r="N2" s="3451"/>
      <c r="O2" s="3452"/>
    </row>
    <row r="5" spans="2:21">
      <c r="K5" s="3454" t="s">
        <v>1987</v>
      </c>
      <c r="L5" s="3454"/>
      <c r="N5" s="3454" t="s">
        <v>1988</v>
      </c>
      <c r="O5" s="3454"/>
    </row>
    <row r="6" spans="2:21">
      <c r="K6" s="1886" t="s">
        <v>1985</v>
      </c>
      <c r="N6" s="1886" t="s">
        <v>1986</v>
      </c>
    </row>
    <row r="12" spans="2:21">
      <c r="H12" s="1886"/>
      <c r="I12" s="464" t="s">
        <v>2011</v>
      </c>
      <c r="Q12" s="464" t="s">
        <v>2010</v>
      </c>
      <c r="R12" s="1887"/>
    </row>
    <row r="13" spans="2:21" ht="15.75">
      <c r="H13" s="1886" t="s">
        <v>1976</v>
      </c>
      <c r="I13" s="1888" t="str">
        <f>D22</f>
        <v>1 1/4"</v>
      </c>
      <c r="Q13" s="1888" t="str">
        <f>S22</f>
        <v>2"</v>
      </c>
      <c r="R13" s="1887" t="s">
        <v>2004</v>
      </c>
    </row>
    <row r="14" spans="2:21">
      <c r="D14" s="3455" t="s">
        <v>2012</v>
      </c>
      <c r="E14" s="3455"/>
      <c r="F14" s="3455"/>
      <c r="G14" s="3455"/>
      <c r="R14" s="3455" t="s">
        <v>2005</v>
      </c>
      <c r="S14" s="3455"/>
      <c r="T14" s="1889"/>
      <c r="U14" s="1889"/>
    </row>
    <row r="15" spans="2:21" ht="15.75">
      <c r="K15" s="3453" t="s">
        <v>1990</v>
      </c>
      <c r="L15" s="2999"/>
      <c r="N15" s="3453" t="s">
        <v>1991</v>
      </c>
      <c r="O15" s="3453"/>
    </row>
    <row r="16" spans="2:21">
      <c r="J16" s="1874" t="s">
        <v>1980</v>
      </c>
      <c r="M16" s="1886" t="s">
        <v>1977</v>
      </c>
      <c r="P16" s="1874" t="s">
        <v>1979</v>
      </c>
    </row>
    <row r="17" spans="2:27">
      <c r="J17" s="1885" t="s">
        <v>1978</v>
      </c>
      <c r="M17" s="1886"/>
      <c r="P17" s="1885" t="s">
        <v>209</v>
      </c>
    </row>
    <row r="19" spans="2:27" ht="15.75" thickBot="1"/>
    <row r="20" spans="2:27">
      <c r="B20" s="382"/>
      <c r="C20" s="383"/>
      <c r="D20" s="383"/>
      <c r="E20" s="383"/>
      <c r="F20" s="383"/>
      <c r="G20" s="383"/>
      <c r="H20" s="384"/>
      <c r="L20" s="1890"/>
      <c r="M20" s="1891"/>
      <c r="N20" s="1892"/>
      <c r="Q20" s="382"/>
      <c r="R20" s="383"/>
      <c r="S20" s="383"/>
      <c r="T20" s="383"/>
      <c r="U20" s="383"/>
      <c r="V20" s="383"/>
      <c r="W20" s="384"/>
    </row>
    <row r="21" spans="2:27" ht="17.25">
      <c r="B21" s="391"/>
      <c r="C21" s="1900" t="s">
        <v>1981</v>
      </c>
      <c r="D21" s="1886" t="s">
        <v>1976</v>
      </c>
      <c r="E21" s="465"/>
      <c r="F21" s="465"/>
      <c r="H21" s="385"/>
      <c r="L21" s="1895" t="s">
        <v>2013</v>
      </c>
      <c r="N21" s="1896" t="s">
        <v>2014</v>
      </c>
      <c r="Q21" s="391"/>
      <c r="R21" s="1903" t="s">
        <v>2015</v>
      </c>
      <c r="S21" s="1886" t="s">
        <v>2016</v>
      </c>
      <c r="T21" s="465"/>
      <c r="U21" s="465"/>
      <c r="W21" s="385"/>
    </row>
    <row r="22" spans="2:27" ht="17.25">
      <c r="B22" s="391"/>
      <c r="C22" s="1900" t="s">
        <v>1982</v>
      </c>
      <c r="D22" s="1905" t="s">
        <v>204</v>
      </c>
      <c r="E22" s="1885"/>
      <c r="F22" s="465"/>
      <c r="H22" s="385"/>
      <c r="L22" s="1906" t="s">
        <v>198</v>
      </c>
      <c r="N22" s="1907" t="s">
        <v>198</v>
      </c>
      <c r="Q22" s="391"/>
      <c r="R22" s="1903" t="s">
        <v>2007</v>
      </c>
      <c r="S22" s="1905" t="s">
        <v>209</v>
      </c>
      <c r="T22" s="465"/>
      <c r="U22" s="465"/>
      <c r="W22" s="385"/>
    </row>
    <row r="23" spans="2:27" ht="17.25">
      <c r="B23" s="391"/>
      <c r="C23" s="1900" t="s">
        <v>1990</v>
      </c>
      <c r="D23" s="1875" t="str">
        <f>D22</f>
        <v>1 1/4"</v>
      </c>
      <c r="E23" s="3459" t="s">
        <v>198</v>
      </c>
      <c r="F23" s="3459"/>
      <c r="G23" s="1905" t="s">
        <v>204</v>
      </c>
      <c r="H23" s="385"/>
      <c r="L23" s="1893"/>
      <c r="N23" s="1894"/>
      <c r="Q23" s="391"/>
      <c r="R23" s="1903" t="s">
        <v>1991</v>
      </c>
      <c r="S23" s="1875" t="s">
        <v>198</v>
      </c>
      <c r="T23" s="3460" t="s">
        <v>198</v>
      </c>
      <c r="U23" s="3461"/>
      <c r="V23" s="1905" t="str">
        <f>S22</f>
        <v>2"</v>
      </c>
      <c r="W23" s="385"/>
    </row>
    <row r="24" spans="2:27">
      <c r="B24" s="391"/>
      <c r="C24" s="465"/>
      <c r="G24" s="465"/>
      <c r="H24" s="1901"/>
      <c r="I24" s="465"/>
      <c r="L24" s="1897"/>
      <c r="M24" s="1898" t="s">
        <v>1977</v>
      </c>
      <c r="N24" s="1899"/>
      <c r="Q24" s="391"/>
      <c r="R24" s="465"/>
      <c r="V24" s="465"/>
      <c r="W24" s="1901"/>
    </row>
    <row r="25" spans="2:27">
      <c r="B25" s="391"/>
      <c r="C25" s="1902" t="s">
        <v>2003</v>
      </c>
      <c r="G25" s="465"/>
      <c r="H25" s="1908"/>
      <c r="I25" s="406"/>
      <c r="M25" s="1886"/>
      <c r="Q25" s="391"/>
      <c r="R25" s="1904" t="s">
        <v>2006</v>
      </c>
      <c r="V25" s="465"/>
      <c r="W25" s="385"/>
      <c r="AA25" s="406" t="s">
        <v>195</v>
      </c>
    </row>
    <row r="26" spans="2:27">
      <c r="B26" s="391"/>
      <c r="C26" s="1875" t="s">
        <v>1983</v>
      </c>
      <c r="D26" s="1875" t="str">
        <f>D23</f>
        <v>1 1/4"</v>
      </c>
      <c r="E26" s="3456">
        <v>2</v>
      </c>
      <c r="F26" s="3457"/>
      <c r="G26" s="3458"/>
      <c r="H26" s="1927">
        <f>E26</f>
        <v>2</v>
      </c>
      <c r="I26" s="406"/>
      <c r="M26" s="1886"/>
      <c r="Q26" s="391"/>
      <c r="R26" s="1875" t="s">
        <v>1983</v>
      </c>
      <c r="S26" s="1878" t="str">
        <f>V23</f>
        <v>2"</v>
      </c>
      <c r="T26" s="3456">
        <v>2</v>
      </c>
      <c r="U26" s="3457"/>
      <c r="V26" s="3458"/>
      <c r="W26" s="1927">
        <f>T26</f>
        <v>2</v>
      </c>
      <c r="X26" s="406"/>
      <c r="Y26" s="406"/>
      <c r="AA26" s="406" t="s">
        <v>198</v>
      </c>
    </row>
    <row r="27" spans="2:27">
      <c r="B27" s="391"/>
      <c r="C27" s="1875" t="s">
        <v>1983</v>
      </c>
      <c r="D27" s="1875" t="str">
        <f>E23</f>
        <v>3/4"</v>
      </c>
      <c r="E27" s="3456">
        <v>1</v>
      </c>
      <c r="F27" s="3457"/>
      <c r="G27" s="3458"/>
      <c r="H27" s="1927">
        <f t="shared" ref="H27:H28" si="0">E27</f>
        <v>1</v>
      </c>
      <c r="I27" s="406"/>
      <c r="Q27" s="391"/>
      <c r="R27" s="1875" t="s">
        <v>1983</v>
      </c>
      <c r="S27" s="1878" t="str">
        <f>T23</f>
        <v>3/4"</v>
      </c>
      <c r="T27" s="3456">
        <v>1</v>
      </c>
      <c r="U27" s="3457"/>
      <c r="V27" s="3458"/>
      <c r="W27" s="1927">
        <f t="shared" ref="W27:W28" si="1">T27</f>
        <v>1</v>
      </c>
      <c r="X27" s="406"/>
      <c r="Y27" s="406"/>
      <c r="AA27" s="406" t="s">
        <v>201</v>
      </c>
    </row>
    <row r="28" spans="2:27">
      <c r="B28" s="391"/>
      <c r="C28" s="1875" t="s">
        <v>1984</v>
      </c>
      <c r="D28" s="1879" t="str">
        <f>D23</f>
        <v>1 1/4"</v>
      </c>
      <c r="E28" s="3456">
        <v>1</v>
      </c>
      <c r="F28" s="3457"/>
      <c r="G28" s="3458"/>
      <c r="H28" s="1927">
        <f t="shared" si="0"/>
        <v>1</v>
      </c>
      <c r="I28" s="406"/>
      <c r="Q28" s="391"/>
      <c r="R28" s="1875" t="s">
        <v>1984</v>
      </c>
      <c r="S28" s="1880" t="str">
        <f>V23</f>
        <v>2"</v>
      </c>
      <c r="T28" s="3456">
        <v>1</v>
      </c>
      <c r="U28" s="3457"/>
      <c r="V28" s="3458"/>
      <c r="W28" s="1927">
        <f t="shared" si="1"/>
        <v>1</v>
      </c>
      <c r="X28" s="406"/>
      <c r="Y28" s="406"/>
      <c r="AA28" s="406" t="s">
        <v>204</v>
      </c>
    </row>
    <row r="29" spans="2:27">
      <c r="B29" s="391"/>
      <c r="C29" s="1878" t="s">
        <v>1989</v>
      </c>
      <c r="D29" s="1883" t="str">
        <f>G23</f>
        <v>1 1/4"</v>
      </c>
      <c r="E29" s="1926" t="s">
        <v>233</v>
      </c>
      <c r="F29" s="1884" t="str">
        <f>L22</f>
        <v>3/4"</v>
      </c>
      <c r="G29" s="1877">
        <f>H29</f>
        <v>1</v>
      </c>
      <c r="H29" s="1908">
        <f>IF(D29 = F29,0,1)</f>
        <v>1</v>
      </c>
      <c r="I29" s="1928">
        <f>G29</f>
        <v>1</v>
      </c>
      <c r="Q29" s="391"/>
      <c r="R29" s="1878" t="s">
        <v>1989</v>
      </c>
      <c r="S29" s="1881" t="str">
        <f>V23</f>
        <v>2"</v>
      </c>
      <c r="T29" s="1926" t="s">
        <v>233</v>
      </c>
      <c r="U29" s="1882" t="str">
        <f>N22</f>
        <v>3/4"</v>
      </c>
      <c r="V29" s="1877">
        <f>W29</f>
        <v>1</v>
      </c>
      <c r="W29" s="1908">
        <f>IF(S29 = U29,0,1)</f>
        <v>1</v>
      </c>
      <c r="X29" s="1928">
        <f>V29</f>
        <v>1</v>
      </c>
      <c r="Y29" s="406"/>
      <c r="AA29" s="406" t="s">
        <v>206</v>
      </c>
    </row>
    <row r="30" spans="2:27">
      <c r="B30" s="391"/>
      <c r="C30" s="465"/>
      <c r="G30" s="465"/>
      <c r="H30" s="1908"/>
      <c r="I30" s="406"/>
      <c r="Q30" s="391"/>
      <c r="R30" s="465"/>
      <c r="V30" s="465"/>
      <c r="W30" s="1908"/>
      <c r="AA30" s="406" t="s">
        <v>209</v>
      </c>
    </row>
    <row r="31" spans="2:27">
      <c r="B31" s="391"/>
      <c r="C31" s="1902" t="s">
        <v>1992</v>
      </c>
      <c r="D31" s="340"/>
      <c r="G31" s="465"/>
      <c r="H31" s="1908"/>
      <c r="I31" s="406"/>
      <c r="Q31" s="391"/>
      <c r="R31" s="1904" t="s">
        <v>2008</v>
      </c>
      <c r="S31" s="340"/>
      <c r="V31" s="465"/>
      <c r="W31" s="1908"/>
      <c r="AA31" s="406" t="s">
        <v>212</v>
      </c>
    </row>
    <row r="32" spans="2:27">
      <c r="B32" s="391"/>
      <c r="C32" s="1875" t="s">
        <v>1983</v>
      </c>
      <c r="D32" s="1875" t="str">
        <f>E23</f>
        <v>3/4"</v>
      </c>
      <c r="E32" s="3456">
        <v>2</v>
      </c>
      <c r="F32" s="3457"/>
      <c r="G32" s="3458"/>
      <c r="H32" s="1927">
        <f>E32</f>
        <v>2</v>
      </c>
      <c r="I32" s="406"/>
      <c r="Q32" s="391"/>
      <c r="R32" s="1875" t="s">
        <v>1983</v>
      </c>
      <c r="S32" s="1875" t="str">
        <f>T23</f>
        <v>3/4"</v>
      </c>
      <c r="T32" s="3456">
        <v>2</v>
      </c>
      <c r="U32" s="3457"/>
      <c r="V32" s="3458"/>
      <c r="W32" s="1927">
        <f>T32</f>
        <v>2</v>
      </c>
      <c r="AA32" s="406" t="s">
        <v>225</v>
      </c>
    </row>
    <row r="33" spans="2:28">
      <c r="B33" s="391"/>
      <c r="C33" s="1876" t="s">
        <v>1993</v>
      </c>
      <c r="D33" s="1875" t="s">
        <v>198</v>
      </c>
      <c r="E33" s="3456">
        <v>1</v>
      </c>
      <c r="F33" s="3457"/>
      <c r="G33" s="3458"/>
      <c r="H33" s="1927">
        <f t="shared" ref="H33:H40" si="2">E33</f>
        <v>1</v>
      </c>
      <c r="I33" s="406"/>
      <c r="Q33" s="391"/>
      <c r="R33" s="1876" t="s">
        <v>1993</v>
      </c>
      <c r="S33" s="1875" t="s">
        <v>198</v>
      </c>
      <c r="T33" s="3456">
        <v>1</v>
      </c>
      <c r="U33" s="3457"/>
      <c r="V33" s="3458"/>
      <c r="W33" s="1927">
        <f t="shared" ref="W33:W40" si="3">T33</f>
        <v>1</v>
      </c>
    </row>
    <row r="34" spans="2:28">
      <c r="B34" s="391"/>
      <c r="C34" s="1876" t="s">
        <v>1994</v>
      </c>
      <c r="D34" s="1875" t="s">
        <v>198</v>
      </c>
      <c r="E34" s="3456">
        <v>2</v>
      </c>
      <c r="F34" s="3457"/>
      <c r="G34" s="3458"/>
      <c r="H34" s="1927">
        <f t="shared" si="2"/>
        <v>2</v>
      </c>
      <c r="I34" s="406"/>
      <c r="Q34" s="391"/>
      <c r="R34" s="1876" t="s">
        <v>1994</v>
      </c>
      <c r="S34" s="1875" t="s">
        <v>198</v>
      </c>
      <c r="T34" s="3456">
        <v>2</v>
      </c>
      <c r="U34" s="3457"/>
      <c r="V34" s="3458"/>
      <c r="W34" s="1927">
        <f t="shared" si="3"/>
        <v>2</v>
      </c>
    </row>
    <row r="35" spans="2:28">
      <c r="B35" s="391"/>
      <c r="C35" s="1876" t="s">
        <v>1995</v>
      </c>
      <c r="D35" s="1875" t="s">
        <v>1534</v>
      </c>
      <c r="E35" s="3456">
        <v>1</v>
      </c>
      <c r="F35" s="3457"/>
      <c r="G35" s="3458"/>
      <c r="H35" s="1927">
        <f t="shared" si="2"/>
        <v>1</v>
      </c>
      <c r="I35" s="406"/>
      <c r="Q35" s="391"/>
      <c r="R35" s="1876" t="s">
        <v>1995</v>
      </c>
      <c r="S35" s="1875" t="s">
        <v>1534</v>
      </c>
      <c r="T35" s="3456">
        <v>1</v>
      </c>
      <c r="U35" s="3457"/>
      <c r="V35" s="3458"/>
      <c r="W35" s="1927">
        <f t="shared" si="3"/>
        <v>1</v>
      </c>
    </row>
    <row r="36" spans="2:28">
      <c r="B36" s="391"/>
      <c r="C36" s="1876" t="s">
        <v>1989</v>
      </c>
      <c r="D36" s="1875" t="s">
        <v>1997</v>
      </c>
      <c r="E36" s="3456">
        <v>1</v>
      </c>
      <c r="F36" s="3457"/>
      <c r="G36" s="3458"/>
      <c r="H36" s="1927">
        <f t="shared" si="2"/>
        <v>1</v>
      </c>
      <c r="I36" s="406"/>
      <c r="Q36" s="391"/>
      <c r="R36" s="1876" t="s">
        <v>1989</v>
      </c>
      <c r="S36" s="1875" t="s">
        <v>1997</v>
      </c>
      <c r="T36" s="3456">
        <v>1</v>
      </c>
      <c r="U36" s="3457"/>
      <c r="V36" s="3458"/>
      <c r="W36" s="1927">
        <f t="shared" si="3"/>
        <v>1</v>
      </c>
    </row>
    <row r="37" spans="2:28">
      <c r="B37" s="391"/>
      <c r="C37" s="1876" t="s">
        <v>2021</v>
      </c>
      <c r="D37" s="1875" t="s">
        <v>195</v>
      </c>
      <c r="E37" s="3456">
        <v>1</v>
      </c>
      <c r="F37" s="3457"/>
      <c r="G37" s="3458"/>
      <c r="H37" s="1927">
        <f t="shared" si="2"/>
        <v>1</v>
      </c>
      <c r="I37" s="406"/>
      <c r="Q37" s="391"/>
      <c r="R37" s="1876" t="s">
        <v>2021</v>
      </c>
      <c r="S37" s="1875" t="s">
        <v>195</v>
      </c>
      <c r="T37" s="3456">
        <v>1</v>
      </c>
      <c r="U37" s="3457"/>
      <c r="V37" s="3458"/>
      <c r="W37" s="1927">
        <f t="shared" si="3"/>
        <v>1</v>
      </c>
    </row>
    <row r="38" spans="2:28">
      <c r="B38" s="391"/>
      <c r="C38" s="1876" t="s">
        <v>1999</v>
      </c>
      <c r="D38" s="1875" t="s">
        <v>195</v>
      </c>
      <c r="E38" s="3456">
        <v>1</v>
      </c>
      <c r="F38" s="3457"/>
      <c r="G38" s="3458"/>
      <c r="H38" s="1927">
        <f t="shared" si="2"/>
        <v>1</v>
      </c>
      <c r="I38" s="406"/>
      <c r="Q38" s="391"/>
      <c r="R38" s="1876" t="s">
        <v>1999</v>
      </c>
      <c r="S38" s="1875" t="s">
        <v>195</v>
      </c>
      <c r="T38" s="3456">
        <v>1</v>
      </c>
      <c r="U38" s="3457"/>
      <c r="V38" s="3458"/>
      <c r="W38" s="1927">
        <f t="shared" si="3"/>
        <v>1</v>
      </c>
    </row>
    <row r="39" spans="2:28">
      <c r="B39" s="391"/>
      <c r="C39" s="1876" t="s">
        <v>1996</v>
      </c>
      <c r="D39" s="1875" t="s">
        <v>2000</v>
      </c>
      <c r="E39" s="3456">
        <v>1</v>
      </c>
      <c r="F39" s="3457"/>
      <c r="G39" s="3458"/>
      <c r="H39" s="1927">
        <f t="shared" si="2"/>
        <v>1</v>
      </c>
      <c r="I39" s="406"/>
      <c r="Q39" s="391"/>
      <c r="R39" s="1876" t="s">
        <v>1996</v>
      </c>
      <c r="S39" s="1875" t="s">
        <v>2000</v>
      </c>
      <c r="T39" s="3456">
        <v>1</v>
      </c>
      <c r="U39" s="3457"/>
      <c r="V39" s="3458"/>
      <c r="W39" s="1927">
        <f t="shared" si="3"/>
        <v>1</v>
      </c>
      <c r="X39" s="1909"/>
      <c r="Y39" s="1909"/>
      <c r="Z39" s="1909"/>
      <c r="AA39" s="1909"/>
      <c r="AB39" s="1910" t="s">
        <v>818</v>
      </c>
    </row>
    <row r="40" spans="2:28">
      <c r="B40" s="391"/>
      <c r="C40" s="1876" t="s">
        <v>2001</v>
      </c>
      <c r="D40" s="1875" t="s">
        <v>2002</v>
      </c>
      <c r="E40" s="3456">
        <v>1</v>
      </c>
      <c r="F40" s="3457"/>
      <c r="G40" s="3458"/>
      <c r="H40" s="1927">
        <f t="shared" si="2"/>
        <v>1</v>
      </c>
      <c r="I40" s="406"/>
      <c r="Q40" s="391"/>
      <c r="R40" s="1876" t="s">
        <v>2001</v>
      </c>
      <c r="S40" s="1875" t="s">
        <v>2009</v>
      </c>
      <c r="T40" s="3456">
        <v>1</v>
      </c>
      <c r="U40" s="3457"/>
      <c r="V40" s="3458"/>
      <c r="W40" s="1927">
        <f t="shared" si="3"/>
        <v>1</v>
      </c>
      <c r="X40" s="1909"/>
      <c r="Y40" s="1909"/>
      <c r="Z40" s="1909"/>
      <c r="AA40" s="1909"/>
      <c r="AB40" s="1911" t="s">
        <v>17</v>
      </c>
    </row>
    <row r="41" spans="2:28" ht="15.75" thickBot="1">
      <c r="B41" s="386"/>
      <c r="C41" s="387"/>
      <c r="D41" s="387"/>
      <c r="E41" s="387"/>
      <c r="F41" s="387"/>
      <c r="G41" s="387"/>
      <c r="H41" s="1929"/>
      <c r="I41" s="406"/>
      <c r="Q41" s="386"/>
      <c r="R41" s="387"/>
      <c r="S41" s="387"/>
      <c r="T41" s="387"/>
      <c r="U41" s="387"/>
      <c r="V41" s="387"/>
      <c r="W41" s="388"/>
      <c r="X41" s="1909"/>
      <c r="Y41" s="1909"/>
      <c r="Z41" s="1909"/>
      <c r="AA41" s="1909"/>
      <c r="AB41" s="1910">
        <v>2026</v>
      </c>
    </row>
  </sheetData>
  <sheetProtection algorithmName="SHA-512" hashValue="7kNxlVqpZfDOICsNSvrZbkdOL9A7DshCbtTok9wBt16ffweTfrr8LKzgygv5PipiYz3N7Hk3P3j2MMRYQzUD2g==" saltValue="3nPA/RUo4fzxDPnuAB2m0g==" spinCount="100000" sheet="1" objects="1" selectLockedCells="1"/>
  <mergeCells count="33">
    <mergeCell ref="E39:G39"/>
    <mergeCell ref="E40:G40"/>
    <mergeCell ref="T23:U23"/>
    <mergeCell ref="T26:V26"/>
    <mergeCell ref="T27:V27"/>
    <mergeCell ref="T28:V28"/>
    <mergeCell ref="E26:G26"/>
    <mergeCell ref="E27:G27"/>
    <mergeCell ref="E28:G28"/>
    <mergeCell ref="T35:V35"/>
    <mergeCell ref="T36:V36"/>
    <mergeCell ref="T37:V37"/>
    <mergeCell ref="T38:V38"/>
    <mergeCell ref="T39:V39"/>
    <mergeCell ref="T40:V40"/>
    <mergeCell ref="T32:V32"/>
    <mergeCell ref="T33:V33"/>
    <mergeCell ref="T34:V34"/>
    <mergeCell ref="E35:G35"/>
    <mergeCell ref="E36:G36"/>
    <mergeCell ref="E37:G37"/>
    <mergeCell ref="E38:G38"/>
    <mergeCell ref="E32:G32"/>
    <mergeCell ref="E33:G33"/>
    <mergeCell ref="E34:G34"/>
    <mergeCell ref="K15:L15"/>
    <mergeCell ref="E23:F23"/>
    <mergeCell ref="B2:O2"/>
    <mergeCell ref="N15:O15"/>
    <mergeCell ref="K5:L5"/>
    <mergeCell ref="N5:O5"/>
    <mergeCell ref="R14:S14"/>
    <mergeCell ref="D14:G14"/>
  </mergeCells>
  <phoneticPr fontId="274" type="noConversion"/>
  <dataValidations count="1">
    <dataValidation type="list" allowBlank="1" showInputMessage="1" showErrorMessage="1" sqref="D22:E22 G23 E23 T23 N22 L22 S22:S23" xr:uid="{E760F15A-FF92-4E2F-8EB1-B07776E60E13}">
      <formula1>$AA$25:$AA$32</formula1>
    </dataValidation>
  </dataValidation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D532-4EC7-40CD-854D-FB72934EE638}">
  <dimension ref="C9:L34"/>
  <sheetViews>
    <sheetView showGridLines="0" showRowColHeaders="0" zoomScale="98" zoomScaleNormal="98" workbookViewId="0">
      <selection activeCell="Q30" sqref="Q30"/>
    </sheetView>
  </sheetViews>
  <sheetFormatPr defaultColWidth="9.140625" defaultRowHeight="15"/>
  <cols>
    <col min="1" max="2" width="9.140625" style="1916"/>
    <col min="3" max="3" width="27.5703125" style="1916" customWidth="1"/>
    <col min="4" max="4" width="9.85546875" style="1916" customWidth="1"/>
    <col min="5" max="5" width="3.5703125" style="1916" customWidth="1"/>
    <col min="6" max="6" width="5" style="1916" customWidth="1"/>
    <col min="7" max="7" width="3" style="1916" customWidth="1"/>
    <col min="8" max="8" width="5.7109375" style="1916" customWidth="1"/>
    <col min="9" max="16384" width="9.140625" style="1916"/>
  </cols>
  <sheetData>
    <row r="9" spans="3:8">
      <c r="C9" s="1912" t="s">
        <v>1983</v>
      </c>
      <c r="D9" s="1913" t="str">
        <f>'Doğlz.Regülatör Malzeme Hesabı'!D26</f>
        <v>1 1/4"</v>
      </c>
      <c r="E9" s="1914">
        <f>'Doğlz.Regülatör Malzeme Hesabı'!H26</f>
        <v>2</v>
      </c>
      <c r="F9" s="1915" t="s">
        <v>88</v>
      </c>
    </row>
    <row r="10" spans="3:8">
      <c r="C10" s="1912" t="s">
        <v>1983</v>
      </c>
      <c r="D10" s="1913" t="str">
        <f>'Doğlz.Regülatör Malzeme Hesabı'!D27</f>
        <v>3/4"</v>
      </c>
      <c r="E10" s="1914">
        <f>'Doğlz.Regülatör Malzeme Hesabı'!H27</f>
        <v>1</v>
      </c>
      <c r="F10" s="1915" t="s">
        <v>88</v>
      </c>
    </row>
    <row r="11" spans="3:8">
      <c r="C11" s="1912" t="s">
        <v>1984</v>
      </c>
      <c r="D11" s="1917" t="str">
        <f>'Doğlz.Regülatör Malzeme Hesabı'!D28</f>
        <v>1 1/4"</v>
      </c>
      <c r="E11" s="1918">
        <f>'Doğlz.Regülatör Malzeme Hesabı'!H28</f>
        <v>1</v>
      </c>
      <c r="F11" s="1919" t="s">
        <v>88</v>
      </c>
    </row>
    <row r="12" spans="3:8">
      <c r="C12" s="1920" t="s">
        <v>1989</v>
      </c>
      <c r="D12" s="1921" t="str">
        <f>'Doğlz.Regülatör Malzeme Hesabı'!D29</f>
        <v>1 1/4"</v>
      </c>
      <c r="E12" s="1925" t="s">
        <v>233</v>
      </c>
      <c r="F12" s="1922" t="str">
        <f>'Doğlz.Regülatör Malzeme Hesabı'!F29</f>
        <v>3/4"</v>
      </c>
      <c r="G12" s="1914">
        <f>'Doğlz.Regülatör Malzeme Hesabı'!I29</f>
        <v>1</v>
      </c>
      <c r="H12" s="1915" t="s">
        <v>88</v>
      </c>
    </row>
    <row r="13" spans="3:8">
      <c r="C13" s="1912" t="s">
        <v>1983</v>
      </c>
      <c r="D13" s="1923" t="str">
        <f>'Doğlz.Regülatör Malzeme Hesabı'!D32</f>
        <v>3/4"</v>
      </c>
      <c r="E13" s="1914">
        <f>'Doğlz.Regülatör Malzeme Hesabı'!H32</f>
        <v>2</v>
      </c>
      <c r="F13" s="1915" t="s">
        <v>88</v>
      </c>
    </row>
    <row r="14" spans="3:8">
      <c r="C14" s="1912" t="s">
        <v>1993</v>
      </c>
      <c r="D14" s="1913" t="str">
        <f>'Doğlz.Regülatör Malzeme Hesabı'!D33</f>
        <v>3/4"</v>
      </c>
      <c r="E14" s="1914">
        <f>'Doğlz.Regülatör Malzeme Hesabı'!H33</f>
        <v>1</v>
      </c>
      <c r="F14" s="1915" t="s">
        <v>88</v>
      </c>
    </row>
    <row r="15" spans="3:8">
      <c r="C15" s="1912" t="s">
        <v>1994</v>
      </c>
      <c r="D15" s="1913" t="str">
        <f>'Doğlz.Regülatör Malzeme Hesabı'!D34</f>
        <v>3/4"</v>
      </c>
      <c r="E15" s="1914">
        <f>'Doğlz.Regülatör Malzeme Hesabı'!H34</f>
        <v>2</v>
      </c>
      <c r="F15" s="1915" t="s">
        <v>88</v>
      </c>
    </row>
    <row r="16" spans="3:8">
      <c r="C16" s="1912" t="s">
        <v>1995</v>
      </c>
      <c r="D16" s="1913" t="str">
        <f>'Doğlz.Regülatör Malzeme Hesabı'!D35</f>
        <v>1/4"</v>
      </c>
      <c r="E16" s="1914">
        <f>'Doğlz.Regülatör Malzeme Hesabı'!H35</f>
        <v>1</v>
      </c>
      <c r="F16" s="1915" t="s">
        <v>88</v>
      </c>
    </row>
    <row r="17" spans="3:12">
      <c r="C17" s="1912" t="s">
        <v>1996</v>
      </c>
      <c r="D17" s="1913" t="str">
        <f>'Doğlz.Regülatör Malzeme Hesabı'!D36</f>
        <v>3/4"-1/2"</v>
      </c>
      <c r="E17" s="1914">
        <f>'Doğlz.Regülatör Malzeme Hesabı'!H36</f>
        <v>1</v>
      </c>
      <c r="F17" s="1915" t="s">
        <v>88</v>
      </c>
    </row>
    <row r="18" spans="3:12">
      <c r="C18" s="1912" t="s">
        <v>1998</v>
      </c>
      <c r="D18" s="1913" t="str">
        <f>'Doğlz.Regülatör Malzeme Hesabı'!D37</f>
        <v>1/2"</v>
      </c>
      <c r="E18" s="1914">
        <f>'Doğlz.Regülatör Malzeme Hesabı'!H37</f>
        <v>1</v>
      </c>
      <c r="F18" s="1915" t="s">
        <v>88</v>
      </c>
    </row>
    <row r="19" spans="3:12">
      <c r="C19" s="1912" t="s">
        <v>1999</v>
      </c>
      <c r="D19" s="1913" t="str">
        <f>'Doğlz.Regülatör Malzeme Hesabı'!D38</f>
        <v>1/2"</v>
      </c>
      <c r="E19" s="1914">
        <f>'Doğlz.Regülatör Malzeme Hesabı'!H38</f>
        <v>1</v>
      </c>
      <c r="F19" s="1915" t="s">
        <v>88</v>
      </c>
    </row>
    <row r="20" spans="3:12">
      <c r="C20" s="1912" t="s">
        <v>1996</v>
      </c>
      <c r="D20" s="1913" t="str">
        <f>'Doğlz.Regülatör Malzeme Hesabı'!D39</f>
        <v>1/2"-1/4"</v>
      </c>
      <c r="E20" s="1914">
        <f>'Doğlz.Regülatör Malzeme Hesabı'!H39</f>
        <v>1</v>
      </c>
      <c r="F20" s="1915" t="s">
        <v>88</v>
      </c>
    </row>
    <row r="21" spans="3:12">
      <c r="C21" s="1912" t="s">
        <v>2001</v>
      </c>
      <c r="D21" s="1913" t="str">
        <f>'Doğlz.Regülatör Malzeme Hesabı'!D40</f>
        <v>0-600mbar</v>
      </c>
      <c r="E21" s="1914">
        <f>'Doğlz.Regülatör Malzeme Hesabı'!H40</f>
        <v>1</v>
      </c>
      <c r="F21" s="1915" t="s">
        <v>88</v>
      </c>
    </row>
    <row r="22" spans="3:12">
      <c r="C22" s="1912" t="s">
        <v>1983</v>
      </c>
      <c r="D22" s="1913" t="str">
        <f>'Doğlz.Regülatör Malzeme Hesabı'!S26</f>
        <v>2"</v>
      </c>
      <c r="E22" s="1914">
        <f>'Doğlz.Regülatör Malzeme Hesabı'!W26</f>
        <v>2</v>
      </c>
      <c r="F22" s="1915" t="s">
        <v>88</v>
      </c>
    </row>
    <row r="23" spans="3:12">
      <c r="C23" s="1912" t="s">
        <v>1983</v>
      </c>
      <c r="D23" s="1913" t="str">
        <f>'Doğlz.Regülatör Malzeme Hesabı'!S27</f>
        <v>3/4"</v>
      </c>
      <c r="E23" s="1914">
        <f>'Doğlz.Regülatör Malzeme Hesabı'!W27</f>
        <v>1</v>
      </c>
      <c r="F23" s="1915" t="s">
        <v>88</v>
      </c>
    </row>
    <row r="24" spans="3:12">
      <c r="C24" s="1912" t="s">
        <v>1984</v>
      </c>
      <c r="D24" s="1917" t="str">
        <f>'Doğlz.Regülatör Malzeme Hesabı'!S28</f>
        <v>2"</v>
      </c>
      <c r="E24" s="1918">
        <f>'Doğlz.Regülatör Malzeme Hesabı'!W28</f>
        <v>1</v>
      </c>
      <c r="F24" s="1919" t="s">
        <v>88</v>
      </c>
    </row>
    <row r="25" spans="3:12">
      <c r="C25" s="1920" t="s">
        <v>1989</v>
      </c>
      <c r="D25" s="1924" t="str">
        <f>'Doğlz.Regülatör Malzeme Hesabı'!S29</f>
        <v>2"</v>
      </c>
      <c r="E25" s="1925" t="s">
        <v>233</v>
      </c>
      <c r="F25" s="1922" t="str">
        <f>'Doğlz.Regülatör Malzeme Hesabı'!U29</f>
        <v>3/4"</v>
      </c>
      <c r="G25" s="1914">
        <f>'Doğlz.Regülatör Malzeme Hesabı'!X29</f>
        <v>1</v>
      </c>
      <c r="H25" s="1915" t="s">
        <v>88</v>
      </c>
    </row>
    <row r="26" spans="3:12">
      <c r="C26" s="1912" t="s">
        <v>1983</v>
      </c>
      <c r="D26" s="1923" t="str">
        <f>'Doğlz.Regülatör Malzeme Hesabı'!S32</f>
        <v>3/4"</v>
      </c>
      <c r="E26" s="1914">
        <f>'Doğlz.Regülatör Malzeme Hesabı'!W32</f>
        <v>2</v>
      </c>
      <c r="F26" s="1915" t="s">
        <v>88</v>
      </c>
    </row>
    <row r="27" spans="3:12">
      <c r="C27" s="1912" t="s">
        <v>1993</v>
      </c>
      <c r="D27" s="1913" t="str">
        <f>'Doğlz.Regülatör Malzeme Hesabı'!S33</f>
        <v>3/4"</v>
      </c>
      <c r="E27" s="1914">
        <f>'Doğlz.Regülatör Malzeme Hesabı'!W33</f>
        <v>1</v>
      </c>
      <c r="F27" s="1915" t="s">
        <v>88</v>
      </c>
    </row>
    <row r="28" spans="3:12">
      <c r="C28" s="1912" t="s">
        <v>1994</v>
      </c>
      <c r="D28" s="1913" t="str">
        <f>'Doğlz.Regülatör Malzeme Hesabı'!S34</f>
        <v>3/4"</v>
      </c>
      <c r="E28" s="1914">
        <f>'Doğlz.Regülatör Malzeme Hesabı'!W34</f>
        <v>2</v>
      </c>
      <c r="F28" s="1915" t="s">
        <v>88</v>
      </c>
    </row>
    <row r="29" spans="3:12">
      <c r="C29" s="1912" t="s">
        <v>1995</v>
      </c>
      <c r="D29" s="1913" t="str">
        <f>'Doğlz.Regülatör Malzeme Hesabı'!S35</f>
        <v>1/4"</v>
      </c>
      <c r="E29" s="1914">
        <f>'Doğlz.Regülatör Malzeme Hesabı'!W35</f>
        <v>1</v>
      </c>
      <c r="F29" s="1915" t="s">
        <v>88</v>
      </c>
    </row>
    <row r="30" spans="3:12">
      <c r="C30" s="1912" t="s">
        <v>1996</v>
      </c>
      <c r="D30" s="1913" t="str">
        <f>'Doğlz.Regülatör Malzeme Hesabı'!S36</f>
        <v>3/4"-1/2"</v>
      </c>
      <c r="E30" s="1914">
        <f>'Doğlz.Regülatör Malzeme Hesabı'!W36</f>
        <v>1</v>
      </c>
      <c r="F30" s="1915" t="s">
        <v>88</v>
      </c>
    </row>
    <row r="31" spans="3:12">
      <c r="C31" s="1912" t="s">
        <v>1998</v>
      </c>
      <c r="D31" s="1913" t="str">
        <f>'Doğlz.Regülatör Malzeme Hesabı'!S37</f>
        <v>1/2"</v>
      </c>
      <c r="E31" s="1914">
        <f>'Doğlz.Regülatör Malzeme Hesabı'!W37</f>
        <v>1</v>
      </c>
      <c r="F31" s="1915" t="s">
        <v>88</v>
      </c>
    </row>
    <row r="32" spans="3:12">
      <c r="C32" s="1912" t="s">
        <v>1999</v>
      </c>
      <c r="D32" s="1913" t="str">
        <f>'Doğlz.Regülatör Malzeme Hesabı'!S38</f>
        <v>1/2"</v>
      </c>
      <c r="E32" s="1914">
        <f>'Doğlz.Regülatör Malzeme Hesabı'!W38</f>
        <v>1</v>
      </c>
      <c r="F32" s="1915" t="s">
        <v>88</v>
      </c>
      <c r="L32" s="1930" t="s">
        <v>818</v>
      </c>
    </row>
    <row r="33" spans="3:12">
      <c r="C33" s="1912" t="s">
        <v>1996</v>
      </c>
      <c r="D33" s="1913" t="str">
        <f>'Doğlz.Regülatör Malzeme Hesabı'!S39</f>
        <v>1/2"-1/4"</v>
      </c>
      <c r="E33" s="1914">
        <f>'Doğlz.Regülatör Malzeme Hesabı'!W39</f>
        <v>1</v>
      </c>
      <c r="F33" s="1915" t="s">
        <v>88</v>
      </c>
      <c r="L33" s="1931" t="s">
        <v>17</v>
      </c>
    </row>
    <row r="34" spans="3:12">
      <c r="C34" s="1912" t="s">
        <v>2001</v>
      </c>
      <c r="D34" s="1913" t="str">
        <f>'Doğlz.Regülatör Malzeme Hesabı'!S40</f>
        <v>0-60mbar</v>
      </c>
      <c r="E34" s="1914">
        <f>'Doğlz.Regülatör Malzeme Hesabı'!W40</f>
        <v>1</v>
      </c>
      <c r="F34" s="1915" t="s">
        <v>88</v>
      </c>
      <c r="L34" s="1930">
        <v>2026</v>
      </c>
    </row>
  </sheetData>
  <sheetProtection algorithmName="SHA-512" hashValue="ca8O+Erw8LPjX8sqdVmG4MYtC+KyzG+gpOM+0N5ye8yUyAfQ2wVGOEsVb8VIcLoWLm1G6cUikeeX7BwxvGcE4w==" saltValue="I4UjRLkpIpsqJY/EWqW1xg==" spinCount="100000" sheet="1" objects="1" selectLockedCells="1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1:R25"/>
  <sheetViews>
    <sheetView showGridLines="0" showRowColHeaders="0" zoomScale="142" zoomScaleNormal="142" workbookViewId="0">
      <selection activeCell="C4" sqref="C4"/>
    </sheetView>
  </sheetViews>
  <sheetFormatPr defaultColWidth="9.140625" defaultRowHeight="15"/>
  <cols>
    <col min="1" max="1" width="9.140625" style="943"/>
    <col min="2" max="2" width="39.7109375" style="943" bestFit="1" customWidth="1"/>
    <col min="3" max="3" width="10" style="943" customWidth="1"/>
    <col min="4" max="16384" width="9.140625" style="943"/>
  </cols>
  <sheetData>
    <row r="1" spans="2:18" ht="15.75" thickBot="1"/>
    <row r="2" spans="2:18" ht="33" thickBot="1">
      <c r="B2" s="3462" t="s">
        <v>1970</v>
      </c>
      <c r="C2" s="3463"/>
      <c r="D2" s="3464"/>
    </row>
    <row r="3" spans="2:18" ht="17.25" thickBot="1">
      <c r="B3" s="944"/>
      <c r="E3" s="945"/>
      <c r="F3" s="3465"/>
      <c r="G3" s="3465"/>
      <c r="H3" s="3465"/>
      <c r="K3" s="946"/>
      <c r="L3" s="946"/>
      <c r="M3" s="946"/>
      <c r="N3" s="946"/>
      <c r="O3" s="946"/>
      <c r="P3" s="946"/>
      <c r="Q3" s="946"/>
      <c r="R3" s="946"/>
    </row>
    <row r="4" spans="2:18" ht="18.75" thickBot="1">
      <c r="B4" s="947" t="s">
        <v>940</v>
      </c>
      <c r="C4" s="290">
        <v>86000</v>
      </c>
      <c r="D4" s="948" t="s">
        <v>269</v>
      </c>
      <c r="E4" s="945"/>
      <c r="F4" s="3466" t="s">
        <v>796</v>
      </c>
      <c r="G4" s="3467"/>
      <c r="H4" s="3468"/>
      <c r="K4" s="946"/>
      <c r="L4" s="965" t="s">
        <v>941</v>
      </c>
      <c r="M4" s="965" t="s">
        <v>942</v>
      </c>
      <c r="N4" s="965">
        <f>IF(C6= "doğalgaz",0.012,IF(C6= "katı yakıt",0.03,IF(C6= "sıvı yakıt",0.02)))</f>
        <v>0.02</v>
      </c>
      <c r="O4" s="946"/>
      <c r="P4" s="946"/>
      <c r="Q4" s="946"/>
      <c r="R4" s="946"/>
    </row>
    <row r="5" spans="2:18" ht="18.75" thickBot="1">
      <c r="B5" s="947" t="s">
        <v>943</v>
      </c>
      <c r="C5" s="290">
        <v>12</v>
      </c>
      <c r="D5" s="948" t="s">
        <v>944</v>
      </c>
      <c r="E5" s="945"/>
      <c r="F5" s="949"/>
      <c r="G5" s="942">
        <v>100</v>
      </c>
      <c r="H5" s="950" t="s">
        <v>77</v>
      </c>
      <c r="K5" s="946"/>
      <c r="L5" s="965" t="s">
        <v>945</v>
      </c>
      <c r="M5" s="965"/>
      <c r="N5" s="965"/>
      <c r="O5" s="946"/>
      <c r="P5" s="946"/>
      <c r="Q5" s="946"/>
      <c r="R5" s="946"/>
    </row>
    <row r="6" spans="2:18" ht="18.75" thickBot="1">
      <c r="B6" s="951" t="s">
        <v>946</v>
      </c>
      <c r="C6" s="967" t="s">
        <v>947</v>
      </c>
      <c r="D6" s="948"/>
      <c r="E6" s="945"/>
      <c r="F6" s="949"/>
      <c r="G6" s="966">
        <f>G5*860</f>
        <v>86000</v>
      </c>
      <c r="H6" s="952" t="s">
        <v>269</v>
      </c>
      <c r="K6" s="946"/>
      <c r="L6" s="965" t="s">
        <v>947</v>
      </c>
      <c r="M6" s="965"/>
      <c r="N6" s="965"/>
      <c r="O6" s="946"/>
      <c r="P6" s="946"/>
      <c r="Q6" s="946"/>
      <c r="R6" s="946"/>
    </row>
    <row r="7" spans="2:18" ht="18.75" thickBot="1">
      <c r="B7" s="947" t="s">
        <v>948</v>
      </c>
      <c r="C7" s="953">
        <f>(N4*C4)/(C5^(1/2))</f>
        <v>496.52123150307818</v>
      </c>
      <c r="D7" s="948" t="s">
        <v>949</v>
      </c>
      <c r="E7" s="945"/>
      <c r="F7" s="954"/>
      <c r="G7" s="955"/>
      <c r="H7" s="956"/>
      <c r="K7" s="946"/>
      <c r="L7" s="946"/>
      <c r="M7" s="946"/>
      <c r="N7" s="946"/>
      <c r="O7" s="946"/>
      <c r="P7" s="946"/>
      <c r="Q7" s="946"/>
      <c r="R7" s="946"/>
    </row>
    <row r="8" spans="2:18" ht="17.25" thickBot="1">
      <c r="C8" s="964">
        <f>((C7/3.14)^(1/2)*2)</f>
        <v>25.149773814765364</v>
      </c>
      <c r="E8" s="945"/>
      <c r="K8" s="946"/>
      <c r="L8" s="946"/>
      <c r="M8" s="946"/>
      <c r="N8" s="946"/>
      <c r="O8" s="946"/>
      <c r="P8" s="946"/>
      <c r="Q8" s="946"/>
      <c r="R8" s="946"/>
    </row>
    <row r="9" spans="2:18" ht="18.75" thickBot="1">
      <c r="B9" s="947" t="s">
        <v>950</v>
      </c>
      <c r="C9" s="957">
        <f>ROUNDUP(C8,0)</f>
        <v>26</v>
      </c>
      <c r="D9" s="948" t="s">
        <v>951</v>
      </c>
      <c r="E9" s="945"/>
      <c r="K9" s="946"/>
      <c r="L9" s="946"/>
      <c r="M9" s="946"/>
      <c r="N9" s="946"/>
      <c r="O9" s="946"/>
      <c r="P9" s="946"/>
      <c r="Q9" s="946"/>
      <c r="R9" s="946"/>
    </row>
    <row r="11" spans="2:18" ht="18">
      <c r="B11" s="958"/>
      <c r="C11" s="959"/>
      <c r="D11" s="960"/>
    </row>
    <row r="12" spans="2:18">
      <c r="C12" s="961"/>
      <c r="D12" s="960"/>
    </row>
    <row r="13" spans="2:18" ht="16.5">
      <c r="B13" s="945" t="s">
        <v>952</v>
      </c>
    </row>
    <row r="14" spans="2:18" ht="16.5">
      <c r="B14" s="945" t="s">
        <v>953</v>
      </c>
      <c r="C14" s="3469"/>
      <c r="D14" s="3469"/>
    </row>
    <row r="15" spans="2:18" ht="16.5">
      <c r="B15" s="945" t="s">
        <v>954</v>
      </c>
    </row>
    <row r="16" spans="2:18" ht="16.5">
      <c r="B16" s="945" t="s">
        <v>955</v>
      </c>
    </row>
    <row r="17" spans="2:9" ht="16.5">
      <c r="B17" s="945" t="s">
        <v>956</v>
      </c>
      <c r="E17" s="3469" t="s">
        <v>47</v>
      </c>
      <c r="F17" s="3469"/>
      <c r="G17" s="3469"/>
      <c r="H17" s="3469"/>
      <c r="I17" s="3469"/>
    </row>
    <row r="18" spans="2:9" ht="16.5">
      <c r="B18" s="945" t="s">
        <v>957</v>
      </c>
      <c r="F18" s="3470" t="s">
        <v>17</v>
      </c>
      <c r="G18" s="3470"/>
      <c r="H18" s="3470"/>
      <c r="I18" s="3470"/>
    </row>
    <row r="19" spans="2:9" ht="16.5">
      <c r="B19" s="945" t="s">
        <v>958</v>
      </c>
      <c r="E19" s="945"/>
      <c r="F19" s="3267">
        <v>2026</v>
      </c>
      <c r="G19" s="3267"/>
      <c r="H19" s="3267"/>
      <c r="I19" s="3267"/>
    </row>
    <row r="20" spans="2:9" ht="16.5">
      <c r="E20" s="945"/>
    </row>
    <row r="21" spans="2:9" ht="16.5">
      <c r="E21" s="945"/>
    </row>
    <row r="22" spans="2:9" ht="16.5">
      <c r="E22" s="945"/>
    </row>
    <row r="23" spans="2:9" ht="16.5">
      <c r="E23" s="945"/>
    </row>
    <row r="24" spans="2:9" ht="16.5">
      <c r="E24" s="945"/>
    </row>
    <row r="25" spans="2:9" ht="16.5">
      <c r="E25" s="945"/>
    </row>
  </sheetData>
  <sheetProtection algorithmName="SHA-512" hashValue="O577cdjfvG4UDvbT1h8vpg8OmToop/eCdiTZpehnfbYH1mE9y3+og+v370LHOBtgjz14uXd1DGv2Mi2/9CbRYQ==" saltValue="vzB+aBo23KSfbaGhuTdhuQ==" spinCount="100000" sheet="1" objects="1" selectLockedCells="1"/>
  <mergeCells count="7">
    <mergeCell ref="B2:D2"/>
    <mergeCell ref="F19:I19"/>
    <mergeCell ref="F3:H3"/>
    <mergeCell ref="F4:H4"/>
    <mergeCell ref="C14:D14"/>
    <mergeCell ref="F18:I18"/>
    <mergeCell ref="E17:I17"/>
  </mergeCells>
  <dataValidations count="1">
    <dataValidation type="list" allowBlank="1" showInputMessage="1" showErrorMessage="1" sqref="C6" xr:uid="{00000000-0002-0000-2100-000000000000}">
      <formula1>$L$4:$L$6</formula1>
    </dataValidation>
  </dataValidation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2:AG124"/>
  <sheetViews>
    <sheetView showGridLines="0" showRowColHeaders="0" zoomScale="73" zoomScaleNormal="73" workbookViewId="0">
      <selection activeCell="E8" sqref="E8"/>
    </sheetView>
  </sheetViews>
  <sheetFormatPr defaultColWidth="9.140625" defaultRowHeight="15"/>
  <cols>
    <col min="1" max="1" width="4.28515625" style="252" customWidth="1"/>
    <col min="2" max="2" width="10.7109375" style="252" customWidth="1"/>
    <col min="3" max="3" width="9.140625" style="252"/>
    <col min="4" max="4" width="8.28515625" style="252" customWidth="1"/>
    <col min="5" max="8" width="9.140625" style="252"/>
    <col min="9" max="9" width="11.28515625" style="252" customWidth="1"/>
    <col min="10" max="10" width="20" style="252" customWidth="1"/>
    <col min="11" max="13" width="9.140625" style="252"/>
    <col min="14" max="14" width="11.28515625" style="252" customWidth="1"/>
    <col min="15" max="16384" width="9.140625" style="252"/>
  </cols>
  <sheetData>
    <row r="2" spans="2:33" ht="8.25" customHeight="1" thickBot="1"/>
    <row r="3" spans="2:33">
      <c r="B3" s="382"/>
      <c r="C3" s="383"/>
      <c r="D3" s="383"/>
      <c r="E3" s="383"/>
      <c r="F3" s="383"/>
      <c r="G3" s="383"/>
      <c r="H3" s="383"/>
      <c r="I3" s="383"/>
      <c r="J3" s="384"/>
    </row>
    <row r="4" spans="2:33" ht="26.25">
      <c r="B4" s="3496" t="s">
        <v>398</v>
      </c>
      <c r="C4" s="3497"/>
      <c r="D4" s="3497"/>
      <c r="E4" s="3497"/>
      <c r="F4" s="3497"/>
      <c r="G4" s="3497"/>
      <c r="H4" s="3497"/>
      <c r="I4" s="3497"/>
      <c r="J4" s="3498"/>
    </row>
    <row r="5" spans="2:33">
      <c r="B5" s="391"/>
      <c r="J5" s="385"/>
    </row>
    <row r="6" spans="2:33" ht="18.75">
      <c r="B6" s="391"/>
      <c r="C6" s="3501" t="s">
        <v>419</v>
      </c>
      <c r="D6" s="3501"/>
      <c r="E6" s="3501"/>
      <c r="F6" s="1729" t="s">
        <v>422</v>
      </c>
      <c r="J6" s="385"/>
    </row>
    <row r="7" spans="2:33" ht="5.25" customHeight="1">
      <c r="B7" s="391"/>
      <c r="J7" s="385"/>
    </row>
    <row r="8" spans="2:33">
      <c r="B8" s="391"/>
      <c r="D8" s="392" t="s">
        <v>418</v>
      </c>
      <c r="E8" s="393">
        <v>15</v>
      </c>
      <c r="J8" s="385"/>
      <c r="AC8" s="3472"/>
      <c r="AD8" s="3472"/>
      <c r="AE8" s="3472"/>
      <c r="AF8" s="3472"/>
      <c r="AG8" s="3472"/>
    </row>
    <row r="9" spans="2:33">
      <c r="B9" s="391"/>
      <c r="D9" s="392" t="s">
        <v>423</v>
      </c>
      <c r="E9" s="393">
        <v>0.26</v>
      </c>
      <c r="J9" s="385"/>
      <c r="AC9" s="3472"/>
      <c r="AD9" s="3472"/>
      <c r="AE9" s="3472"/>
      <c r="AF9" s="3472"/>
      <c r="AG9" s="3472"/>
    </row>
    <row r="10" spans="2:33" ht="18">
      <c r="B10" s="391"/>
      <c r="D10" s="392" t="s">
        <v>424</v>
      </c>
      <c r="E10" s="393">
        <v>3.5</v>
      </c>
      <c r="G10" s="1730"/>
      <c r="H10" s="1731" t="s">
        <v>429</v>
      </c>
      <c r="I10" s="1732" t="s">
        <v>428</v>
      </c>
      <c r="J10" s="385"/>
      <c r="AC10" s="872"/>
      <c r="AD10" s="872"/>
      <c r="AE10" s="872"/>
      <c r="AF10" s="873"/>
      <c r="AG10" s="874"/>
    </row>
    <row r="11" spans="2:33" ht="18">
      <c r="B11" s="3503" t="s">
        <v>1512</v>
      </c>
      <c r="C11" s="3362"/>
      <c r="D11" s="1730" t="s">
        <v>420</v>
      </c>
      <c r="E11" s="379">
        <v>0.15</v>
      </c>
      <c r="J11" s="385"/>
    </row>
    <row r="12" spans="2:33" ht="18.75">
      <c r="B12" s="391"/>
      <c r="D12" s="1730" t="s">
        <v>421</v>
      </c>
      <c r="E12" s="1674">
        <f>'kanal hesap'!P8</f>
        <v>9.5923207376847444</v>
      </c>
      <c r="F12" s="390" t="s">
        <v>425</v>
      </c>
      <c r="J12" s="385"/>
    </row>
    <row r="13" spans="2:33" ht="18">
      <c r="B13" s="1715" t="s">
        <v>1921</v>
      </c>
      <c r="D13" s="1733"/>
      <c r="J13" s="385"/>
    </row>
    <row r="14" spans="2:33" ht="18.75">
      <c r="B14" s="391"/>
      <c r="C14" s="3501" t="s">
        <v>426</v>
      </c>
      <c r="D14" s="3501"/>
      <c r="E14" s="3501"/>
      <c r="F14" s="1729" t="s">
        <v>422</v>
      </c>
      <c r="J14" s="385"/>
    </row>
    <row r="15" spans="2:33" ht="21">
      <c r="B15" s="391"/>
      <c r="C15" s="1734" t="s">
        <v>93</v>
      </c>
      <c r="D15" s="392" t="s">
        <v>427</v>
      </c>
      <c r="E15" s="393">
        <v>0.9</v>
      </c>
      <c r="F15" s="392"/>
      <c r="G15" s="3502" t="s">
        <v>432</v>
      </c>
      <c r="H15" s="3502"/>
      <c r="I15" s="3502"/>
      <c r="J15" s="385"/>
    </row>
    <row r="16" spans="2:33">
      <c r="B16" s="391"/>
      <c r="D16" s="392" t="s">
        <v>424</v>
      </c>
      <c r="E16" s="393">
        <v>3.5</v>
      </c>
      <c r="J16" s="385"/>
    </row>
    <row r="17" spans="2:10" ht="18.75">
      <c r="B17" s="391"/>
      <c r="D17" s="1730" t="s">
        <v>430</v>
      </c>
      <c r="E17" s="380">
        <f>E15*1.2*((E16^2)/2)</f>
        <v>6.6150000000000002</v>
      </c>
      <c r="F17" s="381" t="s">
        <v>425</v>
      </c>
      <c r="H17" s="1731" t="s">
        <v>429</v>
      </c>
      <c r="I17" s="1732" t="s">
        <v>428</v>
      </c>
      <c r="J17" s="385"/>
    </row>
    <row r="18" spans="2:10" ht="18">
      <c r="B18" s="1715" t="s">
        <v>1921</v>
      </c>
      <c r="D18" s="1730"/>
      <c r="J18" s="385"/>
    </row>
    <row r="19" spans="2:10" ht="21">
      <c r="B19" s="391"/>
      <c r="C19" s="1734" t="s">
        <v>96</v>
      </c>
      <c r="D19" s="392" t="s">
        <v>427</v>
      </c>
      <c r="E19" s="393">
        <v>0.9</v>
      </c>
      <c r="F19" s="392"/>
      <c r="G19" s="3502" t="s">
        <v>432</v>
      </c>
      <c r="H19" s="3502"/>
      <c r="I19" s="3502"/>
      <c r="J19" s="385"/>
    </row>
    <row r="20" spans="2:10">
      <c r="B20" s="391"/>
      <c r="D20" s="392" t="s">
        <v>424</v>
      </c>
      <c r="E20" s="393">
        <v>3.5</v>
      </c>
      <c r="J20" s="385"/>
    </row>
    <row r="21" spans="2:10" ht="18.75">
      <c r="B21" s="391"/>
      <c r="D21" s="1730" t="s">
        <v>433</v>
      </c>
      <c r="E21" s="380">
        <f>E19*1.2*((E20^2)/2)</f>
        <v>6.6150000000000002</v>
      </c>
      <c r="F21" s="381" t="s">
        <v>425</v>
      </c>
      <c r="J21" s="385"/>
    </row>
    <row r="22" spans="2:10" ht="18">
      <c r="B22" s="1715" t="s">
        <v>1921</v>
      </c>
      <c r="D22" s="1730"/>
      <c r="J22" s="385"/>
    </row>
    <row r="23" spans="2:10" ht="21">
      <c r="B23" s="391"/>
      <c r="C23" s="1734" t="s">
        <v>97</v>
      </c>
      <c r="D23" s="392" t="s">
        <v>427</v>
      </c>
      <c r="E23" s="393">
        <v>0.9</v>
      </c>
      <c r="F23" s="392"/>
      <c r="G23" s="3502" t="s">
        <v>432</v>
      </c>
      <c r="H23" s="3502"/>
      <c r="I23" s="3502"/>
      <c r="J23" s="385"/>
    </row>
    <row r="24" spans="2:10">
      <c r="B24" s="391"/>
      <c r="D24" s="392" t="s">
        <v>424</v>
      </c>
      <c r="E24" s="393">
        <v>3.5</v>
      </c>
      <c r="J24" s="385"/>
    </row>
    <row r="25" spans="2:10" ht="18.75">
      <c r="B25" s="391"/>
      <c r="D25" s="1730" t="s">
        <v>434</v>
      </c>
      <c r="E25" s="380">
        <f>E23*1.2*((E24^2)/2)</f>
        <v>6.6150000000000002</v>
      </c>
      <c r="F25" s="381" t="s">
        <v>425</v>
      </c>
      <c r="J25" s="385"/>
    </row>
    <row r="26" spans="2:10" ht="18">
      <c r="B26" s="1715" t="s">
        <v>1921</v>
      </c>
      <c r="D26" s="1730"/>
      <c r="J26" s="385"/>
    </row>
    <row r="27" spans="2:10" ht="21">
      <c r="B27" s="391"/>
      <c r="C27" s="1734" t="s">
        <v>98</v>
      </c>
      <c r="D27" s="392" t="s">
        <v>427</v>
      </c>
      <c r="E27" s="393">
        <v>0.15</v>
      </c>
      <c r="F27" s="392"/>
      <c r="G27" s="3502" t="s">
        <v>431</v>
      </c>
      <c r="H27" s="3502"/>
      <c r="I27" s="3502"/>
      <c r="J27" s="385"/>
    </row>
    <row r="28" spans="2:10">
      <c r="B28" s="391"/>
      <c r="D28" s="392" t="s">
        <v>424</v>
      </c>
      <c r="E28" s="393">
        <v>3.5</v>
      </c>
      <c r="J28" s="385"/>
    </row>
    <row r="29" spans="2:10" ht="18.75">
      <c r="B29" s="391"/>
      <c r="D29" s="1730" t="s">
        <v>435</v>
      </c>
      <c r="E29" s="380">
        <f>E27*1.2*((E28^2)/2)</f>
        <v>1.1025</v>
      </c>
      <c r="F29" s="381" t="s">
        <v>425</v>
      </c>
      <c r="J29" s="385"/>
    </row>
    <row r="30" spans="2:10" ht="15.75" thickBot="1">
      <c r="B30" s="1715" t="s">
        <v>1922</v>
      </c>
      <c r="J30" s="385"/>
    </row>
    <row r="31" spans="2:10">
      <c r="B31" s="2516"/>
      <c r="C31" s="382"/>
      <c r="D31" s="383"/>
      <c r="E31" s="383"/>
      <c r="F31" s="383"/>
      <c r="G31" s="384"/>
      <c r="H31" s="1736"/>
      <c r="I31" s="1736"/>
      <c r="J31" s="2517"/>
    </row>
    <row r="32" spans="2:10" ht="18.75">
      <c r="B32" s="2516"/>
      <c r="C32" s="3499" t="s">
        <v>436</v>
      </c>
      <c r="D32" s="3500"/>
      <c r="E32" s="1674">
        <f>E12+E17+E21+E25+E29</f>
        <v>30.539820737684749</v>
      </c>
      <c r="F32" s="390" t="s">
        <v>425</v>
      </c>
      <c r="G32" s="385"/>
      <c r="H32" s="1736"/>
      <c r="I32" s="1736"/>
      <c r="J32" s="2517"/>
    </row>
    <row r="33" spans="2:10" ht="15.75" thickBot="1">
      <c r="B33" s="2516"/>
      <c r="C33" s="386"/>
      <c r="D33" s="387"/>
      <c r="E33" s="387"/>
      <c r="F33" s="387"/>
      <c r="G33" s="388"/>
      <c r="H33" s="1736"/>
      <c r="I33" s="1736"/>
      <c r="J33" s="2517"/>
    </row>
    <row r="34" spans="2:10" ht="7.5" customHeight="1">
      <c r="B34" s="2516"/>
      <c r="C34" s="1736"/>
      <c r="D34" s="1736"/>
      <c r="E34" s="1736"/>
      <c r="F34" s="1736"/>
      <c r="G34" s="1736"/>
      <c r="H34" s="1736"/>
      <c r="I34" s="1736"/>
      <c r="J34" s="2517"/>
    </row>
    <row r="35" spans="2:10">
      <c r="B35" s="2516"/>
      <c r="C35" s="1736"/>
      <c r="D35" s="3471" t="s">
        <v>47</v>
      </c>
      <c r="E35" s="3471"/>
      <c r="F35" s="3471"/>
      <c r="G35" s="3471"/>
      <c r="H35" s="3471"/>
      <c r="I35" s="1736"/>
      <c r="J35" s="2517"/>
    </row>
    <row r="36" spans="2:10">
      <c r="B36" s="2516"/>
      <c r="C36" s="1736"/>
      <c r="D36" s="3471" t="s">
        <v>17</v>
      </c>
      <c r="E36" s="3471"/>
      <c r="F36" s="3471"/>
      <c r="G36" s="3471"/>
      <c r="H36" s="3471"/>
      <c r="I36" s="1736"/>
      <c r="J36" s="2517"/>
    </row>
    <row r="37" spans="2:10">
      <c r="B37" s="2516"/>
      <c r="C37" s="1736"/>
      <c r="D37" s="2518"/>
      <c r="E37" s="2518"/>
      <c r="F37" s="2518"/>
      <c r="G37" s="2519"/>
      <c r="H37" s="2520">
        <v>2026</v>
      </c>
      <c r="I37" s="1736"/>
      <c r="J37" s="2517"/>
    </row>
    <row r="38" spans="2:10" ht="15.75" thickBot="1">
      <c r="B38" s="2521"/>
      <c r="C38" s="2522"/>
      <c r="D38" s="2522"/>
      <c r="E38" s="2522"/>
      <c r="F38" s="2522"/>
      <c r="G38" s="2522"/>
      <c r="H38" s="2522"/>
      <c r="I38" s="2522"/>
      <c r="J38" s="2523"/>
    </row>
    <row r="52" spans="2:14" ht="18">
      <c r="B52" s="411"/>
      <c r="C52" s="3483" t="s">
        <v>530</v>
      </c>
      <c r="D52" s="3484"/>
      <c r="E52" s="3484"/>
      <c r="F52" s="3484"/>
      <c r="G52" s="3484"/>
      <c r="H52" s="3484"/>
      <c r="I52" s="3485"/>
      <c r="K52" s="430" t="s">
        <v>610</v>
      </c>
      <c r="M52" s="429"/>
      <c r="N52" s="430" t="s">
        <v>612</v>
      </c>
    </row>
    <row r="53" spans="2:14">
      <c r="B53" s="3486"/>
      <c r="C53" s="3488" t="s">
        <v>531</v>
      </c>
      <c r="D53" s="3489"/>
      <c r="E53" s="3490"/>
      <c r="F53" s="412" t="s">
        <v>532</v>
      </c>
      <c r="G53" s="413" t="s">
        <v>533</v>
      </c>
      <c r="H53" s="414" t="s">
        <v>534</v>
      </c>
      <c r="I53" s="3494" t="s">
        <v>535</v>
      </c>
      <c r="K53" s="429" t="s">
        <v>609</v>
      </c>
      <c r="N53" s="429" t="s">
        <v>613</v>
      </c>
    </row>
    <row r="54" spans="2:14">
      <c r="B54" s="3487"/>
      <c r="C54" s="3491"/>
      <c r="D54" s="3492"/>
      <c r="E54" s="3493"/>
      <c r="F54" s="415" t="s">
        <v>349</v>
      </c>
      <c r="G54" s="416" t="s">
        <v>536</v>
      </c>
      <c r="H54" s="417" t="s">
        <v>537</v>
      </c>
      <c r="I54" s="3495"/>
      <c r="K54" s="429" t="s">
        <v>611</v>
      </c>
      <c r="N54" s="429" t="s">
        <v>614</v>
      </c>
    </row>
    <row r="55" spans="2:14" ht="28.5" customHeight="1">
      <c r="B55" s="418">
        <v>1</v>
      </c>
      <c r="C55" s="3475" t="s">
        <v>538</v>
      </c>
      <c r="D55" s="3476"/>
      <c r="E55" s="3477"/>
      <c r="F55" s="1236">
        <v>70</v>
      </c>
      <c r="G55" s="419">
        <v>60</v>
      </c>
      <c r="H55" s="427">
        <f t="shared" ref="H55:H119" si="0">F55*G55</f>
        <v>4200</v>
      </c>
      <c r="I55" s="420" t="s">
        <v>539</v>
      </c>
      <c r="K55" s="432"/>
    </row>
    <row r="56" spans="2:14">
      <c r="B56" s="418">
        <v>2</v>
      </c>
      <c r="C56" s="3475" t="s">
        <v>540</v>
      </c>
      <c r="D56" s="3476"/>
      <c r="E56" s="3477"/>
      <c r="F56" s="1236"/>
      <c r="G56" s="419">
        <v>120</v>
      </c>
      <c r="H56" s="427">
        <f t="shared" si="0"/>
        <v>0</v>
      </c>
      <c r="I56" s="416" t="s">
        <v>541</v>
      </c>
      <c r="K56" s="433" t="s">
        <v>615</v>
      </c>
    </row>
    <row r="57" spans="2:14">
      <c r="B57" s="418">
        <v>3</v>
      </c>
      <c r="C57" s="3475" t="s">
        <v>542</v>
      </c>
      <c r="D57" s="3476"/>
      <c r="E57" s="3477"/>
      <c r="F57" s="1236"/>
      <c r="G57" s="419">
        <v>20</v>
      </c>
      <c r="H57" s="427">
        <f t="shared" si="0"/>
        <v>0</v>
      </c>
      <c r="I57" s="416"/>
      <c r="K57" s="431" t="s">
        <v>623</v>
      </c>
      <c r="N57" s="434" t="s">
        <v>616</v>
      </c>
    </row>
    <row r="58" spans="2:14">
      <c r="B58" s="418">
        <v>4</v>
      </c>
      <c r="C58" s="3475" t="s">
        <v>543</v>
      </c>
      <c r="D58" s="3476"/>
      <c r="E58" s="3477"/>
      <c r="F58" s="1236"/>
      <c r="G58" s="419">
        <v>80</v>
      </c>
      <c r="H58" s="427">
        <f t="shared" si="0"/>
        <v>0</v>
      </c>
      <c r="I58" s="416" t="s">
        <v>541</v>
      </c>
      <c r="K58" s="431" t="s">
        <v>624</v>
      </c>
      <c r="N58" s="435" t="s">
        <v>631</v>
      </c>
    </row>
    <row r="59" spans="2:14">
      <c r="B59" s="418">
        <v>5</v>
      </c>
      <c r="C59" s="3475" t="s">
        <v>544</v>
      </c>
      <c r="D59" s="3476"/>
      <c r="E59" s="3477"/>
      <c r="F59" s="1236">
        <v>70</v>
      </c>
      <c r="G59" s="419">
        <v>80</v>
      </c>
      <c r="H59" s="427">
        <f t="shared" si="0"/>
        <v>5600</v>
      </c>
      <c r="I59" s="416" t="s">
        <v>541</v>
      </c>
      <c r="K59" s="431" t="s">
        <v>625</v>
      </c>
      <c r="N59" s="435" t="s">
        <v>618</v>
      </c>
    </row>
    <row r="60" spans="2:14">
      <c r="B60" s="418">
        <v>6</v>
      </c>
      <c r="C60" s="3475" t="s">
        <v>545</v>
      </c>
      <c r="D60" s="3476"/>
      <c r="E60" s="3477"/>
      <c r="F60" s="1236"/>
      <c r="G60" s="419">
        <v>25</v>
      </c>
      <c r="H60" s="427">
        <f t="shared" si="0"/>
        <v>0</v>
      </c>
      <c r="I60" s="416" t="s">
        <v>541</v>
      </c>
      <c r="K60" s="431" t="s">
        <v>630</v>
      </c>
      <c r="N60" s="435" t="s">
        <v>619</v>
      </c>
    </row>
    <row r="61" spans="2:14">
      <c r="B61" s="418">
        <v>7</v>
      </c>
      <c r="C61" s="3475" t="s">
        <v>546</v>
      </c>
      <c r="D61" s="3481"/>
      <c r="E61" s="3482"/>
      <c r="F61" s="1236"/>
      <c r="G61" s="419">
        <v>60</v>
      </c>
      <c r="H61" s="427">
        <f t="shared" si="0"/>
        <v>0</v>
      </c>
      <c r="I61" s="416" t="s">
        <v>541</v>
      </c>
      <c r="K61" s="431" t="s">
        <v>626</v>
      </c>
      <c r="N61" s="435" t="s">
        <v>620</v>
      </c>
    </row>
    <row r="62" spans="2:14">
      <c r="B62" s="418">
        <v>8</v>
      </c>
      <c r="C62" s="3475" t="s">
        <v>547</v>
      </c>
      <c r="D62" s="3481"/>
      <c r="E62" s="3482"/>
      <c r="F62" s="1236"/>
      <c r="G62" s="419">
        <v>30</v>
      </c>
      <c r="H62" s="427">
        <f t="shared" si="0"/>
        <v>0</v>
      </c>
      <c r="I62" s="416"/>
      <c r="K62" s="431" t="s">
        <v>627</v>
      </c>
      <c r="N62" s="435" t="s">
        <v>621</v>
      </c>
    </row>
    <row r="63" spans="2:14">
      <c r="B63" s="418">
        <v>9</v>
      </c>
      <c r="C63" s="3475" t="s">
        <v>548</v>
      </c>
      <c r="D63" s="3476"/>
      <c r="E63" s="3477"/>
      <c r="F63" s="1236"/>
      <c r="G63" s="419">
        <v>24</v>
      </c>
      <c r="H63" s="427">
        <f t="shared" si="0"/>
        <v>0</v>
      </c>
      <c r="I63" s="416"/>
      <c r="K63" s="431" t="s">
        <v>628</v>
      </c>
      <c r="N63" s="435" t="s">
        <v>617</v>
      </c>
    </row>
    <row r="64" spans="2:14" ht="30.75" customHeight="1">
      <c r="B64" s="418">
        <v>10</v>
      </c>
      <c r="C64" s="3475" t="s">
        <v>549</v>
      </c>
      <c r="D64" s="3476"/>
      <c r="E64" s="3477"/>
      <c r="F64" s="1236"/>
      <c r="G64" s="419">
        <v>24</v>
      </c>
      <c r="H64" s="427">
        <f t="shared" si="0"/>
        <v>0</v>
      </c>
      <c r="I64" s="420" t="s">
        <v>539</v>
      </c>
      <c r="K64" s="431" t="s">
        <v>629</v>
      </c>
      <c r="N64" s="435" t="s">
        <v>622</v>
      </c>
    </row>
    <row r="65" spans="2:14">
      <c r="B65" s="418">
        <v>11</v>
      </c>
      <c r="C65" s="3475" t="s">
        <v>550</v>
      </c>
      <c r="D65" s="3481"/>
      <c r="E65" s="3482"/>
      <c r="F65" s="1236"/>
      <c r="G65" s="419">
        <v>30</v>
      </c>
      <c r="H65" s="427">
        <f t="shared" si="0"/>
        <v>0</v>
      </c>
      <c r="I65" s="416" t="s">
        <v>541</v>
      </c>
      <c r="K65" s="431" t="s">
        <v>633</v>
      </c>
      <c r="N65" s="435" t="s">
        <v>632</v>
      </c>
    </row>
    <row r="66" spans="2:14" ht="14.25" customHeight="1">
      <c r="B66" s="418">
        <v>12</v>
      </c>
      <c r="C66" s="3475" t="s">
        <v>551</v>
      </c>
      <c r="D66" s="3476"/>
      <c r="E66" s="3477"/>
      <c r="F66" s="1236"/>
      <c r="G66" s="419">
        <v>24</v>
      </c>
      <c r="H66" s="427">
        <f t="shared" si="0"/>
        <v>0</v>
      </c>
      <c r="I66" s="420" t="s">
        <v>539</v>
      </c>
      <c r="K66" s="431" t="s">
        <v>634</v>
      </c>
      <c r="N66" s="435" t="s">
        <v>635</v>
      </c>
    </row>
    <row r="67" spans="2:14">
      <c r="B67" s="418">
        <v>13</v>
      </c>
      <c r="C67" s="3475" t="s">
        <v>552</v>
      </c>
      <c r="D67" s="3476"/>
      <c r="E67" s="3477"/>
      <c r="F67" s="1236"/>
      <c r="G67" s="419">
        <v>30</v>
      </c>
      <c r="H67" s="427">
        <f t="shared" si="0"/>
        <v>0</v>
      </c>
      <c r="I67" s="416"/>
      <c r="K67" s="431" t="s">
        <v>636</v>
      </c>
      <c r="N67" s="435" t="s">
        <v>637</v>
      </c>
    </row>
    <row r="68" spans="2:14">
      <c r="B68" s="418">
        <v>14</v>
      </c>
      <c r="C68" s="3475" t="s">
        <v>545</v>
      </c>
      <c r="D68" s="3476"/>
      <c r="E68" s="3477"/>
      <c r="F68" s="1236"/>
      <c r="G68" s="419">
        <v>18</v>
      </c>
      <c r="H68" s="427">
        <f t="shared" si="0"/>
        <v>0</v>
      </c>
      <c r="I68" s="416" t="s">
        <v>541</v>
      </c>
    </row>
    <row r="69" spans="2:14">
      <c r="B69" s="418">
        <v>15</v>
      </c>
      <c r="C69" s="3475" t="s">
        <v>553</v>
      </c>
      <c r="D69" s="3476"/>
      <c r="E69" s="3477"/>
      <c r="F69" s="1236"/>
      <c r="G69" s="419">
        <v>18</v>
      </c>
      <c r="H69" s="427">
        <f t="shared" si="0"/>
        <v>0</v>
      </c>
      <c r="I69" s="416"/>
    </row>
    <row r="70" spans="2:14">
      <c r="B70" s="418">
        <v>16</v>
      </c>
      <c r="C70" s="3475" t="s">
        <v>554</v>
      </c>
      <c r="D70" s="3476"/>
      <c r="E70" s="3477"/>
      <c r="F70" s="1236"/>
      <c r="G70" s="419">
        <v>20</v>
      </c>
      <c r="H70" s="427">
        <f t="shared" si="0"/>
        <v>0</v>
      </c>
      <c r="I70" s="416" t="s">
        <v>541</v>
      </c>
    </row>
    <row r="71" spans="2:14" ht="27.75" customHeight="1">
      <c r="B71" s="418">
        <v>17</v>
      </c>
      <c r="C71" s="3475" t="s">
        <v>555</v>
      </c>
      <c r="D71" s="3476"/>
      <c r="E71" s="3477"/>
      <c r="F71" s="1236"/>
      <c r="G71" s="419">
        <v>45</v>
      </c>
      <c r="H71" s="427">
        <f t="shared" si="0"/>
        <v>0</v>
      </c>
      <c r="I71" s="420" t="s">
        <v>539</v>
      </c>
    </row>
    <row r="72" spans="2:14">
      <c r="B72" s="418">
        <v>18</v>
      </c>
      <c r="C72" s="3475" t="s">
        <v>556</v>
      </c>
      <c r="D72" s="3476"/>
      <c r="E72" s="3477"/>
      <c r="F72" s="1236"/>
      <c r="G72" s="419">
        <v>10</v>
      </c>
      <c r="H72" s="427">
        <f t="shared" si="0"/>
        <v>0</v>
      </c>
      <c r="I72" s="416"/>
    </row>
    <row r="73" spans="2:14" ht="28.5" customHeight="1">
      <c r="B73" s="418">
        <v>19</v>
      </c>
      <c r="C73" s="3475" t="s">
        <v>557</v>
      </c>
      <c r="D73" s="3476"/>
      <c r="E73" s="3477"/>
      <c r="F73" s="1236"/>
      <c r="G73" s="419">
        <v>30</v>
      </c>
      <c r="H73" s="427">
        <f t="shared" si="0"/>
        <v>0</v>
      </c>
      <c r="I73" s="420" t="s">
        <v>558</v>
      </c>
    </row>
    <row r="74" spans="2:14">
      <c r="B74" s="418">
        <v>20</v>
      </c>
      <c r="C74" s="3475" t="s">
        <v>543</v>
      </c>
      <c r="D74" s="3476"/>
      <c r="E74" s="3477"/>
      <c r="F74" s="1236"/>
      <c r="G74" s="419">
        <v>80</v>
      </c>
      <c r="H74" s="427">
        <f t="shared" si="0"/>
        <v>0</v>
      </c>
      <c r="I74" s="416"/>
    </row>
    <row r="75" spans="2:14">
      <c r="B75" s="418">
        <v>21</v>
      </c>
      <c r="C75" s="3475" t="s">
        <v>559</v>
      </c>
      <c r="D75" s="3476"/>
      <c r="E75" s="3477"/>
      <c r="F75" s="1236"/>
      <c r="G75" s="419">
        <v>18</v>
      </c>
      <c r="H75" s="427">
        <f t="shared" si="0"/>
        <v>0</v>
      </c>
      <c r="I75" s="416"/>
    </row>
    <row r="76" spans="2:14">
      <c r="B76" s="418">
        <v>22</v>
      </c>
      <c r="C76" s="3475" t="s">
        <v>560</v>
      </c>
      <c r="D76" s="3476"/>
      <c r="E76" s="3477"/>
      <c r="F76" s="1236"/>
      <c r="G76" s="419">
        <v>15</v>
      </c>
      <c r="H76" s="427">
        <f t="shared" si="0"/>
        <v>0</v>
      </c>
      <c r="I76" s="416"/>
    </row>
    <row r="77" spans="2:14">
      <c r="B77" s="418">
        <v>23</v>
      </c>
      <c r="C77" s="421" t="s">
        <v>561</v>
      </c>
      <c r="D77" s="421"/>
      <c r="E77" s="421"/>
      <c r="F77" s="1236"/>
      <c r="G77" s="419">
        <v>30</v>
      </c>
      <c r="H77" s="427">
        <f t="shared" si="0"/>
        <v>0</v>
      </c>
      <c r="I77" s="416"/>
    </row>
    <row r="78" spans="2:14">
      <c r="B78" s="418">
        <v>24</v>
      </c>
      <c r="C78" s="3475" t="s">
        <v>562</v>
      </c>
      <c r="D78" s="3476"/>
      <c r="E78" s="3477"/>
      <c r="F78" s="1236"/>
      <c r="G78" s="419">
        <v>25</v>
      </c>
      <c r="H78" s="427">
        <f t="shared" si="0"/>
        <v>0</v>
      </c>
      <c r="I78" s="416"/>
    </row>
    <row r="79" spans="2:14">
      <c r="B79" s="418">
        <v>25</v>
      </c>
      <c r="C79" s="3475" t="s">
        <v>563</v>
      </c>
      <c r="D79" s="3476"/>
      <c r="E79" s="3477"/>
      <c r="F79" s="1236"/>
      <c r="G79" s="419">
        <v>50</v>
      </c>
      <c r="H79" s="427">
        <f t="shared" si="0"/>
        <v>0</v>
      </c>
      <c r="I79" s="416"/>
    </row>
    <row r="80" spans="2:14">
      <c r="B80" s="418">
        <v>26</v>
      </c>
      <c r="C80" s="3475" t="s">
        <v>564</v>
      </c>
      <c r="D80" s="3476"/>
      <c r="E80" s="3477"/>
      <c r="F80" s="1236"/>
      <c r="G80" s="419">
        <v>30</v>
      </c>
      <c r="H80" s="427">
        <f t="shared" si="0"/>
        <v>0</v>
      </c>
      <c r="I80" s="416"/>
    </row>
    <row r="81" spans="2:9">
      <c r="B81" s="418">
        <v>27</v>
      </c>
      <c r="C81" s="3475" t="s">
        <v>565</v>
      </c>
      <c r="D81" s="3476"/>
      <c r="E81" s="3477"/>
      <c r="F81" s="1236"/>
      <c r="G81" s="419">
        <v>20</v>
      </c>
      <c r="H81" s="427">
        <f t="shared" si="0"/>
        <v>0</v>
      </c>
      <c r="I81" s="416"/>
    </row>
    <row r="82" spans="2:9">
      <c r="B82" s="418">
        <v>28</v>
      </c>
      <c r="C82" s="3475" t="s">
        <v>566</v>
      </c>
      <c r="D82" s="3476"/>
      <c r="E82" s="3477"/>
      <c r="F82" s="1236"/>
      <c r="G82" s="419">
        <v>20</v>
      </c>
      <c r="H82" s="427">
        <f t="shared" si="0"/>
        <v>0</v>
      </c>
      <c r="I82" s="416"/>
    </row>
    <row r="83" spans="2:9">
      <c r="B83" s="418">
        <v>29</v>
      </c>
      <c r="C83" s="3475" t="s">
        <v>567</v>
      </c>
      <c r="D83" s="3476"/>
      <c r="E83" s="3477"/>
      <c r="F83" s="1236"/>
      <c r="G83" s="419">
        <v>25</v>
      </c>
      <c r="H83" s="427">
        <f t="shared" si="0"/>
        <v>0</v>
      </c>
      <c r="I83" s="416"/>
    </row>
    <row r="84" spans="2:9">
      <c r="B84" s="418">
        <v>30</v>
      </c>
      <c r="C84" s="3475" t="s">
        <v>568</v>
      </c>
      <c r="D84" s="3476"/>
      <c r="E84" s="3477"/>
      <c r="F84" s="1236"/>
      <c r="G84" s="419">
        <v>25</v>
      </c>
      <c r="H84" s="427">
        <f t="shared" si="0"/>
        <v>0</v>
      </c>
      <c r="I84" s="416"/>
    </row>
    <row r="85" spans="2:9">
      <c r="B85" s="418">
        <v>31</v>
      </c>
      <c r="C85" s="3475" t="s">
        <v>569</v>
      </c>
      <c r="D85" s="3476"/>
      <c r="E85" s="3477"/>
      <c r="F85" s="1236">
        <v>8.67</v>
      </c>
      <c r="G85" s="419">
        <v>30</v>
      </c>
      <c r="H85" s="427">
        <f t="shared" si="0"/>
        <v>260.10000000000002</v>
      </c>
      <c r="I85" s="416"/>
    </row>
    <row r="86" spans="2:9">
      <c r="B86" s="418">
        <v>32</v>
      </c>
      <c r="C86" s="3475" t="s">
        <v>570</v>
      </c>
      <c r="D86" s="3476"/>
      <c r="E86" s="3477"/>
      <c r="F86" s="1236"/>
      <c r="G86" s="419">
        <v>10</v>
      </c>
      <c r="H86" s="427">
        <f t="shared" si="0"/>
        <v>0</v>
      </c>
      <c r="I86" s="416"/>
    </row>
    <row r="87" spans="2:9">
      <c r="B87" s="418">
        <v>33</v>
      </c>
      <c r="C87" s="3475" t="s">
        <v>571</v>
      </c>
      <c r="D87" s="3476"/>
      <c r="E87" s="3477"/>
      <c r="F87" s="1236"/>
      <c r="G87" s="419">
        <v>10</v>
      </c>
      <c r="H87" s="427">
        <f t="shared" si="0"/>
        <v>0</v>
      </c>
      <c r="I87" s="416"/>
    </row>
    <row r="88" spans="2:9">
      <c r="B88" s="418">
        <v>34</v>
      </c>
      <c r="C88" s="3475" t="s">
        <v>572</v>
      </c>
      <c r="D88" s="3476"/>
      <c r="E88" s="3477"/>
      <c r="F88" s="1236"/>
      <c r="G88" s="419">
        <v>15</v>
      </c>
      <c r="H88" s="427">
        <f t="shared" si="0"/>
        <v>0</v>
      </c>
      <c r="I88" s="416"/>
    </row>
    <row r="89" spans="2:9">
      <c r="B89" s="418">
        <v>35</v>
      </c>
      <c r="C89" s="3475" t="s">
        <v>573</v>
      </c>
      <c r="D89" s="3476"/>
      <c r="E89" s="3477"/>
      <c r="F89" s="1236"/>
      <c r="G89" s="419">
        <v>15</v>
      </c>
      <c r="H89" s="427">
        <f t="shared" si="0"/>
        <v>0</v>
      </c>
      <c r="I89" s="416"/>
    </row>
    <row r="90" spans="2:9">
      <c r="B90" s="418">
        <v>36</v>
      </c>
      <c r="C90" s="3475" t="s">
        <v>574</v>
      </c>
      <c r="D90" s="3476"/>
      <c r="E90" s="3477"/>
      <c r="F90" s="1236"/>
      <c r="G90" s="419">
        <v>40</v>
      </c>
      <c r="H90" s="427">
        <f t="shared" si="0"/>
        <v>0</v>
      </c>
      <c r="I90" s="416" t="s">
        <v>541</v>
      </c>
    </row>
    <row r="91" spans="2:9" ht="30">
      <c r="B91" s="418">
        <v>37</v>
      </c>
      <c r="C91" s="3475" t="s">
        <v>575</v>
      </c>
      <c r="D91" s="3476"/>
      <c r="E91" s="3477"/>
      <c r="F91" s="1236"/>
      <c r="G91" s="419">
        <v>15</v>
      </c>
      <c r="H91" s="427">
        <f t="shared" si="0"/>
        <v>0</v>
      </c>
      <c r="I91" s="420" t="s">
        <v>539</v>
      </c>
    </row>
    <row r="92" spans="2:9" ht="30">
      <c r="B92" s="418">
        <v>38</v>
      </c>
      <c r="C92" s="3475" t="s">
        <v>576</v>
      </c>
      <c r="D92" s="3476"/>
      <c r="E92" s="3477"/>
      <c r="F92" s="1236"/>
      <c r="G92" s="419">
        <v>30</v>
      </c>
      <c r="H92" s="427">
        <f t="shared" si="0"/>
        <v>0</v>
      </c>
      <c r="I92" s="420" t="s">
        <v>539</v>
      </c>
    </row>
    <row r="93" spans="2:9">
      <c r="B93" s="418">
        <v>39</v>
      </c>
      <c r="C93" s="3475" t="s">
        <v>577</v>
      </c>
      <c r="D93" s="3476"/>
      <c r="E93" s="3477"/>
      <c r="F93" s="1236"/>
      <c r="G93" s="419">
        <v>40</v>
      </c>
      <c r="H93" s="427">
        <f t="shared" si="0"/>
        <v>0</v>
      </c>
      <c r="I93" s="416"/>
    </row>
    <row r="94" spans="2:9">
      <c r="B94" s="418">
        <v>40</v>
      </c>
      <c r="C94" s="3475" t="s">
        <v>578</v>
      </c>
      <c r="D94" s="3476"/>
      <c r="E94" s="3477"/>
      <c r="F94" s="1236"/>
      <c r="G94" s="419">
        <v>30</v>
      </c>
      <c r="H94" s="427">
        <f t="shared" si="0"/>
        <v>0</v>
      </c>
      <c r="I94" s="416"/>
    </row>
    <row r="95" spans="2:9">
      <c r="B95" s="418">
        <v>41</v>
      </c>
      <c r="C95" s="3475" t="s">
        <v>579</v>
      </c>
      <c r="D95" s="3476"/>
      <c r="E95" s="3477"/>
      <c r="F95" s="1236"/>
      <c r="G95" s="419">
        <v>25</v>
      </c>
      <c r="H95" s="427">
        <f t="shared" si="0"/>
        <v>0</v>
      </c>
      <c r="I95" s="416"/>
    </row>
    <row r="96" spans="2:9">
      <c r="B96" s="418">
        <v>42</v>
      </c>
      <c r="C96" s="3475" t="s">
        <v>580</v>
      </c>
      <c r="D96" s="3476"/>
      <c r="E96" s="3477"/>
      <c r="F96" s="1236"/>
      <c r="G96" s="419">
        <v>60</v>
      </c>
      <c r="H96" s="427">
        <f t="shared" si="0"/>
        <v>0</v>
      </c>
      <c r="I96" s="416"/>
    </row>
    <row r="97" spans="2:9">
      <c r="B97" s="418">
        <v>43</v>
      </c>
      <c r="C97" s="3475" t="s">
        <v>581</v>
      </c>
      <c r="D97" s="3476"/>
      <c r="E97" s="3477"/>
      <c r="F97" s="1236"/>
      <c r="G97" s="419">
        <v>120</v>
      </c>
      <c r="H97" s="427">
        <f t="shared" si="0"/>
        <v>0</v>
      </c>
      <c r="I97" s="416"/>
    </row>
    <row r="98" spans="2:9">
      <c r="B98" s="418">
        <v>44</v>
      </c>
      <c r="C98" s="3475" t="s">
        <v>582</v>
      </c>
      <c r="D98" s="3476"/>
      <c r="E98" s="3477"/>
      <c r="F98" s="1236"/>
      <c r="G98" s="419">
        <v>700</v>
      </c>
      <c r="H98" s="427">
        <f t="shared" si="0"/>
        <v>0</v>
      </c>
      <c r="I98" s="416"/>
    </row>
    <row r="99" spans="2:9">
      <c r="B99" s="418">
        <v>45</v>
      </c>
      <c r="C99" s="3475" t="s">
        <v>583</v>
      </c>
      <c r="D99" s="3476"/>
      <c r="E99" s="3477"/>
      <c r="F99" s="1236"/>
      <c r="G99" s="419">
        <v>120</v>
      </c>
      <c r="H99" s="427">
        <f t="shared" si="0"/>
        <v>0</v>
      </c>
      <c r="I99" s="416"/>
    </row>
    <row r="100" spans="2:9">
      <c r="B100" s="418">
        <v>46</v>
      </c>
      <c r="C100" s="3475" t="s">
        <v>584</v>
      </c>
      <c r="D100" s="3476"/>
      <c r="E100" s="3477"/>
      <c r="F100" s="1236"/>
      <c r="G100" s="419">
        <v>30</v>
      </c>
      <c r="H100" s="427">
        <f t="shared" si="0"/>
        <v>0</v>
      </c>
      <c r="I100" s="416"/>
    </row>
    <row r="101" spans="2:9">
      <c r="B101" s="418">
        <v>47</v>
      </c>
      <c r="C101" s="3475" t="s">
        <v>585</v>
      </c>
      <c r="D101" s="3476"/>
      <c r="E101" s="3477"/>
      <c r="F101" s="1236"/>
      <c r="G101" s="419">
        <v>45</v>
      </c>
      <c r="H101" s="427">
        <f t="shared" si="0"/>
        <v>0</v>
      </c>
      <c r="I101" s="416"/>
    </row>
    <row r="102" spans="2:9">
      <c r="B102" s="418">
        <v>48</v>
      </c>
      <c r="C102" s="3475" t="s">
        <v>586</v>
      </c>
      <c r="D102" s="3476"/>
      <c r="E102" s="3477"/>
      <c r="F102" s="1236"/>
      <c r="G102" s="419">
        <v>25</v>
      </c>
      <c r="H102" s="427">
        <f t="shared" si="0"/>
        <v>0</v>
      </c>
      <c r="I102" s="416"/>
    </row>
    <row r="103" spans="2:9">
      <c r="B103" s="418">
        <v>49</v>
      </c>
      <c r="C103" s="3475" t="s">
        <v>587</v>
      </c>
      <c r="D103" s="3476"/>
      <c r="E103" s="3477"/>
      <c r="F103" s="1236"/>
      <c r="G103" s="419">
        <v>30</v>
      </c>
      <c r="H103" s="427">
        <f t="shared" si="0"/>
        <v>0</v>
      </c>
      <c r="I103" s="416"/>
    </row>
    <row r="104" spans="2:9">
      <c r="B104" s="418">
        <v>50</v>
      </c>
      <c r="C104" s="3475" t="s">
        <v>588</v>
      </c>
      <c r="D104" s="3476"/>
      <c r="E104" s="3477"/>
      <c r="F104" s="1236"/>
      <c r="G104" s="419">
        <v>45</v>
      </c>
      <c r="H104" s="427">
        <f t="shared" si="0"/>
        <v>0</v>
      </c>
      <c r="I104" s="416"/>
    </row>
    <row r="105" spans="2:9">
      <c r="B105" s="418">
        <v>51</v>
      </c>
      <c r="C105" s="3475" t="s">
        <v>589</v>
      </c>
      <c r="D105" s="3476"/>
      <c r="E105" s="3477"/>
      <c r="F105" s="1236"/>
      <c r="G105" s="419">
        <v>60</v>
      </c>
      <c r="H105" s="427">
        <f t="shared" si="0"/>
        <v>0</v>
      </c>
      <c r="I105" s="416" t="s">
        <v>541</v>
      </c>
    </row>
    <row r="106" spans="2:9">
      <c r="B106" s="418">
        <v>52</v>
      </c>
      <c r="C106" s="3475" t="s">
        <v>590</v>
      </c>
      <c r="D106" s="3476"/>
      <c r="E106" s="3477"/>
      <c r="F106" s="1236"/>
      <c r="G106" s="419">
        <v>45</v>
      </c>
      <c r="H106" s="427">
        <f t="shared" si="0"/>
        <v>0</v>
      </c>
      <c r="I106" s="416" t="s">
        <v>541</v>
      </c>
    </row>
    <row r="107" spans="2:9">
      <c r="B107" s="418">
        <v>53</v>
      </c>
      <c r="C107" s="3475" t="s">
        <v>591</v>
      </c>
      <c r="D107" s="3476"/>
      <c r="E107" s="3477"/>
      <c r="F107" s="1236"/>
      <c r="G107" s="419">
        <v>45</v>
      </c>
      <c r="H107" s="427">
        <f t="shared" si="0"/>
        <v>0</v>
      </c>
      <c r="I107" s="416" t="s">
        <v>541</v>
      </c>
    </row>
    <row r="108" spans="2:9">
      <c r="B108" s="418">
        <v>54</v>
      </c>
      <c r="C108" s="3475" t="s">
        <v>592</v>
      </c>
      <c r="D108" s="3476"/>
      <c r="E108" s="3477"/>
      <c r="F108" s="1236"/>
      <c r="G108" s="419">
        <v>60</v>
      </c>
      <c r="H108" s="427">
        <f t="shared" si="0"/>
        <v>0</v>
      </c>
      <c r="I108" s="416" t="s">
        <v>541</v>
      </c>
    </row>
    <row r="109" spans="2:9">
      <c r="B109" s="418">
        <v>55</v>
      </c>
      <c r="C109" s="3475" t="s">
        <v>593</v>
      </c>
      <c r="D109" s="3476"/>
      <c r="E109" s="3477"/>
      <c r="F109" s="1236"/>
      <c r="G109" s="419">
        <v>60</v>
      </c>
      <c r="H109" s="427">
        <f t="shared" si="0"/>
        <v>0</v>
      </c>
      <c r="I109" s="416"/>
    </row>
    <row r="110" spans="2:9">
      <c r="B110" s="418">
        <v>56</v>
      </c>
      <c r="C110" s="3475" t="s">
        <v>594</v>
      </c>
      <c r="D110" s="3481"/>
      <c r="E110" s="3482"/>
      <c r="F110" s="1236"/>
      <c r="G110" s="419">
        <v>35</v>
      </c>
      <c r="H110" s="427">
        <f t="shared" si="0"/>
        <v>0</v>
      </c>
      <c r="I110" s="416"/>
    </row>
    <row r="111" spans="2:9">
      <c r="B111" s="418">
        <v>57</v>
      </c>
      <c r="C111" s="3475" t="s">
        <v>595</v>
      </c>
      <c r="D111" s="3476"/>
      <c r="E111" s="3477"/>
      <c r="F111" s="1236"/>
      <c r="G111" s="419">
        <v>25</v>
      </c>
      <c r="H111" s="427">
        <f t="shared" si="0"/>
        <v>0</v>
      </c>
      <c r="I111" s="416" t="s">
        <v>541</v>
      </c>
    </row>
    <row r="112" spans="2:9">
      <c r="B112" s="418">
        <v>58</v>
      </c>
      <c r="C112" s="3475" t="s">
        <v>596</v>
      </c>
      <c r="D112" s="3476"/>
      <c r="E112" s="3477"/>
      <c r="F112" s="1236"/>
      <c r="G112" s="419">
        <v>35</v>
      </c>
      <c r="H112" s="427">
        <f t="shared" si="0"/>
        <v>0</v>
      </c>
      <c r="I112" s="416" t="s">
        <v>541</v>
      </c>
    </row>
    <row r="113" spans="2:9">
      <c r="B113" s="418">
        <v>59</v>
      </c>
      <c r="C113" s="3475" t="s">
        <v>597</v>
      </c>
      <c r="D113" s="3476"/>
      <c r="E113" s="3477"/>
      <c r="F113" s="1236"/>
      <c r="G113" s="419">
        <v>45</v>
      </c>
      <c r="H113" s="427">
        <f t="shared" si="0"/>
        <v>0</v>
      </c>
      <c r="I113" s="416" t="s">
        <v>541</v>
      </c>
    </row>
    <row r="114" spans="2:9">
      <c r="B114" s="418">
        <v>60</v>
      </c>
      <c r="C114" s="422" t="s">
        <v>598</v>
      </c>
      <c r="D114" s="423"/>
      <c r="E114" s="424"/>
      <c r="F114" s="1236"/>
      <c r="G114" s="419">
        <v>15</v>
      </c>
      <c r="H114" s="427">
        <f t="shared" si="0"/>
        <v>0</v>
      </c>
      <c r="I114" s="416" t="s">
        <v>541</v>
      </c>
    </row>
    <row r="115" spans="2:9">
      <c r="B115" s="418">
        <v>61</v>
      </c>
      <c r="C115" s="3475" t="s">
        <v>599</v>
      </c>
      <c r="D115" s="3481"/>
      <c r="E115" s="3482"/>
      <c r="F115" s="1236"/>
      <c r="G115" s="419">
        <v>60</v>
      </c>
      <c r="H115" s="427">
        <f t="shared" si="0"/>
        <v>0</v>
      </c>
      <c r="I115" s="416" t="s">
        <v>541</v>
      </c>
    </row>
    <row r="116" spans="2:9">
      <c r="B116" s="418">
        <v>62</v>
      </c>
      <c r="C116" s="3475" t="s">
        <v>600</v>
      </c>
      <c r="D116" s="3481"/>
      <c r="E116" s="3482"/>
      <c r="F116" s="1236"/>
      <c r="G116" s="419">
        <v>15</v>
      </c>
      <c r="H116" s="427">
        <f t="shared" si="0"/>
        <v>0</v>
      </c>
      <c r="I116" s="416" t="s">
        <v>541</v>
      </c>
    </row>
    <row r="117" spans="2:9">
      <c r="B117" s="418">
        <v>63</v>
      </c>
      <c r="C117" s="3475" t="s">
        <v>601</v>
      </c>
      <c r="D117" s="3481"/>
      <c r="E117" s="3482"/>
      <c r="F117" s="1236"/>
      <c r="G117" s="419">
        <v>25</v>
      </c>
      <c r="H117" s="427">
        <f t="shared" si="0"/>
        <v>0</v>
      </c>
      <c r="I117" s="416" t="s">
        <v>541</v>
      </c>
    </row>
    <row r="118" spans="2:9">
      <c r="B118" s="418">
        <v>64</v>
      </c>
      <c r="C118" s="3475" t="s">
        <v>602</v>
      </c>
      <c r="D118" s="3476"/>
      <c r="E118" s="3477"/>
      <c r="F118" s="1236"/>
      <c r="G118" s="419">
        <v>90</v>
      </c>
      <c r="H118" s="427">
        <f t="shared" si="0"/>
        <v>0</v>
      </c>
      <c r="I118" s="416"/>
    </row>
    <row r="119" spans="2:9">
      <c r="B119" s="418">
        <v>65</v>
      </c>
      <c r="C119" s="3475" t="s">
        <v>603</v>
      </c>
      <c r="D119" s="3476"/>
      <c r="E119" s="3477"/>
      <c r="F119" s="1236"/>
      <c r="G119" s="419">
        <v>20</v>
      </c>
      <c r="H119" s="427">
        <f t="shared" si="0"/>
        <v>0</v>
      </c>
      <c r="I119" s="416"/>
    </row>
    <row r="120" spans="2:9">
      <c r="B120" s="418">
        <v>66</v>
      </c>
      <c r="C120" s="3478" t="s">
        <v>604</v>
      </c>
      <c r="D120" s="3479"/>
      <c r="E120" s="3480"/>
      <c r="F120" s="1236"/>
      <c r="G120" s="419">
        <v>20</v>
      </c>
      <c r="H120" s="427">
        <f>F120*G120</f>
        <v>0</v>
      </c>
      <c r="I120" s="416"/>
    </row>
    <row r="121" spans="2:9">
      <c r="B121" s="418">
        <v>67</v>
      </c>
      <c r="C121" s="3475" t="s">
        <v>605</v>
      </c>
      <c r="D121" s="3476"/>
      <c r="E121" s="3477"/>
      <c r="F121" s="1236"/>
      <c r="G121" s="419">
        <v>6</v>
      </c>
      <c r="H121" s="427">
        <f>F121*G121</f>
        <v>0</v>
      </c>
      <c r="I121" s="416"/>
    </row>
    <row r="122" spans="2:9">
      <c r="B122" s="418">
        <v>68</v>
      </c>
      <c r="C122" s="3475" t="s">
        <v>606</v>
      </c>
      <c r="D122" s="3476"/>
      <c r="E122" s="3477"/>
      <c r="F122" s="1236"/>
      <c r="G122" s="419">
        <v>180</v>
      </c>
      <c r="H122" s="427">
        <f>F122*G122</f>
        <v>0</v>
      </c>
      <c r="I122" s="416"/>
    </row>
    <row r="123" spans="2:9">
      <c r="B123" s="418">
        <v>69</v>
      </c>
      <c r="C123" s="3473" t="s">
        <v>607</v>
      </c>
      <c r="D123" s="3473"/>
      <c r="E123" s="3473"/>
      <c r="F123" s="1237"/>
      <c r="G123" s="425">
        <v>45</v>
      </c>
      <c r="H123" s="427">
        <f>F123*G123</f>
        <v>0</v>
      </c>
      <c r="I123" s="416"/>
    </row>
    <row r="124" spans="2:9">
      <c r="B124" s="243"/>
      <c r="C124" s="426"/>
      <c r="D124" s="243"/>
      <c r="E124" s="243"/>
      <c r="F124" s="3474" t="s">
        <v>608</v>
      </c>
      <c r="G124" s="3474"/>
      <c r="H124" s="428">
        <f>SUM(H55:H123)</f>
        <v>10060.1</v>
      </c>
      <c r="I124" s="243"/>
    </row>
  </sheetData>
  <sheetProtection algorithmName="SHA-512" hashValue="exkT2jfcb4VVkia8FyE7ovQMAK3e5AH38heEGdmwp6uLk8jzjfCk7v3bPCZ84Hj/XJ3v71gGG3bfEConP9zmGQ==" saltValue="AUANADUkBMtT/cj4TazmeA==" spinCount="100000" sheet="1" objects="1" selectLockedCells="1"/>
  <mergeCells count="85">
    <mergeCell ref="B4:J4"/>
    <mergeCell ref="D35:H35"/>
    <mergeCell ref="C32:D32"/>
    <mergeCell ref="C6:E6"/>
    <mergeCell ref="C14:E14"/>
    <mergeCell ref="G15:I15"/>
    <mergeCell ref="G19:I19"/>
    <mergeCell ref="G23:I23"/>
    <mergeCell ref="G27:I27"/>
    <mergeCell ref="B11:C11"/>
    <mergeCell ref="C52:I52"/>
    <mergeCell ref="B53:B54"/>
    <mergeCell ref="C53:E54"/>
    <mergeCell ref="I53:I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C68:E68"/>
    <mergeCell ref="C69:E69"/>
    <mergeCell ref="C70:E70"/>
    <mergeCell ref="C71:E71"/>
    <mergeCell ref="C72:E72"/>
    <mergeCell ref="C73:E73"/>
    <mergeCell ref="C74:E74"/>
    <mergeCell ref="C75:E75"/>
    <mergeCell ref="C76:E76"/>
    <mergeCell ref="C78:E78"/>
    <mergeCell ref="C79:E79"/>
    <mergeCell ref="C80:E80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8:E108"/>
    <mergeCell ref="C109:E109"/>
    <mergeCell ref="C110:E110"/>
    <mergeCell ref="C111:E111"/>
    <mergeCell ref="C102:E102"/>
    <mergeCell ref="C103:E103"/>
    <mergeCell ref="C104:E104"/>
    <mergeCell ref="C105:E105"/>
    <mergeCell ref="C106:E106"/>
    <mergeCell ref="D36:H36"/>
    <mergeCell ref="AC8:AG8"/>
    <mergeCell ref="AC9:AG9"/>
    <mergeCell ref="C123:E123"/>
    <mergeCell ref="F124:G124"/>
    <mergeCell ref="C118:E118"/>
    <mergeCell ref="C119:E119"/>
    <mergeCell ref="C120:E120"/>
    <mergeCell ref="C121:E121"/>
    <mergeCell ref="C122:E122"/>
    <mergeCell ref="C112:E112"/>
    <mergeCell ref="C113:E113"/>
    <mergeCell ref="C115:E115"/>
    <mergeCell ref="C116:E116"/>
    <mergeCell ref="C117:E117"/>
    <mergeCell ref="C107:E107"/>
  </mergeCells>
  <pageMargins left="0.7" right="0.7" top="0.75" bottom="0.75" header="0.3" footer="0.3"/>
  <pageSetup paperSize="9" orientation="portrait" horizontalDpi="300" verticalDpi="300" r:id="rId1"/>
  <ignoredErrors>
    <ignoredError sqref="N60" numberStoredAsText="1"/>
  </ignoredError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EF33-740A-4AA1-9349-FAA4527FC5C4}">
  <dimension ref="A2:AQ38"/>
  <sheetViews>
    <sheetView workbookViewId="0">
      <selection activeCell="K18" sqref="K18"/>
    </sheetView>
  </sheetViews>
  <sheetFormatPr defaultRowHeight="15"/>
  <cols>
    <col min="1" max="1" width="4" style="1608" customWidth="1"/>
    <col min="2" max="2" width="7.85546875" style="1609" customWidth="1"/>
    <col min="3" max="3" width="5.85546875" style="1608" customWidth="1"/>
    <col min="4" max="4" width="5.5703125" style="1608" customWidth="1"/>
    <col min="5" max="5" width="6" style="1610" customWidth="1"/>
    <col min="6" max="7" width="7.5703125" style="1610" customWidth="1"/>
    <col min="8" max="8" width="4.85546875" style="1610" customWidth="1"/>
    <col min="9" max="9" width="8.28515625" style="1610" customWidth="1"/>
    <col min="10" max="10" width="4.7109375" style="1610" customWidth="1"/>
    <col min="11" max="11" width="5.85546875" style="1610" customWidth="1"/>
    <col min="12" max="12" width="8.85546875" style="1611" customWidth="1"/>
    <col min="13" max="13" width="6" style="1611" customWidth="1"/>
    <col min="14" max="14" width="7.5703125" style="1608" customWidth="1"/>
    <col min="15" max="15" width="5.28515625" style="1608" customWidth="1"/>
    <col min="16" max="16" width="5.140625" style="1610" customWidth="1"/>
    <col min="17" max="17" width="3.28515625" style="1610" customWidth="1"/>
    <col min="18" max="21" width="2.28515625" style="1610" customWidth="1"/>
    <col min="22" max="22" width="5" style="1610" customWidth="1"/>
    <col min="23" max="23" width="5.42578125" style="1608" customWidth="1"/>
    <col min="24" max="24" width="6" style="1608" bestFit="1" customWidth="1"/>
    <col min="25" max="25" width="6.140625" style="1610" customWidth="1"/>
    <col min="26" max="26" width="6.5703125" style="1610" customWidth="1"/>
    <col min="27" max="27" width="9.140625" style="1609"/>
    <col min="28" max="28" width="34.7109375" style="1609" bestFit="1" customWidth="1"/>
    <col min="29" max="256" width="9.140625" style="1609"/>
    <col min="257" max="257" width="4" style="1609" customWidth="1"/>
    <col min="258" max="258" width="7.85546875" style="1609" customWidth="1"/>
    <col min="259" max="259" width="5.85546875" style="1609" customWidth="1"/>
    <col min="260" max="260" width="5.5703125" style="1609" customWidth="1"/>
    <col min="261" max="261" width="6" style="1609" customWidth="1"/>
    <col min="262" max="263" width="7.5703125" style="1609" customWidth="1"/>
    <col min="264" max="264" width="4.85546875" style="1609" customWidth="1"/>
    <col min="265" max="265" width="8.28515625" style="1609" customWidth="1"/>
    <col min="266" max="266" width="4.7109375" style="1609" customWidth="1"/>
    <col min="267" max="267" width="5.85546875" style="1609" customWidth="1"/>
    <col min="268" max="268" width="8.85546875" style="1609" customWidth="1"/>
    <col min="269" max="269" width="6" style="1609" customWidth="1"/>
    <col min="270" max="270" width="7.5703125" style="1609" customWidth="1"/>
    <col min="271" max="271" width="5.28515625" style="1609" customWidth="1"/>
    <col min="272" max="272" width="5.140625" style="1609" customWidth="1"/>
    <col min="273" max="273" width="3.28515625" style="1609" customWidth="1"/>
    <col min="274" max="277" width="2.28515625" style="1609" customWidth="1"/>
    <col min="278" max="278" width="5" style="1609" customWidth="1"/>
    <col min="279" max="279" width="5.42578125" style="1609" customWidth="1"/>
    <col min="280" max="280" width="6" style="1609" bestFit="1" customWidth="1"/>
    <col min="281" max="281" width="6.140625" style="1609" customWidth="1"/>
    <col min="282" max="282" width="6.5703125" style="1609" customWidth="1"/>
    <col min="283" max="283" width="9.140625" style="1609"/>
    <col min="284" max="284" width="34.7109375" style="1609" bestFit="1" customWidth="1"/>
    <col min="285" max="512" width="9.140625" style="1609"/>
    <col min="513" max="513" width="4" style="1609" customWidth="1"/>
    <col min="514" max="514" width="7.85546875" style="1609" customWidth="1"/>
    <col min="515" max="515" width="5.85546875" style="1609" customWidth="1"/>
    <col min="516" max="516" width="5.5703125" style="1609" customWidth="1"/>
    <col min="517" max="517" width="6" style="1609" customWidth="1"/>
    <col min="518" max="519" width="7.5703125" style="1609" customWidth="1"/>
    <col min="520" max="520" width="4.85546875" style="1609" customWidth="1"/>
    <col min="521" max="521" width="8.28515625" style="1609" customWidth="1"/>
    <col min="522" max="522" width="4.7109375" style="1609" customWidth="1"/>
    <col min="523" max="523" width="5.85546875" style="1609" customWidth="1"/>
    <col min="524" max="524" width="8.85546875" style="1609" customWidth="1"/>
    <col min="525" max="525" width="6" style="1609" customWidth="1"/>
    <col min="526" max="526" width="7.5703125" style="1609" customWidth="1"/>
    <col min="527" max="527" width="5.28515625" style="1609" customWidth="1"/>
    <col min="528" max="528" width="5.140625" style="1609" customWidth="1"/>
    <col min="529" max="529" width="3.28515625" style="1609" customWidth="1"/>
    <col min="530" max="533" width="2.28515625" style="1609" customWidth="1"/>
    <col min="534" max="534" width="5" style="1609" customWidth="1"/>
    <col min="535" max="535" width="5.42578125" style="1609" customWidth="1"/>
    <col min="536" max="536" width="6" style="1609" bestFit="1" customWidth="1"/>
    <col min="537" max="537" width="6.140625" style="1609" customWidth="1"/>
    <col min="538" max="538" width="6.5703125" style="1609" customWidth="1"/>
    <col min="539" max="539" width="9.140625" style="1609"/>
    <col min="540" max="540" width="34.7109375" style="1609" bestFit="1" customWidth="1"/>
    <col min="541" max="768" width="9.140625" style="1609"/>
    <col min="769" max="769" width="4" style="1609" customWidth="1"/>
    <col min="770" max="770" width="7.85546875" style="1609" customWidth="1"/>
    <col min="771" max="771" width="5.85546875" style="1609" customWidth="1"/>
    <col min="772" max="772" width="5.5703125" style="1609" customWidth="1"/>
    <col min="773" max="773" width="6" style="1609" customWidth="1"/>
    <col min="774" max="775" width="7.5703125" style="1609" customWidth="1"/>
    <col min="776" max="776" width="4.85546875" style="1609" customWidth="1"/>
    <col min="777" max="777" width="8.28515625" style="1609" customWidth="1"/>
    <col min="778" max="778" width="4.7109375" style="1609" customWidth="1"/>
    <col min="779" max="779" width="5.85546875" style="1609" customWidth="1"/>
    <col min="780" max="780" width="8.85546875" style="1609" customWidth="1"/>
    <col min="781" max="781" width="6" style="1609" customWidth="1"/>
    <col min="782" max="782" width="7.5703125" style="1609" customWidth="1"/>
    <col min="783" max="783" width="5.28515625" style="1609" customWidth="1"/>
    <col min="784" max="784" width="5.140625" style="1609" customWidth="1"/>
    <col min="785" max="785" width="3.28515625" style="1609" customWidth="1"/>
    <col min="786" max="789" width="2.28515625" style="1609" customWidth="1"/>
    <col min="790" max="790" width="5" style="1609" customWidth="1"/>
    <col min="791" max="791" width="5.42578125" style="1609" customWidth="1"/>
    <col min="792" max="792" width="6" style="1609" bestFit="1" customWidth="1"/>
    <col min="793" max="793" width="6.140625" style="1609" customWidth="1"/>
    <col min="794" max="794" width="6.5703125" style="1609" customWidth="1"/>
    <col min="795" max="795" width="9.140625" style="1609"/>
    <col min="796" max="796" width="34.7109375" style="1609" bestFit="1" customWidth="1"/>
    <col min="797" max="1024" width="9.140625" style="1609"/>
    <col min="1025" max="1025" width="4" style="1609" customWidth="1"/>
    <col min="1026" max="1026" width="7.85546875" style="1609" customWidth="1"/>
    <col min="1027" max="1027" width="5.85546875" style="1609" customWidth="1"/>
    <col min="1028" max="1028" width="5.5703125" style="1609" customWidth="1"/>
    <col min="1029" max="1029" width="6" style="1609" customWidth="1"/>
    <col min="1030" max="1031" width="7.5703125" style="1609" customWidth="1"/>
    <col min="1032" max="1032" width="4.85546875" style="1609" customWidth="1"/>
    <col min="1033" max="1033" width="8.28515625" style="1609" customWidth="1"/>
    <col min="1034" max="1034" width="4.7109375" style="1609" customWidth="1"/>
    <col min="1035" max="1035" width="5.85546875" style="1609" customWidth="1"/>
    <col min="1036" max="1036" width="8.85546875" style="1609" customWidth="1"/>
    <col min="1037" max="1037" width="6" style="1609" customWidth="1"/>
    <col min="1038" max="1038" width="7.5703125" style="1609" customWidth="1"/>
    <col min="1039" max="1039" width="5.28515625" style="1609" customWidth="1"/>
    <col min="1040" max="1040" width="5.140625" style="1609" customWidth="1"/>
    <col min="1041" max="1041" width="3.28515625" style="1609" customWidth="1"/>
    <col min="1042" max="1045" width="2.28515625" style="1609" customWidth="1"/>
    <col min="1046" max="1046" width="5" style="1609" customWidth="1"/>
    <col min="1047" max="1047" width="5.42578125" style="1609" customWidth="1"/>
    <col min="1048" max="1048" width="6" style="1609" bestFit="1" customWidth="1"/>
    <col min="1049" max="1049" width="6.140625" style="1609" customWidth="1"/>
    <col min="1050" max="1050" width="6.5703125" style="1609" customWidth="1"/>
    <col min="1051" max="1051" width="9.140625" style="1609"/>
    <col min="1052" max="1052" width="34.7109375" style="1609" bestFit="1" customWidth="1"/>
    <col min="1053" max="1280" width="9.140625" style="1609"/>
    <col min="1281" max="1281" width="4" style="1609" customWidth="1"/>
    <col min="1282" max="1282" width="7.85546875" style="1609" customWidth="1"/>
    <col min="1283" max="1283" width="5.85546875" style="1609" customWidth="1"/>
    <col min="1284" max="1284" width="5.5703125" style="1609" customWidth="1"/>
    <col min="1285" max="1285" width="6" style="1609" customWidth="1"/>
    <col min="1286" max="1287" width="7.5703125" style="1609" customWidth="1"/>
    <col min="1288" max="1288" width="4.85546875" style="1609" customWidth="1"/>
    <col min="1289" max="1289" width="8.28515625" style="1609" customWidth="1"/>
    <col min="1290" max="1290" width="4.7109375" style="1609" customWidth="1"/>
    <col min="1291" max="1291" width="5.85546875" style="1609" customWidth="1"/>
    <col min="1292" max="1292" width="8.85546875" style="1609" customWidth="1"/>
    <col min="1293" max="1293" width="6" style="1609" customWidth="1"/>
    <col min="1294" max="1294" width="7.5703125" style="1609" customWidth="1"/>
    <col min="1295" max="1295" width="5.28515625" style="1609" customWidth="1"/>
    <col min="1296" max="1296" width="5.140625" style="1609" customWidth="1"/>
    <col min="1297" max="1297" width="3.28515625" style="1609" customWidth="1"/>
    <col min="1298" max="1301" width="2.28515625" style="1609" customWidth="1"/>
    <col min="1302" max="1302" width="5" style="1609" customWidth="1"/>
    <col min="1303" max="1303" width="5.42578125" style="1609" customWidth="1"/>
    <col min="1304" max="1304" width="6" style="1609" bestFit="1" customWidth="1"/>
    <col min="1305" max="1305" width="6.140625" style="1609" customWidth="1"/>
    <col min="1306" max="1306" width="6.5703125" style="1609" customWidth="1"/>
    <col min="1307" max="1307" width="9.140625" style="1609"/>
    <col min="1308" max="1308" width="34.7109375" style="1609" bestFit="1" customWidth="1"/>
    <col min="1309" max="1536" width="9.140625" style="1609"/>
    <col min="1537" max="1537" width="4" style="1609" customWidth="1"/>
    <col min="1538" max="1538" width="7.85546875" style="1609" customWidth="1"/>
    <col min="1539" max="1539" width="5.85546875" style="1609" customWidth="1"/>
    <col min="1540" max="1540" width="5.5703125" style="1609" customWidth="1"/>
    <col min="1541" max="1541" width="6" style="1609" customWidth="1"/>
    <col min="1542" max="1543" width="7.5703125" style="1609" customWidth="1"/>
    <col min="1544" max="1544" width="4.85546875" style="1609" customWidth="1"/>
    <col min="1545" max="1545" width="8.28515625" style="1609" customWidth="1"/>
    <col min="1546" max="1546" width="4.7109375" style="1609" customWidth="1"/>
    <col min="1547" max="1547" width="5.85546875" style="1609" customWidth="1"/>
    <col min="1548" max="1548" width="8.85546875" style="1609" customWidth="1"/>
    <col min="1549" max="1549" width="6" style="1609" customWidth="1"/>
    <col min="1550" max="1550" width="7.5703125" style="1609" customWidth="1"/>
    <col min="1551" max="1551" width="5.28515625" style="1609" customWidth="1"/>
    <col min="1552" max="1552" width="5.140625" style="1609" customWidth="1"/>
    <col min="1553" max="1553" width="3.28515625" style="1609" customWidth="1"/>
    <col min="1554" max="1557" width="2.28515625" style="1609" customWidth="1"/>
    <col min="1558" max="1558" width="5" style="1609" customWidth="1"/>
    <col min="1559" max="1559" width="5.42578125" style="1609" customWidth="1"/>
    <col min="1560" max="1560" width="6" style="1609" bestFit="1" customWidth="1"/>
    <col min="1561" max="1561" width="6.140625" style="1609" customWidth="1"/>
    <col min="1562" max="1562" width="6.5703125" style="1609" customWidth="1"/>
    <col min="1563" max="1563" width="9.140625" style="1609"/>
    <col min="1564" max="1564" width="34.7109375" style="1609" bestFit="1" customWidth="1"/>
    <col min="1565" max="1792" width="9.140625" style="1609"/>
    <col min="1793" max="1793" width="4" style="1609" customWidth="1"/>
    <col min="1794" max="1794" width="7.85546875" style="1609" customWidth="1"/>
    <col min="1795" max="1795" width="5.85546875" style="1609" customWidth="1"/>
    <col min="1796" max="1796" width="5.5703125" style="1609" customWidth="1"/>
    <col min="1797" max="1797" width="6" style="1609" customWidth="1"/>
    <col min="1798" max="1799" width="7.5703125" style="1609" customWidth="1"/>
    <col min="1800" max="1800" width="4.85546875" style="1609" customWidth="1"/>
    <col min="1801" max="1801" width="8.28515625" style="1609" customWidth="1"/>
    <col min="1802" max="1802" width="4.7109375" style="1609" customWidth="1"/>
    <col min="1803" max="1803" width="5.85546875" style="1609" customWidth="1"/>
    <col min="1804" max="1804" width="8.85546875" style="1609" customWidth="1"/>
    <col min="1805" max="1805" width="6" style="1609" customWidth="1"/>
    <col min="1806" max="1806" width="7.5703125" style="1609" customWidth="1"/>
    <col min="1807" max="1807" width="5.28515625" style="1609" customWidth="1"/>
    <col min="1808" max="1808" width="5.140625" style="1609" customWidth="1"/>
    <col min="1809" max="1809" width="3.28515625" style="1609" customWidth="1"/>
    <col min="1810" max="1813" width="2.28515625" style="1609" customWidth="1"/>
    <col min="1814" max="1814" width="5" style="1609" customWidth="1"/>
    <col min="1815" max="1815" width="5.42578125" style="1609" customWidth="1"/>
    <col min="1816" max="1816" width="6" style="1609" bestFit="1" customWidth="1"/>
    <col min="1817" max="1817" width="6.140625" style="1609" customWidth="1"/>
    <col min="1818" max="1818" width="6.5703125" style="1609" customWidth="1"/>
    <col min="1819" max="1819" width="9.140625" style="1609"/>
    <col min="1820" max="1820" width="34.7109375" style="1609" bestFit="1" customWidth="1"/>
    <col min="1821" max="2048" width="9.140625" style="1609"/>
    <col min="2049" max="2049" width="4" style="1609" customWidth="1"/>
    <col min="2050" max="2050" width="7.85546875" style="1609" customWidth="1"/>
    <col min="2051" max="2051" width="5.85546875" style="1609" customWidth="1"/>
    <col min="2052" max="2052" width="5.5703125" style="1609" customWidth="1"/>
    <col min="2053" max="2053" width="6" style="1609" customWidth="1"/>
    <col min="2054" max="2055" width="7.5703125" style="1609" customWidth="1"/>
    <col min="2056" max="2056" width="4.85546875" style="1609" customWidth="1"/>
    <col min="2057" max="2057" width="8.28515625" style="1609" customWidth="1"/>
    <col min="2058" max="2058" width="4.7109375" style="1609" customWidth="1"/>
    <col min="2059" max="2059" width="5.85546875" style="1609" customWidth="1"/>
    <col min="2060" max="2060" width="8.85546875" style="1609" customWidth="1"/>
    <col min="2061" max="2061" width="6" style="1609" customWidth="1"/>
    <col min="2062" max="2062" width="7.5703125" style="1609" customWidth="1"/>
    <col min="2063" max="2063" width="5.28515625" style="1609" customWidth="1"/>
    <col min="2064" max="2064" width="5.140625" style="1609" customWidth="1"/>
    <col min="2065" max="2065" width="3.28515625" style="1609" customWidth="1"/>
    <col min="2066" max="2069" width="2.28515625" style="1609" customWidth="1"/>
    <col min="2070" max="2070" width="5" style="1609" customWidth="1"/>
    <col min="2071" max="2071" width="5.42578125" style="1609" customWidth="1"/>
    <col min="2072" max="2072" width="6" style="1609" bestFit="1" customWidth="1"/>
    <col min="2073" max="2073" width="6.140625" style="1609" customWidth="1"/>
    <col min="2074" max="2074" width="6.5703125" style="1609" customWidth="1"/>
    <col min="2075" max="2075" width="9.140625" style="1609"/>
    <col min="2076" max="2076" width="34.7109375" style="1609" bestFit="1" customWidth="1"/>
    <col min="2077" max="2304" width="9.140625" style="1609"/>
    <col min="2305" max="2305" width="4" style="1609" customWidth="1"/>
    <col min="2306" max="2306" width="7.85546875" style="1609" customWidth="1"/>
    <col min="2307" max="2307" width="5.85546875" style="1609" customWidth="1"/>
    <col min="2308" max="2308" width="5.5703125" style="1609" customWidth="1"/>
    <col min="2309" max="2309" width="6" style="1609" customWidth="1"/>
    <col min="2310" max="2311" width="7.5703125" style="1609" customWidth="1"/>
    <col min="2312" max="2312" width="4.85546875" style="1609" customWidth="1"/>
    <col min="2313" max="2313" width="8.28515625" style="1609" customWidth="1"/>
    <col min="2314" max="2314" width="4.7109375" style="1609" customWidth="1"/>
    <col min="2315" max="2315" width="5.85546875" style="1609" customWidth="1"/>
    <col min="2316" max="2316" width="8.85546875" style="1609" customWidth="1"/>
    <col min="2317" max="2317" width="6" style="1609" customWidth="1"/>
    <col min="2318" max="2318" width="7.5703125" style="1609" customWidth="1"/>
    <col min="2319" max="2319" width="5.28515625" style="1609" customWidth="1"/>
    <col min="2320" max="2320" width="5.140625" style="1609" customWidth="1"/>
    <col min="2321" max="2321" width="3.28515625" style="1609" customWidth="1"/>
    <col min="2322" max="2325" width="2.28515625" style="1609" customWidth="1"/>
    <col min="2326" max="2326" width="5" style="1609" customWidth="1"/>
    <col min="2327" max="2327" width="5.42578125" style="1609" customWidth="1"/>
    <col min="2328" max="2328" width="6" style="1609" bestFit="1" customWidth="1"/>
    <col min="2329" max="2329" width="6.140625" style="1609" customWidth="1"/>
    <col min="2330" max="2330" width="6.5703125" style="1609" customWidth="1"/>
    <col min="2331" max="2331" width="9.140625" style="1609"/>
    <col min="2332" max="2332" width="34.7109375" style="1609" bestFit="1" customWidth="1"/>
    <col min="2333" max="2560" width="9.140625" style="1609"/>
    <col min="2561" max="2561" width="4" style="1609" customWidth="1"/>
    <col min="2562" max="2562" width="7.85546875" style="1609" customWidth="1"/>
    <col min="2563" max="2563" width="5.85546875" style="1609" customWidth="1"/>
    <col min="2564" max="2564" width="5.5703125" style="1609" customWidth="1"/>
    <col min="2565" max="2565" width="6" style="1609" customWidth="1"/>
    <col min="2566" max="2567" width="7.5703125" style="1609" customWidth="1"/>
    <col min="2568" max="2568" width="4.85546875" style="1609" customWidth="1"/>
    <col min="2569" max="2569" width="8.28515625" style="1609" customWidth="1"/>
    <col min="2570" max="2570" width="4.7109375" style="1609" customWidth="1"/>
    <col min="2571" max="2571" width="5.85546875" style="1609" customWidth="1"/>
    <col min="2572" max="2572" width="8.85546875" style="1609" customWidth="1"/>
    <col min="2573" max="2573" width="6" style="1609" customWidth="1"/>
    <col min="2574" max="2574" width="7.5703125" style="1609" customWidth="1"/>
    <col min="2575" max="2575" width="5.28515625" style="1609" customWidth="1"/>
    <col min="2576" max="2576" width="5.140625" style="1609" customWidth="1"/>
    <col min="2577" max="2577" width="3.28515625" style="1609" customWidth="1"/>
    <col min="2578" max="2581" width="2.28515625" style="1609" customWidth="1"/>
    <col min="2582" max="2582" width="5" style="1609" customWidth="1"/>
    <col min="2583" max="2583" width="5.42578125" style="1609" customWidth="1"/>
    <col min="2584" max="2584" width="6" style="1609" bestFit="1" customWidth="1"/>
    <col min="2585" max="2585" width="6.140625" style="1609" customWidth="1"/>
    <col min="2586" max="2586" width="6.5703125" style="1609" customWidth="1"/>
    <col min="2587" max="2587" width="9.140625" style="1609"/>
    <col min="2588" max="2588" width="34.7109375" style="1609" bestFit="1" customWidth="1"/>
    <col min="2589" max="2816" width="9.140625" style="1609"/>
    <col min="2817" max="2817" width="4" style="1609" customWidth="1"/>
    <col min="2818" max="2818" width="7.85546875" style="1609" customWidth="1"/>
    <col min="2819" max="2819" width="5.85546875" style="1609" customWidth="1"/>
    <col min="2820" max="2820" width="5.5703125" style="1609" customWidth="1"/>
    <col min="2821" max="2821" width="6" style="1609" customWidth="1"/>
    <col min="2822" max="2823" width="7.5703125" style="1609" customWidth="1"/>
    <col min="2824" max="2824" width="4.85546875" style="1609" customWidth="1"/>
    <col min="2825" max="2825" width="8.28515625" style="1609" customWidth="1"/>
    <col min="2826" max="2826" width="4.7109375" style="1609" customWidth="1"/>
    <col min="2827" max="2827" width="5.85546875" style="1609" customWidth="1"/>
    <col min="2828" max="2828" width="8.85546875" style="1609" customWidth="1"/>
    <col min="2829" max="2829" width="6" style="1609" customWidth="1"/>
    <col min="2830" max="2830" width="7.5703125" style="1609" customWidth="1"/>
    <col min="2831" max="2831" width="5.28515625" style="1609" customWidth="1"/>
    <col min="2832" max="2832" width="5.140625" style="1609" customWidth="1"/>
    <col min="2833" max="2833" width="3.28515625" style="1609" customWidth="1"/>
    <col min="2834" max="2837" width="2.28515625" style="1609" customWidth="1"/>
    <col min="2838" max="2838" width="5" style="1609" customWidth="1"/>
    <col min="2839" max="2839" width="5.42578125" style="1609" customWidth="1"/>
    <col min="2840" max="2840" width="6" style="1609" bestFit="1" customWidth="1"/>
    <col min="2841" max="2841" width="6.140625" style="1609" customWidth="1"/>
    <col min="2842" max="2842" width="6.5703125" style="1609" customWidth="1"/>
    <col min="2843" max="2843" width="9.140625" style="1609"/>
    <col min="2844" max="2844" width="34.7109375" style="1609" bestFit="1" customWidth="1"/>
    <col min="2845" max="3072" width="9.140625" style="1609"/>
    <col min="3073" max="3073" width="4" style="1609" customWidth="1"/>
    <col min="3074" max="3074" width="7.85546875" style="1609" customWidth="1"/>
    <col min="3075" max="3075" width="5.85546875" style="1609" customWidth="1"/>
    <col min="3076" max="3076" width="5.5703125" style="1609" customWidth="1"/>
    <col min="3077" max="3077" width="6" style="1609" customWidth="1"/>
    <col min="3078" max="3079" width="7.5703125" style="1609" customWidth="1"/>
    <col min="3080" max="3080" width="4.85546875" style="1609" customWidth="1"/>
    <col min="3081" max="3081" width="8.28515625" style="1609" customWidth="1"/>
    <col min="3082" max="3082" width="4.7109375" style="1609" customWidth="1"/>
    <col min="3083" max="3083" width="5.85546875" style="1609" customWidth="1"/>
    <col min="3084" max="3084" width="8.85546875" style="1609" customWidth="1"/>
    <col min="3085" max="3085" width="6" style="1609" customWidth="1"/>
    <col min="3086" max="3086" width="7.5703125" style="1609" customWidth="1"/>
    <col min="3087" max="3087" width="5.28515625" style="1609" customWidth="1"/>
    <col min="3088" max="3088" width="5.140625" style="1609" customWidth="1"/>
    <col min="3089" max="3089" width="3.28515625" style="1609" customWidth="1"/>
    <col min="3090" max="3093" width="2.28515625" style="1609" customWidth="1"/>
    <col min="3094" max="3094" width="5" style="1609" customWidth="1"/>
    <col min="3095" max="3095" width="5.42578125" style="1609" customWidth="1"/>
    <col min="3096" max="3096" width="6" style="1609" bestFit="1" customWidth="1"/>
    <col min="3097" max="3097" width="6.140625" style="1609" customWidth="1"/>
    <col min="3098" max="3098" width="6.5703125" style="1609" customWidth="1"/>
    <col min="3099" max="3099" width="9.140625" style="1609"/>
    <col min="3100" max="3100" width="34.7109375" style="1609" bestFit="1" customWidth="1"/>
    <col min="3101" max="3328" width="9.140625" style="1609"/>
    <col min="3329" max="3329" width="4" style="1609" customWidth="1"/>
    <col min="3330" max="3330" width="7.85546875" style="1609" customWidth="1"/>
    <col min="3331" max="3331" width="5.85546875" style="1609" customWidth="1"/>
    <col min="3332" max="3332" width="5.5703125" style="1609" customWidth="1"/>
    <col min="3333" max="3333" width="6" style="1609" customWidth="1"/>
    <col min="3334" max="3335" width="7.5703125" style="1609" customWidth="1"/>
    <col min="3336" max="3336" width="4.85546875" style="1609" customWidth="1"/>
    <col min="3337" max="3337" width="8.28515625" style="1609" customWidth="1"/>
    <col min="3338" max="3338" width="4.7109375" style="1609" customWidth="1"/>
    <col min="3339" max="3339" width="5.85546875" style="1609" customWidth="1"/>
    <col min="3340" max="3340" width="8.85546875" style="1609" customWidth="1"/>
    <col min="3341" max="3341" width="6" style="1609" customWidth="1"/>
    <col min="3342" max="3342" width="7.5703125" style="1609" customWidth="1"/>
    <col min="3343" max="3343" width="5.28515625" style="1609" customWidth="1"/>
    <col min="3344" max="3344" width="5.140625" style="1609" customWidth="1"/>
    <col min="3345" max="3345" width="3.28515625" style="1609" customWidth="1"/>
    <col min="3346" max="3349" width="2.28515625" style="1609" customWidth="1"/>
    <col min="3350" max="3350" width="5" style="1609" customWidth="1"/>
    <col min="3351" max="3351" width="5.42578125" style="1609" customWidth="1"/>
    <col min="3352" max="3352" width="6" style="1609" bestFit="1" customWidth="1"/>
    <col min="3353" max="3353" width="6.140625" style="1609" customWidth="1"/>
    <col min="3354" max="3354" width="6.5703125" style="1609" customWidth="1"/>
    <col min="3355" max="3355" width="9.140625" style="1609"/>
    <col min="3356" max="3356" width="34.7109375" style="1609" bestFit="1" customWidth="1"/>
    <col min="3357" max="3584" width="9.140625" style="1609"/>
    <col min="3585" max="3585" width="4" style="1609" customWidth="1"/>
    <col min="3586" max="3586" width="7.85546875" style="1609" customWidth="1"/>
    <col min="3587" max="3587" width="5.85546875" style="1609" customWidth="1"/>
    <col min="3588" max="3588" width="5.5703125" style="1609" customWidth="1"/>
    <col min="3589" max="3589" width="6" style="1609" customWidth="1"/>
    <col min="3590" max="3591" width="7.5703125" style="1609" customWidth="1"/>
    <col min="3592" max="3592" width="4.85546875" style="1609" customWidth="1"/>
    <col min="3593" max="3593" width="8.28515625" style="1609" customWidth="1"/>
    <col min="3594" max="3594" width="4.7109375" style="1609" customWidth="1"/>
    <col min="3595" max="3595" width="5.85546875" style="1609" customWidth="1"/>
    <col min="3596" max="3596" width="8.85546875" style="1609" customWidth="1"/>
    <col min="3597" max="3597" width="6" style="1609" customWidth="1"/>
    <col min="3598" max="3598" width="7.5703125" style="1609" customWidth="1"/>
    <col min="3599" max="3599" width="5.28515625" style="1609" customWidth="1"/>
    <col min="3600" max="3600" width="5.140625" style="1609" customWidth="1"/>
    <col min="3601" max="3601" width="3.28515625" style="1609" customWidth="1"/>
    <col min="3602" max="3605" width="2.28515625" style="1609" customWidth="1"/>
    <col min="3606" max="3606" width="5" style="1609" customWidth="1"/>
    <col min="3607" max="3607" width="5.42578125" style="1609" customWidth="1"/>
    <col min="3608" max="3608" width="6" style="1609" bestFit="1" customWidth="1"/>
    <col min="3609" max="3609" width="6.140625" style="1609" customWidth="1"/>
    <col min="3610" max="3610" width="6.5703125" style="1609" customWidth="1"/>
    <col min="3611" max="3611" width="9.140625" style="1609"/>
    <col min="3612" max="3612" width="34.7109375" style="1609" bestFit="1" customWidth="1"/>
    <col min="3613" max="3840" width="9.140625" style="1609"/>
    <col min="3841" max="3841" width="4" style="1609" customWidth="1"/>
    <col min="3842" max="3842" width="7.85546875" style="1609" customWidth="1"/>
    <col min="3843" max="3843" width="5.85546875" style="1609" customWidth="1"/>
    <col min="3844" max="3844" width="5.5703125" style="1609" customWidth="1"/>
    <col min="3845" max="3845" width="6" style="1609" customWidth="1"/>
    <col min="3846" max="3847" width="7.5703125" style="1609" customWidth="1"/>
    <col min="3848" max="3848" width="4.85546875" style="1609" customWidth="1"/>
    <col min="3849" max="3849" width="8.28515625" style="1609" customWidth="1"/>
    <col min="3850" max="3850" width="4.7109375" style="1609" customWidth="1"/>
    <col min="3851" max="3851" width="5.85546875" style="1609" customWidth="1"/>
    <col min="3852" max="3852" width="8.85546875" style="1609" customWidth="1"/>
    <col min="3853" max="3853" width="6" style="1609" customWidth="1"/>
    <col min="3854" max="3854" width="7.5703125" style="1609" customWidth="1"/>
    <col min="3855" max="3855" width="5.28515625" style="1609" customWidth="1"/>
    <col min="3856" max="3856" width="5.140625" style="1609" customWidth="1"/>
    <col min="3857" max="3857" width="3.28515625" style="1609" customWidth="1"/>
    <col min="3858" max="3861" width="2.28515625" style="1609" customWidth="1"/>
    <col min="3862" max="3862" width="5" style="1609" customWidth="1"/>
    <col min="3863" max="3863" width="5.42578125" style="1609" customWidth="1"/>
    <col min="3864" max="3864" width="6" style="1609" bestFit="1" customWidth="1"/>
    <col min="3865" max="3865" width="6.140625" style="1609" customWidth="1"/>
    <col min="3866" max="3866" width="6.5703125" style="1609" customWidth="1"/>
    <col min="3867" max="3867" width="9.140625" style="1609"/>
    <col min="3868" max="3868" width="34.7109375" style="1609" bestFit="1" customWidth="1"/>
    <col min="3869" max="4096" width="9.140625" style="1609"/>
    <col min="4097" max="4097" width="4" style="1609" customWidth="1"/>
    <col min="4098" max="4098" width="7.85546875" style="1609" customWidth="1"/>
    <col min="4099" max="4099" width="5.85546875" style="1609" customWidth="1"/>
    <col min="4100" max="4100" width="5.5703125" style="1609" customWidth="1"/>
    <col min="4101" max="4101" width="6" style="1609" customWidth="1"/>
    <col min="4102" max="4103" width="7.5703125" style="1609" customWidth="1"/>
    <col min="4104" max="4104" width="4.85546875" style="1609" customWidth="1"/>
    <col min="4105" max="4105" width="8.28515625" style="1609" customWidth="1"/>
    <col min="4106" max="4106" width="4.7109375" style="1609" customWidth="1"/>
    <col min="4107" max="4107" width="5.85546875" style="1609" customWidth="1"/>
    <col min="4108" max="4108" width="8.85546875" style="1609" customWidth="1"/>
    <col min="4109" max="4109" width="6" style="1609" customWidth="1"/>
    <col min="4110" max="4110" width="7.5703125" style="1609" customWidth="1"/>
    <col min="4111" max="4111" width="5.28515625" style="1609" customWidth="1"/>
    <col min="4112" max="4112" width="5.140625" style="1609" customWidth="1"/>
    <col min="4113" max="4113" width="3.28515625" style="1609" customWidth="1"/>
    <col min="4114" max="4117" width="2.28515625" style="1609" customWidth="1"/>
    <col min="4118" max="4118" width="5" style="1609" customWidth="1"/>
    <col min="4119" max="4119" width="5.42578125" style="1609" customWidth="1"/>
    <col min="4120" max="4120" width="6" style="1609" bestFit="1" customWidth="1"/>
    <col min="4121" max="4121" width="6.140625" style="1609" customWidth="1"/>
    <col min="4122" max="4122" width="6.5703125" style="1609" customWidth="1"/>
    <col min="4123" max="4123" width="9.140625" style="1609"/>
    <col min="4124" max="4124" width="34.7109375" style="1609" bestFit="1" customWidth="1"/>
    <col min="4125" max="4352" width="9.140625" style="1609"/>
    <col min="4353" max="4353" width="4" style="1609" customWidth="1"/>
    <col min="4354" max="4354" width="7.85546875" style="1609" customWidth="1"/>
    <col min="4355" max="4355" width="5.85546875" style="1609" customWidth="1"/>
    <col min="4356" max="4356" width="5.5703125" style="1609" customWidth="1"/>
    <col min="4357" max="4357" width="6" style="1609" customWidth="1"/>
    <col min="4358" max="4359" width="7.5703125" style="1609" customWidth="1"/>
    <col min="4360" max="4360" width="4.85546875" style="1609" customWidth="1"/>
    <col min="4361" max="4361" width="8.28515625" style="1609" customWidth="1"/>
    <col min="4362" max="4362" width="4.7109375" style="1609" customWidth="1"/>
    <col min="4363" max="4363" width="5.85546875" style="1609" customWidth="1"/>
    <col min="4364" max="4364" width="8.85546875" style="1609" customWidth="1"/>
    <col min="4365" max="4365" width="6" style="1609" customWidth="1"/>
    <col min="4366" max="4366" width="7.5703125" style="1609" customWidth="1"/>
    <col min="4367" max="4367" width="5.28515625" style="1609" customWidth="1"/>
    <col min="4368" max="4368" width="5.140625" style="1609" customWidth="1"/>
    <col min="4369" max="4369" width="3.28515625" style="1609" customWidth="1"/>
    <col min="4370" max="4373" width="2.28515625" style="1609" customWidth="1"/>
    <col min="4374" max="4374" width="5" style="1609" customWidth="1"/>
    <col min="4375" max="4375" width="5.42578125" style="1609" customWidth="1"/>
    <col min="4376" max="4376" width="6" style="1609" bestFit="1" customWidth="1"/>
    <col min="4377" max="4377" width="6.140625" style="1609" customWidth="1"/>
    <col min="4378" max="4378" width="6.5703125" style="1609" customWidth="1"/>
    <col min="4379" max="4379" width="9.140625" style="1609"/>
    <col min="4380" max="4380" width="34.7109375" style="1609" bestFit="1" customWidth="1"/>
    <col min="4381" max="4608" width="9.140625" style="1609"/>
    <col min="4609" max="4609" width="4" style="1609" customWidth="1"/>
    <col min="4610" max="4610" width="7.85546875" style="1609" customWidth="1"/>
    <col min="4611" max="4611" width="5.85546875" style="1609" customWidth="1"/>
    <col min="4612" max="4612" width="5.5703125" style="1609" customWidth="1"/>
    <col min="4613" max="4613" width="6" style="1609" customWidth="1"/>
    <col min="4614" max="4615" width="7.5703125" style="1609" customWidth="1"/>
    <col min="4616" max="4616" width="4.85546875" style="1609" customWidth="1"/>
    <col min="4617" max="4617" width="8.28515625" style="1609" customWidth="1"/>
    <col min="4618" max="4618" width="4.7109375" style="1609" customWidth="1"/>
    <col min="4619" max="4619" width="5.85546875" style="1609" customWidth="1"/>
    <col min="4620" max="4620" width="8.85546875" style="1609" customWidth="1"/>
    <col min="4621" max="4621" width="6" style="1609" customWidth="1"/>
    <col min="4622" max="4622" width="7.5703125" style="1609" customWidth="1"/>
    <col min="4623" max="4623" width="5.28515625" style="1609" customWidth="1"/>
    <col min="4624" max="4624" width="5.140625" style="1609" customWidth="1"/>
    <col min="4625" max="4625" width="3.28515625" style="1609" customWidth="1"/>
    <col min="4626" max="4629" width="2.28515625" style="1609" customWidth="1"/>
    <col min="4630" max="4630" width="5" style="1609" customWidth="1"/>
    <col min="4631" max="4631" width="5.42578125" style="1609" customWidth="1"/>
    <col min="4632" max="4632" width="6" style="1609" bestFit="1" customWidth="1"/>
    <col min="4633" max="4633" width="6.140625" style="1609" customWidth="1"/>
    <col min="4634" max="4634" width="6.5703125" style="1609" customWidth="1"/>
    <col min="4635" max="4635" width="9.140625" style="1609"/>
    <col min="4636" max="4636" width="34.7109375" style="1609" bestFit="1" customWidth="1"/>
    <col min="4637" max="4864" width="9.140625" style="1609"/>
    <col min="4865" max="4865" width="4" style="1609" customWidth="1"/>
    <col min="4866" max="4866" width="7.85546875" style="1609" customWidth="1"/>
    <col min="4867" max="4867" width="5.85546875" style="1609" customWidth="1"/>
    <col min="4868" max="4868" width="5.5703125" style="1609" customWidth="1"/>
    <col min="4869" max="4869" width="6" style="1609" customWidth="1"/>
    <col min="4870" max="4871" width="7.5703125" style="1609" customWidth="1"/>
    <col min="4872" max="4872" width="4.85546875" style="1609" customWidth="1"/>
    <col min="4873" max="4873" width="8.28515625" style="1609" customWidth="1"/>
    <col min="4874" max="4874" width="4.7109375" style="1609" customWidth="1"/>
    <col min="4875" max="4875" width="5.85546875" style="1609" customWidth="1"/>
    <col min="4876" max="4876" width="8.85546875" style="1609" customWidth="1"/>
    <col min="4877" max="4877" width="6" style="1609" customWidth="1"/>
    <col min="4878" max="4878" width="7.5703125" style="1609" customWidth="1"/>
    <col min="4879" max="4879" width="5.28515625" style="1609" customWidth="1"/>
    <col min="4880" max="4880" width="5.140625" style="1609" customWidth="1"/>
    <col min="4881" max="4881" width="3.28515625" style="1609" customWidth="1"/>
    <col min="4882" max="4885" width="2.28515625" style="1609" customWidth="1"/>
    <col min="4886" max="4886" width="5" style="1609" customWidth="1"/>
    <col min="4887" max="4887" width="5.42578125" style="1609" customWidth="1"/>
    <col min="4888" max="4888" width="6" style="1609" bestFit="1" customWidth="1"/>
    <col min="4889" max="4889" width="6.140625" style="1609" customWidth="1"/>
    <col min="4890" max="4890" width="6.5703125" style="1609" customWidth="1"/>
    <col min="4891" max="4891" width="9.140625" style="1609"/>
    <col min="4892" max="4892" width="34.7109375" style="1609" bestFit="1" customWidth="1"/>
    <col min="4893" max="5120" width="9.140625" style="1609"/>
    <col min="5121" max="5121" width="4" style="1609" customWidth="1"/>
    <col min="5122" max="5122" width="7.85546875" style="1609" customWidth="1"/>
    <col min="5123" max="5123" width="5.85546875" style="1609" customWidth="1"/>
    <col min="5124" max="5124" width="5.5703125" style="1609" customWidth="1"/>
    <col min="5125" max="5125" width="6" style="1609" customWidth="1"/>
    <col min="5126" max="5127" width="7.5703125" style="1609" customWidth="1"/>
    <col min="5128" max="5128" width="4.85546875" style="1609" customWidth="1"/>
    <col min="5129" max="5129" width="8.28515625" style="1609" customWidth="1"/>
    <col min="5130" max="5130" width="4.7109375" style="1609" customWidth="1"/>
    <col min="5131" max="5131" width="5.85546875" style="1609" customWidth="1"/>
    <col min="5132" max="5132" width="8.85546875" style="1609" customWidth="1"/>
    <col min="5133" max="5133" width="6" style="1609" customWidth="1"/>
    <col min="5134" max="5134" width="7.5703125" style="1609" customWidth="1"/>
    <col min="5135" max="5135" width="5.28515625" style="1609" customWidth="1"/>
    <col min="5136" max="5136" width="5.140625" style="1609" customWidth="1"/>
    <col min="5137" max="5137" width="3.28515625" style="1609" customWidth="1"/>
    <col min="5138" max="5141" width="2.28515625" style="1609" customWidth="1"/>
    <col min="5142" max="5142" width="5" style="1609" customWidth="1"/>
    <col min="5143" max="5143" width="5.42578125" style="1609" customWidth="1"/>
    <col min="5144" max="5144" width="6" style="1609" bestFit="1" customWidth="1"/>
    <col min="5145" max="5145" width="6.140625" style="1609" customWidth="1"/>
    <col min="5146" max="5146" width="6.5703125" style="1609" customWidth="1"/>
    <col min="5147" max="5147" width="9.140625" style="1609"/>
    <col min="5148" max="5148" width="34.7109375" style="1609" bestFit="1" customWidth="1"/>
    <col min="5149" max="5376" width="9.140625" style="1609"/>
    <col min="5377" max="5377" width="4" style="1609" customWidth="1"/>
    <col min="5378" max="5378" width="7.85546875" style="1609" customWidth="1"/>
    <col min="5379" max="5379" width="5.85546875" style="1609" customWidth="1"/>
    <col min="5380" max="5380" width="5.5703125" style="1609" customWidth="1"/>
    <col min="5381" max="5381" width="6" style="1609" customWidth="1"/>
    <col min="5382" max="5383" width="7.5703125" style="1609" customWidth="1"/>
    <col min="5384" max="5384" width="4.85546875" style="1609" customWidth="1"/>
    <col min="5385" max="5385" width="8.28515625" style="1609" customWidth="1"/>
    <col min="5386" max="5386" width="4.7109375" style="1609" customWidth="1"/>
    <col min="5387" max="5387" width="5.85546875" style="1609" customWidth="1"/>
    <col min="5388" max="5388" width="8.85546875" style="1609" customWidth="1"/>
    <col min="5389" max="5389" width="6" style="1609" customWidth="1"/>
    <col min="5390" max="5390" width="7.5703125" style="1609" customWidth="1"/>
    <col min="5391" max="5391" width="5.28515625" style="1609" customWidth="1"/>
    <col min="5392" max="5392" width="5.140625" style="1609" customWidth="1"/>
    <col min="5393" max="5393" width="3.28515625" style="1609" customWidth="1"/>
    <col min="5394" max="5397" width="2.28515625" style="1609" customWidth="1"/>
    <col min="5398" max="5398" width="5" style="1609" customWidth="1"/>
    <col min="5399" max="5399" width="5.42578125" style="1609" customWidth="1"/>
    <col min="5400" max="5400" width="6" style="1609" bestFit="1" customWidth="1"/>
    <col min="5401" max="5401" width="6.140625" style="1609" customWidth="1"/>
    <col min="5402" max="5402" width="6.5703125" style="1609" customWidth="1"/>
    <col min="5403" max="5403" width="9.140625" style="1609"/>
    <col min="5404" max="5404" width="34.7109375" style="1609" bestFit="1" customWidth="1"/>
    <col min="5405" max="5632" width="9.140625" style="1609"/>
    <col min="5633" max="5633" width="4" style="1609" customWidth="1"/>
    <col min="5634" max="5634" width="7.85546875" style="1609" customWidth="1"/>
    <col min="5635" max="5635" width="5.85546875" style="1609" customWidth="1"/>
    <col min="5636" max="5636" width="5.5703125" style="1609" customWidth="1"/>
    <col min="5637" max="5637" width="6" style="1609" customWidth="1"/>
    <col min="5638" max="5639" width="7.5703125" style="1609" customWidth="1"/>
    <col min="5640" max="5640" width="4.85546875" style="1609" customWidth="1"/>
    <col min="5641" max="5641" width="8.28515625" style="1609" customWidth="1"/>
    <col min="5642" max="5642" width="4.7109375" style="1609" customWidth="1"/>
    <col min="5643" max="5643" width="5.85546875" style="1609" customWidth="1"/>
    <col min="5644" max="5644" width="8.85546875" style="1609" customWidth="1"/>
    <col min="5645" max="5645" width="6" style="1609" customWidth="1"/>
    <col min="5646" max="5646" width="7.5703125" style="1609" customWidth="1"/>
    <col min="5647" max="5647" width="5.28515625" style="1609" customWidth="1"/>
    <col min="5648" max="5648" width="5.140625" style="1609" customWidth="1"/>
    <col min="5649" max="5649" width="3.28515625" style="1609" customWidth="1"/>
    <col min="5650" max="5653" width="2.28515625" style="1609" customWidth="1"/>
    <col min="5654" max="5654" width="5" style="1609" customWidth="1"/>
    <col min="5655" max="5655" width="5.42578125" style="1609" customWidth="1"/>
    <col min="5656" max="5656" width="6" style="1609" bestFit="1" customWidth="1"/>
    <col min="5657" max="5657" width="6.140625" style="1609" customWidth="1"/>
    <col min="5658" max="5658" width="6.5703125" style="1609" customWidth="1"/>
    <col min="5659" max="5659" width="9.140625" style="1609"/>
    <col min="5660" max="5660" width="34.7109375" style="1609" bestFit="1" customWidth="1"/>
    <col min="5661" max="5888" width="9.140625" style="1609"/>
    <col min="5889" max="5889" width="4" style="1609" customWidth="1"/>
    <col min="5890" max="5890" width="7.85546875" style="1609" customWidth="1"/>
    <col min="5891" max="5891" width="5.85546875" style="1609" customWidth="1"/>
    <col min="5892" max="5892" width="5.5703125" style="1609" customWidth="1"/>
    <col min="5893" max="5893" width="6" style="1609" customWidth="1"/>
    <col min="5894" max="5895" width="7.5703125" style="1609" customWidth="1"/>
    <col min="5896" max="5896" width="4.85546875" style="1609" customWidth="1"/>
    <col min="5897" max="5897" width="8.28515625" style="1609" customWidth="1"/>
    <col min="5898" max="5898" width="4.7109375" style="1609" customWidth="1"/>
    <col min="5899" max="5899" width="5.85546875" style="1609" customWidth="1"/>
    <col min="5900" max="5900" width="8.85546875" style="1609" customWidth="1"/>
    <col min="5901" max="5901" width="6" style="1609" customWidth="1"/>
    <col min="5902" max="5902" width="7.5703125" style="1609" customWidth="1"/>
    <col min="5903" max="5903" width="5.28515625" style="1609" customWidth="1"/>
    <col min="5904" max="5904" width="5.140625" style="1609" customWidth="1"/>
    <col min="5905" max="5905" width="3.28515625" style="1609" customWidth="1"/>
    <col min="5906" max="5909" width="2.28515625" style="1609" customWidth="1"/>
    <col min="5910" max="5910" width="5" style="1609" customWidth="1"/>
    <col min="5911" max="5911" width="5.42578125" style="1609" customWidth="1"/>
    <col min="5912" max="5912" width="6" style="1609" bestFit="1" customWidth="1"/>
    <col min="5913" max="5913" width="6.140625" style="1609" customWidth="1"/>
    <col min="5914" max="5914" width="6.5703125" style="1609" customWidth="1"/>
    <col min="5915" max="5915" width="9.140625" style="1609"/>
    <col min="5916" max="5916" width="34.7109375" style="1609" bestFit="1" customWidth="1"/>
    <col min="5917" max="6144" width="9.140625" style="1609"/>
    <col min="6145" max="6145" width="4" style="1609" customWidth="1"/>
    <col min="6146" max="6146" width="7.85546875" style="1609" customWidth="1"/>
    <col min="6147" max="6147" width="5.85546875" style="1609" customWidth="1"/>
    <col min="6148" max="6148" width="5.5703125" style="1609" customWidth="1"/>
    <col min="6149" max="6149" width="6" style="1609" customWidth="1"/>
    <col min="6150" max="6151" width="7.5703125" style="1609" customWidth="1"/>
    <col min="6152" max="6152" width="4.85546875" style="1609" customWidth="1"/>
    <col min="6153" max="6153" width="8.28515625" style="1609" customWidth="1"/>
    <col min="6154" max="6154" width="4.7109375" style="1609" customWidth="1"/>
    <col min="6155" max="6155" width="5.85546875" style="1609" customWidth="1"/>
    <col min="6156" max="6156" width="8.85546875" style="1609" customWidth="1"/>
    <col min="6157" max="6157" width="6" style="1609" customWidth="1"/>
    <col min="6158" max="6158" width="7.5703125" style="1609" customWidth="1"/>
    <col min="6159" max="6159" width="5.28515625" style="1609" customWidth="1"/>
    <col min="6160" max="6160" width="5.140625" style="1609" customWidth="1"/>
    <col min="6161" max="6161" width="3.28515625" style="1609" customWidth="1"/>
    <col min="6162" max="6165" width="2.28515625" style="1609" customWidth="1"/>
    <col min="6166" max="6166" width="5" style="1609" customWidth="1"/>
    <col min="6167" max="6167" width="5.42578125" style="1609" customWidth="1"/>
    <col min="6168" max="6168" width="6" style="1609" bestFit="1" customWidth="1"/>
    <col min="6169" max="6169" width="6.140625" style="1609" customWidth="1"/>
    <col min="6170" max="6170" width="6.5703125" style="1609" customWidth="1"/>
    <col min="6171" max="6171" width="9.140625" style="1609"/>
    <col min="6172" max="6172" width="34.7109375" style="1609" bestFit="1" customWidth="1"/>
    <col min="6173" max="6400" width="9.140625" style="1609"/>
    <col min="6401" max="6401" width="4" style="1609" customWidth="1"/>
    <col min="6402" max="6402" width="7.85546875" style="1609" customWidth="1"/>
    <col min="6403" max="6403" width="5.85546875" style="1609" customWidth="1"/>
    <col min="6404" max="6404" width="5.5703125" style="1609" customWidth="1"/>
    <col min="6405" max="6405" width="6" style="1609" customWidth="1"/>
    <col min="6406" max="6407" width="7.5703125" style="1609" customWidth="1"/>
    <col min="6408" max="6408" width="4.85546875" style="1609" customWidth="1"/>
    <col min="6409" max="6409" width="8.28515625" style="1609" customWidth="1"/>
    <col min="6410" max="6410" width="4.7109375" style="1609" customWidth="1"/>
    <col min="6411" max="6411" width="5.85546875" style="1609" customWidth="1"/>
    <col min="6412" max="6412" width="8.85546875" style="1609" customWidth="1"/>
    <col min="6413" max="6413" width="6" style="1609" customWidth="1"/>
    <col min="6414" max="6414" width="7.5703125" style="1609" customWidth="1"/>
    <col min="6415" max="6415" width="5.28515625" style="1609" customWidth="1"/>
    <col min="6416" max="6416" width="5.140625" style="1609" customWidth="1"/>
    <col min="6417" max="6417" width="3.28515625" style="1609" customWidth="1"/>
    <col min="6418" max="6421" width="2.28515625" style="1609" customWidth="1"/>
    <col min="6422" max="6422" width="5" style="1609" customWidth="1"/>
    <col min="6423" max="6423" width="5.42578125" style="1609" customWidth="1"/>
    <col min="6424" max="6424" width="6" style="1609" bestFit="1" customWidth="1"/>
    <col min="6425" max="6425" width="6.140625" style="1609" customWidth="1"/>
    <col min="6426" max="6426" width="6.5703125" style="1609" customWidth="1"/>
    <col min="6427" max="6427" width="9.140625" style="1609"/>
    <col min="6428" max="6428" width="34.7109375" style="1609" bestFit="1" customWidth="1"/>
    <col min="6429" max="6656" width="9.140625" style="1609"/>
    <col min="6657" max="6657" width="4" style="1609" customWidth="1"/>
    <col min="6658" max="6658" width="7.85546875" style="1609" customWidth="1"/>
    <col min="6659" max="6659" width="5.85546875" style="1609" customWidth="1"/>
    <col min="6660" max="6660" width="5.5703125" style="1609" customWidth="1"/>
    <col min="6661" max="6661" width="6" style="1609" customWidth="1"/>
    <col min="6662" max="6663" width="7.5703125" style="1609" customWidth="1"/>
    <col min="6664" max="6664" width="4.85546875" style="1609" customWidth="1"/>
    <col min="6665" max="6665" width="8.28515625" style="1609" customWidth="1"/>
    <col min="6666" max="6666" width="4.7109375" style="1609" customWidth="1"/>
    <col min="6667" max="6667" width="5.85546875" style="1609" customWidth="1"/>
    <col min="6668" max="6668" width="8.85546875" style="1609" customWidth="1"/>
    <col min="6669" max="6669" width="6" style="1609" customWidth="1"/>
    <col min="6670" max="6670" width="7.5703125" style="1609" customWidth="1"/>
    <col min="6671" max="6671" width="5.28515625" style="1609" customWidth="1"/>
    <col min="6672" max="6672" width="5.140625" style="1609" customWidth="1"/>
    <col min="6673" max="6673" width="3.28515625" style="1609" customWidth="1"/>
    <col min="6674" max="6677" width="2.28515625" style="1609" customWidth="1"/>
    <col min="6678" max="6678" width="5" style="1609" customWidth="1"/>
    <col min="6679" max="6679" width="5.42578125" style="1609" customWidth="1"/>
    <col min="6680" max="6680" width="6" style="1609" bestFit="1" customWidth="1"/>
    <col min="6681" max="6681" width="6.140625" style="1609" customWidth="1"/>
    <col min="6682" max="6682" width="6.5703125" style="1609" customWidth="1"/>
    <col min="6683" max="6683" width="9.140625" style="1609"/>
    <col min="6684" max="6684" width="34.7109375" style="1609" bestFit="1" customWidth="1"/>
    <col min="6685" max="6912" width="9.140625" style="1609"/>
    <col min="6913" max="6913" width="4" style="1609" customWidth="1"/>
    <col min="6914" max="6914" width="7.85546875" style="1609" customWidth="1"/>
    <col min="6915" max="6915" width="5.85546875" style="1609" customWidth="1"/>
    <col min="6916" max="6916" width="5.5703125" style="1609" customWidth="1"/>
    <col min="6917" max="6917" width="6" style="1609" customWidth="1"/>
    <col min="6918" max="6919" width="7.5703125" style="1609" customWidth="1"/>
    <col min="6920" max="6920" width="4.85546875" style="1609" customWidth="1"/>
    <col min="6921" max="6921" width="8.28515625" style="1609" customWidth="1"/>
    <col min="6922" max="6922" width="4.7109375" style="1609" customWidth="1"/>
    <col min="6923" max="6923" width="5.85546875" style="1609" customWidth="1"/>
    <col min="6924" max="6924" width="8.85546875" style="1609" customWidth="1"/>
    <col min="6925" max="6925" width="6" style="1609" customWidth="1"/>
    <col min="6926" max="6926" width="7.5703125" style="1609" customWidth="1"/>
    <col min="6927" max="6927" width="5.28515625" style="1609" customWidth="1"/>
    <col min="6928" max="6928" width="5.140625" style="1609" customWidth="1"/>
    <col min="6929" max="6929" width="3.28515625" style="1609" customWidth="1"/>
    <col min="6930" max="6933" width="2.28515625" style="1609" customWidth="1"/>
    <col min="6934" max="6934" width="5" style="1609" customWidth="1"/>
    <col min="6935" max="6935" width="5.42578125" style="1609" customWidth="1"/>
    <col min="6936" max="6936" width="6" style="1609" bestFit="1" customWidth="1"/>
    <col min="6937" max="6937" width="6.140625" style="1609" customWidth="1"/>
    <col min="6938" max="6938" width="6.5703125" style="1609" customWidth="1"/>
    <col min="6939" max="6939" width="9.140625" style="1609"/>
    <col min="6940" max="6940" width="34.7109375" style="1609" bestFit="1" customWidth="1"/>
    <col min="6941" max="7168" width="9.140625" style="1609"/>
    <col min="7169" max="7169" width="4" style="1609" customWidth="1"/>
    <col min="7170" max="7170" width="7.85546875" style="1609" customWidth="1"/>
    <col min="7171" max="7171" width="5.85546875" style="1609" customWidth="1"/>
    <col min="7172" max="7172" width="5.5703125" style="1609" customWidth="1"/>
    <col min="7173" max="7173" width="6" style="1609" customWidth="1"/>
    <col min="7174" max="7175" width="7.5703125" style="1609" customWidth="1"/>
    <col min="7176" max="7176" width="4.85546875" style="1609" customWidth="1"/>
    <col min="7177" max="7177" width="8.28515625" style="1609" customWidth="1"/>
    <col min="7178" max="7178" width="4.7109375" style="1609" customWidth="1"/>
    <col min="7179" max="7179" width="5.85546875" style="1609" customWidth="1"/>
    <col min="7180" max="7180" width="8.85546875" style="1609" customWidth="1"/>
    <col min="7181" max="7181" width="6" style="1609" customWidth="1"/>
    <col min="7182" max="7182" width="7.5703125" style="1609" customWidth="1"/>
    <col min="7183" max="7183" width="5.28515625" style="1609" customWidth="1"/>
    <col min="7184" max="7184" width="5.140625" style="1609" customWidth="1"/>
    <col min="7185" max="7185" width="3.28515625" style="1609" customWidth="1"/>
    <col min="7186" max="7189" width="2.28515625" style="1609" customWidth="1"/>
    <col min="7190" max="7190" width="5" style="1609" customWidth="1"/>
    <col min="7191" max="7191" width="5.42578125" style="1609" customWidth="1"/>
    <col min="7192" max="7192" width="6" style="1609" bestFit="1" customWidth="1"/>
    <col min="7193" max="7193" width="6.140625" style="1609" customWidth="1"/>
    <col min="7194" max="7194" width="6.5703125" style="1609" customWidth="1"/>
    <col min="7195" max="7195" width="9.140625" style="1609"/>
    <col min="7196" max="7196" width="34.7109375" style="1609" bestFit="1" customWidth="1"/>
    <col min="7197" max="7424" width="9.140625" style="1609"/>
    <col min="7425" max="7425" width="4" style="1609" customWidth="1"/>
    <col min="7426" max="7426" width="7.85546875" style="1609" customWidth="1"/>
    <col min="7427" max="7427" width="5.85546875" style="1609" customWidth="1"/>
    <col min="7428" max="7428" width="5.5703125" style="1609" customWidth="1"/>
    <col min="7429" max="7429" width="6" style="1609" customWidth="1"/>
    <col min="7430" max="7431" width="7.5703125" style="1609" customWidth="1"/>
    <col min="7432" max="7432" width="4.85546875" style="1609" customWidth="1"/>
    <col min="7433" max="7433" width="8.28515625" style="1609" customWidth="1"/>
    <col min="7434" max="7434" width="4.7109375" style="1609" customWidth="1"/>
    <col min="7435" max="7435" width="5.85546875" style="1609" customWidth="1"/>
    <col min="7436" max="7436" width="8.85546875" style="1609" customWidth="1"/>
    <col min="7437" max="7437" width="6" style="1609" customWidth="1"/>
    <col min="7438" max="7438" width="7.5703125" style="1609" customWidth="1"/>
    <col min="7439" max="7439" width="5.28515625" style="1609" customWidth="1"/>
    <col min="7440" max="7440" width="5.140625" style="1609" customWidth="1"/>
    <col min="7441" max="7441" width="3.28515625" style="1609" customWidth="1"/>
    <col min="7442" max="7445" width="2.28515625" style="1609" customWidth="1"/>
    <col min="7446" max="7446" width="5" style="1609" customWidth="1"/>
    <col min="7447" max="7447" width="5.42578125" style="1609" customWidth="1"/>
    <col min="7448" max="7448" width="6" style="1609" bestFit="1" customWidth="1"/>
    <col min="7449" max="7449" width="6.140625" style="1609" customWidth="1"/>
    <col min="7450" max="7450" width="6.5703125" style="1609" customWidth="1"/>
    <col min="7451" max="7451" width="9.140625" style="1609"/>
    <col min="7452" max="7452" width="34.7109375" style="1609" bestFit="1" customWidth="1"/>
    <col min="7453" max="7680" width="9.140625" style="1609"/>
    <col min="7681" max="7681" width="4" style="1609" customWidth="1"/>
    <col min="7682" max="7682" width="7.85546875" style="1609" customWidth="1"/>
    <col min="7683" max="7683" width="5.85546875" style="1609" customWidth="1"/>
    <col min="7684" max="7684" width="5.5703125" style="1609" customWidth="1"/>
    <col min="7685" max="7685" width="6" style="1609" customWidth="1"/>
    <col min="7686" max="7687" width="7.5703125" style="1609" customWidth="1"/>
    <col min="7688" max="7688" width="4.85546875" style="1609" customWidth="1"/>
    <col min="7689" max="7689" width="8.28515625" style="1609" customWidth="1"/>
    <col min="7690" max="7690" width="4.7109375" style="1609" customWidth="1"/>
    <col min="7691" max="7691" width="5.85546875" style="1609" customWidth="1"/>
    <col min="7692" max="7692" width="8.85546875" style="1609" customWidth="1"/>
    <col min="7693" max="7693" width="6" style="1609" customWidth="1"/>
    <col min="7694" max="7694" width="7.5703125" style="1609" customWidth="1"/>
    <col min="7695" max="7695" width="5.28515625" style="1609" customWidth="1"/>
    <col min="7696" max="7696" width="5.140625" style="1609" customWidth="1"/>
    <col min="7697" max="7697" width="3.28515625" style="1609" customWidth="1"/>
    <col min="7698" max="7701" width="2.28515625" style="1609" customWidth="1"/>
    <col min="7702" max="7702" width="5" style="1609" customWidth="1"/>
    <col min="7703" max="7703" width="5.42578125" style="1609" customWidth="1"/>
    <col min="7704" max="7704" width="6" style="1609" bestFit="1" customWidth="1"/>
    <col min="7705" max="7705" width="6.140625" style="1609" customWidth="1"/>
    <col min="7706" max="7706" width="6.5703125" style="1609" customWidth="1"/>
    <col min="7707" max="7707" width="9.140625" style="1609"/>
    <col min="7708" max="7708" width="34.7109375" style="1609" bestFit="1" customWidth="1"/>
    <col min="7709" max="7936" width="9.140625" style="1609"/>
    <col min="7937" max="7937" width="4" style="1609" customWidth="1"/>
    <col min="7938" max="7938" width="7.85546875" style="1609" customWidth="1"/>
    <col min="7939" max="7939" width="5.85546875" style="1609" customWidth="1"/>
    <col min="7940" max="7940" width="5.5703125" style="1609" customWidth="1"/>
    <col min="7941" max="7941" width="6" style="1609" customWidth="1"/>
    <col min="7942" max="7943" width="7.5703125" style="1609" customWidth="1"/>
    <col min="7944" max="7944" width="4.85546875" style="1609" customWidth="1"/>
    <col min="7945" max="7945" width="8.28515625" style="1609" customWidth="1"/>
    <col min="7946" max="7946" width="4.7109375" style="1609" customWidth="1"/>
    <col min="7947" max="7947" width="5.85546875" style="1609" customWidth="1"/>
    <col min="7948" max="7948" width="8.85546875" style="1609" customWidth="1"/>
    <col min="7949" max="7949" width="6" style="1609" customWidth="1"/>
    <col min="7950" max="7950" width="7.5703125" style="1609" customWidth="1"/>
    <col min="7951" max="7951" width="5.28515625" style="1609" customWidth="1"/>
    <col min="7952" max="7952" width="5.140625" style="1609" customWidth="1"/>
    <col min="7953" max="7953" width="3.28515625" style="1609" customWidth="1"/>
    <col min="7954" max="7957" width="2.28515625" style="1609" customWidth="1"/>
    <col min="7958" max="7958" width="5" style="1609" customWidth="1"/>
    <col min="7959" max="7959" width="5.42578125" style="1609" customWidth="1"/>
    <col min="7960" max="7960" width="6" style="1609" bestFit="1" customWidth="1"/>
    <col min="7961" max="7961" width="6.140625" style="1609" customWidth="1"/>
    <col min="7962" max="7962" width="6.5703125" style="1609" customWidth="1"/>
    <col min="7963" max="7963" width="9.140625" style="1609"/>
    <col min="7964" max="7964" width="34.7109375" style="1609" bestFit="1" customWidth="1"/>
    <col min="7965" max="8192" width="9.140625" style="1609"/>
    <col min="8193" max="8193" width="4" style="1609" customWidth="1"/>
    <col min="8194" max="8194" width="7.85546875" style="1609" customWidth="1"/>
    <col min="8195" max="8195" width="5.85546875" style="1609" customWidth="1"/>
    <col min="8196" max="8196" width="5.5703125" style="1609" customWidth="1"/>
    <col min="8197" max="8197" width="6" style="1609" customWidth="1"/>
    <col min="8198" max="8199" width="7.5703125" style="1609" customWidth="1"/>
    <col min="8200" max="8200" width="4.85546875" style="1609" customWidth="1"/>
    <col min="8201" max="8201" width="8.28515625" style="1609" customWidth="1"/>
    <col min="8202" max="8202" width="4.7109375" style="1609" customWidth="1"/>
    <col min="8203" max="8203" width="5.85546875" style="1609" customWidth="1"/>
    <col min="8204" max="8204" width="8.85546875" style="1609" customWidth="1"/>
    <col min="8205" max="8205" width="6" style="1609" customWidth="1"/>
    <col min="8206" max="8206" width="7.5703125" style="1609" customWidth="1"/>
    <col min="8207" max="8207" width="5.28515625" style="1609" customWidth="1"/>
    <col min="8208" max="8208" width="5.140625" style="1609" customWidth="1"/>
    <col min="8209" max="8209" width="3.28515625" style="1609" customWidth="1"/>
    <col min="8210" max="8213" width="2.28515625" style="1609" customWidth="1"/>
    <col min="8214" max="8214" width="5" style="1609" customWidth="1"/>
    <col min="8215" max="8215" width="5.42578125" style="1609" customWidth="1"/>
    <col min="8216" max="8216" width="6" style="1609" bestFit="1" customWidth="1"/>
    <col min="8217" max="8217" width="6.140625" style="1609" customWidth="1"/>
    <col min="8218" max="8218" width="6.5703125" style="1609" customWidth="1"/>
    <col min="8219" max="8219" width="9.140625" style="1609"/>
    <col min="8220" max="8220" width="34.7109375" style="1609" bestFit="1" customWidth="1"/>
    <col min="8221" max="8448" width="9.140625" style="1609"/>
    <col min="8449" max="8449" width="4" style="1609" customWidth="1"/>
    <col min="8450" max="8450" width="7.85546875" style="1609" customWidth="1"/>
    <col min="8451" max="8451" width="5.85546875" style="1609" customWidth="1"/>
    <col min="8452" max="8452" width="5.5703125" style="1609" customWidth="1"/>
    <col min="8453" max="8453" width="6" style="1609" customWidth="1"/>
    <col min="8454" max="8455" width="7.5703125" style="1609" customWidth="1"/>
    <col min="8456" max="8456" width="4.85546875" style="1609" customWidth="1"/>
    <col min="8457" max="8457" width="8.28515625" style="1609" customWidth="1"/>
    <col min="8458" max="8458" width="4.7109375" style="1609" customWidth="1"/>
    <col min="8459" max="8459" width="5.85546875" style="1609" customWidth="1"/>
    <col min="8460" max="8460" width="8.85546875" style="1609" customWidth="1"/>
    <col min="8461" max="8461" width="6" style="1609" customWidth="1"/>
    <col min="8462" max="8462" width="7.5703125" style="1609" customWidth="1"/>
    <col min="8463" max="8463" width="5.28515625" style="1609" customWidth="1"/>
    <col min="8464" max="8464" width="5.140625" style="1609" customWidth="1"/>
    <col min="8465" max="8465" width="3.28515625" style="1609" customWidth="1"/>
    <col min="8466" max="8469" width="2.28515625" style="1609" customWidth="1"/>
    <col min="8470" max="8470" width="5" style="1609" customWidth="1"/>
    <col min="8471" max="8471" width="5.42578125" style="1609" customWidth="1"/>
    <col min="8472" max="8472" width="6" style="1609" bestFit="1" customWidth="1"/>
    <col min="8473" max="8473" width="6.140625" style="1609" customWidth="1"/>
    <col min="8474" max="8474" width="6.5703125" style="1609" customWidth="1"/>
    <col min="8475" max="8475" width="9.140625" style="1609"/>
    <col min="8476" max="8476" width="34.7109375" style="1609" bestFit="1" customWidth="1"/>
    <col min="8477" max="8704" width="9.140625" style="1609"/>
    <col min="8705" max="8705" width="4" style="1609" customWidth="1"/>
    <col min="8706" max="8706" width="7.85546875" style="1609" customWidth="1"/>
    <col min="8707" max="8707" width="5.85546875" style="1609" customWidth="1"/>
    <col min="8708" max="8708" width="5.5703125" style="1609" customWidth="1"/>
    <col min="8709" max="8709" width="6" style="1609" customWidth="1"/>
    <col min="8710" max="8711" width="7.5703125" style="1609" customWidth="1"/>
    <col min="8712" max="8712" width="4.85546875" style="1609" customWidth="1"/>
    <col min="8713" max="8713" width="8.28515625" style="1609" customWidth="1"/>
    <col min="8714" max="8714" width="4.7109375" style="1609" customWidth="1"/>
    <col min="8715" max="8715" width="5.85546875" style="1609" customWidth="1"/>
    <col min="8716" max="8716" width="8.85546875" style="1609" customWidth="1"/>
    <col min="8717" max="8717" width="6" style="1609" customWidth="1"/>
    <col min="8718" max="8718" width="7.5703125" style="1609" customWidth="1"/>
    <col min="8719" max="8719" width="5.28515625" style="1609" customWidth="1"/>
    <col min="8720" max="8720" width="5.140625" style="1609" customWidth="1"/>
    <col min="8721" max="8721" width="3.28515625" style="1609" customWidth="1"/>
    <col min="8722" max="8725" width="2.28515625" style="1609" customWidth="1"/>
    <col min="8726" max="8726" width="5" style="1609" customWidth="1"/>
    <col min="8727" max="8727" width="5.42578125" style="1609" customWidth="1"/>
    <col min="8728" max="8728" width="6" style="1609" bestFit="1" customWidth="1"/>
    <col min="8729" max="8729" width="6.140625" style="1609" customWidth="1"/>
    <col min="8730" max="8730" width="6.5703125" style="1609" customWidth="1"/>
    <col min="8731" max="8731" width="9.140625" style="1609"/>
    <col min="8732" max="8732" width="34.7109375" style="1609" bestFit="1" customWidth="1"/>
    <col min="8733" max="8960" width="9.140625" style="1609"/>
    <col min="8961" max="8961" width="4" style="1609" customWidth="1"/>
    <col min="8962" max="8962" width="7.85546875" style="1609" customWidth="1"/>
    <col min="8963" max="8963" width="5.85546875" style="1609" customWidth="1"/>
    <col min="8964" max="8964" width="5.5703125" style="1609" customWidth="1"/>
    <col min="8965" max="8965" width="6" style="1609" customWidth="1"/>
    <col min="8966" max="8967" width="7.5703125" style="1609" customWidth="1"/>
    <col min="8968" max="8968" width="4.85546875" style="1609" customWidth="1"/>
    <col min="8969" max="8969" width="8.28515625" style="1609" customWidth="1"/>
    <col min="8970" max="8970" width="4.7109375" style="1609" customWidth="1"/>
    <col min="8971" max="8971" width="5.85546875" style="1609" customWidth="1"/>
    <col min="8972" max="8972" width="8.85546875" style="1609" customWidth="1"/>
    <col min="8973" max="8973" width="6" style="1609" customWidth="1"/>
    <col min="8974" max="8974" width="7.5703125" style="1609" customWidth="1"/>
    <col min="8975" max="8975" width="5.28515625" style="1609" customWidth="1"/>
    <col min="8976" max="8976" width="5.140625" style="1609" customWidth="1"/>
    <col min="8977" max="8977" width="3.28515625" style="1609" customWidth="1"/>
    <col min="8978" max="8981" width="2.28515625" style="1609" customWidth="1"/>
    <col min="8982" max="8982" width="5" style="1609" customWidth="1"/>
    <col min="8983" max="8983" width="5.42578125" style="1609" customWidth="1"/>
    <col min="8984" max="8984" width="6" style="1609" bestFit="1" customWidth="1"/>
    <col min="8985" max="8985" width="6.140625" style="1609" customWidth="1"/>
    <col min="8986" max="8986" width="6.5703125" style="1609" customWidth="1"/>
    <col min="8987" max="8987" width="9.140625" style="1609"/>
    <col min="8988" max="8988" width="34.7109375" style="1609" bestFit="1" customWidth="1"/>
    <col min="8989" max="9216" width="9.140625" style="1609"/>
    <col min="9217" max="9217" width="4" style="1609" customWidth="1"/>
    <col min="9218" max="9218" width="7.85546875" style="1609" customWidth="1"/>
    <col min="9219" max="9219" width="5.85546875" style="1609" customWidth="1"/>
    <col min="9220" max="9220" width="5.5703125" style="1609" customWidth="1"/>
    <col min="9221" max="9221" width="6" style="1609" customWidth="1"/>
    <col min="9222" max="9223" width="7.5703125" style="1609" customWidth="1"/>
    <col min="9224" max="9224" width="4.85546875" style="1609" customWidth="1"/>
    <col min="9225" max="9225" width="8.28515625" style="1609" customWidth="1"/>
    <col min="9226" max="9226" width="4.7109375" style="1609" customWidth="1"/>
    <col min="9227" max="9227" width="5.85546875" style="1609" customWidth="1"/>
    <col min="9228" max="9228" width="8.85546875" style="1609" customWidth="1"/>
    <col min="9229" max="9229" width="6" style="1609" customWidth="1"/>
    <col min="9230" max="9230" width="7.5703125" style="1609" customWidth="1"/>
    <col min="9231" max="9231" width="5.28515625" style="1609" customWidth="1"/>
    <col min="9232" max="9232" width="5.140625" style="1609" customWidth="1"/>
    <col min="9233" max="9233" width="3.28515625" style="1609" customWidth="1"/>
    <col min="9234" max="9237" width="2.28515625" style="1609" customWidth="1"/>
    <col min="9238" max="9238" width="5" style="1609" customWidth="1"/>
    <col min="9239" max="9239" width="5.42578125" style="1609" customWidth="1"/>
    <col min="9240" max="9240" width="6" style="1609" bestFit="1" customWidth="1"/>
    <col min="9241" max="9241" width="6.140625" style="1609" customWidth="1"/>
    <col min="9242" max="9242" width="6.5703125" style="1609" customWidth="1"/>
    <col min="9243" max="9243" width="9.140625" style="1609"/>
    <col min="9244" max="9244" width="34.7109375" style="1609" bestFit="1" customWidth="1"/>
    <col min="9245" max="9472" width="9.140625" style="1609"/>
    <col min="9473" max="9473" width="4" style="1609" customWidth="1"/>
    <col min="9474" max="9474" width="7.85546875" style="1609" customWidth="1"/>
    <col min="9475" max="9475" width="5.85546875" style="1609" customWidth="1"/>
    <col min="9476" max="9476" width="5.5703125" style="1609" customWidth="1"/>
    <col min="9477" max="9477" width="6" style="1609" customWidth="1"/>
    <col min="9478" max="9479" width="7.5703125" style="1609" customWidth="1"/>
    <col min="9480" max="9480" width="4.85546875" style="1609" customWidth="1"/>
    <col min="9481" max="9481" width="8.28515625" style="1609" customWidth="1"/>
    <col min="9482" max="9482" width="4.7109375" style="1609" customWidth="1"/>
    <col min="9483" max="9483" width="5.85546875" style="1609" customWidth="1"/>
    <col min="9484" max="9484" width="8.85546875" style="1609" customWidth="1"/>
    <col min="9485" max="9485" width="6" style="1609" customWidth="1"/>
    <col min="9486" max="9486" width="7.5703125" style="1609" customWidth="1"/>
    <col min="9487" max="9487" width="5.28515625" style="1609" customWidth="1"/>
    <col min="9488" max="9488" width="5.140625" style="1609" customWidth="1"/>
    <col min="9489" max="9489" width="3.28515625" style="1609" customWidth="1"/>
    <col min="9490" max="9493" width="2.28515625" style="1609" customWidth="1"/>
    <col min="9494" max="9494" width="5" style="1609" customWidth="1"/>
    <col min="9495" max="9495" width="5.42578125" style="1609" customWidth="1"/>
    <col min="9496" max="9496" width="6" style="1609" bestFit="1" customWidth="1"/>
    <col min="9497" max="9497" width="6.140625" style="1609" customWidth="1"/>
    <col min="9498" max="9498" width="6.5703125" style="1609" customWidth="1"/>
    <col min="9499" max="9499" width="9.140625" style="1609"/>
    <col min="9500" max="9500" width="34.7109375" style="1609" bestFit="1" customWidth="1"/>
    <col min="9501" max="9728" width="9.140625" style="1609"/>
    <col min="9729" max="9729" width="4" style="1609" customWidth="1"/>
    <col min="9730" max="9730" width="7.85546875" style="1609" customWidth="1"/>
    <col min="9731" max="9731" width="5.85546875" style="1609" customWidth="1"/>
    <col min="9732" max="9732" width="5.5703125" style="1609" customWidth="1"/>
    <col min="9733" max="9733" width="6" style="1609" customWidth="1"/>
    <col min="9734" max="9735" width="7.5703125" style="1609" customWidth="1"/>
    <col min="9736" max="9736" width="4.85546875" style="1609" customWidth="1"/>
    <col min="9737" max="9737" width="8.28515625" style="1609" customWidth="1"/>
    <col min="9738" max="9738" width="4.7109375" style="1609" customWidth="1"/>
    <col min="9739" max="9739" width="5.85546875" style="1609" customWidth="1"/>
    <col min="9740" max="9740" width="8.85546875" style="1609" customWidth="1"/>
    <col min="9741" max="9741" width="6" style="1609" customWidth="1"/>
    <col min="9742" max="9742" width="7.5703125" style="1609" customWidth="1"/>
    <col min="9743" max="9743" width="5.28515625" style="1609" customWidth="1"/>
    <col min="9744" max="9744" width="5.140625" style="1609" customWidth="1"/>
    <col min="9745" max="9745" width="3.28515625" style="1609" customWidth="1"/>
    <col min="9746" max="9749" width="2.28515625" style="1609" customWidth="1"/>
    <col min="9750" max="9750" width="5" style="1609" customWidth="1"/>
    <col min="9751" max="9751" width="5.42578125" style="1609" customWidth="1"/>
    <col min="9752" max="9752" width="6" style="1609" bestFit="1" customWidth="1"/>
    <col min="9753" max="9753" width="6.140625" style="1609" customWidth="1"/>
    <col min="9754" max="9754" width="6.5703125" style="1609" customWidth="1"/>
    <col min="9755" max="9755" width="9.140625" style="1609"/>
    <col min="9756" max="9756" width="34.7109375" style="1609" bestFit="1" customWidth="1"/>
    <col min="9757" max="9984" width="9.140625" style="1609"/>
    <col min="9985" max="9985" width="4" style="1609" customWidth="1"/>
    <col min="9986" max="9986" width="7.85546875" style="1609" customWidth="1"/>
    <col min="9987" max="9987" width="5.85546875" style="1609" customWidth="1"/>
    <col min="9988" max="9988" width="5.5703125" style="1609" customWidth="1"/>
    <col min="9989" max="9989" width="6" style="1609" customWidth="1"/>
    <col min="9990" max="9991" width="7.5703125" style="1609" customWidth="1"/>
    <col min="9992" max="9992" width="4.85546875" style="1609" customWidth="1"/>
    <col min="9993" max="9993" width="8.28515625" style="1609" customWidth="1"/>
    <col min="9994" max="9994" width="4.7109375" style="1609" customWidth="1"/>
    <col min="9995" max="9995" width="5.85546875" style="1609" customWidth="1"/>
    <col min="9996" max="9996" width="8.85546875" style="1609" customWidth="1"/>
    <col min="9997" max="9997" width="6" style="1609" customWidth="1"/>
    <col min="9998" max="9998" width="7.5703125" style="1609" customWidth="1"/>
    <col min="9999" max="9999" width="5.28515625" style="1609" customWidth="1"/>
    <col min="10000" max="10000" width="5.140625" style="1609" customWidth="1"/>
    <col min="10001" max="10001" width="3.28515625" style="1609" customWidth="1"/>
    <col min="10002" max="10005" width="2.28515625" style="1609" customWidth="1"/>
    <col min="10006" max="10006" width="5" style="1609" customWidth="1"/>
    <col min="10007" max="10007" width="5.42578125" style="1609" customWidth="1"/>
    <col min="10008" max="10008" width="6" style="1609" bestFit="1" customWidth="1"/>
    <col min="10009" max="10009" width="6.140625" style="1609" customWidth="1"/>
    <col min="10010" max="10010" width="6.5703125" style="1609" customWidth="1"/>
    <col min="10011" max="10011" width="9.140625" style="1609"/>
    <col min="10012" max="10012" width="34.7109375" style="1609" bestFit="1" customWidth="1"/>
    <col min="10013" max="10240" width="9.140625" style="1609"/>
    <col min="10241" max="10241" width="4" style="1609" customWidth="1"/>
    <col min="10242" max="10242" width="7.85546875" style="1609" customWidth="1"/>
    <col min="10243" max="10243" width="5.85546875" style="1609" customWidth="1"/>
    <col min="10244" max="10244" width="5.5703125" style="1609" customWidth="1"/>
    <col min="10245" max="10245" width="6" style="1609" customWidth="1"/>
    <col min="10246" max="10247" width="7.5703125" style="1609" customWidth="1"/>
    <col min="10248" max="10248" width="4.85546875" style="1609" customWidth="1"/>
    <col min="10249" max="10249" width="8.28515625" style="1609" customWidth="1"/>
    <col min="10250" max="10250" width="4.7109375" style="1609" customWidth="1"/>
    <col min="10251" max="10251" width="5.85546875" style="1609" customWidth="1"/>
    <col min="10252" max="10252" width="8.85546875" style="1609" customWidth="1"/>
    <col min="10253" max="10253" width="6" style="1609" customWidth="1"/>
    <col min="10254" max="10254" width="7.5703125" style="1609" customWidth="1"/>
    <col min="10255" max="10255" width="5.28515625" style="1609" customWidth="1"/>
    <col min="10256" max="10256" width="5.140625" style="1609" customWidth="1"/>
    <col min="10257" max="10257" width="3.28515625" style="1609" customWidth="1"/>
    <col min="10258" max="10261" width="2.28515625" style="1609" customWidth="1"/>
    <col min="10262" max="10262" width="5" style="1609" customWidth="1"/>
    <col min="10263" max="10263" width="5.42578125" style="1609" customWidth="1"/>
    <col min="10264" max="10264" width="6" style="1609" bestFit="1" customWidth="1"/>
    <col min="10265" max="10265" width="6.140625" style="1609" customWidth="1"/>
    <col min="10266" max="10266" width="6.5703125" style="1609" customWidth="1"/>
    <col min="10267" max="10267" width="9.140625" style="1609"/>
    <col min="10268" max="10268" width="34.7109375" style="1609" bestFit="1" customWidth="1"/>
    <col min="10269" max="10496" width="9.140625" style="1609"/>
    <col min="10497" max="10497" width="4" style="1609" customWidth="1"/>
    <col min="10498" max="10498" width="7.85546875" style="1609" customWidth="1"/>
    <col min="10499" max="10499" width="5.85546875" style="1609" customWidth="1"/>
    <col min="10500" max="10500" width="5.5703125" style="1609" customWidth="1"/>
    <col min="10501" max="10501" width="6" style="1609" customWidth="1"/>
    <col min="10502" max="10503" width="7.5703125" style="1609" customWidth="1"/>
    <col min="10504" max="10504" width="4.85546875" style="1609" customWidth="1"/>
    <col min="10505" max="10505" width="8.28515625" style="1609" customWidth="1"/>
    <col min="10506" max="10506" width="4.7109375" style="1609" customWidth="1"/>
    <col min="10507" max="10507" width="5.85546875" style="1609" customWidth="1"/>
    <col min="10508" max="10508" width="8.85546875" style="1609" customWidth="1"/>
    <col min="10509" max="10509" width="6" style="1609" customWidth="1"/>
    <col min="10510" max="10510" width="7.5703125" style="1609" customWidth="1"/>
    <col min="10511" max="10511" width="5.28515625" style="1609" customWidth="1"/>
    <col min="10512" max="10512" width="5.140625" style="1609" customWidth="1"/>
    <col min="10513" max="10513" width="3.28515625" style="1609" customWidth="1"/>
    <col min="10514" max="10517" width="2.28515625" style="1609" customWidth="1"/>
    <col min="10518" max="10518" width="5" style="1609" customWidth="1"/>
    <col min="10519" max="10519" width="5.42578125" style="1609" customWidth="1"/>
    <col min="10520" max="10520" width="6" style="1609" bestFit="1" customWidth="1"/>
    <col min="10521" max="10521" width="6.140625" style="1609" customWidth="1"/>
    <col min="10522" max="10522" width="6.5703125" style="1609" customWidth="1"/>
    <col min="10523" max="10523" width="9.140625" style="1609"/>
    <col min="10524" max="10524" width="34.7109375" style="1609" bestFit="1" customWidth="1"/>
    <col min="10525" max="10752" width="9.140625" style="1609"/>
    <col min="10753" max="10753" width="4" style="1609" customWidth="1"/>
    <col min="10754" max="10754" width="7.85546875" style="1609" customWidth="1"/>
    <col min="10755" max="10755" width="5.85546875" style="1609" customWidth="1"/>
    <col min="10756" max="10756" width="5.5703125" style="1609" customWidth="1"/>
    <col min="10757" max="10757" width="6" style="1609" customWidth="1"/>
    <col min="10758" max="10759" width="7.5703125" style="1609" customWidth="1"/>
    <col min="10760" max="10760" width="4.85546875" style="1609" customWidth="1"/>
    <col min="10761" max="10761" width="8.28515625" style="1609" customWidth="1"/>
    <col min="10762" max="10762" width="4.7109375" style="1609" customWidth="1"/>
    <col min="10763" max="10763" width="5.85546875" style="1609" customWidth="1"/>
    <col min="10764" max="10764" width="8.85546875" style="1609" customWidth="1"/>
    <col min="10765" max="10765" width="6" style="1609" customWidth="1"/>
    <col min="10766" max="10766" width="7.5703125" style="1609" customWidth="1"/>
    <col min="10767" max="10767" width="5.28515625" style="1609" customWidth="1"/>
    <col min="10768" max="10768" width="5.140625" style="1609" customWidth="1"/>
    <col min="10769" max="10769" width="3.28515625" style="1609" customWidth="1"/>
    <col min="10770" max="10773" width="2.28515625" style="1609" customWidth="1"/>
    <col min="10774" max="10774" width="5" style="1609" customWidth="1"/>
    <col min="10775" max="10775" width="5.42578125" style="1609" customWidth="1"/>
    <col min="10776" max="10776" width="6" style="1609" bestFit="1" customWidth="1"/>
    <col min="10777" max="10777" width="6.140625" style="1609" customWidth="1"/>
    <col min="10778" max="10778" width="6.5703125" style="1609" customWidth="1"/>
    <col min="10779" max="10779" width="9.140625" style="1609"/>
    <col min="10780" max="10780" width="34.7109375" style="1609" bestFit="1" customWidth="1"/>
    <col min="10781" max="11008" width="9.140625" style="1609"/>
    <col min="11009" max="11009" width="4" style="1609" customWidth="1"/>
    <col min="11010" max="11010" width="7.85546875" style="1609" customWidth="1"/>
    <col min="11011" max="11011" width="5.85546875" style="1609" customWidth="1"/>
    <col min="11012" max="11012" width="5.5703125" style="1609" customWidth="1"/>
    <col min="11013" max="11013" width="6" style="1609" customWidth="1"/>
    <col min="11014" max="11015" width="7.5703125" style="1609" customWidth="1"/>
    <col min="11016" max="11016" width="4.85546875" style="1609" customWidth="1"/>
    <col min="11017" max="11017" width="8.28515625" style="1609" customWidth="1"/>
    <col min="11018" max="11018" width="4.7109375" style="1609" customWidth="1"/>
    <col min="11019" max="11019" width="5.85546875" style="1609" customWidth="1"/>
    <col min="11020" max="11020" width="8.85546875" style="1609" customWidth="1"/>
    <col min="11021" max="11021" width="6" style="1609" customWidth="1"/>
    <col min="11022" max="11022" width="7.5703125" style="1609" customWidth="1"/>
    <col min="11023" max="11023" width="5.28515625" style="1609" customWidth="1"/>
    <col min="11024" max="11024" width="5.140625" style="1609" customWidth="1"/>
    <col min="11025" max="11025" width="3.28515625" style="1609" customWidth="1"/>
    <col min="11026" max="11029" width="2.28515625" style="1609" customWidth="1"/>
    <col min="11030" max="11030" width="5" style="1609" customWidth="1"/>
    <col min="11031" max="11031" width="5.42578125" style="1609" customWidth="1"/>
    <col min="11032" max="11032" width="6" style="1609" bestFit="1" customWidth="1"/>
    <col min="11033" max="11033" width="6.140625" style="1609" customWidth="1"/>
    <col min="11034" max="11034" width="6.5703125" style="1609" customWidth="1"/>
    <col min="11035" max="11035" width="9.140625" style="1609"/>
    <col min="11036" max="11036" width="34.7109375" style="1609" bestFit="1" customWidth="1"/>
    <col min="11037" max="11264" width="9.140625" style="1609"/>
    <col min="11265" max="11265" width="4" style="1609" customWidth="1"/>
    <col min="11266" max="11266" width="7.85546875" style="1609" customWidth="1"/>
    <col min="11267" max="11267" width="5.85546875" style="1609" customWidth="1"/>
    <col min="11268" max="11268" width="5.5703125" style="1609" customWidth="1"/>
    <col min="11269" max="11269" width="6" style="1609" customWidth="1"/>
    <col min="11270" max="11271" width="7.5703125" style="1609" customWidth="1"/>
    <col min="11272" max="11272" width="4.85546875" style="1609" customWidth="1"/>
    <col min="11273" max="11273" width="8.28515625" style="1609" customWidth="1"/>
    <col min="11274" max="11274" width="4.7109375" style="1609" customWidth="1"/>
    <col min="11275" max="11275" width="5.85546875" style="1609" customWidth="1"/>
    <col min="11276" max="11276" width="8.85546875" style="1609" customWidth="1"/>
    <col min="11277" max="11277" width="6" style="1609" customWidth="1"/>
    <col min="11278" max="11278" width="7.5703125" style="1609" customWidth="1"/>
    <col min="11279" max="11279" width="5.28515625" style="1609" customWidth="1"/>
    <col min="11280" max="11280" width="5.140625" style="1609" customWidth="1"/>
    <col min="11281" max="11281" width="3.28515625" style="1609" customWidth="1"/>
    <col min="11282" max="11285" width="2.28515625" style="1609" customWidth="1"/>
    <col min="11286" max="11286" width="5" style="1609" customWidth="1"/>
    <col min="11287" max="11287" width="5.42578125" style="1609" customWidth="1"/>
    <col min="11288" max="11288" width="6" style="1609" bestFit="1" customWidth="1"/>
    <col min="11289" max="11289" width="6.140625" style="1609" customWidth="1"/>
    <col min="11290" max="11290" width="6.5703125" style="1609" customWidth="1"/>
    <col min="11291" max="11291" width="9.140625" style="1609"/>
    <col min="11292" max="11292" width="34.7109375" style="1609" bestFit="1" customWidth="1"/>
    <col min="11293" max="11520" width="9.140625" style="1609"/>
    <col min="11521" max="11521" width="4" style="1609" customWidth="1"/>
    <col min="11522" max="11522" width="7.85546875" style="1609" customWidth="1"/>
    <col min="11523" max="11523" width="5.85546875" style="1609" customWidth="1"/>
    <col min="11524" max="11524" width="5.5703125" style="1609" customWidth="1"/>
    <col min="11525" max="11525" width="6" style="1609" customWidth="1"/>
    <col min="11526" max="11527" width="7.5703125" style="1609" customWidth="1"/>
    <col min="11528" max="11528" width="4.85546875" style="1609" customWidth="1"/>
    <col min="11529" max="11529" width="8.28515625" style="1609" customWidth="1"/>
    <col min="11530" max="11530" width="4.7109375" style="1609" customWidth="1"/>
    <col min="11531" max="11531" width="5.85546875" style="1609" customWidth="1"/>
    <col min="11532" max="11532" width="8.85546875" style="1609" customWidth="1"/>
    <col min="11533" max="11533" width="6" style="1609" customWidth="1"/>
    <col min="11534" max="11534" width="7.5703125" style="1609" customWidth="1"/>
    <col min="11535" max="11535" width="5.28515625" style="1609" customWidth="1"/>
    <col min="11536" max="11536" width="5.140625" style="1609" customWidth="1"/>
    <col min="11537" max="11537" width="3.28515625" style="1609" customWidth="1"/>
    <col min="11538" max="11541" width="2.28515625" style="1609" customWidth="1"/>
    <col min="11542" max="11542" width="5" style="1609" customWidth="1"/>
    <col min="11543" max="11543" width="5.42578125" style="1609" customWidth="1"/>
    <col min="11544" max="11544" width="6" style="1609" bestFit="1" customWidth="1"/>
    <col min="11545" max="11545" width="6.140625" style="1609" customWidth="1"/>
    <col min="11546" max="11546" width="6.5703125" style="1609" customWidth="1"/>
    <col min="11547" max="11547" width="9.140625" style="1609"/>
    <col min="11548" max="11548" width="34.7109375" style="1609" bestFit="1" customWidth="1"/>
    <col min="11549" max="11776" width="9.140625" style="1609"/>
    <col min="11777" max="11777" width="4" style="1609" customWidth="1"/>
    <col min="11778" max="11778" width="7.85546875" style="1609" customWidth="1"/>
    <col min="11779" max="11779" width="5.85546875" style="1609" customWidth="1"/>
    <col min="11780" max="11780" width="5.5703125" style="1609" customWidth="1"/>
    <col min="11781" max="11781" width="6" style="1609" customWidth="1"/>
    <col min="11782" max="11783" width="7.5703125" style="1609" customWidth="1"/>
    <col min="11784" max="11784" width="4.85546875" style="1609" customWidth="1"/>
    <col min="11785" max="11785" width="8.28515625" style="1609" customWidth="1"/>
    <col min="11786" max="11786" width="4.7109375" style="1609" customWidth="1"/>
    <col min="11787" max="11787" width="5.85546875" style="1609" customWidth="1"/>
    <col min="11788" max="11788" width="8.85546875" style="1609" customWidth="1"/>
    <col min="11789" max="11789" width="6" style="1609" customWidth="1"/>
    <col min="11790" max="11790" width="7.5703125" style="1609" customWidth="1"/>
    <col min="11791" max="11791" width="5.28515625" style="1609" customWidth="1"/>
    <col min="11792" max="11792" width="5.140625" style="1609" customWidth="1"/>
    <col min="11793" max="11793" width="3.28515625" style="1609" customWidth="1"/>
    <col min="11794" max="11797" width="2.28515625" style="1609" customWidth="1"/>
    <col min="11798" max="11798" width="5" style="1609" customWidth="1"/>
    <col min="11799" max="11799" width="5.42578125" style="1609" customWidth="1"/>
    <col min="11800" max="11800" width="6" style="1609" bestFit="1" customWidth="1"/>
    <col min="11801" max="11801" width="6.140625" style="1609" customWidth="1"/>
    <col min="11802" max="11802" width="6.5703125" style="1609" customWidth="1"/>
    <col min="11803" max="11803" width="9.140625" style="1609"/>
    <col min="11804" max="11804" width="34.7109375" style="1609" bestFit="1" customWidth="1"/>
    <col min="11805" max="12032" width="9.140625" style="1609"/>
    <col min="12033" max="12033" width="4" style="1609" customWidth="1"/>
    <col min="12034" max="12034" width="7.85546875" style="1609" customWidth="1"/>
    <col min="12035" max="12035" width="5.85546875" style="1609" customWidth="1"/>
    <col min="12036" max="12036" width="5.5703125" style="1609" customWidth="1"/>
    <col min="12037" max="12037" width="6" style="1609" customWidth="1"/>
    <col min="12038" max="12039" width="7.5703125" style="1609" customWidth="1"/>
    <col min="12040" max="12040" width="4.85546875" style="1609" customWidth="1"/>
    <col min="12041" max="12041" width="8.28515625" style="1609" customWidth="1"/>
    <col min="12042" max="12042" width="4.7109375" style="1609" customWidth="1"/>
    <col min="12043" max="12043" width="5.85546875" style="1609" customWidth="1"/>
    <col min="12044" max="12044" width="8.85546875" style="1609" customWidth="1"/>
    <col min="12045" max="12045" width="6" style="1609" customWidth="1"/>
    <col min="12046" max="12046" width="7.5703125" style="1609" customWidth="1"/>
    <col min="12047" max="12047" width="5.28515625" style="1609" customWidth="1"/>
    <col min="12048" max="12048" width="5.140625" style="1609" customWidth="1"/>
    <col min="12049" max="12049" width="3.28515625" style="1609" customWidth="1"/>
    <col min="12050" max="12053" width="2.28515625" style="1609" customWidth="1"/>
    <col min="12054" max="12054" width="5" style="1609" customWidth="1"/>
    <col min="12055" max="12055" width="5.42578125" style="1609" customWidth="1"/>
    <col min="12056" max="12056" width="6" style="1609" bestFit="1" customWidth="1"/>
    <col min="12057" max="12057" width="6.140625" style="1609" customWidth="1"/>
    <col min="12058" max="12058" width="6.5703125" style="1609" customWidth="1"/>
    <col min="12059" max="12059" width="9.140625" style="1609"/>
    <col min="12060" max="12060" width="34.7109375" style="1609" bestFit="1" customWidth="1"/>
    <col min="12061" max="12288" width="9.140625" style="1609"/>
    <col min="12289" max="12289" width="4" style="1609" customWidth="1"/>
    <col min="12290" max="12290" width="7.85546875" style="1609" customWidth="1"/>
    <col min="12291" max="12291" width="5.85546875" style="1609" customWidth="1"/>
    <col min="12292" max="12292" width="5.5703125" style="1609" customWidth="1"/>
    <col min="12293" max="12293" width="6" style="1609" customWidth="1"/>
    <col min="12294" max="12295" width="7.5703125" style="1609" customWidth="1"/>
    <col min="12296" max="12296" width="4.85546875" style="1609" customWidth="1"/>
    <col min="12297" max="12297" width="8.28515625" style="1609" customWidth="1"/>
    <col min="12298" max="12298" width="4.7109375" style="1609" customWidth="1"/>
    <col min="12299" max="12299" width="5.85546875" style="1609" customWidth="1"/>
    <col min="12300" max="12300" width="8.85546875" style="1609" customWidth="1"/>
    <col min="12301" max="12301" width="6" style="1609" customWidth="1"/>
    <col min="12302" max="12302" width="7.5703125" style="1609" customWidth="1"/>
    <col min="12303" max="12303" width="5.28515625" style="1609" customWidth="1"/>
    <col min="12304" max="12304" width="5.140625" style="1609" customWidth="1"/>
    <col min="12305" max="12305" width="3.28515625" style="1609" customWidth="1"/>
    <col min="12306" max="12309" width="2.28515625" style="1609" customWidth="1"/>
    <col min="12310" max="12310" width="5" style="1609" customWidth="1"/>
    <col min="12311" max="12311" width="5.42578125" style="1609" customWidth="1"/>
    <col min="12312" max="12312" width="6" style="1609" bestFit="1" customWidth="1"/>
    <col min="12313" max="12313" width="6.140625" style="1609" customWidth="1"/>
    <col min="12314" max="12314" width="6.5703125" style="1609" customWidth="1"/>
    <col min="12315" max="12315" width="9.140625" style="1609"/>
    <col min="12316" max="12316" width="34.7109375" style="1609" bestFit="1" customWidth="1"/>
    <col min="12317" max="12544" width="9.140625" style="1609"/>
    <col min="12545" max="12545" width="4" style="1609" customWidth="1"/>
    <col min="12546" max="12546" width="7.85546875" style="1609" customWidth="1"/>
    <col min="12547" max="12547" width="5.85546875" style="1609" customWidth="1"/>
    <col min="12548" max="12548" width="5.5703125" style="1609" customWidth="1"/>
    <col min="12549" max="12549" width="6" style="1609" customWidth="1"/>
    <col min="12550" max="12551" width="7.5703125" style="1609" customWidth="1"/>
    <col min="12552" max="12552" width="4.85546875" style="1609" customWidth="1"/>
    <col min="12553" max="12553" width="8.28515625" style="1609" customWidth="1"/>
    <col min="12554" max="12554" width="4.7109375" style="1609" customWidth="1"/>
    <col min="12555" max="12555" width="5.85546875" style="1609" customWidth="1"/>
    <col min="12556" max="12556" width="8.85546875" style="1609" customWidth="1"/>
    <col min="12557" max="12557" width="6" style="1609" customWidth="1"/>
    <col min="12558" max="12558" width="7.5703125" style="1609" customWidth="1"/>
    <col min="12559" max="12559" width="5.28515625" style="1609" customWidth="1"/>
    <col min="12560" max="12560" width="5.140625" style="1609" customWidth="1"/>
    <col min="12561" max="12561" width="3.28515625" style="1609" customWidth="1"/>
    <col min="12562" max="12565" width="2.28515625" style="1609" customWidth="1"/>
    <col min="12566" max="12566" width="5" style="1609" customWidth="1"/>
    <col min="12567" max="12567" width="5.42578125" style="1609" customWidth="1"/>
    <col min="12568" max="12568" width="6" style="1609" bestFit="1" customWidth="1"/>
    <col min="12569" max="12569" width="6.140625" style="1609" customWidth="1"/>
    <col min="12570" max="12570" width="6.5703125" style="1609" customWidth="1"/>
    <col min="12571" max="12571" width="9.140625" style="1609"/>
    <col min="12572" max="12572" width="34.7109375" style="1609" bestFit="1" customWidth="1"/>
    <col min="12573" max="12800" width="9.140625" style="1609"/>
    <col min="12801" max="12801" width="4" style="1609" customWidth="1"/>
    <col min="12802" max="12802" width="7.85546875" style="1609" customWidth="1"/>
    <col min="12803" max="12803" width="5.85546875" style="1609" customWidth="1"/>
    <col min="12804" max="12804" width="5.5703125" style="1609" customWidth="1"/>
    <col min="12805" max="12805" width="6" style="1609" customWidth="1"/>
    <col min="12806" max="12807" width="7.5703125" style="1609" customWidth="1"/>
    <col min="12808" max="12808" width="4.85546875" style="1609" customWidth="1"/>
    <col min="12809" max="12809" width="8.28515625" style="1609" customWidth="1"/>
    <col min="12810" max="12810" width="4.7109375" style="1609" customWidth="1"/>
    <col min="12811" max="12811" width="5.85546875" style="1609" customWidth="1"/>
    <col min="12812" max="12812" width="8.85546875" style="1609" customWidth="1"/>
    <col min="12813" max="12813" width="6" style="1609" customWidth="1"/>
    <col min="12814" max="12814" width="7.5703125" style="1609" customWidth="1"/>
    <col min="12815" max="12815" width="5.28515625" style="1609" customWidth="1"/>
    <col min="12816" max="12816" width="5.140625" style="1609" customWidth="1"/>
    <col min="12817" max="12817" width="3.28515625" style="1609" customWidth="1"/>
    <col min="12818" max="12821" width="2.28515625" style="1609" customWidth="1"/>
    <col min="12822" max="12822" width="5" style="1609" customWidth="1"/>
    <col min="12823" max="12823" width="5.42578125" style="1609" customWidth="1"/>
    <col min="12824" max="12824" width="6" style="1609" bestFit="1" customWidth="1"/>
    <col min="12825" max="12825" width="6.140625" style="1609" customWidth="1"/>
    <col min="12826" max="12826" width="6.5703125" style="1609" customWidth="1"/>
    <col min="12827" max="12827" width="9.140625" style="1609"/>
    <col min="12828" max="12828" width="34.7109375" style="1609" bestFit="1" customWidth="1"/>
    <col min="12829" max="13056" width="9.140625" style="1609"/>
    <col min="13057" max="13057" width="4" style="1609" customWidth="1"/>
    <col min="13058" max="13058" width="7.85546875" style="1609" customWidth="1"/>
    <col min="13059" max="13059" width="5.85546875" style="1609" customWidth="1"/>
    <col min="13060" max="13060" width="5.5703125" style="1609" customWidth="1"/>
    <col min="13061" max="13061" width="6" style="1609" customWidth="1"/>
    <col min="13062" max="13063" width="7.5703125" style="1609" customWidth="1"/>
    <col min="13064" max="13064" width="4.85546875" style="1609" customWidth="1"/>
    <col min="13065" max="13065" width="8.28515625" style="1609" customWidth="1"/>
    <col min="13066" max="13066" width="4.7109375" style="1609" customWidth="1"/>
    <col min="13067" max="13067" width="5.85546875" style="1609" customWidth="1"/>
    <col min="13068" max="13068" width="8.85546875" style="1609" customWidth="1"/>
    <col min="13069" max="13069" width="6" style="1609" customWidth="1"/>
    <col min="13070" max="13070" width="7.5703125" style="1609" customWidth="1"/>
    <col min="13071" max="13071" width="5.28515625" style="1609" customWidth="1"/>
    <col min="13072" max="13072" width="5.140625" style="1609" customWidth="1"/>
    <col min="13073" max="13073" width="3.28515625" style="1609" customWidth="1"/>
    <col min="13074" max="13077" width="2.28515625" style="1609" customWidth="1"/>
    <col min="13078" max="13078" width="5" style="1609" customWidth="1"/>
    <col min="13079" max="13079" width="5.42578125" style="1609" customWidth="1"/>
    <col min="13080" max="13080" width="6" style="1609" bestFit="1" customWidth="1"/>
    <col min="13081" max="13081" width="6.140625" style="1609" customWidth="1"/>
    <col min="13082" max="13082" width="6.5703125" style="1609" customWidth="1"/>
    <col min="13083" max="13083" width="9.140625" style="1609"/>
    <col min="13084" max="13084" width="34.7109375" style="1609" bestFit="1" customWidth="1"/>
    <col min="13085" max="13312" width="9.140625" style="1609"/>
    <col min="13313" max="13313" width="4" style="1609" customWidth="1"/>
    <col min="13314" max="13314" width="7.85546875" style="1609" customWidth="1"/>
    <col min="13315" max="13315" width="5.85546875" style="1609" customWidth="1"/>
    <col min="13316" max="13316" width="5.5703125" style="1609" customWidth="1"/>
    <col min="13317" max="13317" width="6" style="1609" customWidth="1"/>
    <col min="13318" max="13319" width="7.5703125" style="1609" customWidth="1"/>
    <col min="13320" max="13320" width="4.85546875" style="1609" customWidth="1"/>
    <col min="13321" max="13321" width="8.28515625" style="1609" customWidth="1"/>
    <col min="13322" max="13322" width="4.7109375" style="1609" customWidth="1"/>
    <col min="13323" max="13323" width="5.85546875" style="1609" customWidth="1"/>
    <col min="13324" max="13324" width="8.85546875" style="1609" customWidth="1"/>
    <col min="13325" max="13325" width="6" style="1609" customWidth="1"/>
    <col min="13326" max="13326" width="7.5703125" style="1609" customWidth="1"/>
    <col min="13327" max="13327" width="5.28515625" style="1609" customWidth="1"/>
    <col min="13328" max="13328" width="5.140625" style="1609" customWidth="1"/>
    <col min="13329" max="13329" width="3.28515625" style="1609" customWidth="1"/>
    <col min="13330" max="13333" width="2.28515625" style="1609" customWidth="1"/>
    <col min="13334" max="13334" width="5" style="1609" customWidth="1"/>
    <col min="13335" max="13335" width="5.42578125" style="1609" customWidth="1"/>
    <col min="13336" max="13336" width="6" style="1609" bestFit="1" customWidth="1"/>
    <col min="13337" max="13337" width="6.140625" style="1609" customWidth="1"/>
    <col min="13338" max="13338" width="6.5703125" style="1609" customWidth="1"/>
    <col min="13339" max="13339" width="9.140625" style="1609"/>
    <col min="13340" max="13340" width="34.7109375" style="1609" bestFit="1" customWidth="1"/>
    <col min="13341" max="13568" width="9.140625" style="1609"/>
    <col min="13569" max="13569" width="4" style="1609" customWidth="1"/>
    <col min="13570" max="13570" width="7.85546875" style="1609" customWidth="1"/>
    <col min="13571" max="13571" width="5.85546875" style="1609" customWidth="1"/>
    <col min="13572" max="13572" width="5.5703125" style="1609" customWidth="1"/>
    <col min="13573" max="13573" width="6" style="1609" customWidth="1"/>
    <col min="13574" max="13575" width="7.5703125" style="1609" customWidth="1"/>
    <col min="13576" max="13576" width="4.85546875" style="1609" customWidth="1"/>
    <col min="13577" max="13577" width="8.28515625" style="1609" customWidth="1"/>
    <col min="13578" max="13578" width="4.7109375" style="1609" customWidth="1"/>
    <col min="13579" max="13579" width="5.85546875" style="1609" customWidth="1"/>
    <col min="13580" max="13580" width="8.85546875" style="1609" customWidth="1"/>
    <col min="13581" max="13581" width="6" style="1609" customWidth="1"/>
    <col min="13582" max="13582" width="7.5703125" style="1609" customWidth="1"/>
    <col min="13583" max="13583" width="5.28515625" style="1609" customWidth="1"/>
    <col min="13584" max="13584" width="5.140625" style="1609" customWidth="1"/>
    <col min="13585" max="13585" width="3.28515625" style="1609" customWidth="1"/>
    <col min="13586" max="13589" width="2.28515625" style="1609" customWidth="1"/>
    <col min="13590" max="13590" width="5" style="1609" customWidth="1"/>
    <col min="13591" max="13591" width="5.42578125" style="1609" customWidth="1"/>
    <col min="13592" max="13592" width="6" style="1609" bestFit="1" customWidth="1"/>
    <col min="13593" max="13593" width="6.140625" style="1609" customWidth="1"/>
    <col min="13594" max="13594" width="6.5703125" style="1609" customWidth="1"/>
    <col min="13595" max="13595" width="9.140625" style="1609"/>
    <col min="13596" max="13596" width="34.7109375" style="1609" bestFit="1" customWidth="1"/>
    <col min="13597" max="13824" width="9.140625" style="1609"/>
    <col min="13825" max="13825" width="4" style="1609" customWidth="1"/>
    <col min="13826" max="13826" width="7.85546875" style="1609" customWidth="1"/>
    <col min="13827" max="13827" width="5.85546875" style="1609" customWidth="1"/>
    <col min="13828" max="13828" width="5.5703125" style="1609" customWidth="1"/>
    <col min="13829" max="13829" width="6" style="1609" customWidth="1"/>
    <col min="13830" max="13831" width="7.5703125" style="1609" customWidth="1"/>
    <col min="13832" max="13832" width="4.85546875" style="1609" customWidth="1"/>
    <col min="13833" max="13833" width="8.28515625" style="1609" customWidth="1"/>
    <col min="13834" max="13834" width="4.7109375" style="1609" customWidth="1"/>
    <col min="13835" max="13835" width="5.85546875" style="1609" customWidth="1"/>
    <col min="13836" max="13836" width="8.85546875" style="1609" customWidth="1"/>
    <col min="13837" max="13837" width="6" style="1609" customWidth="1"/>
    <col min="13838" max="13838" width="7.5703125" style="1609" customWidth="1"/>
    <col min="13839" max="13839" width="5.28515625" style="1609" customWidth="1"/>
    <col min="13840" max="13840" width="5.140625" style="1609" customWidth="1"/>
    <col min="13841" max="13841" width="3.28515625" style="1609" customWidth="1"/>
    <col min="13842" max="13845" width="2.28515625" style="1609" customWidth="1"/>
    <col min="13846" max="13846" width="5" style="1609" customWidth="1"/>
    <col min="13847" max="13847" width="5.42578125" style="1609" customWidth="1"/>
    <col min="13848" max="13848" width="6" style="1609" bestFit="1" customWidth="1"/>
    <col min="13849" max="13849" width="6.140625" style="1609" customWidth="1"/>
    <col min="13850" max="13850" width="6.5703125" style="1609" customWidth="1"/>
    <col min="13851" max="13851" width="9.140625" style="1609"/>
    <col min="13852" max="13852" width="34.7109375" style="1609" bestFit="1" customWidth="1"/>
    <col min="13853" max="14080" width="9.140625" style="1609"/>
    <col min="14081" max="14081" width="4" style="1609" customWidth="1"/>
    <col min="14082" max="14082" width="7.85546875" style="1609" customWidth="1"/>
    <col min="14083" max="14083" width="5.85546875" style="1609" customWidth="1"/>
    <col min="14084" max="14084" width="5.5703125" style="1609" customWidth="1"/>
    <col min="14085" max="14085" width="6" style="1609" customWidth="1"/>
    <col min="14086" max="14087" width="7.5703125" style="1609" customWidth="1"/>
    <col min="14088" max="14088" width="4.85546875" style="1609" customWidth="1"/>
    <col min="14089" max="14089" width="8.28515625" style="1609" customWidth="1"/>
    <col min="14090" max="14090" width="4.7109375" style="1609" customWidth="1"/>
    <col min="14091" max="14091" width="5.85546875" style="1609" customWidth="1"/>
    <col min="14092" max="14092" width="8.85546875" style="1609" customWidth="1"/>
    <col min="14093" max="14093" width="6" style="1609" customWidth="1"/>
    <col min="14094" max="14094" width="7.5703125" style="1609" customWidth="1"/>
    <col min="14095" max="14095" width="5.28515625" style="1609" customWidth="1"/>
    <col min="14096" max="14096" width="5.140625" style="1609" customWidth="1"/>
    <col min="14097" max="14097" width="3.28515625" style="1609" customWidth="1"/>
    <col min="14098" max="14101" width="2.28515625" style="1609" customWidth="1"/>
    <col min="14102" max="14102" width="5" style="1609" customWidth="1"/>
    <col min="14103" max="14103" width="5.42578125" style="1609" customWidth="1"/>
    <col min="14104" max="14104" width="6" style="1609" bestFit="1" customWidth="1"/>
    <col min="14105" max="14105" width="6.140625" style="1609" customWidth="1"/>
    <col min="14106" max="14106" width="6.5703125" style="1609" customWidth="1"/>
    <col min="14107" max="14107" width="9.140625" style="1609"/>
    <col min="14108" max="14108" width="34.7109375" style="1609" bestFit="1" customWidth="1"/>
    <col min="14109" max="14336" width="9.140625" style="1609"/>
    <col min="14337" max="14337" width="4" style="1609" customWidth="1"/>
    <col min="14338" max="14338" width="7.85546875" style="1609" customWidth="1"/>
    <col min="14339" max="14339" width="5.85546875" style="1609" customWidth="1"/>
    <col min="14340" max="14340" width="5.5703125" style="1609" customWidth="1"/>
    <col min="14341" max="14341" width="6" style="1609" customWidth="1"/>
    <col min="14342" max="14343" width="7.5703125" style="1609" customWidth="1"/>
    <col min="14344" max="14344" width="4.85546875" style="1609" customWidth="1"/>
    <col min="14345" max="14345" width="8.28515625" style="1609" customWidth="1"/>
    <col min="14346" max="14346" width="4.7109375" style="1609" customWidth="1"/>
    <col min="14347" max="14347" width="5.85546875" style="1609" customWidth="1"/>
    <col min="14348" max="14348" width="8.85546875" style="1609" customWidth="1"/>
    <col min="14349" max="14349" width="6" style="1609" customWidth="1"/>
    <col min="14350" max="14350" width="7.5703125" style="1609" customWidth="1"/>
    <col min="14351" max="14351" width="5.28515625" style="1609" customWidth="1"/>
    <col min="14352" max="14352" width="5.140625" style="1609" customWidth="1"/>
    <col min="14353" max="14353" width="3.28515625" style="1609" customWidth="1"/>
    <col min="14354" max="14357" width="2.28515625" style="1609" customWidth="1"/>
    <col min="14358" max="14358" width="5" style="1609" customWidth="1"/>
    <col min="14359" max="14359" width="5.42578125" style="1609" customWidth="1"/>
    <col min="14360" max="14360" width="6" style="1609" bestFit="1" customWidth="1"/>
    <col min="14361" max="14361" width="6.140625" style="1609" customWidth="1"/>
    <col min="14362" max="14362" width="6.5703125" style="1609" customWidth="1"/>
    <col min="14363" max="14363" width="9.140625" style="1609"/>
    <col min="14364" max="14364" width="34.7109375" style="1609" bestFit="1" customWidth="1"/>
    <col min="14365" max="14592" width="9.140625" style="1609"/>
    <col min="14593" max="14593" width="4" style="1609" customWidth="1"/>
    <col min="14594" max="14594" width="7.85546875" style="1609" customWidth="1"/>
    <col min="14595" max="14595" width="5.85546875" style="1609" customWidth="1"/>
    <col min="14596" max="14596" width="5.5703125" style="1609" customWidth="1"/>
    <col min="14597" max="14597" width="6" style="1609" customWidth="1"/>
    <col min="14598" max="14599" width="7.5703125" style="1609" customWidth="1"/>
    <col min="14600" max="14600" width="4.85546875" style="1609" customWidth="1"/>
    <col min="14601" max="14601" width="8.28515625" style="1609" customWidth="1"/>
    <col min="14602" max="14602" width="4.7109375" style="1609" customWidth="1"/>
    <col min="14603" max="14603" width="5.85546875" style="1609" customWidth="1"/>
    <col min="14604" max="14604" width="8.85546875" style="1609" customWidth="1"/>
    <col min="14605" max="14605" width="6" style="1609" customWidth="1"/>
    <col min="14606" max="14606" width="7.5703125" style="1609" customWidth="1"/>
    <col min="14607" max="14607" width="5.28515625" style="1609" customWidth="1"/>
    <col min="14608" max="14608" width="5.140625" style="1609" customWidth="1"/>
    <col min="14609" max="14609" width="3.28515625" style="1609" customWidth="1"/>
    <col min="14610" max="14613" width="2.28515625" style="1609" customWidth="1"/>
    <col min="14614" max="14614" width="5" style="1609" customWidth="1"/>
    <col min="14615" max="14615" width="5.42578125" style="1609" customWidth="1"/>
    <col min="14616" max="14616" width="6" style="1609" bestFit="1" customWidth="1"/>
    <col min="14617" max="14617" width="6.140625" style="1609" customWidth="1"/>
    <col min="14618" max="14618" width="6.5703125" style="1609" customWidth="1"/>
    <col min="14619" max="14619" width="9.140625" style="1609"/>
    <col min="14620" max="14620" width="34.7109375" style="1609" bestFit="1" customWidth="1"/>
    <col min="14621" max="14848" width="9.140625" style="1609"/>
    <col min="14849" max="14849" width="4" style="1609" customWidth="1"/>
    <col min="14850" max="14850" width="7.85546875" style="1609" customWidth="1"/>
    <col min="14851" max="14851" width="5.85546875" style="1609" customWidth="1"/>
    <col min="14852" max="14852" width="5.5703125" style="1609" customWidth="1"/>
    <col min="14853" max="14853" width="6" style="1609" customWidth="1"/>
    <col min="14854" max="14855" width="7.5703125" style="1609" customWidth="1"/>
    <col min="14856" max="14856" width="4.85546875" style="1609" customWidth="1"/>
    <col min="14857" max="14857" width="8.28515625" style="1609" customWidth="1"/>
    <col min="14858" max="14858" width="4.7109375" style="1609" customWidth="1"/>
    <col min="14859" max="14859" width="5.85546875" style="1609" customWidth="1"/>
    <col min="14860" max="14860" width="8.85546875" style="1609" customWidth="1"/>
    <col min="14861" max="14861" width="6" style="1609" customWidth="1"/>
    <col min="14862" max="14862" width="7.5703125" style="1609" customWidth="1"/>
    <col min="14863" max="14863" width="5.28515625" style="1609" customWidth="1"/>
    <col min="14864" max="14864" width="5.140625" style="1609" customWidth="1"/>
    <col min="14865" max="14865" width="3.28515625" style="1609" customWidth="1"/>
    <col min="14866" max="14869" width="2.28515625" style="1609" customWidth="1"/>
    <col min="14870" max="14870" width="5" style="1609" customWidth="1"/>
    <col min="14871" max="14871" width="5.42578125" style="1609" customWidth="1"/>
    <col min="14872" max="14872" width="6" style="1609" bestFit="1" customWidth="1"/>
    <col min="14873" max="14873" width="6.140625" style="1609" customWidth="1"/>
    <col min="14874" max="14874" width="6.5703125" style="1609" customWidth="1"/>
    <col min="14875" max="14875" width="9.140625" style="1609"/>
    <col min="14876" max="14876" width="34.7109375" style="1609" bestFit="1" customWidth="1"/>
    <col min="14877" max="15104" width="9.140625" style="1609"/>
    <col min="15105" max="15105" width="4" style="1609" customWidth="1"/>
    <col min="15106" max="15106" width="7.85546875" style="1609" customWidth="1"/>
    <col min="15107" max="15107" width="5.85546875" style="1609" customWidth="1"/>
    <col min="15108" max="15108" width="5.5703125" style="1609" customWidth="1"/>
    <col min="15109" max="15109" width="6" style="1609" customWidth="1"/>
    <col min="15110" max="15111" width="7.5703125" style="1609" customWidth="1"/>
    <col min="15112" max="15112" width="4.85546875" style="1609" customWidth="1"/>
    <col min="15113" max="15113" width="8.28515625" style="1609" customWidth="1"/>
    <col min="15114" max="15114" width="4.7109375" style="1609" customWidth="1"/>
    <col min="15115" max="15115" width="5.85546875" style="1609" customWidth="1"/>
    <col min="15116" max="15116" width="8.85546875" style="1609" customWidth="1"/>
    <col min="15117" max="15117" width="6" style="1609" customWidth="1"/>
    <col min="15118" max="15118" width="7.5703125" style="1609" customWidth="1"/>
    <col min="15119" max="15119" width="5.28515625" style="1609" customWidth="1"/>
    <col min="15120" max="15120" width="5.140625" style="1609" customWidth="1"/>
    <col min="15121" max="15121" width="3.28515625" style="1609" customWidth="1"/>
    <col min="15122" max="15125" width="2.28515625" style="1609" customWidth="1"/>
    <col min="15126" max="15126" width="5" style="1609" customWidth="1"/>
    <col min="15127" max="15127" width="5.42578125" style="1609" customWidth="1"/>
    <col min="15128" max="15128" width="6" style="1609" bestFit="1" customWidth="1"/>
    <col min="15129" max="15129" width="6.140625" style="1609" customWidth="1"/>
    <col min="15130" max="15130" width="6.5703125" style="1609" customWidth="1"/>
    <col min="15131" max="15131" width="9.140625" style="1609"/>
    <col min="15132" max="15132" width="34.7109375" style="1609" bestFit="1" customWidth="1"/>
    <col min="15133" max="15360" width="9.140625" style="1609"/>
    <col min="15361" max="15361" width="4" style="1609" customWidth="1"/>
    <col min="15362" max="15362" width="7.85546875" style="1609" customWidth="1"/>
    <col min="15363" max="15363" width="5.85546875" style="1609" customWidth="1"/>
    <col min="15364" max="15364" width="5.5703125" style="1609" customWidth="1"/>
    <col min="15365" max="15365" width="6" style="1609" customWidth="1"/>
    <col min="15366" max="15367" width="7.5703125" style="1609" customWidth="1"/>
    <col min="15368" max="15368" width="4.85546875" style="1609" customWidth="1"/>
    <col min="15369" max="15369" width="8.28515625" style="1609" customWidth="1"/>
    <col min="15370" max="15370" width="4.7109375" style="1609" customWidth="1"/>
    <col min="15371" max="15371" width="5.85546875" style="1609" customWidth="1"/>
    <col min="15372" max="15372" width="8.85546875" style="1609" customWidth="1"/>
    <col min="15373" max="15373" width="6" style="1609" customWidth="1"/>
    <col min="15374" max="15374" width="7.5703125" style="1609" customWidth="1"/>
    <col min="15375" max="15375" width="5.28515625" style="1609" customWidth="1"/>
    <col min="15376" max="15376" width="5.140625" style="1609" customWidth="1"/>
    <col min="15377" max="15377" width="3.28515625" style="1609" customWidth="1"/>
    <col min="15378" max="15381" width="2.28515625" style="1609" customWidth="1"/>
    <col min="15382" max="15382" width="5" style="1609" customWidth="1"/>
    <col min="15383" max="15383" width="5.42578125" style="1609" customWidth="1"/>
    <col min="15384" max="15384" width="6" style="1609" bestFit="1" customWidth="1"/>
    <col min="15385" max="15385" width="6.140625" style="1609" customWidth="1"/>
    <col min="15386" max="15386" width="6.5703125" style="1609" customWidth="1"/>
    <col min="15387" max="15387" width="9.140625" style="1609"/>
    <col min="15388" max="15388" width="34.7109375" style="1609" bestFit="1" customWidth="1"/>
    <col min="15389" max="15616" width="9.140625" style="1609"/>
    <col min="15617" max="15617" width="4" style="1609" customWidth="1"/>
    <col min="15618" max="15618" width="7.85546875" style="1609" customWidth="1"/>
    <col min="15619" max="15619" width="5.85546875" style="1609" customWidth="1"/>
    <col min="15620" max="15620" width="5.5703125" style="1609" customWidth="1"/>
    <col min="15621" max="15621" width="6" style="1609" customWidth="1"/>
    <col min="15622" max="15623" width="7.5703125" style="1609" customWidth="1"/>
    <col min="15624" max="15624" width="4.85546875" style="1609" customWidth="1"/>
    <col min="15625" max="15625" width="8.28515625" style="1609" customWidth="1"/>
    <col min="15626" max="15626" width="4.7109375" style="1609" customWidth="1"/>
    <col min="15627" max="15627" width="5.85546875" style="1609" customWidth="1"/>
    <col min="15628" max="15628" width="8.85546875" style="1609" customWidth="1"/>
    <col min="15629" max="15629" width="6" style="1609" customWidth="1"/>
    <col min="15630" max="15630" width="7.5703125" style="1609" customWidth="1"/>
    <col min="15631" max="15631" width="5.28515625" style="1609" customWidth="1"/>
    <col min="15632" max="15632" width="5.140625" style="1609" customWidth="1"/>
    <col min="15633" max="15633" width="3.28515625" style="1609" customWidth="1"/>
    <col min="15634" max="15637" width="2.28515625" style="1609" customWidth="1"/>
    <col min="15638" max="15638" width="5" style="1609" customWidth="1"/>
    <col min="15639" max="15639" width="5.42578125" style="1609" customWidth="1"/>
    <col min="15640" max="15640" width="6" style="1609" bestFit="1" customWidth="1"/>
    <col min="15641" max="15641" width="6.140625" style="1609" customWidth="1"/>
    <col min="15642" max="15642" width="6.5703125" style="1609" customWidth="1"/>
    <col min="15643" max="15643" width="9.140625" style="1609"/>
    <col min="15644" max="15644" width="34.7109375" style="1609" bestFit="1" customWidth="1"/>
    <col min="15645" max="15872" width="9.140625" style="1609"/>
    <col min="15873" max="15873" width="4" style="1609" customWidth="1"/>
    <col min="15874" max="15874" width="7.85546875" style="1609" customWidth="1"/>
    <col min="15875" max="15875" width="5.85546875" style="1609" customWidth="1"/>
    <col min="15876" max="15876" width="5.5703125" style="1609" customWidth="1"/>
    <col min="15877" max="15877" width="6" style="1609" customWidth="1"/>
    <col min="15878" max="15879" width="7.5703125" style="1609" customWidth="1"/>
    <col min="15880" max="15880" width="4.85546875" style="1609" customWidth="1"/>
    <col min="15881" max="15881" width="8.28515625" style="1609" customWidth="1"/>
    <col min="15882" max="15882" width="4.7109375" style="1609" customWidth="1"/>
    <col min="15883" max="15883" width="5.85546875" style="1609" customWidth="1"/>
    <col min="15884" max="15884" width="8.85546875" style="1609" customWidth="1"/>
    <col min="15885" max="15885" width="6" style="1609" customWidth="1"/>
    <col min="15886" max="15886" width="7.5703125" style="1609" customWidth="1"/>
    <col min="15887" max="15887" width="5.28515625" style="1609" customWidth="1"/>
    <col min="15888" max="15888" width="5.140625" style="1609" customWidth="1"/>
    <col min="15889" max="15889" width="3.28515625" style="1609" customWidth="1"/>
    <col min="15890" max="15893" width="2.28515625" style="1609" customWidth="1"/>
    <col min="15894" max="15894" width="5" style="1609" customWidth="1"/>
    <col min="15895" max="15895" width="5.42578125" style="1609" customWidth="1"/>
    <col min="15896" max="15896" width="6" style="1609" bestFit="1" customWidth="1"/>
    <col min="15897" max="15897" width="6.140625" style="1609" customWidth="1"/>
    <col min="15898" max="15898" width="6.5703125" style="1609" customWidth="1"/>
    <col min="15899" max="15899" width="9.140625" style="1609"/>
    <col min="15900" max="15900" width="34.7109375" style="1609" bestFit="1" customWidth="1"/>
    <col min="15901" max="16128" width="9.140625" style="1609"/>
    <col min="16129" max="16129" width="4" style="1609" customWidth="1"/>
    <col min="16130" max="16130" width="7.85546875" style="1609" customWidth="1"/>
    <col min="16131" max="16131" width="5.85546875" style="1609" customWidth="1"/>
    <col min="16132" max="16132" width="5.5703125" style="1609" customWidth="1"/>
    <col min="16133" max="16133" width="6" style="1609" customWidth="1"/>
    <col min="16134" max="16135" width="7.5703125" style="1609" customWidth="1"/>
    <col min="16136" max="16136" width="4.85546875" style="1609" customWidth="1"/>
    <col min="16137" max="16137" width="8.28515625" style="1609" customWidth="1"/>
    <col min="16138" max="16138" width="4.7109375" style="1609" customWidth="1"/>
    <col min="16139" max="16139" width="5.85546875" style="1609" customWidth="1"/>
    <col min="16140" max="16140" width="8.85546875" style="1609" customWidth="1"/>
    <col min="16141" max="16141" width="6" style="1609" customWidth="1"/>
    <col min="16142" max="16142" width="7.5703125" style="1609" customWidth="1"/>
    <col min="16143" max="16143" width="5.28515625" style="1609" customWidth="1"/>
    <col min="16144" max="16144" width="5.140625" style="1609" customWidth="1"/>
    <col min="16145" max="16145" width="3.28515625" style="1609" customWidth="1"/>
    <col min="16146" max="16149" width="2.28515625" style="1609" customWidth="1"/>
    <col min="16150" max="16150" width="5" style="1609" customWidth="1"/>
    <col min="16151" max="16151" width="5.42578125" style="1609" customWidth="1"/>
    <col min="16152" max="16152" width="6" style="1609" bestFit="1" customWidth="1"/>
    <col min="16153" max="16153" width="6.140625" style="1609" customWidth="1"/>
    <col min="16154" max="16154" width="6.5703125" style="1609" customWidth="1"/>
    <col min="16155" max="16155" width="9.140625" style="1609"/>
    <col min="16156" max="16156" width="34.7109375" style="1609" bestFit="1" customWidth="1"/>
    <col min="16157" max="16384" width="9.140625" style="1609"/>
  </cols>
  <sheetData>
    <row r="2" spans="1:43" s="1619" customFormat="1" ht="112.5">
      <c r="A2" s="1612" t="s">
        <v>1469</v>
      </c>
      <c r="B2" s="1613" t="s">
        <v>1470</v>
      </c>
      <c r="C2" s="1614" t="s">
        <v>1202</v>
      </c>
      <c r="D2" s="1614" t="s">
        <v>823</v>
      </c>
      <c r="E2" s="1615" t="s">
        <v>1471</v>
      </c>
      <c r="F2" s="1615" t="s">
        <v>1472</v>
      </c>
      <c r="G2" s="1615" t="s">
        <v>1472</v>
      </c>
      <c r="H2" s="1615" t="s">
        <v>1473</v>
      </c>
      <c r="I2" s="1615" t="s">
        <v>1474</v>
      </c>
      <c r="J2" s="1615" t="s">
        <v>1475</v>
      </c>
      <c r="K2" s="1615" t="s">
        <v>1476</v>
      </c>
      <c r="L2" s="1616" t="s">
        <v>1477</v>
      </c>
      <c r="M2" s="1616" t="s">
        <v>1478</v>
      </c>
      <c r="N2" s="1614" t="s">
        <v>1479</v>
      </c>
      <c r="O2" s="1614" t="s">
        <v>1203</v>
      </c>
      <c r="P2" s="1615" t="s">
        <v>1480</v>
      </c>
      <c r="Q2" s="1617" t="s">
        <v>1481</v>
      </c>
      <c r="R2" s="1617" t="s">
        <v>1482</v>
      </c>
      <c r="S2" s="1617" t="s">
        <v>1483</v>
      </c>
      <c r="T2" s="1617" t="s">
        <v>1484</v>
      </c>
      <c r="U2" s="1618" t="s">
        <v>1485</v>
      </c>
      <c r="V2" s="1618"/>
      <c r="W2" s="1614" t="s">
        <v>1486</v>
      </c>
      <c r="X2" s="1614" t="s">
        <v>1487</v>
      </c>
      <c r="Y2" s="1615" t="s">
        <v>1488</v>
      </c>
      <c r="Z2" s="1615" t="s">
        <v>1480</v>
      </c>
    </row>
    <row r="3" spans="1:43" s="1633" customFormat="1" ht="22.5">
      <c r="A3" s="1620"/>
      <c r="B3" s="1621"/>
      <c r="C3" s="1622" t="s">
        <v>1489</v>
      </c>
      <c r="D3" s="1622" t="s">
        <v>1490</v>
      </c>
      <c r="E3" s="1623" t="s">
        <v>1491</v>
      </c>
      <c r="F3" s="1624" t="s">
        <v>1492</v>
      </c>
      <c r="G3" s="1624" t="s">
        <v>1492</v>
      </c>
      <c r="H3" s="1624" t="s">
        <v>1493</v>
      </c>
      <c r="I3" s="1624" t="s">
        <v>1494</v>
      </c>
      <c r="J3" s="1625" t="s">
        <v>1495</v>
      </c>
      <c r="K3" s="1626" t="s">
        <v>992</v>
      </c>
      <c r="L3" s="1627" t="s">
        <v>1496</v>
      </c>
      <c r="M3" s="1628" t="s">
        <v>1497</v>
      </c>
      <c r="N3" s="1622" t="s">
        <v>1077</v>
      </c>
      <c r="O3" s="1622" t="s">
        <v>1497</v>
      </c>
      <c r="P3" s="1629" t="s">
        <v>1498</v>
      </c>
      <c r="Q3" s="1630" t="s">
        <v>1499</v>
      </c>
      <c r="R3" s="1630" t="s">
        <v>1499</v>
      </c>
      <c r="S3" s="1630" t="s">
        <v>1499</v>
      </c>
      <c r="T3" s="1630" t="s">
        <v>1499</v>
      </c>
      <c r="U3" s="1630" t="s">
        <v>1499</v>
      </c>
      <c r="V3" s="1629" t="s">
        <v>892</v>
      </c>
      <c r="W3" s="1631" t="s">
        <v>1500</v>
      </c>
      <c r="X3" s="1632" t="s">
        <v>1501</v>
      </c>
      <c r="Y3" s="1629" t="s">
        <v>1502</v>
      </c>
      <c r="Z3" s="1629" t="s">
        <v>1503</v>
      </c>
    </row>
    <row r="4" spans="1:43" s="1610" customFormat="1">
      <c r="A4" s="1634"/>
      <c r="B4" s="1635"/>
      <c r="C4" s="1636" t="s">
        <v>5</v>
      </c>
      <c r="D4" s="1636" t="s">
        <v>5</v>
      </c>
      <c r="E4" s="1637" t="s">
        <v>5</v>
      </c>
      <c r="F4" s="1637" t="s">
        <v>876</v>
      </c>
      <c r="G4" s="1637" t="s">
        <v>1504</v>
      </c>
      <c r="H4" s="1637" t="s">
        <v>122</v>
      </c>
      <c r="I4" s="1637" t="s">
        <v>122</v>
      </c>
      <c r="J4" s="1637" t="s">
        <v>5</v>
      </c>
      <c r="K4" s="1638" t="s">
        <v>1505</v>
      </c>
      <c r="L4" s="1639"/>
      <c r="M4" s="1639"/>
      <c r="N4" s="1640" t="s">
        <v>1506</v>
      </c>
      <c r="O4" s="1636" t="s">
        <v>156</v>
      </c>
      <c r="P4" s="1637" t="s">
        <v>425</v>
      </c>
      <c r="Q4" s="1637"/>
      <c r="R4" s="1637"/>
      <c r="S4" s="1637"/>
      <c r="T4" s="1637"/>
      <c r="U4" s="1637"/>
      <c r="V4" s="1637"/>
      <c r="W4" s="1636"/>
      <c r="X4" s="1637" t="s">
        <v>425</v>
      </c>
      <c r="Y4" s="1637" t="s">
        <v>425</v>
      </c>
      <c r="Z4" s="1637" t="s">
        <v>425</v>
      </c>
      <c r="AC4" s="1641"/>
      <c r="AD4" s="1641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</row>
    <row r="5" spans="1:43" hidden="1">
      <c r="A5" s="1642"/>
      <c r="B5" s="1643"/>
      <c r="C5" s="1642"/>
      <c r="D5" s="1642"/>
      <c r="E5" s="1644"/>
      <c r="F5" s="1644"/>
      <c r="G5" s="1644"/>
      <c r="H5" s="1644"/>
      <c r="I5" s="1644"/>
      <c r="J5" s="1644"/>
      <c r="K5" s="1644">
        <v>3.6</v>
      </c>
      <c r="L5" s="1645"/>
      <c r="M5" s="1645"/>
      <c r="N5" s="1642"/>
      <c r="O5" s="1642"/>
      <c r="P5" s="1644"/>
      <c r="Q5" s="1644"/>
      <c r="R5" s="1644"/>
      <c r="S5" s="1644"/>
      <c r="T5" s="1644"/>
      <c r="U5" s="1644"/>
      <c r="V5" s="1644"/>
      <c r="W5" s="1642"/>
      <c r="X5" s="1642"/>
      <c r="Y5" s="1644"/>
      <c r="Z5" s="1644"/>
      <c r="AC5" s="243"/>
      <c r="AD5" s="243"/>
      <c r="AE5" s="243"/>
      <c r="AF5" s="243"/>
      <c r="AG5" s="243"/>
      <c r="AH5" s="243"/>
      <c r="AI5" s="243"/>
      <c r="AJ5" s="243"/>
      <c r="AK5" s="243"/>
      <c r="AL5" s="243"/>
      <c r="AM5" s="243"/>
      <c r="AN5" s="243"/>
      <c r="AO5" s="243"/>
      <c r="AP5" s="243"/>
      <c r="AQ5" s="243"/>
    </row>
    <row r="6" spans="1:43">
      <c r="A6" s="1646"/>
      <c r="B6" s="1647"/>
      <c r="C6" s="1646"/>
      <c r="D6" s="1646"/>
      <c r="E6" s="1648"/>
      <c r="F6" s="1648"/>
      <c r="G6" s="1648"/>
      <c r="H6" s="1648"/>
      <c r="I6" s="1648"/>
      <c r="J6" s="1648"/>
      <c r="K6" s="1648"/>
      <c r="L6" s="1649"/>
      <c r="M6" s="1649"/>
      <c r="N6" s="1646"/>
      <c r="O6" s="1646"/>
      <c r="P6" s="1648"/>
      <c r="Q6" s="1648"/>
      <c r="R6" s="1648"/>
      <c r="S6" s="1648"/>
      <c r="T6" s="1648"/>
      <c r="U6" s="1648"/>
      <c r="V6" s="1648"/>
      <c r="W6" s="1646"/>
      <c r="X6" s="1646"/>
      <c r="Y6" s="1648"/>
      <c r="Z6" s="1648"/>
      <c r="AB6" s="1650"/>
    </row>
    <row r="7" spans="1:43" ht="15.75">
      <c r="A7" s="1646"/>
      <c r="B7" s="1651" t="s">
        <v>1507</v>
      </c>
      <c r="C7" s="1652"/>
      <c r="D7" s="1652"/>
      <c r="E7" s="1653"/>
      <c r="F7" s="1654"/>
      <c r="G7" s="1654"/>
      <c r="H7" s="1655"/>
      <c r="I7" s="1655"/>
      <c r="J7" s="1648"/>
      <c r="K7" s="1648"/>
      <c r="L7" s="1656"/>
      <c r="M7" s="1657"/>
      <c r="N7" s="1648"/>
      <c r="O7" s="1646"/>
      <c r="P7" s="1646"/>
      <c r="Q7" s="1646"/>
      <c r="R7" s="1646"/>
      <c r="S7" s="1646"/>
      <c r="T7" s="1646"/>
      <c r="U7" s="1646"/>
      <c r="V7" s="1658"/>
      <c r="W7" s="1658"/>
      <c r="X7" s="1646"/>
      <c r="Y7" s="1646"/>
      <c r="Z7" s="1646"/>
      <c r="AB7" s="1650"/>
      <c r="AC7" s="1659"/>
      <c r="AD7" s="1659"/>
      <c r="AE7" s="243"/>
      <c r="AF7" s="243"/>
      <c r="AG7" s="243"/>
      <c r="AH7" s="243"/>
      <c r="AI7" s="243"/>
      <c r="AJ7" s="243"/>
      <c r="AK7" s="243"/>
      <c r="AL7" s="243"/>
      <c r="AM7" s="243"/>
      <c r="AN7" s="243"/>
      <c r="AO7" s="243"/>
      <c r="AP7" s="243"/>
      <c r="AQ7" s="243"/>
    </row>
    <row r="8" spans="1:43">
      <c r="A8" s="1646">
        <v>1</v>
      </c>
      <c r="B8" s="1660" t="s">
        <v>1508</v>
      </c>
      <c r="C8" s="1661"/>
      <c r="D8" s="1661"/>
      <c r="E8" s="1671">
        <f>'WC Fan basınç kaybı Hesabı'!E9*1000</f>
        <v>260</v>
      </c>
      <c r="F8" s="1661"/>
      <c r="G8" s="1646">
        <f>F8/$K$5</f>
        <v>0</v>
      </c>
      <c r="H8" s="1672">
        <f>'WC Fan basınç kaybı Hesabı'!E10</f>
        <v>3.5</v>
      </c>
      <c r="I8" s="1658" t="e">
        <f>G8*10^3/(C8*D8)</f>
        <v>#DIV/0!</v>
      </c>
      <c r="J8" s="1673">
        <f>'WC Fan basınç kaybı Hesabı'!E11</f>
        <v>0.15</v>
      </c>
      <c r="K8" s="1648">
        <v>17</v>
      </c>
      <c r="L8" s="1656">
        <f>H8*E8*10^6/(10^3*K8)</f>
        <v>53529.411764705881</v>
      </c>
      <c r="M8" s="1657">
        <f>1.325/(LN((J8/3.7/E8)+(5.74/L8^0.9)))^2</f>
        <v>2.2621345957351779E-2</v>
      </c>
      <c r="N8" s="1648">
        <f>600*M8*H8^2/E8</f>
        <v>0.63948804917898294</v>
      </c>
      <c r="O8" s="1671">
        <f>'WC Fan basınç kaybı Hesabı'!E8</f>
        <v>15</v>
      </c>
      <c r="P8" s="1646">
        <f>N8*O8</f>
        <v>9.5923207376847444</v>
      </c>
      <c r="Q8" s="1661"/>
      <c r="R8" s="1661"/>
      <c r="S8" s="1661"/>
      <c r="T8" s="1661"/>
      <c r="U8" s="1661"/>
      <c r="V8" s="1662">
        <v>0.15</v>
      </c>
      <c r="W8" s="1658">
        <f>Q8*0.45+R8*0.7+S8*0.6+T8*0.5+U8*V8</f>
        <v>0</v>
      </c>
      <c r="X8" s="1646">
        <f>0.6*H8^2</f>
        <v>7.35</v>
      </c>
      <c r="Y8" s="1646">
        <f>W8*X8</f>
        <v>0</v>
      </c>
      <c r="Z8" s="1646">
        <f>P8+Y8</f>
        <v>9.5923207376847444</v>
      </c>
      <c r="AC8" s="243"/>
      <c r="AD8" s="243"/>
      <c r="AE8" s="243"/>
      <c r="AF8" s="243"/>
      <c r="AG8" s="243"/>
      <c r="AH8" s="243"/>
      <c r="AI8" s="243"/>
      <c r="AJ8" s="243"/>
      <c r="AK8" s="243"/>
      <c r="AL8" s="243"/>
      <c r="AM8" s="243"/>
      <c r="AN8" s="243"/>
      <c r="AO8" s="243"/>
      <c r="AP8" s="243"/>
      <c r="AQ8" s="243"/>
    </row>
    <row r="9" spans="1:43">
      <c r="A9" s="1646">
        <v>2</v>
      </c>
      <c r="B9" s="1660" t="s">
        <v>1508</v>
      </c>
      <c r="C9" s="1661">
        <v>100</v>
      </c>
      <c r="D9" s="1661">
        <v>100</v>
      </c>
      <c r="E9" s="1646">
        <f t="shared" ref="E9:E29" si="0">1.3*(C9*D9)^0.625/(C9+D9)^0.25</f>
        <v>109.316533982983</v>
      </c>
      <c r="F9" s="1661">
        <v>100</v>
      </c>
      <c r="G9" s="1646">
        <f t="shared" ref="G9:G29" si="1">F9/$K$5</f>
        <v>27.777777777777779</v>
      </c>
      <c r="H9" s="1658">
        <f t="shared" ref="H9:H14" si="2">1273.24*G9/E9^2</f>
        <v>2.9596207694870413</v>
      </c>
      <c r="I9" s="1658">
        <f t="shared" ref="I9:I29" si="3">G9*10^3/(C9*D9)</f>
        <v>2.7777777777777777</v>
      </c>
      <c r="J9" s="1648">
        <v>0.15</v>
      </c>
      <c r="K9" s="1648">
        <v>17</v>
      </c>
      <c r="L9" s="1656">
        <f t="shared" ref="L9:L14" si="4">H9*E9*10^6/(10^3*K9)</f>
        <v>19031.499083786613</v>
      </c>
      <c r="M9" s="1657">
        <f t="shared" ref="M9:M14" si="5">1.325/(LN((J9/3.7/E9)+(5.74/L9^0.9)))^2</f>
        <v>2.9139167315589645E-2</v>
      </c>
      <c r="N9" s="1648">
        <f t="shared" ref="N9:N14" si="6">600*M9*H9^2/E9</f>
        <v>1.4009242948630698</v>
      </c>
      <c r="O9" s="1661"/>
      <c r="P9" s="1646">
        <f t="shared" ref="P9:P14" si="7">N9*O9</f>
        <v>0</v>
      </c>
      <c r="Q9" s="1661"/>
      <c r="R9" s="1661"/>
      <c r="S9" s="1661"/>
      <c r="T9" s="1661"/>
      <c r="U9" s="1661"/>
      <c r="V9" s="1662">
        <v>0.15</v>
      </c>
      <c r="W9" s="1658">
        <f t="shared" ref="W9:W34" si="8">Q9*0.45+R9*0.7+S9*0.6+T9*0.5+U9*V9</f>
        <v>0</v>
      </c>
      <c r="X9" s="1646">
        <f t="shared" ref="X9:X14" si="9">0.6*H9^2</f>
        <v>5.2556130595074393</v>
      </c>
      <c r="Y9" s="1646">
        <f t="shared" ref="Y9:Y14" si="10">W9*X9</f>
        <v>0</v>
      </c>
      <c r="Z9" s="1646">
        <f t="shared" ref="Z9:Z14" si="11">P9+Y9</f>
        <v>0</v>
      </c>
      <c r="AC9" s="243"/>
      <c r="AD9" s="243"/>
      <c r="AE9" s="243"/>
      <c r="AF9" s="243"/>
      <c r="AG9" s="243"/>
      <c r="AH9" s="243"/>
      <c r="AI9" s="243"/>
      <c r="AJ9" s="243"/>
      <c r="AK9" s="243"/>
      <c r="AL9" s="243"/>
      <c r="AM9" s="243"/>
      <c r="AN9" s="243"/>
      <c r="AO9" s="243"/>
      <c r="AP9" s="243"/>
      <c r="AQ9" s="243"/>
    </row>
    <row r="10" spans="1:43" ht="15.75">
      <c r="A10" s="1646">
        <v>3</v>
      </c>
      <c r="B10" s="1660" t="s">
        <v>1508</v>
      </c>
      <c r="C10" s="1661">
        <v>100</v>
      </c>
      <c r="D10" s="1661">
        <v>100</v>
      </c>
      <c r="E10" s="1646">
        <f t="shared" si="0"/>
        <v>109.316533982983</v>
      </c>
      <c r="F10" s="1661">
        <v>100</v>
      </c>
      <c r="G10" s="1646">
        <f t="shared" si="1"/>
        <v>27.777777777777779</v>
      </c>
      <c r="H10" s="1658">
        <f t="shared" si="2"/>
        <v>2.9596207694870413</v>
      </c>
      <c r="I10" s="1658">
        <f t="shared" si="3"/>
        <v>2.7777777777777777</v>
      </c>
      <c r="J10" s="1648">
        <v>0.15</v>
      </c>
      <c r="K10" s="1648">
        <v>17</v>
      </c>
      <c r="L10" s="1656">
        <f t="shared" si="4"/>
        <v>19031.499083786613</v>
      </c>
      <c r="M10" s="1657">
        <f t="shared" si="5"/>
        <v>2.9139167315589645E-2</v>
      </c>
      <c r="N10" s="1648">
        <f t="shared" si="6"/>
        <v>1.4009242948630698</v>
      </c>
      <c r="O10" s="1661"/>
      <c r="P10" s="1646">
        <f t="shared" si="7"/>
        <v>0</v>
      </c>
      <c r="Q10" s="1661"/>
      <c r="R10" s="1661"/>
      <c r="S10" s="1661"/>
      <c r="T10" s="1661"/>
      <c r="U10" s="1661"/>
      <c r="V10" s="1662">
        <v>0.15</v>
      </c>
      <c r="W10" s="1658">
        <f t="shared" si="8"/>
        <v>0</v>
      </c>
      <c r="X10" s="1646">
        <f t="shared" si="9"/>
        <v>5.2556130595074393</v>
      </c>
      <c r="Y10" s="1646">
        <f t="shared" si="10"/>
        <v>0</v>
      </c>
      <c r="Z10" s="1646">
        <f t="shared" si="11"/>
        <v>0</v>
      </c>
      <c r="AB10" s="1650"/>
      <c r="AC10" s="1659"/>
      <c r="AD10" s="1659"/>
      <c r="AE10" s="1663"/>
      <c r="AF10" s="243"/>
      <c r="AG10" s="1663"/>
      <c r="AH10" s="243"/>
      <c r="AI10" s="243"/>
      <c r="AJ10" s="243"/>
      <c r="AK10" s="243"/>
      <c r="AL10" s="243"/>
      <c r="AM10" s="243"/>
      <c r="AN10" s="243"/>
      <c r="AO10" s="243"/>
      <c r="AP10" s="243"/>
      <c r="AQ10" s="243"/>
    </row>
    <row r="11" spans="1:43" ht="15.75">
      <c r="A11" s="1646">
        <v>4</v>
      </c>
      <c r="B11" s="1660" t="s">
        <v>1508</v>
      </c>
      <c r="C11" s="1661">
        <v>100</v>
      </c>
      <c r="D11" s="1661">
        <v>100</v>
      </c>
      <c r="E11" s="1646">
        <f t="shared" si="0"/>
        <v>109.316533982983</v>
      </c>
      <c r="F11" s="1661">
        <v>100</v>
      </c>
      <c r="G11" s="1646">
        <f t="shared" si="1"/>
        <v>27.777777777777779</v>
      </c>
      <c r="H11" s="1658">
        <f t="shared" si="2"/>
        <v>2.9596207694870413</v>
      </c>
      <c r="I11" s="1658">
        <f t="shared" si="3"/>
        <v>2.7777777777777777</v>
      </c>
      <c r="J11" s="1648">
        <v>0.15</v>
      </c>
      <c r="K11" s="1648">
        <v>17</v>
      </c>
      <c r="L11" s="1656">
        <f t="shared" si="4"/>
        <v>19031.499083786613</v>
      </c>
      <c r="M11" s="1657">
        <f t="shared" si="5"/>
        <v>2.9139167315589645E-2</v>
      </c>
      <c r="N11" s="1648">
        <f t="shared" si="6"/>
        <v>1.4009242948630698</v>
      </c>
      <c r="O11" s="1661"/>
      <c r="P11" s="1646">
        <f t="shared" si="7"/>
        <v>0</v>
      </c>
      <c r="Q11" s="1661"/>
      <c r="R11" s="1661"/>
      <c r="S11" s="1661"/>
      <c r="T11" s="1661"/>
      <c r="U11" s="1661"/>
      <c r="V11" s="1662">
        <v>0.15</v>
      </c>
      <c r="W11" s="1658">
        <f t="shared" si="8"/>
        <v>0</v>
      </c>
      <c r="X11" s="1646">
        <f t="shared" si="9"/>
        <v>5.2556130595074393</v>
      </c>
      <c r="Y11" s="1646">
        <f t="shared" si="10"/>
        <v>0</v>
      </c>
      <c r="Z11" s="1646">
        <f t="shared" si="11"/>
        <v>0</v>
      </c>
      <c r="AB11" s="1650"/>
      <c r="AC11" s="1659"/>
      <c r="AD11" s="1659"/>
      <c r="AE11" s="243"/>
      <c r="AF11" s="243"/>
      <c r="AG11" s="243"/>
      <c r="AH11" s="243"/>
      <c r="AI11" s="243"/>
      <c r="AJ11" s="243"/>
      <c r="AK11" s="243"/>
      <c r="AL11" s="243"/>
      <c r="AM11" s="243"/>
      <c r="AN11" s="243"/>
      <c r="AO11" s="243"/>
      <c r="AP11" s="243"/>
      <c r="AQ11" s="243"/>
    </row>
    <row r="12" spans="1:43" ht="15.75">
      <c r="A12" s="1646">
        <v>5</v>
      </c>
      <c r="B12" s="1660" t="s">
        <v>1508</v>
      </c>
      <c r="C12" s="1661">
        <v>100</v>
      </c>
      <c r="D12" s="1661">
        <v>100</v>
      </c>
      <c r="E12" s="1646">
        <f t="shared" si="0"/>
        <v>109.316533982983</v>
      </c>
      <c r="F12" s="1661">
        <v>100</v>
      </c>
      <c r="G12" s="1646">
        <f t="shared" si="1"/>
        <v>27.777777777777779</v>
      </c>
      <c r="H12" s="1658">
        <f t="shared" si="2"/>
        <v>2.9596207694870413</v>
      </c>
      <c r="I12" s="1658">
        <f t="shared" si="3"/>
        <v>2.7777777777777777</v>
      </c>
      <c r="J12" s="1648">
        <v>0.15</v>
      </c>
      <c r="K12" s="1648">
        <v>17</v>
      </c>
      <c r="L12" s="1656">
        <f t="shared" si="4"/>
        <v>19031.499083786613</v>
      </c>
      <c r="M12" s="1657">
        <f t="shared" si="5"/>
        <v>2.9139167315589645E-2</v>
      </c>
      <c r="N12" s="1648">
        <f t="shared" si="6"/>
        <v>1.4009242948630698</v>
      </c>
      <c r="O12" s="1661"/>
      <c r="P12" s="1646">
        <f t="shared" si="7"/>
        <v>0</v>
      </c>
      <c r="Q12" s="1661"/>
      <c r="R12" s="1661"/>
      <c r="S12" s="1661"/>
      <c r="T12" s="1661"/>
      <c r="U12" s="1661"/>
      <c r="V12" s="1662">
        <v>0.15</v>
      </c>
      <c r="W12" s="1658">
        <f t="shared" si="8"/>
        <v>0</v>
      </c>
      <c r="X12" s="1646">
        <f t="shared" si="9"/>
        <v>5.2556130595074393</v>
      </c>
      <c r="Y12" s="1646">
        <f t="shared" si="10"/>
        <v>0</v>
      </c>
      <c r="Z12" s="1646">
        <f t="shared" si="11"/>
        <v>0</v>
      </c>
      <c r="AB12" s="1650"/>
      <c r="AC12" s="1659"/>
      <c r="AD12" s="1659"/>
      <c r="AE12" s="243"/>
      <c r="AF12" s="243"/>
      <c r="AG12" s="243"/>
      <c r="AH12" s="243"/>
      <c r="AI12" s="243"/>
      <c r="AJ12" s="243"/>
      <c r="AK12" s="243"/>
      <c r="AL12" s="243"/>
      <c r="AM12" s="243"/>
      <c r="AN12" s="243"/>
      <c r="AO12" s="243"/>
      <c r="AP12" s="243"/>
      <c r="AQ12" s="243"/>
    </row>
    <row r="13" spans="1:43">
      <c r="A13" s="1646">
        <v>6</v>
      </c>
      <c r="B13" s="1660" t="s">
        <v>1508</v>
      </c>
      <c r="C13" s="1661">
        <v>100</v>
      </c>
      <c r="D13" s="1661">
        <v>100</v>
      </c>
      <c r="E13" s="1646">
        <f t="shared" si="0"/>
        <v>109.316533982983</v>
      </c>
      <c r="F13" s="1661">
        <v>100</v>
      </c>
      <c r="G13" s="1646">
        <f t="shared" si="1"/>
        <v>27.777777777777779</v>
      </c>
      <c r="H13" s="1658">
        <f t="shared" si="2"/>
        <v>2.9596207694870413</v>
      </c>
      <c r="I13" s="1658">
        <f t="shared" si="3"/>
        <v>2.7777777777777777</v>
      </c>
      <c r="J13" s="1648">
        <v>0.15</v>
      </c>
      <c r="K13" s="1648">
        <v>17</v>
      </c>
      <c r="L13" s="1656">
        <f t="shared" si="4"/>
        <v>19031.499083786613</v>
      </c>
      <c r="M13" s="1657">
        <f t="shared" si="5"/>
        <v>2.9139167315589645E-2</v>
      </c>
      <c r="N13" s="1648">
        <f t="shared" si="6"/>
        <v>1.4009242948630698</v>
      </c>
      <c r="O13" s="1661"/>
      <c r="P13" s="1646">
        <f t="shared" si="7"/>
        <v>0</v>
      </c>
      <c r="Q13" s="1661"/>
      <c r="R13" s="1661"/>
      <c r="S13" s="1661"/>
      <c r="T13" s="1661"/>
      <c r="U13" s="1661"/>
      <c r="V13" s="1662">
        <v>0.15</v>
      </c>
      <c r="W13" s="1658">
        <f t="shared" si="8"/>
        <v>0</v>
      </c>
      <c r="X13" s="1646">
        <f t="shared" si="9"/>
        <v>5.2556130595074393</v>
      </c>
      <c r="Y13" s="1646">
        <f t="shared" si="10"/>
        <v>0</v>
      </c>
      <c r="Z13" s="1646">
        <f t="shared" si="11"/>
        <v>0</v>
      </c>
      <c r="AC13" s="243"/>
      <c r="AD13" s="243"/>
      <c r="AE13" s="243"/>
      <c r="AF13" s="243"/>
      <c r="AG13" s="243"/>
      <c r="AH13" s="243"/>
      <c r="AI13" s="243"/>
      <c r="AJ13" s="243"/>
      <c r="AK13" s="243"/>
      <c r="AL13" s="243"/>
      <c r="AM13" s="243"/>
      <c r="AN13" s="243"/>
      <c r="AO13" s="243"/>
      <c r="AP13" s="243"/>
      <c r="AQ13" s="243"/>
    </row>
    <row r="14" spans="1:43">
      <c r="A14" s="1646">
        <v>7</v>
      </c>
      <c r="B14" s="1660" t="s">
        <v>1508</v>
      </c>
      <c r="C14" s="1661">
        <v>100</v>
      </c>
      <c r="D14" s="1661">
        <v>100</v>
      </c>
      <c r="E14" s="1646">
        <f t="shared" si="0"/>
        <v>109.316533982983</v>
      </c>
      <c r="F14" s="1661">
        <v>100</v>
      </c>
      <c r="G14" s="1646">
        <f t="shared" si="1"/>
        <v>27.777777777777779</v>
      </c>
      <c r="H14" s="1658">
        <f t="shared" si="2"/>
        <v>2.9596207694870413</v>
      </c>
      <c r="I14" s="1658">
        <f t="shared" si="3"/>
        <v>2.7777777777777777</v>
      </c>
      <c r="J14" s="1648">
        <v>0.15</v>
      </c>
      <c r="K14" s="1648">
        <v>17</v>
      </c>
      <c r="L14" s="1656">
        <f t="shared" si="4"/>
        <v>19031.499083786613</v>
      </c>
      <c r="M14" s="1657">
        <f t="shared" si="5"/>
        <v>2.9139167315589645E-2</v>
      </c>
      <c r="N14" s="1648">
        <f t="shared" si="6"/>
        <v>1.4009242948630698</v>
      </c>
      <c r="O14" s="1661"/>
      <c r="P14" s="1646">
        <f t="shared" si="7"/>
        <v>0</v>
      </c>
      <c r="Q14" s="1661"/>
      <c r="R14" s="1661"/>
      <c r="S14" s="1661"/>
      <c r="T14" s="1661"/>
      <c r="U14" s="1661"/>
      <c r="V14" s="1662">
        <v>0.15</v>
      </c>
      <c r="W14" s="1658">
        <f t="shared" si="8"/>
        <v>0</v>
      </c>
      <c r="X14" s="1646">
        <f t="shared" si="9"/>
        <v>5.2556130595074393</v>
      </c>
      <c r="Y14" s="1646">
        <f t="shared" si="10"/>
        <v>0</v>
      </c>
      <c r="Z14" s="1646">
        <f t="shared" si="11"/>
        <v>0</v>
      </c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43"/>
      <c r="AQ14" s="243"/>
    </row>
    <row r="15" spans="1:43">
      <c r="A15" s="1646">
        <v>8</v>
      </c>
      <c r="B15" s="1660" t="s">
        <v>1508</v>
      </c>
      <c r="C15" s="1661">
        <v>100</v>
      </c>
      <c r="D15" s="1661">
        <v>100</v>
      </c>
      <c r="E15" s="1646">
        <f t="shared" si="0"/>
        <v>109.316533982983</v>
      </c>
      <c r="F15" s="1661">
        <v>100</v>
      </c>
      <c r="G15" s="1646">
        <f t="shared" si="1"/>
        <v>27.777777777777779</v>
      </c>
      <c r="H15" s="1658">
        <f>1273.24*G15/E15^2</f>
        <v>2.9596207694870413</v>
      </c>
      <c r="I15" s="1658">
        <f t="shared" si="3"/>
        <v>2.7777777777777777</v>
      </c>
      <c r="J15" s="1648">
        <v>0.15</v>
      </c>
      <c r="K15" s="1648">
        <v>17</v>
      </c>
      <c r="L15" s="1656">
        <f>H15*E15*10^6/(10^3*K15)</f>
        <v>19031.499083786613</v>
      </c>
      <c r="M15" s="1657">
        <f>1.325/(LN((J15/3.7/E15)+(5.74/L15^0.9)))^2</f>
        <v>2.9139167315589645E-2</v>
      </c>
      <c r="N15" s="1648">
        <f>600*M15*H15^2/E15</f>
        <v>1.4009242948630698</v>
      </c>
      <c r="O15" s="1661"/>
      <c r="P15" s="1646">
        <f>N15*O15</f>
        <v>0</v>
      </c>
      <c r="Q15" s="1661"/>
      <c r="R15" s="1661"/>
      <c r="S15" s="1661"/>
      <c r="T15" s="1661"/>
      <c r="U15" s="1661"/>
      <c r="V15" s="1662">
        <v>0.15</v>
      </c>
      <c r="W15" s="1658">
        <f t="shared" si="8"/>
        <v>0</v>
      </c>
      <c r="X15" s="1646">
        <f>0.6*H15^2</f>
        <v>5.2556130595074393</v>
      </c>
      <c r="Y15" s="1646">
        <f>W15*X15</f>
        <v>0</v>
      </c>
      <c r="Z15" s="1646">
        <f>P15+Y15</f>
        <v>0</v>
      </c>
      <c r="AC15" s="243"/>
      <c r="AD15" s="243"/>
      <c r="AE15" s="243"/>
      <c r="AF15" s="243"/>
      <c r="AG15" s="243"/>
      <c r="AH15" s="243"/>
      <c r="AI15" s="243"/>
      <c r="AJ15" s="243"/>
      <c r="AK15" s="243"/>
      <c r="AL15" s="243"/>
      <c r="AM15" s="243"/>
      <c r="AN15" s="243"/>
      <c r="AO15" s="243"/>
      <c r="AP15" s="243"/>
      <c r="AQ15" s="243"/>
    </row>
    <row r="16" spans="1:43">
      <c r="A16" s="1646">
        <v>9</v>
      </c>
      <c r="B16" s="1660" t="s">
        <v>1508</v>
      </c>
      <c r="C16" s="1661">
        <v>100</v>
      </c>
      <c r="D16" s="1661">
        <v>100</v>
      </c>
      <c r="E16" s="1646">
        <f t="shared" si="0"/>
        <v>109.316533982983</v>
      </c>
      <c r="F16" s="1661">
        <v>100</v>
      </c>
      <c r="G16" s="1646">
        <f t="shared" si="1"/>
        <v>27.777777777777779</v>
      </c>
      <c r="H16" s="1658">
        <f>1273.24*G16/E16^2</f>
        <v>2.9596207694870413</v>
      </c>
      <c r="I16" s="1658">
        <f t="shared" si="3"/>
        <v>2.7777777777777777</v>
      </c>
      <c r="J16" s="1648">
        <v>0.15</v>
      </c>
      <c r="K16" s="1648">
        <v>17</v>
      </c>
      <c r="L16" s="1656">
        <f>H16*E16*10^6/(10^3*K16)</f>
        <v>19031.499083786613</v>
      </c>
      <c r="M16" s="1657">
        <f>1.325/(LN((J16/3.7/E16)+(5.74/L16^0.9)))^2</f>
        <v>2.9139167315589645E-2</v>
      </c>
      <c r="N16" s="1648">
        <f>600*M16*H16^2/E16</f>
        <v>1.4009242948630698</v>
      </c>
      <c r="O16" s="1661"/>
      <c r="P16" s="1646">
        <f>N16*O16</f>
        <v>0</v>
      </c>
      <c r="Q16" s="1661"/>
      <c r="R16" s="1661"/>
      <c r="S16" s="1661"/>
      <c r="T16" s="1661"/>
      <c r="U16" s="1661"/>
      <c r="V16" s="1662">
        <v>0.15</v>
      </c>
      <c r="W16" s="1658">
        <f t="shared" si="8"/>
        <v>0</v>
      </c>
      <c r="X16" s="1646">
        <f>0.6*H16^2</f>
        <v>5.2556130595074393</v>
      </c>
      <c r="Y16" s="1646">
        <f>W16*X16</f>
        <v>0</v>
      </c>
      <c r="Z16" s="1646">
        <f>P16+Y16</f>
        <v>0</v>
      </c>
      <c r="AC16" s="243"/>
      <c r="AD16" s="243"/>
      <c r="AE16" s="243"/>
      <c r="AF16" s="243"/>
      <c r="AG16" s="243"/>
      <c r="AH16" s="243"/>
      <c r="AI16" s="243"/>
      <c r="AJ16" s="243"/>
      <c r="AK16" s="243"/>
      <c r="AL16" s="243"/>
      <c r="AM16" s="243"/>
      <c r="AN16" s="243"/>
      <c r="AO16" s="243"/>
      <c r="AP16" s="243"/>
      <c r="AQ16" s="243"/>
    </row>
    <row r="17" spans="1:43">
      <c r="A17" s="1646">
        <v>10</v>
      </c>
      <c r="B17" s="1660" t="s">
        <v>1508</v>
      </c>
      <c r="C17" s="1661">
        <v>100</v>
      </c>
      <c r="D17" s="1661">
        <v>100</v>
      </c>
      <c r="E17" s="1646">
        <f t="shared" si="0"/>
        <v>109.316533982983</v>
      </c>
      <c r="F17" s="1661">
        <v>100</v>
      </c>
      <c r="G17" s="1646">
        <f t="shared" si="1"/>
        <v>27.777777777777779</v>
      </c>
      <c r="H17" s="1658">
        <f>1273.24*G17/E17^2</f>
        <v>2.9596207694870413</v>
      </c>
      <c r="I17" s="1658">
        <f t="shared" si="3"/>
        <v>2.7777777777777777</v>
      </c>
      <c r="J17" s="1648">
        <v>0.15</v>
      </c>
      <c r="K17" s="1648">
        <v>17</v>
      </c>
      <c r="L17" s="1656">
        <f>H17*E17*10^6/(10^3*K17)</f>
        <v>19031.499083786613</v>
      </c>
      <c r="M17" s="1657">
        <f>1.325/(LN((J17/3.7/E17)+(5.74/L17^0.9)))^2</f>
        <v>2.9139167315589645E-2</v>
      </c>
      <c r="N17" s="1648">
        <f>600*M17*H17^2/E17</f>
        <v>1.4009242948630698</v>
      </c>
      <c r="O17" s="1661"/>
      <c r="P17" s="1646">
        <f>N17*O17</f>
        <v>0</v>
      </c>
      <c r="Q17" s="1661"/>
      <c r="R17" s="1661"/>
      <c r="S17" s="1661"/>
      <c r="T17" s="1661"/>
      <c r="U17" s="1661"/>
      <c r="V17" s="1662">
        <v>0.15</v>
      </c>
      <c r="W17" s="1658">
        <f t="shared" si="8"/>
        <v>0</v>
      </c>
      <c r="X17" s="1646">
        <f>0.6*H17^2</f>
        <v>5.2556130595074393</v>
      </c>
      <c r="Y17" s="1646">
        <f>W17*X17</f>
        <v>0</v>
      </c>
      <c r="Z17" s="1646">
        <f>P17+Y17</f>
        <v>0</v>
      </c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43"/>
      <c r="AO17" s="243"/>
      <c r="AP17" s="243"/>
      <c r="AQ17" s="243"/>
    </row>
    <row r="18" spans="1:43">
      <c r="A18" s="1646">
        <v>11</v>
      </c>
      <c r="B18" s="1660" t="s">
        <v>1508</v>
      </c>
      <c r="C18" s="1661">
        <v>100</v>
      </c>
      <c r="D18" s="1661">
        <v>100</v>
      </c>
      <c r="E18" s="1646">
        <f t="shared" si="0"/>
        <v>109.316533982983</v>
      </c>
      <c r="F18" s="1661">
        <v>100</v>
      </c>
      <c r="G18" s="1646">
        <f t="shared" si="1"/>
        <v>27.777777777777779</v>
      </c>
      <c r="H18" s="1658">
        <f>1273.24*G18/E18^2</f>
        <v>2.9596207694870413</v>
      </c>
      <c r="I18" s="1658">
        <f t="shared" si="3"/>
        <v>2.7777777777777777</v>
      </c>
      <c r="J18" s="1648">
        <v>0.15</v>
      </c>
      <c r="K18" s="1648">
        <v>17</v>
      </c>
      <c r="L18" s="1656">
        <f>H18*E18*10^6/(10^3*K18)</f>
        <v>19031.499083786613</v>
      </c>
      <c r="M18" s="1657">
        <f>1.325/(LN((J18/3.7/E18)+(5.74/L18^0.9)))^2</f>
        <v>2.9139167315589645E-2</v>
      </c>
      <c r="N18" s="1648">
        <f>600*M18*H18^2/E18</f>
        <v>1.4009242948630698</v>
      </c>
      <c r="O18" s="1661"/>
      <c r="P18" s="1646">
        <f>N18*O18</f>
        <v>0</v>
      </c>
      <c r="Q18" s="1661"/>
      <c r="R18" s="1661"/>
      <c r="S18" s="1661"/>
      <c r="T18" s="1661"/>
      <c r="U18" s="1661"/>
      <c r="V18" s="1662">
        <v>0.15</v>
      </c>
      <c r="W18" s="1658">
        <f t="shared" si="8"/>
        <v>0</v>
      </c>
      <c r="X18" s="1646">
        <f>0.6*H18^2</f>
        <v>5.2556130595074393</v>
      </c>
      <c r="Y18" s="1646">
        <f>W18*X18</f>
        <v>0</v>
      </c>
      <c r="Z18" s="1646">
        <f>P18+Y18</f>
        <v>0</v>
      </c>
      <c r="AC18" s="243"/>
      <c r="AD18" s="243"/>
      <c r="AE18" s="243"/>
      <c r="AF18" s="243"/>
      <c r="AG18" s="243"/>
      <c r="AH18" s="243"/>
      <c r="AI18" s="243"/>
      <c r="AJ18" s="243"/>
      <c r="AK18" s="243"/>
      <c r="AL18" s="243"/>
      <c r="AM18" s="243"/>
      <c r="AN18" s="243"/>
      <c r="AO18" s="243"/>
      <c r="AP18" s="243"/>
      <c r="AQ18" s="243"/>
    </row>
    <row r="19" spans="1:43">
      <c r="A19" s="1646">
        <v>11</v>
      </c>
      <c r="B19" s="1660" t="s">
        <v>1508</v>
      </c>
      <c r="C19" s="1661">
        <v>100</v>
      </c>
      <c r="D19" s="1661">
        <v>100</v>
      </c>
      <c r="E19" s="1646">
        <f t="shared" si="0"/>
        <v>109.316533982983</v>
      </c>
      <c r="F19" s="1661">
        <v>100</v>
      </c>
      <c r="G19" s="1646">
        <f t="shared" si="1"/>
        <v>27.777777777777779</v>
      </c>
      <c r="H19" s="1658">
        <f t="shared" ref="H19:H29" si="12">1273.24*G19/E19^2</f>
        <v>2.9596207694870413</v>
      </c>
      <c r="I19" s="1658">
        <f t="shared" si="3"/>
        <v>2.7777777777777777</v>
      </c>
      <c r="J19" s="1648">
        <v>0.15</v>
      </c>
      <c r="K19" s="1648">
        <v>17</v>
      </c>
      <c r="L19" s="1656">
        <f t="shared" ref="L19:L29" si="13">H19*E19*10^6/(10^3*K19)</f>
        <v>19031.499083786613</v>
      </c>
      <c r="M19" s="1657">
        <f t="shared" ref="M19:M29" si="14">1.325/(LN((J19/3.7/E19)+(5.74/L19^0.9)))^2</f>
        <v>2.9139167315589645E-2</v>
      </c>
      <c r="N19" s="1648">
        <f t="shared" ref="N19:N29" si="15">600*M19*H19^2/E19</f>
        <v>1.4009242948630698</v>
      </c>
      <c r="O19" s="1661"/>
      <c r="P19" s="1646">
        <f t="shared" ref="P19:P29" si="16">N19*O19</f>
        <v>0</v>
      </c>
      <c r="Q19" s="1661"/>
      <c r="R19" s="1661"/>
      <c r="S19" s="1661"/>
      <c r="T19" s="1661"/>
      <c r="U19" s="1661"/>
      <c r="V19" s="1662">
        <v>0.15</v>
      </c>
      <c r="W19" s="1658">
        <f t="shared" si="8"/>
        <v>0</v>
      </c>
      <c r="X19" s="1646">
        <f t="shared" ref="X19:X29" si="17">0.6*H19^2</f>
        <v>5.2556130595074393</v>
      </c>
      <c r="Y19" s="1646">
        <f t="shared" ref="Y19:Y29" si="18">W19*X19</f>
        <v>0</v>
      </c>
      <c r="Z19" s="1646">
        <f t="shared" ref="Z19:Z29" si="19">P19+Y19</f>
        <v>0</v>
      </c>
      <c r="AC19" s="243"/>
      <c r="AD19" s="243"/>
      <c r="AE19" s="243"/>
      <c r="AF19" s="243"/>
      <c r="AG19" s="243"/>
      <c r="AH19" s="243"/>
      <c r="AI19" s="243"/>
      <c r="AJ19" s="243"/>
      <c r="AK19" s="243"/>
      <c r="AL19" s="243"/>
      <c r="AM19" s="243"/>
      <c r="AN19" s="243"/>
      <c r="AO19" s="243"/>
      <c r="AP19" s="243"/>
      <c r="AQ19" s="243"/>
    </row>
    <row r="20" spans="1:43">
      <c r="A20" s="1646">
        <v>11</v>
      </c>
      <c r="B20" s="1660" t="s">
        <v>1508</v>
      </c>
      <c r="C20" s="1661">
        <v>100</v>
      </c>
      <c r="D20" s="1661">
        <v>100</v>
      </c>
      <c r="E20" s="1646">
        <f t="shared" si="0"/>
        <v>109.316533982983</v>
      </c>
      <c r="F20" s="1661">
        <v>100</v>
      </c>
      <c r="G20" s="1646">
        <f t="shared" si="1"/>
        <v>27.777777777777779</v>
      </c>
      <c r="H20" s="1658">
        <f t="shared" si="12"/>
        <v>2.9596207694870413</v>
      </c>
      <c r="I20" s="1658">
        <f t="shared" si="3"/>
        <v>2.7777777777777777</v>
      </c>
      <c r="J20" s="1648">
        <v>0.15</v>
      </c>
      <c r="K20" s="1648">
        <v>17</v>
      </c>
      <c r="L20" s="1656">
        <f t="shared" si="13"/>
        <v>19031.499083786613</v>
      </c>
      <c r="M20" s="1657">
        <f t="shared" si="14"/>
        <v>2.9139167315589645E-2</v>
      </c>
      <c r="N20" s="1648">
        <f t="shared" si="15"/>
        <v>1.4009242948630698</v>
      </c>
      <c r="O20" s="1661"/>
      <c r="P20" s="1646">
        <f t="shared" si="16"/>
        <v>0</v>
      </c>
      <c r="Q20" s="1661"/>
      <c r="R20" s="1661"/>
      <c r="S20" s="1661"/>
      <c r="T20" s="1661"/>
      <c r="U20" s="1661"/>
      <c r="V20" s="1662">
        <v>0.15</v>
      </c>
      <c r="W20" s="1658">
        <f t="shared" si="8"/>
        <v>0</v>
      </c>
      <c r="X20" s="1646">
        <f t="shared" si="17"/>
        <v>5.2556130595074393</v>
      </c>
      <c r="Y20" s="1646">
        <f t="shared" si="18"/>
        <v>0</v>
      </c>
      <c r="Z20" s="1646">
        <f t="shared" si="19"/>
        <v>0</v>
      </c>
      <c r="AC20" s="243"/>
      <c r="AD20" s="243"/>
      <c r="AE20" s="243"/>
      <c r="AF20" s="243"/>
      <c r="AG20" s="243"/>
      <c r="AH20" s="243"/>
      <c r="AI20" s="243"/>
      <c r="AJ20" s="243"/>
      <c r="AK20" s="243"/>
      <c r="AL20" s="243"/>
      <c r="AM20" s="243"/>
      <c r="AN20" s="243"/>
      <c r="AO20" s="243"/>
      <c r="AP20" s="243"/>
      <c r="AQ20" s="243"/>
    </row>
    <row r="21" spans="1:43">
      <c r="A21" s="1646">
        <v>11</v>
      </c>
      <c r="B21" s="1660" t="s">
        <v>1508</v>
      </c>
      <c r="C21" s="1661">
        <v>100</v>
      </c>
      <c r="D21" s="1661">
        <v>100</v>
      </c>
      <c r="E21" s="1646">
        <f t="shared" si="0"/>
        <v>109.316533982983</v>
      </c>
      <c r="F21" s="1661">
        <v>100</v>
      </c>
      <c r="G21" s="1646">
        <f t="shared" si="1"/>
        <v>27.777777777777779</v>
      </c>
      <c r="H21" s="1658">
        <f t="shared" si="12"/>
        <v>2.9596207694870413</v>
      </c>
      <c r="I21" s="1658">
        <f t="shared" si="3"/>
        <v>2.7777777777777777</v>
      </c>
      <c r="J21" s="1648">
        <v>0.15</v>
      </c>
      <c r="K21" s="1648">
        <v>17</v>
      </c>
      <c r="L21" s="1656">
        <f t="shared" si="13"/>
        <v>19031.499083786613</v>
      </c>
      <c r="M21" s="1657">
        <f t="shared" si="14"/>
        <v>2.9139167315589645E-2</v>
      </c>
      <c r="N21" s="1648">
        <f t="shared" si="15"/>
        <v>1.4009242948630698</v>
      </c>
      <c r="O21" s="1661"/>
      <c r="P21" s="1646">
        <f t="shared" si="16"/>
        <v>0</v>
      </c>
      <c r="Q21" s="1661"/>
      <c r="R21" s="1661"/>
      <c r="S21" s="1661"/>
      <c r="T21" s="1661"/>
      <c r="U21" s="1661"/>
      <c r="V21" s="1662">
        <v>0.15</v>
      </c>
      <c r="W21" s="1658">
        <f t="shared" si="8"/>
        <v>0</v>
      </c>
      <c r="X21" s="1646">
        <f t="shared" si="17"/>
        <v>5.2556130595074393</v>
      </c>
      <c r="Y21" s="1646">
        <f t="shared" si="18"/>
        <v>0</v>
      </c>
      <c r="Z21" s="1646">
        <f t="shared" si="19"/>
        <v>0</v>
      </c>
      <c r="AC21" s="243"/>
      <c r="AD21" s="243"/>
      <c r="AE21" s="243"/>
      <c r="AF21" s="243"/>
      <c r="AG21" s="243"/>
      <c r="AH21" s="243"/>
      <c r="AI21" s="243"/>
      <c r="AJ21" s="243"/>
      <c r="AK21" s="243"/>
      <c r="AL21" s="243"/>
      <c r="AM21" s="243"/>
      <c r="AN21" s="243"/>
      <c r="AO21" s="243"/>
      <c r="AP21" s="243"/>
      <c r="AQ21" s="243"/>
    </row>
    <row r="22" spans="1:43">
      <c r="A22" s="1646">
        <v>11</v>
      </c>
      <c r="B22" s="1660" t="s">
        <v>1508</v>
      </c>
      <c r="C22" s="1661">
        <v>100</v>
      </c>
      <c r="D22" s="1661">
        <v>100</v>
      </c>
      <c r="E22" s="1646">
        <f t="shared" si="0"/>
        <v>109.316533982983</v>
      </c>
      <c r="F22" s="1661">
        <v>100</v>
      </c>
      <c r="G22" s="1646">
        <f t="shared" si="1"/>
        <v>27.777777777777779</v>
      </c>
      <c r="H22" s="1658">
        <f t="shared" si="12"/>
        <v>2.9596207694870413</v>
      </c>
      <c r="I22" s="1658">
        <f t="shared" si="3"/>
        <v>2.7777777777777777</v>
      </c>
      <c r="J22" s="1648">
        <v>0.15</v>
      </c>
      <c r="K22" s="1648">
        <v>17</v>
      </c>
      <c r="L22" s="1656">
        <f t="shared" si="13"/>
        <v>19031.499083786613</v>
      </c>
      <c r="M22" s="1657">
        <f t="shared" si="14"/>
        <v>2.9139167315589645E-2</v>
      </c>
      <c r="N22" s="1648">
        <f t="shared" si="15"/>
        <v>1.4009242948630698</v>
      </c>
      <c r="O22" s="1661"/>
      <c r="P22" s="1646">
        <f t="shared" si="16"/>
        <v>0</v>
      </c>
      <c r="Q22" s="1661"/>
      <c r="R22" s="1661"/>
      <c r="S22" s="1661"/>
      <c r="T22" s="1661"/>
      <c r="U22" s="1661"/>
      <c r="V22" s="1662">
        <v>0.15</v>
      </c>
      <c r="W22" s="1658">
        <f t="shared" si="8"/>
        <v>0</v>
      </c>
      <c r="X22" s="1646">
        <f t="shared" si="17"/>
        <v>5.2556130595074393</v>
      </c>
      <c r="Y22" s="1646">
        <f t="shared" si="18"/>
        <v>0</v>
      </c>
      <c r="Z22" s="1646">
        <f t="shared" si="19"/>
        <v>0</v>
      </c>
      <c r="AC22" s="243"/>
      <c r="AD22" s="243"/>
      <c r="AE22" s="243"/>
      <c r="AF22" s="243"/>
      <c r="AG22" s="243"/>
      <c r="AH22" s="243"/>
      <c r="AI22" s="243"/>
      <c r="AJ22" s="243"/>
      <c r="AK22" s="243"/>
      <c r="AL22" s="243"/>
      <c r="AM22" s="243"/>
      <c r="AN22" s="243"/>
      <c r="AO22" s="243"/>
      <c r="AP22" s="243"/>
      <c r="AQ22" s="243"/>
    </row>
    <row r="23" spans="1:43">
      <c r="A23" s="1646">
        <v>11</v>
      </c>
      <c r="B23" s="1660" t="s">
        <v>1508</v>
      </c>
      <c r="C23" s="1661">
        <v>100</v>
      </c>
      <c r="D23" s="1661">
        <v>100</v>
      </c>
      <c r="E23" s="1646">
        <f t="shared" si="0"/>
        <v>109.316533982983</v>
      </c>
      <c r="F23" s="1661">
        <v>100</v>
      </c>
      <c r="G23" s="1646">
        <f t="shared" si="1"/>
        <v>27.777777777777779</v>
      </c>
      <c r="H23" s="1658">
        <f t="shared" si="12"/>
        <v>2.9596207694870413</v>
      </c>
      <c r="I23" s="1658">
        <f t="shared" si="3"/>
        <v>2.7777777777777777</v>
      </c>
      <c r="J23" s="1648">
        <v>0.15</v>
      </c>
      <c r="K23" s="1648">
        <v>17</v>
      </c>
      <c r="L23" s="1656">
        <f t="shared" si="13"/>
        <v>19031.499083786613</v>
      </c>
      <c r="M23" s="1657">
        <f t="shared" si="14"/>
        <v>2.9139167315589645E-2</v>
      </c>
      <c r="N23" s="1648">
        <f t="shared" si="15"/>
        <v>1.4009242948630698</v>
      </c>
      <c r="O23" s="1661"/>
      <c r="P23" s="1646">
        <f t="shared" si="16"/>
        <v>0</v>
      </c>
      <c r="Q23" s="1661"/>
      <c r="R23" s="1661"/>
      <c r="S23" s="1661"/>
      <c r="T23" s="1661"/>
      <c r="U23" s="1661"/>
      <c r="V23" s="1662">
        <v>0.15</v>
      </c>
      <c r="W23" s="1658">
        <f t="shared" si="8"/>
        <v>0</v>
      </c>
      <c r="X23" s="1646">
        <f t="shared" si="17"/>
        <v>5.2556130595074393</v>
      </c>
      <c r="Y23" s="1646">
        <f t="shared" si="18"/>
        <v>0</v>
      </c>
      <c r="Z23" s="1646">
        <f t="shared" si="19"/>
        <v>0</v>
      </c>
      <c r="AC23" s="243"/>
      <c r="AD23" s="243"/>
      <c r="AE23" s="243"/>
      <c r="AF23" s="243"/>
      <c r="AG23" s="243"/>
      <c r="AH23" s="243"/>
      <c r="AI23" s="243"/>
      <c r="AJ23" s="243"/>
      <c r="AK23" s="243"/>
      <c r="AL23" s="243"/>
      <c r="AM23" s="243"/>
      <c r="AN23" s="243"/>
      <c r="AO23" s="243"/>
      <c r="AP23" s="243"/>
      <c r="AQ23" s="243"/>
    </row>
    <row r="24" spans="1:43">
      <c r="A24" s="1646">
        <v>11</v>
      </c>
      <c r="B24" s="1660" t="s">
        <v>1508</v>
      </c>
      <c r="C24" s="1661">
        <v>100</v>
      </c>
      <c r="D24" s="1661">
        <v>100</v>
      </c>
      <c r="E24" s="1646">
        <f t="shared" si="0"/>
        <v>109.316533982983</v>
      </c>
      <c r="F24" s="1661">
        <v>100</v>
      </c>
      <c r="G24" s="1646">
        <f t="shared" si="1"/>
        <v>27.777777777777779</v>
      </c>
      <c r="H24" s="1658">
        <f t="shared" si="12"/>
        <v>2.9596207694870413</v>
      </c>
      <c r="I24" s="1658">
        <f t="shared" si="3"/>
        <v>2.7777777777777777</v>
      </c>
      <c r="J24" s="1648">
        <v>0.15</v>
      </c>
      <c r="K24" s="1648">
        <v>17</v>
      </c>
      <c r="L24" s="1656">
        <f t="shared" si="13"/>
        <v>19031.499083786613</v>
      </c>
      <c r="M24" s="1657">
        <f t="shared" si="14"/>
        <v>2.9139167315589645E-2</v>
      </c>
      <c r="N24" s="1648">
        <f t="shared" si="15"/>
        <v>1.4009242948630698</v>
      </c>
      <c r="O24" s="1661"/>
      <c r="P24" s="1646">
        <f t="shared" si="16"/>
        <v>0</v>
      </c>
      <c r="Q24" s="1661"/>
      <c r="R24" s="1661"/>
      <c r="S24" s="1661"/>
      <c r="T24" s="1661"/>
      <c r="U24" s="1661"/>
      <c r="V24" s="1662">
        <v>0.15</v>
      </c>
      <c r="W24" s="1658">
        <f t="shared" si="8"/>
        <v>0</v>
      </c>
      <c r="X24" s="1646">
        <f t="shared" si="17"/>
        <v>5.2556130595074393</v>
      </c>
      <c r="Y24" s="1646">
        <f t="shared" si="18"/>
        <v>0</v>
      </c>
      <c r="Z24" s="1646">
        <f t="shared" si="19"/>
        <v>0</v>
      </c>
      <c r="AC24" s="243"/>
      <c r="AD24" s="243"/>
      <c r="AE24" s="243"/>
      <c r="AF24" s="243"/>
      <c r="AG24" s="243"/>
      <c r="AH24" s="243"/>
      <c r="AI24" s="243"/>
      <c r="AJ24" s="243"/>
      <c r="AK24" s="243"/>
      <c r="AL24" s="243"/>
      <c r="AM24" s="243"/>
      <c r="AN24" s="243"/>
      <c r="AO24" s="243"/>
      <c r="AP24" s="243"/>
      <c r="AQ24" s="243"/>
    </row>
    <row r="25" spans="1:43">
      <c r="A25" s="1646">
        <v>11</v>
      </c>
      <c r="B25" s="1660" t="s">
        <v>1508</v>
      </c>
      <c r="C25" s="1661">
        <v>100</v>
      </c>
      <c r="D25" s="1661">
        <v>100</v>
      </c>
      <c r="E25" s="1646">
        <f t="shared" si="0"/>
        <v>109.316533982983</v>
      </c>
      <c r="F25" s="1661">
        <v>100</v>
      </c>
      <c r="G25" s="1646">
        <f t="shared" si="1"/>
        <v>27.777777777777779</v>
      </c>
      <c r="H25" s="1658">
        <f t="shared" si="12"/>
        <v>2.9596207694870413</v>
      </c>
      <c r="I25" s="1658">
        <f t="shared" si="3"/>
        <v>2.7777777777777777</v>
      </c>
      <c r="J25" s="1648">
        <v>0.15</v>
      </c>
      <c r="K25" s="1648">
        <v>17</v>
      </c>
      <c r="L25" s="1656">
        <f t="shared" si="13"/>
        <v>19031.499083786613</v>
      </c>
      <c r="M25" s="1657">
        <f t="shared" si="14"/>
        <v>2.9139167315589645E-2</v>
      </c>
      <c r="N25" s="1648">
        <f t="shared" si="15"/>
        <v>1.4009242948630698</v>
      </c>
      <c r="O25" s="1661"/>
      <c r="P25" s="1646">
        <f t="shared" si="16"/>
        <v>0</v>
      </c>
      <c r="Q25" s="1661"/>
      <c r="R25" s="1661"/>
      <c r="S25" s="1661"/>
      <c r="T25" s="1661"/>
      <c r="U25" s="1661"/>
      <c r="V25" s="1662">
        <v>0.15</v>
      </c>
      <c r="W25" s="1658">
        <f t="shared" si="8"/>
        <v>0</v>
      </c>
      <c r="X25" s="1646">
        <f t="shared" si="17"/>
        <v>5.2556130595074393</v>
      </c>
      <c r="Y25" s="1646">
        <f t="shared" si="18"/>
        <v>0</v>
      </c>
      <c r="Z25" s="1646">
        <f t="shared" si="19"/>
        <v>0</v>
      </c>
      <c r="AC25" s="243"/>
      <c r="AD25" s="243"/>
      <c r="AE25" s="243"/>
      <c r="AF25" s="243"/>
      <c r="AG25" s="243"/>
      <c r="AH25" s="243"/>
      <c r="AI25" s="243"/>
      <c r="AJ25" s="243"/>
      <c r="AK25" s="243"/>
      <c r="AL25" s="243"/>
      <c r="AM25" s="243"/>
      <c r="AN25" s="243"/>
      <c r="AO25" s="243"/>
      <c r="AP25" s="243"/>
      <c r="AQ25" s="243"/>
    </row>
    <row r="26" spans="1:43">
      <c r="A26" s="1646">
        <v>11</v>
      </c>
      <c r="B26" s="1660" t="s">
        <v>1508</v>
      </c>
      <c r="C26" s="1661">
        <v>100</v>
      </c>
      <c r="D26" s="1661">
        <v>100</v>
      </c>
      <c r="E26" s="1646">
        <f t="shared" si="0"/>
        <v>109.316533982983</v>
      </c>
      <c r="F26" s="1661">
        <v>100</v>
      </c>
      <c r="G26" s="1646">
        <f t="shared" si="1"/>
        <v>27.777777777777779</v>
      </c>
      <c r="H26" s="1658">
        <f t="shared" si="12"/>
        <v>2.9596207694870413</v>
      </c>
      <c r="I26" s="1658">
        <f t="shared" si="3"/>
        <v>2.7777777777777777</v>
      </c>
      <c r="J26" s="1648">
        <v>0.15</v>
      </c>
      <c r="K26" s="1648">
        <v>17</v>
      </c>
      <c r="L26" s="1656">
        <f t="shared" si="13"/>
        <v>19031.499083786613</v>
      </c>
      <c r="M26" s="1657">
        <f t="shared" si="14"/>
        <v>2.9139167315589645E-2</v>
      </c>
      <c r="N26" s="1648">
        <f t="shared" si="15"/>
        <v>1.4009242948630698</v>
      </c>
      <c r="O26" s="1661"/>
      <c r="P26" s="1646">
        <f t="shared" si="16"/>
        <v>0</v>
      </c>
      <c r="Q26" s="1661"/>
      <c r="R26" s="1661"/>
      <c r="S26" s="1661"/>
      <c r="T26" s="1661"/>
      <c r="U26" s="1661"/>
      <c r="V26" s="1662">
        <v>0.15</v>
      </c>
      <c r="W26" s="1658">
        <f t="shared" si="8"/>
        <v>0</v>
      </c>
      <c r="X26" s="1646">
        <f t="shared" si="17"/>
        <v>5.2556130595074393</v>
      </c>
      <c r="Y26" s="1646">
        <f t="shared" si="18"/>
        <v>0</v>
      </c>
      <c r="Z26" s="1646">
        <f t="shared" si="19"/>
        <v>0</v>
      </c>
      <c r="AC26" s="243"/>
      <c r="AD26" s="243"/>
      <c r="AE26" s="243"/>
      <c r="AF26" s="243"/>
      <c r="AG26" s="243"/>
      <c r="AH26" s="243"/>
      <c r="AI26" s="243"/>
      <c r="AJ26" s="243"/>
      <c r="AK26" s="243"/>
      <c r="AL26" s="243"/>
      <c r="AM26" s="243"/>
      <c r="AN26" s="243"/>
      <c r="AO26" s="243"/>
      <c r="AP26" s="243"/>
      <c r="AQ26" s="243"/>
    </row>
    <row r="27" spans="1:43">
      <c r="A27" s="1646">
        <v>11</v>
      </c>
      <c r="B27" s="1660" t="s">
        <v>1508</v>
      </c>
      <c r="C27" s="1661">
        <v>100</v>
      </c>
      <c r="D27" s="1661">
        <v>100</v>
      </c>
      <c r="E27" s="1646">
        <f t="shared" si="0"/>
        <v>109.316533982983</v>
      </c>
      <c r="F27" s="1661">
        <v>100</v>
      </c>
      <c r="G27" s="1646">
        <f t="shared" si="1"/>
        <v>27.777777777777779</v>
      </c>
      <c r="H27" s="1658">
        <f t="shared" si="12"/>
        <v>2.9596207694870413</v>
      </c>
      <c r="I27" s="1658">
        <f t="shared" si="3"/>
        <v>2.7777777777777777</v>
      </c>
      <c r="J27" s="1648">
        <v>0.15</v>
      </c>
      <c r="K27" s="1648">
        <v>17</v>
      </c>
      <c r="L27" s="1656">
        <f t="shared" si="13"/>
        <v>19031.499083786613</v>
      </c>
      <c r="M27" s="1657">
        <f t="shared" si="14"/>
        <v>2.9139167315589645E-2</v>
      </c>
      <c r="N27" s="1648">
        <f t="shared" si="15"/>
        <v>1.4009242948630698</v>
      </c>
      <c r="O27" s="1661"/>
      <c r="P27" s="1646">
        <f t="shared" si="16"/>
        <v>0</v>
      </c>
      <c r="Q27" s="1661"/>
      <c r="R27" s="1661"/>
      <c r="S27" s="1661"/>
      <c r="T27" s="1661"/>
      <c r="U27" s="1661"/>
      <c r="V27" s="1662">
        <v>0.15</v>
      </c>
      <c r="W27" s="1658">
        <f t="shared" si="8"/>
        <v>0</v>
      </c>
      <c r="X27" s="1646">
        <f t="shared" si="17"/>
        <v>5.2556130595074393</v>
      </c>
      <c r="Y27" s="1646">
        <f t="shared" si="18"/>
        <v>0</v>
      </c>
      <c r="Z27" s="1646">
        <f t="shared" si="19"/>
        <v>0</v>
      </c>
      <c r="AC27" s="243"/>
      <c r="AD27" s="243"/>
      <c r="AE27" s="243"/>
      <c r="AF27" s="243"/>
      <c r="AG27" s="243"/>
      <c r="AH27" s="243"/>
      <c r="AI27" s="243"/>
      <c r="AJ27" s="243"/>
      <c r="AK27" s="243"/>
      <c r="AL27" s="243"/>
      <c r="AM27" s="243"/>
      <c r="AN27" s="243"/>
      <c r="AO27" s="243"/>
      <c r="AP27" s="243"/>
      <c r="AQ27" s="243"/>
    </row>
    <row r="28" spans="1:43">
      <c r="A28" s="1646">
        <v>11</v>
      </c>
      <c r="B28" s="1660" t="s">
        <v>1508</v>
      </c>
      <c r="C28" s="1661">
        <v>100</v>
      </c>
      <c r="D28" s="1661">
        <v>100</v>
      </c>
      <c r="E28" s="1646">
        <f t="shared" si="0"/>
        <v>109.316533982983</v>
      </c>
      <c r="F28" s="1661">
        <v>100</v>
      </c>
      <c r="G28" s="1646">
        <f t="shared" si="1"/>
        <v>27.777777777777779</v>
      </c>
      <c r="H28" s="1658">
        <f t="shared" si="12"/>
        <v>2.9596207694870413</v>
      </c>
      <c r="I28" s="1658">
        <f t="shared" si="3"/>
        <v>2.7777777777777777</v>
      </c>
      <c r="J28" s="1648">
        <v>0.15</v>
      </c>
      <c r="K28" s="1648">
        <v>17</v>
      </c>
      <c r="L28" s="1656">
        <f t="shared" si="13"/>
        <v>19031.499083786613</v>
      </c>
      <c r="M28" s="1657">
        <f t="shared" si="14"/>
        <v>2.9139167315589645E-2</v>
      </c>
      <c r="N28" s="1648">
        <f t="shared" si="15"/>
        <v>1.4009242948630698</v>
      </c>
      <c r="O28" s="1661"/>
      <c r="P28" s="1646">
        <f t="shared" si="16"/>
        <v>0</v>
      </c>
      <c r="Q28" s="1661"/>
      <c r="R28" s="1661"/>
      <c r="S28" s="1661"/>
      <c r="T28" s="1661"/>
      <c r="U28" s="1661"/>
      <c r="V28" s="1662">
        <v>0.15</v>
      </c>
      <c r="W28" s="1658">
        <f t="shared" si="8"/>
        <v>0</v>
      </c>
      <c r="X28" s="1646">
        <f t="shared" si="17"/>
        <v>5.2556130595074393</v>
      </c>
      <c r="Y28" s="1646">
        <f t="shared" si="18"/>
        <v>0</v>
      </c>
      <c r="Z28" s="1646">
        <f t="shared" si="19"/>
        <v>0</v>
      </c>
      <c r="AC28" s="243"/>
      <c r="AD28" s="243"/>
      <c r="AE28" s="243"/>
      <c r="AF28" s="243"/>
      <c r="AG28" s="243"/>
      <c r="AH28" s="243"/>
      <c r="AI28" s="243"/>
      <c r="AJ28" s="243"/>
      <c r="AK28" s="243"/>
      <c r="AL28" s="243"/>
      <c r="AM28" s="243"/>
      <c r="AN28" s="243"/>
      <c r="AO28" s="243"/>
      <c r="AP28" s="243"/>
      <c r="AQ28" s="243"/>
    </row>
    <row r="29" spans="1:43">
      <c r="A29" s="1646">
        <v>11</v>
      </c>
      <c r="B29" s="1660" t="s">
        <v>1508</v>
      </c>
      <c r="C29" s="1661">
        <v>100</v>
      </c>
      <c r="D29" s="1661">
        <v>100</v>
      </c>
      <c r="E29" s="1646">
        <f t="shared" si="0"/>
        <v>109.316533982983</v>
      </c>
      <c r="F29" s="1661">
        <v>100</v>
      </c>
      <c r="G29" s="1646">
        <f t="shared" si="1"/>
        <v>27.777777777777779</v>
      </c>
      <c r="H29" s="1658">
        <f t="shared" si="12"/>
        <v>2.9596207694870413</v>
      </c>
      <c r="I29" s="1658">
        <f t="shared" si="3"/>
        <v>2.7777777777777777</v>
      </c>
      <c r="J29" s="1648">
        <v>0.15</v>
      </c>
      <c r="K29" s="1648">
        <v>17</v>
      </c>
      <c r="L29" s="1656">
        <f t="shared" si="13"/>
        <v>19031.499083786613</v>
      </c>
      <c r="M29" s="1657">
        <f t="shared" si="14"/>
        <v>2.9139167315589645E-2</v>
      </c>
      <c r="N29" s="1648">
        <f t="shared" si="15"/>
        <v>1.4009242948630698</v>
      </c>
      <c r="O29" s="1661"/>
      <c r="P29" s="1646">
        <f t="shared" si="16"/>
        <v>0</v>
      </c>
      <c r="Q29" s="1661"/>
      <c r="R29" s="1661"/>
      <c r="S29" s="1661"/>
      <c r="T29" s="1661"/>
      <c r="U29" s="1661"/>
      <c r="V29" s="1662">
        <v>0.15</v>
      </c>
      <c r="W29" s="1658">
        <f t="shared" si="8"/>
        <v>0</v>
      </c>
      <c r="X29" s="1646">
        <f t="shared" si="17"/>
        <v>5.2556130595074393</v>
      </c>
      <c r="Y29" s="1646">
        <f t="shared" si="18"/>
        <v>0</v>
      </c>
      <c r="Z29" s="1646">
        <f t="shared" si="19"/>
        <v>0</v>
      </c>
      <c r="AC29" s="243"/>
      <c r="AD29" s="243"/>
      <c r="AE29" s="243"/>
      <c r="AF29" s="243"/>
      <c r="AG29" s="243"/>
      <c r="AH29" s="243"/>
      <c r="AI29" s="243"/>
      <c r="AJ29" s="243"/>
      <c r="AK29" s="243"/>
      <c r="AL29" s="243"/>
      <c r="AM29" s="243"/>
      <c r="AN29" s="243"/>
      <c r="AO29" s="243"/>
      <c r="AP29" s="243"/>
      <c r="AQ29" s="243"/>
    </row>
    <row r="30" spans="1:43">
      <c r="A30" s="1646">
        <v>11</v>
      </c>
      <c r="B30" s="1660" t="s">
        <v>1508</v>
      </c>
      <c r="C30" s="1661">
        <v>100</v>
      </c>
      <c r="D30" s="1661">
        <v>100</v>
      </c>
      <c r="E30" s="1646">
        <f>1.3*(C30*D30)^0.625/(C30+D30)^0.25</f>
        <v>109.316533982983</v>
      </c>
      <c r="F30" s="1661">
        <v>100</v>
      </c>
      <c r="G30" s="1646">
        <f>F30/$K$5</f>
        <v>27.777777777777779</v>
      </c>
      <c r="H30" s="1658">
        <f>1273.24*G30/E30^2</f>
        <v>2.9596207694870413</v>
      </c>
      <c r="I30" s="1658">
        <f>G30*10^3/(C30*D30)</f>
        <v>2.7777777777777777</v>
      </c>
      <c r="J30" s="1648">
        <v>0.15</v>
      </c>
      <c r="K30" s="1648">
        <v>17</v>
      </c>
      <c r="L30" s="1656">
        <f>H30*E30*10^6/(10^3*K30)</f>
        <v>19031.499083786613</v>
      </c>
      <c r="M30" s="1657">
        <f>1.325/(LN((J30/3.7/E30)+(5.74/L30^0.9)))^2</f>
        <v>2.9139167315589645E-2</v>
      </c>
      <c r="N30" s="1648">
        <f>600*M30*H30^2/E30</f>
        <v>1.4009242948630698</v>
      </c>
      <c r="O30" s="1661"/>
      <c r="P30" s="1646">
        <f>N30*O30</f>
        <v>0</v>
      </c>
      <c r="Q30" s="1661"/>
      <c r="R30" s="1661"/>
      <c r="S30" s="1661"/>
      <c r="T30" s="1661"/>
      <c r="U30" s="1661"/>
      <c r="V30" s="1662">
        <v>0.15</v>
      </c>
      <c r="W30" s="1658">
        <f t="shared" si="8"/>
        <v>0</v>
      </c>
      <c r="X30" s="1646">
        <f>0.6*H30^2</f>
        <v>5.2556130595074393</v>
      </c>
      <c r="Y30" s="1646">
        <f>W30*X30</f>
        <v>0</v>
      </c>
      <c r="Z30" s="1646">
        <f>P30+Y30</f>
        <v>0</v>
      </c>
      <c r="AC30" s="243"/>
      <c r="AD30" s="243"/>
      <c r="AE30" s="243"/>
      <c r="AF30" s="243"/>
      <c r="AG30" s="243"/>
      <c r="AH30" s="243"/>
      <c r="AI30" s="243"/>
      <c r="AJ30" s="243"/>
      <c r="AK30" s="243"/>
      <c r="AL30" s="243"/>
      <c r="AM30" s="243"/>
      <c r="AN30" s="243"/>
      <c r="AO30" s="243"/>
      <c r="AP30" s="243"/>
      <c r="AQ30" s="243"/>
    </row>
    <row r="31" spans="1:43">
      <c r="A31" s="1646">
        <v>11</v>
      </c>
      <c r="B31" s="1660" t="s">
        <v>1508</v>
      </c>
      <c r="C31" s="1661">
        <v>100</v>
      </c>
      <c r="D31" s="1661">
        <v>100</v>
      </c>
      <c r="E31" s="1646">
        <f>1.3*(C31*D31)^0.625/(C31+D31)^0.25</f>
        <v>109.316533982983</v>
      </c>
      <c r="F31" s="1661">
        <v>100</v>
      </c>
      <c r="G31" s="1646">
        <f>F31/$K$5</f>
        <v>27.777777777777779</v>
      </c>
      <c r="H31" s="1658">
        <f>1273.24*G31/E31^2</f>
        <v>2.9596207694870413</v>
      </c>
      <c r="I31" s="1658">
        <f>G31*10^3/(C31*D31)</f>
        <v>2.7777777777777777</v>
      </c>
      <c r="J31" s="1648">
        <v>0.15</v>
      </c>
      <c r="K31" s="1648">
        <v>17</v>
      </c>
      <c r="L31" s="1656">
        <f>H31*E31*10^6/(10^3*K31)</f>
        <v>19031.499083786613</v>
      </c>
      <c r="M31" s="1657">
        <f>1.325/(LN((J31/3.7/E31)+(5.74/L31^0.9)))^2</f>
        <v>2.9139167315589645E-2</v>
      </c>
      <c r="N31" s="1648">
        <f>600*M31*H31^2/E31</f>
        <v>1.4009242948630698</v>
      </c>
      <c r="O31" s="1661"/>
      <c r="P31" s="1646">
        <f>N31*O31</f>
        <v>0</v>
      </c>
      <c r="Q31" s="1661"/>
      <c r="R31" s="1661"/>
      <c r="S31" s="1661"/>
      <c r="T31" s="1661"/>
      <c r="U31" s="1661"/>
      <c r="V31" s="1662">
        <v>0.15</v>
      </c>
      <c r="W31" s="1658">
        <f t="shared" si="8"/>
        <v>0</v>
      </c>
      <c r="X31" s="1646">
        <f>0.6*H31^2</f>
        <v>5.2556130595074393</v>
      </c>
      <c r="Y31" s="1646">
        <f>W31*X31</f>
        <v>0</v>
      </c>
      <c r="Z31" s="1646">
        <f>P31+Y31</f>
        <v>0</v>
      </c>
      <c r="AC31" s="243"/>
      <c r="AD31" s="243"/>
      <c r="AE31" s="243"/>
      <c r="AF31" s="243"/>
      <c r="AG31" s="243"/>
      <c r="AH31" s="243"/>
      <c r="AI31" s="243"/>
      <c r="AJ31" s="243"/>
      <c r="AK31" s="243"/>
      <c r="AL31" s="243"/>
      <c r="AM31" s="243"/>
      <c r="AN31" s="243"/>
      <c r="AO31" s="243"/>
      <c r="AP31" s="243"/>
      <c r="AQ31" s="243"/>
    </row>
    <row r="32" spans="1:43">
      <c r="A32" s="1646">
        <v>11</v>
      </c>
      <c r="B32" s="1660" t="s">
        <v>1508</v>
      </c>
      <c r="C32" s="1661">
        <v>100</v>
      </c>
      <c r="D32" s="1661">
        <v>100</v>
      </c>
      <c r="E32" s="1646">
        <f>1.3*(C32*D32)^0.625/(C32+D32)^0.25</f>
        <v>109.316533982983</v>
      </c>
      <c r="F32" s="1661">
        <v>100</v>
      </c>
      <c r="G32" s="1646">
        <f>F32/$K$5</f>
        <v>27.777777777777779</v>
      </c>
      <c r="H32" s="1658">
        <f>1273.24*G32/E32^2</f>
        <v>2.9596207694870413</v>
      </c>
      <c r="I32" s="1658">
        <f>G32*10^3/(C32*D32)</f>
        <v>2.7777777777777777</v>
      </c>
      <c r="J32" s="1648">
        <v>0.15</v>
      </c>
      <c r="K32" s="1648">
        <v>17</v>
      </c>
      <c r="L32" s="1656">
        <f>H32*E32*10^6/(10^3*K32)</f>
        <v>19031.499083786613</v>
      </c>
      <c r="M32" s="1657">
        <f>1.325/(LN((J32/3.7/E32)+(5.74/L32^0.9)))^2</f>
        <v>2.9139167315589645E-2</v>
      </c>
      <c r="N32" s="1648">
        <f>600*M32*H32^2/E32</f>
        <v>1.4009242948630698</v>
      </c>
      <c r="O32" s="1661"/>
      <c r="P32" s="1646">
        <f>N32*O32</f>
        <v>0</v>
      </c>
      <c r="Q32" s="1661"/>
      <c r="R32" s="1661"/>
      <c r="S32" s="1661"/>
      <c r="T32" s="1661"/>
      <c r="U32" s="1661"/>
      <c r="V32" s="1662">
        <v>0.15</v>
      </c>
      <c r="W32" s="1658">
        <f t="shared" si="8"/>
        <v>0</v>
      </c>
      <c r="X32" s="1646">
        <f>0.6*H32^2</f>
        <v>5.2556130595074393</v>
      </c>
      <c r="Y32" s="1646">
        <f>W32*X32</f>
        <v>0</v>
      </c>
      <c r="Z32" s="1646">
        <f>P32+Y32</f>
        <v>0</v>
      </c>
      <c r="AC32" s="243"/>
      <c r="AD32" s="243"/>
      <c r="AE32" s="243"/>
      <c r="AF32" s="243"/>
      <c r="AG32" s="243"/>
      <c r="AH32" s="243"/>
      <c r="AI32" s="243"/>
      <c r="AJ32" s="243"/>
      <c r="AK32" s="243"/>
      <c r="AL32" s="243"/>
      <c r="AM32" s="243"/>
      <c r="AN32" s="243"/>
      <c r="AO32" s="243"/>
      <c r="AP32" s="243"/>
      <c r="AQ32" s="243"/>
    </row>
    <row r="33" spans="1:43">
      <c r="A33" s="1646">
        <v>11</v>
      </c>
      <c r="B33" s="1660" t="s">
        <v>1508</v>
      </c>
      <c r="C33" s="1661">
        <v>100</v>
      </c>
      <c r="D33" s="1661">
        <v>100</v>
      </c>
      <c r="E33" s="1646">
        <f>1.3*(C33*D33)^0.625/(C33+D33)^0.25</f>
        <v>109.316533982983</v>
      </c>
      <c r="F33" s="1661">
        <v>100</v>
      </c>
      <c r="G33" s="1646">
        <f>F33/$K$5</f>
        <v>27.777777777777779</v>
      </c>
      <c r="H33" s="1658">
        <f>1273.24*G33/E33^2</f>
        <v>2.9596207694870413</v>
      </c>
      <c r="I33" s="1658">
        <f>G33*10^3/(C33*D33)</f>
        <v>2.7777777777777777</v>
      </c>
      <c r="J33" s="1648">
        <v>0.15</v>
      </c>
      <c r="K33" s="1648">
        <v>17</v>
      </c>
      <c r="L33" s="1656">
        <f>H33*E33*10^6/(10^3*K33)</f>
        <v>19031.499083786613</v>
      </c>
      <c r="M33" s="1657">
        <f>1.325/(LN((J33/3.7/E33)+(5.74/L33^0.9)))^2</f>
        <v>2.9139167315589645E-2</v>
      </c>
      <c r="N33" s="1648">
        <f>600*M33*H33^2/E33</f>
        <v>1.4009242948630698</v>
      </c>
      <c r="O33" s="1661"/>
      <c r="P33" s="1646">
        <f>N33*O33</f>
        <v>0</v>
      </c>
      <c r="Q33" s="1661"/>
      <c r="R33" s="1661"/>
      <c r="S33" s="1661"/>
      <c r="T33" s="1661"/>
      <c r="U33" s="1661"/>
      <c r="V33" s="1662">
        <v>0.15</v>
      </c>
      <c r="W33" s="1658">
        <f t="shared" si="8"/>
        <v>0</v>
      </c>
      <c r="X33" s="1646">
        <f>0.6*H33^2</f>
        <v>5.2556130595074393</v>
      </c>
      <c r="Y33" s="1646">
        <f>W33*X33</f>
        <v>0</v>
      </c>
      <c r="Z33" s="1646">
        <f>P33+Y33</f>
        <v>0</v>
      </c>
      <c r="AC33" s="243"/>
      <c r="AD33" s="243"/>
      <c r="AE33" s="243"/>
      <c r="AF33" s="243"/>
      <c r="AG33" s="243"/>
      <c r="AH33" s="243"/>
      <c r="AI33" s="243"/>
      <c r="AJ33" s="243"/>
      <c r="AK33" s="243"/>
      <c r="AL33" s="243"/>
      <c r="AM33" s="243"/>
      <c r="AN33" s="243"/>
      <c r="AO33" s="243"/>
      <c r="AP33" s="243"/>
      <c r="AQ33" s="243"/>
    </row>
    <row r="34" spans="1:43">
      <c r="A34" s="1646">
        <v>11</v>
      </c>
      <c r="B34" s="1660" t="s">
        <v>1508</v>
      </c>
      <c r="C34" s="1661">
        <v>100</v>
      </c>
      <c r="D34" s="1661">
        <v>100</v>
      </c>
      <c r="E34" s="1646">
        <f>1.3*(C34*D34)^0.625/(C34+D34)^0.25</f>
        <v>109.316533982983</v>
      </c>
      <c r="F34" s="1661">
        <v>100</v>
      </c>
      <c r="G34" s="1646">
        <f>F34/$K$5</f>
        <v>27.777777777777779</v>
      </c>
      <c r="H34" s="1658">
        <f>1273.24*G34/E34^2</f>
        <v>2.9596207694870413</v>
      </c>
      <c r="I34" s="1658">
        <f>G34*10^3/(C34*D34)</f>
        <v>2.7777777777777777</v>
      </c>
      <c r="J34" s="1648">
        <v>0.15</v>
      </c>
      <c r="K34" s="1648">
        <v>17</v>
      </c>
      <c r="L34" s="1656">
        <f>H34*E34*10^6/(10^3*K34)</f>
        <v>19031.499083786613</v>
      </c>
      <c r="M34" s="1657">
        <f>1.325/(LN((J34/3.7/E34)+(5.74/L34^0.9)))^2</f>
        <v>2.9139167315589645E-2</v>
      </c>
      <c r="N34" s="1648">
        <f>600*M34*H34^2/E34</f>
        <v>1.4009242948630698</v>
      </c>
      <c r="O34" s="1661"/>
      <c r="P34" s="1646">
        <f>N34*O34</f>
        <v>0</v>
      </c>
      <c r="Q34" s="1661"/>
      <c r="R34" s="1661"/>
      <c r="S34" s="1661"/>
      <c r="T34" s="1661"/>
      <c r="U34" s="1661"/>
      <c r="V34" s="1662">
        <v>0.15</v>
      </c>
      <c r="W34" s="1658">
        <f t="shared" si="8"/>
        <v>0</v>
      </c>
      <c r="X34" s="1646">
        <f>0.6*H34^2</f>
        <v>5.2556130595074393</v>
      </c>
      <c r="Y34" s="1646">
        <f>W34*X34</f>
        <v>0</v>
      </c>
      <c r="Z34" s="1646">
        <f>P34+Y34</f>
        <v>0</v>
      </c>
      <c r="AC34" s="243"/>
      <c r="AD34" s="243"/>
      <c r="AE34" s="243"/>
      <c r="AF34" s="243"/>
      <c r="AG34" s="243"/>
      <c r="AH34" s="243"/>
      <c r="AI34" s="243"/>
      <c r="AJ34" s="243"/>
      <c r="AK34" s="243"/>
      <c r="AL34" s="243"/>
      <c r="AM34" s="243"/>
      <c r="AN34" s="243"/>
      <c r="AO34" s="243"/>
      <c r="AP34" s="243"/>
      <c r="AQ34" s="243"/>
    </row>
    <row r="35" spans="1:43" s="1668" customFormat="1">
      <c r="A35" s="1664"/>
      <c r="B35" s="1665"/>
      <c r="C35" s="1664"/>
      <c r="D35" s="1664"/>
      <c r="E35" s="1664"/>
      <c r="F35" s="1664"/>
      <c r="G35" s="1664"/>
      <c r="H35" s="1666"/>
      <c r="I35" s="1666"/>
      <c r="J35" s="1648"/>
      <c r="K35" s="1648"/>
      <c r="L35" s="1656"/>
      <c r="M35" s="1657"/>
      <c r="N35" s="1667"/>
      <c r="O35" s="1664"/>
      <c r="P35" s="1664"/>
      <c r="Q35" s="1664"/>
      <c r="R35" s="1664"/>
      <c r="S35" s="1664"/>
      <c r="T35" s="1664"/>
      <c r="U35" s="1664"/>
      <c r="V35" s="1667"/>
      <c r="W35" s="1666"/>
      <c r="X35" s="1664"/>
      <c r="Y35" s="1664"/>
      <c r="Z35" s="1664"/>
      <c r="AC35" s="246"/>
      <c r="AD35" s="246"/>
      <c r="AE35" s="246"/>
      <c r="AF35" s="246"/>
      <c r="AG35" s="246"/>
      <c r="AH35" s="246"/>
      <c r="AI35" s="246"/>
      <c r="AJ35" s="246"/>
      <c r="AK35" s="246"/>
      <c r="AL35" s="246"/>
      <c r="AM35" s="246"/>
      <c r="AN35" s="246"/>
      <c r="AO35" s="246"/>
      <c r="AP35" s="246"/>
      <c r="AQ35" s="246"/>
    </row>
    <row r="36" spans="1:43">
      <c r="A36" s="1646"/>
      <c r="B36" s="1660"/>
      <c r="C36" s="1646"/>
      <c r="D36" s="1646"/>
      <c r="E36" s="1646"/>
      <c r="F36" s="1646"/>
      <c r="G36" s="1658"/>
      <c r="H36" s="1658"/>
      <c r="I36" s="1648"/>
      <c r="J36" s="1648"/>
      <c r="K36" s="1648"/>
      <c r="L36" s="1656"/>
      <c r="M36" s="1657"/>
      <c r="N36" s="1646"/>
      <c r="O36" s="1646"/>
      <c r="P36" s="1654" t="s">
        <v>1509</v>
      </c>
      <c r="Q36" s="1660"/>
      <c r="R36" s="1660"/>
      <c r="S36" s="1646"/>
      <c r="T36" s="1646"/>
      <c r="U36" s="1646"/>
      <c r="V36" s="1648"/>
      <c r="W36" s="1658"/>
      <c r="X36" s="1646"/>
      <c r="Y36" s="1646"/>
      <c r="Z36" s="1642">
        <f>SUM(Z8:Z35)</f>
        <v>9.5923207376847444</v>
      </c>
      <c r="AB36" s="243"/>
      <c r="AC36" s="243"/>
      <c r="AD36" s="243"/>
      <c r="AE36" s="243"/>
      <c r="AF36" s="243"/>
      <c r="AG36" s="243"/>
      <c r="AH36" s="243"/>
      <c r="AI36" s="243"/>
      <c r="AJ36" s="243"/>
      <c r="AK36" s="243"/>
      <c r="AL36" s="243"/>
      <c r="AM36" s="243"/>
      <c r="AN36" s="243"/>
      <c r="AO36" s="243"/>
      <c r="AP36" s="243"/>
    </row>
    <row r="37" spans="1:43">
      <c r="A37" s="1646"/>
      <c r="B37" s="1660"/>
      <c r="C37" s="1646"/>
      <c r="D37" s="1646"/>
      <c r="E37" s="1646"/>
      <c r="F37" s="1646"/>
      <c r="G37" s="1658"/>
      <c r="H37" s="1658"/>
      <c r="I37" s="1648"/>
      <c r="J37" s="1648"/>
      <c r="K37" s="1656"/>
      <c r="L37" s="1657"/>
      <c r="M37" s="1648"/>
      <c r="N37" s="1646"/>
      <c r="O37" s="1646"/>
      <c r="P37" s="1654" t="s">
        <v>1510</v>
      </c>
      <c r="Q37" s="1660"/>
      <c r="R37" s="1660"/>
      <c r="S37" s="1646"/>
      <c r="T37" s="1646"/>
      <c r="U37" s="1646"/>
      <c r="V37" s="1648"/>
      <c r="W37" s="1658"/>
      <c r="X37" s="1646"/>
      <c r="Y37" s="1646"/>
      <c r="Z37" s="1669">
        <v>50</v>
      </c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243"/>
    </row>
    <row r="38" spans="1:43">
      <c r="A38" s="1646"/>
      <c r="B38" s="1660"/>
      <c r="C38" s="1646"/>
      <c r="D38" s="1646"/>
      <c r="E38" s="1646"/>
      <c r="F38" s="1646"/>
      <c r="G38" s="1658"/>
      <c r="H38" s="1658"/>
      <c r="I38" s="1648"/>
      <c r="J38" s="1648"/>
      <c r="K38" s="1656"/>
      <c r="L38" s="1657"/>
      <c r="M38" s="1648"/>
      <c r="N38" s="1646"/>
      <c r="O38" s="1646"/>
      <c r="P38" s="1654" t="s">
        <v>1511</v>
      </c>
      <c r="Q38" s="1609"/>
      <c r="R38" s="1660"/>
      <c r="S38" s="1646"/>
      <c r="T38" s="1646"/>
      <c r="U38" s="1646"/>
      <c r="V38" s="1648"/>
      <c r="W38" s="1658"/>
      <c r="X38" s="1646"/>
      <c r="Y38" s="1646"/>
      <c r="Z38" s="1670">
        <f>SUM(Z35:Z37)</f>
        <v>59.592320737684744</v>
      </c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  <c r="AL38" s="243"/>
      <c r="AM38" s="243"/>
      <c r="AN38" s="243"/>
      <c r="AO38" s="243"/>
      <c r="AP38" s="243"/>
    </row>
  </sheetData>
  <sheetProtection algorithmName="SHA-512" hashValue="TS7vs3H1iv6GJupIgMcZ7oivjXgp1wC0P3wtE9HZO00NS9AZrdpDGtjJksnfd26OEwE+F31cs4x5jeIFXkJv3g==" saltValue="OvwRe99rX6xlUV5ibXj/sQ==" spinCount="100000" sheet="1" objects="1" scenarios="1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:AC122"/>
  <sheetViews>
    <sheetView showGridLines="0" showRowColHeaders="0" zoomScale="82" zoomScaleNormal="82" workbookViewId="0">
      <selection activeCell="C8" sqref="C8"/>
    </sheetView>
  </sheetViews>
  <sheetFormatPr defaultColWidth="9.140625" defaultRowHeight="15"/>
  <cols>
    <col min="1" max="1" width="10.5703125" style="252" customWidth="1"/>
    <col min="2" max="2" width="26.42578125" style="252" customWidth="1"/>
    <col min="3" max="3" width="9.140625" style="252"/>
    <col min="4" max="4" width="7.85546875" style="252" customWidth="1"/>
    <col min="5" max="5" width="12" style="252" customWidth="1"/>
    <col min="6" max="6" width="9.140625" style="252"/>
    <col min="7" max="7" width="22.42578125" style="252" customWidth="1"/>
    <col min="8" max="16384" width="9.140625" style="252"/>
  </cols>
  <sheetData>
    <row r="2" spans="2:23" ht="32.25">
      <c r="B2" s="1841" t="s">
        <v>1197</v>
      </c>
      <c r="C2" s="1263"/>
      <c r="D2" s="1263"/>
    </row>
    <row r="3" spans="2:23">
      <c r="T3" s="1244"/>
      <c r="V3" s="1245"/>
      <c r="W3" s="1244"/>
    </row>
    <row r="4" spans="2:23" ht="15" customHeight="1">
      <c r="T4" s="1245"/>
      <c r="W4" s="1245"/>
    </row>
    <row r="5" spans="2:23">
      <c r="T5" s="1245"/>
      <c r="W5" s="1245"/>
    </row>
    <row r="6" spans="2:23" ht="13.5" customHeight="1">
      <c r="T6" s="1246"/>
    </row>
    <row r="7" spans="2:23" ht="13.5" customHeight="1">
      <c r="B7" s="3507" t="s">
        <v>1201</v>
      </c>
      <c r="C7" s="3508"/>
      <c r="D7" s="3509"/>
      <c r="T7" s="1247"/>
    </row>
    <row r="8" spans="2:23" ht="13.5" customHeight="1">
      <c r="B8" s="1255" t="s">
        <v>1202</v>
      </c>
      <c r="C8" s="1261">
        <v>8</v>
      </c>
      <c r="D8" s="466" t="s">
        <v>163</v>
      </c>
      <c r="T8" s="1248"/>
      <c r="W8" s="1249"/>
    </row>
    <row r="9" spans="2:23" ht="13.5" customHeight="1">
      <c r="B9" s="1255" t="s">
        <v>1203</v>
      </c>
      <c r="C9" s="1261">
        <v>5</v>
      </c>
      <c r="D9" s="466" t="s">
        <v>163</v>
      </c>
      <c r="T9" s="1248"/>
      <c r="W9" s="1250"/>
    </row>
    <row r="10" spans="2:23" ht="13.5" customHeight="1">
      <c r="B10" s="1256" t="s">
        <v>823</v>
      </c>
      <c r="C10" s="1261">
        <v>3</v>
      </c>
      <c r="D10" s="466" t="s">
        <v>163</v>
      </c>
      <c r="T10" s="1248"/>
      <c r="W10" s="1250"/>
    </row>
    <row r="11" spans="2:23" ht="13.5" customHeight="1">
      <c r="B11" s="1245"/>
      <c r="D11" s="1245"/>
      <c r="T11" s="1248"/>
      <c r="W11" s="1250"/>
    </row>
    <row r="12" spans="2:23" ht="13.5" customHeight="1">
      <c r="B12" s="1253" t="s">
        <v>1198</v>
      </c>
      <c r="C12" s="474"/>
      <c r="D12" s="1262">
        <v>10</v>
      </c>
      <c r="T12" s="1248"/>
      <c r="W12" s="1250"/>
    </row>
    <row r="13" spans="2:23" ht="13.5" customHeight="1">
      <c r="B13" s="1246"/>
      <c r="T13" s="1248"/>
      <c r="W13" s="1250"/>
    </row>
    <row r="14" spans="2:23" ht="16.5" customHeight="1">
      <c r="B14" s="1258" t="s">
        <v>1199</v>
      </c>
      <c r="C14" s="1254"/>
      <c r="D14" s="389">
        <f>C8*C9*C10*D12</f>
        <v>1200</v>
      </c>
      <c r="E14" s="390" t="s">
        <v>2</v>
      </c>
      <c r="T14" s="1248"/>
      <c r="W14" s="1250"/>
    </row>
    <row r="15" spans="2:23" ht="13.5" customHeight="1">
      <c r="B15" s="1248"/>
      <c r="D15" s="1257"/>
      <c r="E15" s="1257"/>
      <c r="F15" s="1257"/>
      <c r="T15" s="1248"/>
      <c r="W15" s="1250"/>
    </row>
    <row r="16" spans="2:23" ht="13.5" customHeight="1">
      <c r="B16" s="1248"/>
      <c r="D16" s="1250"/>
      <c r="T16" s="1248"/>
      <c r="W16" s="1250"/>
    </row>
    <row r="17" spans="1:7" ht="13.5" customHeight="1">
      <c r="B17" s="1248"/>
      <c r="D17" s="1250"/>
      <c r="G17" s="465"/>
    </row>
    <row r="18" spans="1:7" ht="13.5" customHeight="1"/>
    <row r="19" spans="1:7" ht="13.5" customHeight="1">
      <c r="B19" s="3514" t="s">
        <v>1200</v>
      </c>
      <c r="C19" s="3515"/>
      <c r="D19" s="3510" t="str">
        <f>IF(D14&lt;301,"EVENT 300",IF(D14&lt;501,"EVHR 500",IF(D14&lt;751,"EVHR 750",IF(D14&lt;1001,"EVHR 1000",IF(D14&lt;1501,"EVHR 1500",IF(D14&lt;2001,"EVHR 2000",IF(D14&lt;3001,"EVHR 3000",IF(D14&lt;4001,"EVHR 4000",5000))))))))</f>
        <v>EVHR 1500</v>
      </c>
      <c r="E19" s="3511"/>
    </row>
    <row r="20" spans="1:7" ht="13.5" customHeight="1">
      <c r="B20" s="3516"/>
      <c r="C20" s="3517"/>
      <c r="D20" s="3512"/>
      <c r="E20" s="3513"/>
    </row>
    <row r="21" spans="1:7" ht="13.5" customHeight="1">
      <c r="B21" s="1248"/>
      <c r="D21" s="1250"/>
    </row>
    <row r="22" spans="1:7" ht="13.5" customHeight="1">
      <c r="B22" s="1248"/>
      <c r="D22" s="1250"/>
    </row>
    <row r="23" spans="1:7" ht="13.5" customHeight="1">
      <c r="B23" s="1248"/>
      <c r="D23" s="1250"/>
    </row>
    <row r="24" spans="1:7" ht="13.5" customHeight="1">
      <c r="B24" s="3518" t="s">
        <v>1205</v>
      </c>
      <c r="C24" s="3518"/>
      <c r="D24" s="3518"/>
      <c r="E24" s="3518"/>
      <c r="F24" s="3518"/>
    </row>
    <row r="25" spans="1:7" ht="13.5" customHeight="1"/>
    <row r="26" spans="1:7" ht="13.5" customHeight="1">
      <c r="A26" s="3519" t="s">
        <v>1204</v>
      </c>
      <c r="B26" s="3519"/>
      <c r="C26" s="3519"/>
      <c r="D26" s="3520"/>
      <c r="E26" s="376">
        <v>1200</v>
      </c>
      <c r="F26" s="466" t="s">
        <v>2</v>
      </c>
    </row>
    <row r="27" spans="1:7" ht="13.5" customHeight="1">
      <c r="A27" s="3519" t="s">
        <v>1207</v>
      </c>
      <c r="B27" s="3519"/>
      <c r="C27" s="3519"/>
      <c r="D27" s="3519"/>
      <c r="E27" s="376">
        <v>10</v>
      </c>
      <c r="F27" s="466" t="s">
        <v>19</v>
      </c>
    </row>
    <row r="28" spans="1:7" ht="13.5" customHeight="1">
      <c r="A28" s="3519" t="s">
        <v>1206</v>
      </c>
      <c r="B28" s="3519"/>
      <c r="C28" s="3519"/>
      <c r="D28" s="3519"/>
      <c r="E28" s="376">
        <v>20</v>
      </c>
      <c r="F28" s="466" t="s">
        <v>19</v>
      </c>
    </row>
    <row r="29" spans="1:7" ht="13.5" customHeight="1"/>
    <row r="30" spans="1:7" ht="13.5" customHeight="1">
      <c r="B30" s="3526" t="s">
        <v>1208</v>
      </c>
      <c r="C30" s="3526"/>
      <c r="D30" s="3527"/>
      <c r="E30" s="1259">
        <f>0.33*E26*(E28-E27)</f>
        <v>3960</v>
      </c>
      <c r="F30" s="1260" t="s">
        <v>160</v>
      </c>
    </row>
    <row r="31" spans="1:7" ht="13.5" customHeight="1"/>
    <row r="32" spans="1:7" ht="13.5" customHeight="1"/>
    <row r="33" spans="2:29" ht="13.5" customHeight="1"/>
    <row r="34" spans="2:29" ht="13.5" customHeight="1"/>
    <row r="35" spans="2:29" ht="13.5" customHeight="1">
      <c r="B35" s="1247" t="s">
        <v>615</v>
      </c>
    </row>
    <row r="36" spans="2:29" ht="13.5" customHeight="1">
      <c r="B36" s="1248" t="s">
        <v>623</v>
      </c>
      <c r="E36" s="434" t="s">
        <v>616</v>
      </c>
    </row>
    <row r="37" spans="2:29" ht="13.5" customHeight="1">
      <c r="B37" s="1248" t="s">
        <v>624</v>
      </c>
      <c r="E37" s="435" t="s">
        <v>631</v>
      </c>
    </row>
    <row r="38" spans="2:29" ht="13.5" customHeight="1">
      <c r="B38" s="1248" t="s">
        <v>625</v>
      </c>
      <c r="E38" s="435" t="s">
        <v>618</v>
      </c>
    </row>
    <row r="39" spans="2:29" ht="13.5" customHeight="1">
      <c r="B39" s="1248" t="s">
        <v>630</v>
      </c>
      <c r="E39" s="435" t="s">
        <v>619</v>
      </c>
    </row>
    <row r="40" spans="2:29" ht="13.5" customHeight="1">
      <c r="B40" s="1248" t="s">
        <v>626</v>
      </c>
      <c r="E40" s="435" t="s">
        <v>620</v>
      </c>
    </row>
    <row r="41" spans="2:29" ht="13.5" customHeight="1">
      <c r="B41" s="1248" t="s">
        <v>627</v>
      </c>
      <c r="E41" s="435" t="s">
        <v>621</v>
      </c>
      <c r="Y41" s="3472" t="s">
        <v>47</v>
      </c>
      <c r="Z41" s="3472"/>
      <c r="AA41" s="3472"/>
      <c r="AB41" s="3472"/>
      <c r="AC41" s="3472"/>
    </row>
    <row r="42" spans="2:29" ht="13.5" customHeight="1">
      <c r="B42" s="1248" t="s">
        <v>628</v>
      </c>
      <c r="E42" s="435" t="s">
        <v>617</v>
      </c>
      <c r="Y42" s="3472" t="s">
        <v>17</v>
      </c>
      <c r="Z42" s="3472"/>
      <c r="AA42" s="3472"/>
      <c r="AB42" s="3472"/>
      <c r="AC42" s="3472"/>
    </row>
    <row r="43" spans="2:29" ht="13.5" customHeight="1">
      <c r="B43" s="1248" t="s">
        <v>629</v>
      </c>
      <c r="E43" s="435" t="s">
        <v>622</v>
      </c>
      <c r="Y43" s="872"/>
      <c r="Z43" s="872"/>
      <c r="AA43" s="872"/>
      <c r="AB43" s="873"/>
      <c r="AC43" s="874">
        <v>2026</v>
      </c>
    </row>
    <row r="44" spans="2:29" ht="13.5" customHeight="1">
      <c r="B44" s="1248" t="s">
        <v>633</v>
      </c>
      <c r="E44" s="435" t="s">
        <v>632</v>
      </c>
    </row>
    <row r="45" spans="2:29" ht="13.5" customHeight="1">
      <c r="B45" s="1248" t="s">
        <v>634</v>
      </c>
      <c r="E45" s="435" t="s">
        <v>635</v>
      </c>
    </row>
    <row r="46" spans="2:29" ht="13.5" customHeight="1">
      <c r="B46" s="1248" t="s">
        <v>636</v>
      </c>
      <c r="E46" s="435" t="s">
        <v>637</v>
      </c>
    </row>
    <row r="47" spans="2:29" ht="13.5" customHeight="1"/>
    <row r="48" spans="2:29" ht="13.5" customHeight="1"/>
    <row r="49" spans="2:17" ht="13.5" customHeight="1" thickBot="1"/>
    <row r="50" spans="2:17" ht="20.25" customHeight="1" thickBot="1">
      <c r="B50" s="3530" t="s">
        <v>530</v>
      </c>
      <c r="C50" s="3531"/>
      <c r="D50" s="3532"/>
      <c r="E50" s="3532"/>
      <c r="F50" s="3532"/>
      <c r="G50" s="3533"/>
      <c r="H50" s="1244"/>
      <c r="I50" s="1244" t="s">
        <v>610</v>
      </c>
      <c r="K50" s="1245"/>
      <c r="L50" s="1244" t="s">
        <v>612</v>
      </c>
      <c r="N50" s="1244"/>
      <c r="P50" s="1245"/>
      <c r="Q50" s="1244"/>
    </row>
    <row r="51" spans="2:17" ht="24.6" customHeight="1">
      <c r="B51" s="3534" t="s">
        <v>531</v>
      </c>
      <c r="C51" s="3535"/>
      <c r="D51" s="3542" t="s">
        <v>1196</v>
      </c>
      <c r="E51" s="3538" t="s">
        <v>615</v>
      </c>
      <c r="F51" s="1243" t="s">
        <v>534</v>
      </c>
      <c r="G51" s="3540" t="s">
        <v>535</v>
      </c>
      <c r="H51" s="1245"/>
      <c r="I51" s="1245" t="s">
        <v>609</v>
      </c>
      <c r="L51" s="1245" t="s">
        <v>613</v>
      </c>
      <c r="N51" s="1245"/>
      <c r="Q51" s="1245"/>
    </row>
    <row r="52" spans="2:17" ht="20.25" customHeight="1">
      <c r="B52" s="3536"/>
      <c r="C52" s="3537"/>
      <c r="D52" s="3543"/>
      <c r="E52" s="3539"/>
      <c r="F52" s="1251" t="s">
        <v>537</v>
      </c>
      <c r="G52" s="3541"/>
      <c r="H52" s="1245"/>
      <c r="I52" s="1245" t="s">
        <v>611</v>
      </c>
      <c r="L52" s="1245" t="s">
        <v>614</v>
      </c>
      <c r="N52" s="1245"/>
      <c r="Q52" s="1245"/>
    </row>
    <row r="53" spans="2:17" ht="13.5" customHeight="1">
      <c r="B53" s="3504" t="s">
        <v>538</v>
      </c>
      <c r="C53" s="3506"/>
      <c r="D53" s="1239">
        <v>70</v>
      </c>
      <c r="E53" s="1242">
        <v>60</v>
      </c>
      <c r="F53" s="1240">
        <f t="shared" ref="F53:F117" si="0">D53*E53</f>
        <v>4200</v>
      </c>
      <c r="G53" s="527" t="s">
        <v>539</v>
      </c>
      <c r="H53" s="1246"/>
      <c r="I53" s="1246"/>
      <c r="N53" s="1246"/>
    </row>
    <row r="54" spans="2:17" ht="13.5" customHeight="1">
      <c r="B54" s="3504" t="s">
        <v>540</v>
      </c>
      <c r="C54" s="3506"/>
      <c r="D54" s="1239"/>
      <c r="E54" s="1242">
        <v>120</v>
      </c>
      <c r="F54" s="1240">
        <f t="shared" si="0"/>
        <v>0</v>
      </c>
      <c r="G54" s="527" t="s">
        <v>541</v>
      </c>
      <c r="H54" s="1247"/>
      <c r="I54" s="1247"/>
      <c r="N54" s="1247"/>
    </row>
    <row r="55" spans="2:17" ht="13.5" customHeight="1">
      <c r="B55" s="3504" t="s">
        <v>542</v>
      </c>
      <c r="C55" s="3506"/>
      <c r="D55" s="1239"/>
      <c r="E55" s="1242">
        <v>20</v>
      </c>
      <c r="F55" s="1240">
        <f t="shared" si="0"/>
        <v>0</v>
      </c>
      <c r="G55" s="527"/>
      <c r="H55" s="1248"/>
      <c r="I55" s="1248"/>
      <c r="L55" s="1249"/>
      <c r="N55" s="1248"/>
      <c r="Q55" s="1249"/>
    </row>
    <row r="56" spans="2:17" ht="13.5" customHeight="1">
      <c r="B56" s="3504" t="s">
        <v>543</v>
      </c>
      <c r="C56" s="3506"/>
      <c r="D56" s="1239"/>
      <c r="E56" s="1242">
        <v>80</v>
      </c>
      <c r="F56" s="1240">
        <f t="shared" si="0"/>
        <v>0</v>
      </c>
      <c r="G56" s="527" t="s">
        <v>541</v>
      </c>
      <c r="H56" s="1248"/>
      <c r="I56" s="1248"/>
      <c r="L56" s="1250"/>
      <c r="N56" s="1248"/>
      <c r="Q56" s="1250"/>
    </row>
    <row r="57" spans="2:17" ht="13.5" customHeight="1">
      <c r="B57" s="3504" t="s">
        <v>544</v>
      </c>
      <c r="C57" s="3506"/>
      <c r="D57" s="1239">
        <v>70</v>
      </c>
      <c r="E57" s="1242">
        <v>80</v>
      </c>
      <c r="F57" s="1240">
        <f t="shared" si="0"/>
        <v>5600</v>
      </c>
      <c r="G57" s="527" t="s">
        <v>541</v>
      </c>
      <c r="H57" s="1248"/>
      <c r="I57" s="1248"/>
      <c r="L57" s="1250"/>
      <c r="N57" s="1248"/>
      <c r="Q57" s="1250"/>
    </row>
    <row r="58" spans="2:17" ht="13.5" customHeight="1">
      <c r="B58" s="3504" t="s">
        <v>545</v>
      </c>
      <c r="C58" s="3506"/>
      <c r="D58" s="1239"/>
      <c r="E58" s="1242">
        <v>25</v>
      </c>
      <c r="F58" s="1240">
        <f t="shared" si="0"/>
        <v>0</v>
      </c>
      <c r="G58" s="527" t="s">
        <v>541</v>
      </c>
      <c r="H58" s="1248"/>
      <c r="I58" s="1248"/>
      <c r="L58" s="1250"/>
      <c r="N58" s="1248"/>
      <c r="Q58" s="1250"/>
    </row>
    <row r="59" spans="2:17" ht="13.5" customHeight="1">
      <c r="B59" s="3504" t="s">
        <v>546</v>
      </c>
      <c r="C59" s="3505"/>
      <c r="D59" s="1239"/>
      <c r="E59" s="1242">
        <v>60</v>
      </c>
      <c r="F59" s="1240">
        <f t="shared" si="0"/>
        <v>0</v>
      </c>
      <c r="G59" s="527" t="s">
        <v>541</v>
      </c>
      <c r="H59" s="1248"/>
      <c r="I59" s="1248"/>
      <c r="L59" s="1250"/>
      <c r="N59" s="1248"/>
      <c r="Q59" s="1250"/>
    </row>
    <row r="60" spans="2:17" ht="13.5" customHeight="1">
      <c r="B60" s="3504" t="s">
        <v>547</v>
      </c>
      <c r="C60" s="3505"/>
      <c r="D60" s="1239"/>
      <c r="E60" s="1242">
        <v>30</v>
      </c>
      <c r="F60" s="1240">
        <f t="shared" si="0"/>
        <v>0</v>
      </c>
      <c r="G60" s="527"/>
      <c r="H60" s="1248"/>
      <c r="I60" s="1248"/>
      <c r="L60" s="1250"/>
      <c r="N60" s="1248"/>
      <c r="Q60" s="1250"/>
    </row>
    <row r="61" spans="2:17" ht="13.5" customHeight="1">
      <c r="B61" s="3504" t="s">
        <v>548</v>
      </c>
      <c r="C61" s="3506"/>
      <c r="D61" s="1239"/>
      <c r="E61" s="1242">
        <v>24</v>
      </c>
      <c r="F61" s="1240">
        <f t="shared" si="0"/>
        <v>0</v>
      </c>
      <c r="G61" s="527"/>
      <c r="H61" s="1248"/>
      <c r="I61" s="1248"/>
      <c r="L61" s="1250"/>
      <c r="N61" s="1248"/>
      <c r="Q61" s="1250"/>
    </row>
    <row r="62" spans="2:17" ht="13.5" customHeight="1">
      <c r="B62" s="3504" t="s">
        <v>549</v>
      </c>
      <c r="C62" s="3506"/>
      <c r="D62" s="1239"/>
      <c r="E62" s="1242">
        <v>24</v>
      </c>
      <c r="F62" s="1240">
        <f t="shared" si="0"/>
        <v>0</v>
      </c>
      <c r="G62" s="527" t="s">
        <v>539</v>
      </c>
      <c r="H62" s="1248"/>
      <c r="I62" s="1248"/>
      <c r="L62" s="1250"/>
      <c r="N62" s="1248"/>
      <c r="Q62" s="1250"/>
    </row>
    <row r="63" spans="2:17" ht="13.5" customHeight="1">
      <c r="B63" s="3504" t="s">
        <v>550</v>
      </c>
      <c r="C63" s="3505"/>
      <c r="D63" s="1239"/>
      <c r="E63" s="1242">
        <v>30</v>
      </c>
      <c r="F63" s="1240">
        <f t="shared" si="0"/>
        <v>0</v>
      </c>
      <c r="G63" s="527" t="s">
        <v>541</v>
      </c>
      <c r="H63" s="1248"/>
      <c r="I63" s="1248"/>
      <c r="L63" s="1250"/>
      <c r="N63" s="1248"/>
      <c r="Q63" s="1250"/>
    </row>
    <row r="64" spans="2:17" ht="13.5" customHeight="1">
      <c r="B64" s="3504" t="s">
        <v>551</v>
      </c>
      <c r="C64" s="3506"/>
      <c r="D64" s="1239"/>
      <c r="E64" s="1242">
        <v>24</v>
      </c>
      <c r="F64" s="1240">
        <f t="shared" si="0"/>
        <v>0</v>
      </c>
      <c r="G64" s="527" t="s">
        <v>539</v>
      </c>
      <c r="H64" s="1248"/>
      <c r="I64" s="1248"/>
      <c r="L64" s="1250"/>
      <c r="N64" s="1248"/>
      <c r="Q64" s="1250"/>
    </row>
    <row r="65" spans="2:17" ht="13.5" customHeight="1">
      <c r="B65" s="3504" t="s">
        <v>552</v>
      </c>
      <c r="C65" s="3506"/>
      <c r="D65" s="1239"/>
      <c r="E65" s="1242">
        <v>30</v>
      </c>
      <c r="F65" s="1240">
        <f t="shared" si="0"/>
        <v>0</v>
      </c>
      <c r="G65" s="527"/>
      <c r="H65" s="1248"/>
      <c r="I65" s="1248"/>
      <c r="L65" s="1250"/>
      <c r="N65" s="1248"/>
      <c r="Q65" s="1250"/>
    </row>
    <row r="66" spans="2:17" ht="13.5" customHeight="1">
      <c r="B66" s="3504" t="s">
        <v>545</v>
      </c>
      <c r="C66" s="3506"/>
      <c r="D66" s="1239"/>
      <c r="E66" s="1242">
        <v>18</v>
      </c>
      <c r="F66" s="1240">
        <f t="shared" si="0"/>
        <v>0</v>
      </c>
      <c r="G66" s="527" t="s">
        <v>541</v>
      </c>
    </row>
    <row r="67" spans="2:17" ht="13.5" customHeight="1">
      <c r="B67" s="3504" t="s">
        <v>553</v>
      </c>
      <c r="C67" s="3506"/>
      <c r="D67" s="1239"/>
      <c r="E67" s="1242">
        <v>18</v>
      </c>
      <c r="F67" s="1240">
        <f t="shared" si="0"/>
        <v>0</v>
      </c>
      <c r="G67" s="527"/>
    </row>
    <row r="68" spans="2:17" ht="13.5" customHeight="1">
      <c r="B68" s="3504" t="s">
        <v>554</v>
      </c>
      <c r="C68" s="3506"/>
      <c r="D68" s="1239"/>
      <c r="E68" s="1242">
        <v>20</v>
      </c>
      <c r="F68" s="1240">
        <f t="shared" si="0"/>
        <v>0</v>
      </c>
      <c r="G68" s="527" t="s">
        <v>541</v>
      </c>
    </row>
    <row r="69" spans="2:17" ht="13.5" customHeight="1">
      <c r="B69" s="3504" t="s">
        <v>555</v>
      </c>
      <c r="C69" s="3506"/>
      <c r="D69" s="1239"/>
      <c r="E69" s="1242">
        <v>45</v>
      </c>
      <c r="F69" s="1240">
        <f t="shared" si="0"/>
        <v>0</v>
      </c>
      <c r="G69" s="527" t="s">
        <v>539</v>
      </c>
    </row>
    <row r="70" spans="2:17" ht="13.5" customHeight="1">
      <c r="B70" s="3504" t="s">
        <v>556</v>
      </c>
      <c r="C70" s="3506"/>
      <c r="D70" s="1239"/>
      <c r="E70" s="1242">
        <v>10</v>
      </c>
      <c r="F70" s="1240">
        <f t="shared" si="0"/>
        <v>0</v>
      </c>
      <c r="G70" s="527"/>
    </row>
    <row r="71" spans="2:17" ht="13.5" customHeight="1">
      <c r="B71" s="3504" t="s">
        <v>557</v>
      </c>
      <c r="C71" s="3506"/>
      <c r="D71" s="1239"/>
      <c r="E71" s="1242">
        <v>30</v>
      </c>
      <c r="F71" s="1240">
        <f t="shared" si="0"/>
        <v>0</v>
      </c>
      <c r="G71" s="527" t="s">
        <v>558</v>
      </c>
    </row>
    <row r="72" spans="2:17" ht="13.5" customHeight="1">
      <c r="B72" s="3504" t="s">
        <v>543</v>
      </c>
      <c r="C72" s="3506"/>
      <c r="D72" s="1239"/>
      <c r="E72" s="1242">
        <v>80</v>
      </c>
      <c r="F72" s="1240">
        <f t="shared" si="0"/>
        <v>0</v>
      </c>
      <c r="G72" s="527"/>
    </row>
    <row r="73" spans="2:17">
      <c r="B73" s="3504" t="s">
        <v>559</v>
      </c>
      <c r="C73" s="3506"/>
      <c r="D73" s="1239"/>
      <c r="E73" s="1242">
        <v>18</v>
      </c>
      <c r="F73" s="1240">
        <f t="shared" si="0"/>
        <v>0</v>
      </c>
      <c r="G73" s="527"/>
    </row>
    <row r="74" spans="2:17">
      <c r="B74" s="3504" t="s">
        <v>560</v>
      </c>
      <c r="C74" s="3506"/>
      <c r="D74" s="1239"/>
      <c r="E74" s="1242">
        <v>15</v>
      </c>
      <c r="F74" s="1240">
        <f t="shared" si="0"/>
        <v>0</v>
      </c>
      <c r="G74" s="527"/>
    </row>
    <row r="75" spans="2:17">
      <c r="B75" s="3528" t="s">
        <v>561</v>
      </c>
      <c r="C75" s="3529"/>
      <c r="D75" s="1239"/>
      <c r="E75" s="1242">
        <v>30</v>
      </c>
      <c r="F75" s="1240">
        <f t="shared" si="0"/>
        <v>0</v>
      </c>
      <c r="G75" s="527"/>
    </row>
    <row r="76" spans="2:17">
      <c r="B76" s="3504" t="s">
        <v>562</v>
      </c>
      <c r="C76" s="3506"/>
      <c r="D76" s="1239"/>
      <c r="E76" s="1242">
        <v>25</v>
      </c>
      <c r="F76" s="1240">
        <f t="shared" si="0"/>
        <v>0</v>
      </c>
      <c r="G76" s="527"/>
    </row>
    <row r="77" spans="2:17">
      <c r="B77" s="3504" t="s">
        <v>563</v>
      </c>
      <c r="C77" s="3506"/>
      <c r="D77" s="1239"/>
      <c r="E77" s="1242">
        <v>50</v>
      </c>
      <c r="F77" s="1240">
        <f t="shared" si="0"/>
        <v>0</v>
      </c>
      <c r="G77" s="527"/>
    </row>
    <row r="78" spans="2:17">
      <c r="B78" s="3504" t="s">
        <v>564</v>
      </c>
      <c r="C78" s="3506"/>
      <c r="D78" s="1239"/>
      <c r="E78" s="1242">
        <v>30</v>
      </c>
      <c r="F78" s="1240">
        <f t="shared" si="0"/>
        <v>0</v>
      </c>
      <c r="G78" s="527"/>
    </row>
    <row r="79" spans="2:17">
      <c r="B79" s="3504" t="s">
        <v>565</v>
      </c>
      <c r="C79" s="3506"/>
      <c r="D79" s="1239"/>
      <c r="E79" s="1242">
        <v>20</v>
      </c>
      <c r="F79" s="1240">
        <f t="shared" si="0"/>
        <v>0</v>
      </c>
      <c r="G79" s="527"/>
    </row>
    <row r="80" spans="2:17">
      <c r="B80" s="3504" t="s">
        <v>566</v>
      </c>
      <c r="C80" s="3506"/>
      <c r="D80" s="1239"/>
      <c r="E80" s="1242">
        <v>20</v>
      </c>
      <c r="F80" s="1240">
        <f t="shared" si="0"/>
        <v>0</v>
      </c>
      <c r="G80" s="527"/>
    </row>
    <row r="81" spans="2:7">
      <c r="B81" s="3504" t="s">
        <v>567</v>
      </c>
      <c r="C81" s="3506"/>
      <c r="D81" s="1239"/>
      <c r="E81" s="1242">
        <v>25</v>
      </c>
      <c r="F81" s="1240">
        <f t="shared" si="0"/>
        <v>0</v>
      </c>
      <c r="G81" s="527"/>
    </row>
    <row r="82" spans="2:7">
      <c r="B82" s="3504" t="s">
        <v>568</v>
      </c>
      <c r="C82" s="3506"/>
      <c r="D82" s="1239"/>
      <c r="E82" s="1242">
        <v>25</v>
      </c>
      <c r="F82" s="1240">
        <f t="shared" si="0"/>
        <v>0</v>
      </c>
      <c r="G82" s="527"/>
    </row>
    <row r="83" spans="2:7">
      <c r="B83" s="3504" t="s">
        <v>569</v>
      </c>
      <c r="C83" s="3506"/>
      <c r="D83" s="1239"/>
      <c r="E83" s="1242">
        <v>30</v>
      </c>
      <c r="F83" s="1240">
        <f t="shared" si="0"/>
        <v>0</v>
      </c>
      <c r="G83" s="527"/>
    </row>
    <row r="84" spans="2:7">
      <c r="B84" s="3504" t="s">
        <v>570</v>
      </c>
      <c r="C84" s="3506"/>
      <c r="D84" s="1239"/>
      <c r="E84" s="1242">
        <v>10</v>
      </c>
      <c r="F84" s="1240">
        <f t="shared" si="0"/>
        <v>0</v>
      </c>
      <c r="G84" s="527"/>
    </row>
    <row r="85" spans="2:7">
      <c r="B85" s="3504" t="s">
        <v>571</v>
      </c>
      <c r="C85" s="3506"/>
      <c r="D85" s="1239"/>
      <c r="E85" s="1242">
        <v>10</v>
      </c>
      <c r="F85" s="1240">
        <f t="shared" si="0"/>
        <v>0</v>
      </c>
      <c r="G85" s="527"/>
    </row>
    <row r="86" spans="2:7">
      <c r="B86" s="3504" t="s">
        <v>572</v>
      </c>
      <c r="C86" s="3506"/>
      <c r="D86" s="1239"/>
      <c r="E86" s="1242">
        <v>15</v>
      </c>
      <c r="F86" s="1240">
        <f t="shared" si="0"/>
        <v>0</v>
      </c>
      <c r="G86" s="527"/>
    </row>
    <row r="87" spans="2:7">
      <c r="B87" s="3504" t="s">
        <v>573</v>
      </c>
      <c r="C87" s="3506"/>
      <c r="D87" s="1239"/>
      <c r="E87" s="1242">
        <v>15</v>
      </c>
      <c r="F87" s="1240">
        <f t="shared" si="0"/>
        <v>0</v>
      </c>
      <c r="G87" s="527"/>
    </row>
    <row r="88" spans="2:7">
      <c r="B88" s="3504" t="s">
        <v>574</v>
      </c>
      <c r="C88" s="3506"/>
      <c r="D88" s="1239"/>
      <c r="E88" s="1242">
        <v>40</v>
      </c>
      <c r="F88" s="1240">
        <f t="shared" si="0"/>
        <v>0</v>
      </c>
      <c r="G88" s="527" t="s">
        <v>541</v>
      </c>
    </row>
    <row r="89" spans="2:7">
      <c r="B89" s="3504" t="s">
        <v>575</v>
      </c>
      <c r="C89" s="3506"/>
      <c r="D89" s="1239"/>
      <c r="E89" s="1242">
        <v>15</v>
      </c>
      <c r="F89" s="1240">
        <f t="shared" si="0"/>
        <v>0</v>
      </c>
      <c r="G89" s="527" t="s">
        <v>539</v>
      </c>
    </row>
    <row r="90" spans="2:7">
      <c r="B90" s="3504" t="s">
        <v>576</v>
      </c>
      <c r="C90" s="3506"/>
      <c r="D90" s="1239"/>
      <c r="E90" s="1242">
        <v>30</v>
      </c>
      <c r="F90" s="1240">
        <f t="shared" si="0"/>
        <v>0</v>
      </c>
      <c r="G90" s="527" t="s">
        <v>539</v>
      </c>
    </row>
    <row r="91" spans="2:7">
      <c r="B91" s="3504" t="s">
        <v>577</v>
      </c>
      <c r="C91" s="3506"/>
      <c r="D91" s="1239"/>
      <c r="E91" s="1242">
        <v>40</v>
      </c>
      <c r="F91" s="1240">
        <f t="shared" si="0"/>
        <v>0</v>
      </c>
      <c r="G91" s="527"/>
    </row>
    <row r="92" spans="2:7">
      <c r="B92" s="3504" t="s">
        <v>578</v>
      </c>
      <c r="C92" s="3506"/>
      <c r="D92" s="1239"/>
      <c r="E92" s="1242">
        <v>30</v>
      </c>
      <c r="F92" s="1240">
        <f t="shared" si="0"/>
        <v>0</v>
      </c>
      <c r="G92" s="527"/>
    </row>
    <row r="93" spans="2:7">
      <c r="B93" s="3504" t="s">
        <v>579</v>
      </c>
      <c r="C93" s="3506"/>
      <c r="D93" s="1239"/>
      <c r="E93" s="1242">
        <v>25</v>
      </c>
      <c r="F93" s="1240">
        <f t="shared" si="0"/>
        <v>0</v>
      </c>
      <c r="G93" s="527"/>
    </row>
    <row r="94" spans="2:7">
      <c r="B94" s="3504" t="s">
        <v>580</v>
      </c>
      <c r="C94" s="3506"/>
      <c r="D94" s="1239"/>
      <c r="E94" s="1242">
        <v>60</v>
      </c>
      <c r="F94" s="1240">
        <f t="shared" si="0"/>
        <v>0</v>
      </c>
      <c r="G94" s="527"/>
    </row>
    <row r="95" spans="2:7">
      <c r="B95" s="3504" t="s">
        <v>581</v>
      </c>
      <c r="C95" s="3506"/>
      <c r="D95" s="1239"/>
      <c r="E95" s="1242">
        <v>120</v>
      </c>
      <c r="F95" s="1240">
        <f t="shared" si="0"/>
        <v>0</v>
      </c>
      <c r="G95" s="527"/>
    </row>
    <row r="96" spans="2:7">
      <c r="B96" s="3504" t="s">
        <v>582</v>
      </c>
      <c r="C96" s="3506"/>
      <c r="D96" s="1239"/>
      <c r="E96" s="1242">
        <v>700</v>
      </c>
      <c r="F96" s="1240">
        <f t="shared" si="0"/>
        <v>0</v>
      </c>
      <c r="G96" s="527"/>
    </row>
    <row r="97" spans="2:7">
      <c r="B97" s="3504" t="s">
        <v>583</v>
      </c>
      <c r="C97" s="3506"/>
      <c r="D97" s="1239"/>
      <c r="E97" s="1242">
        <v>120</v>
      </c>
      <c r="F97" s="1240">
        <f t="shared" si="0"/>
        <v>0</v>
      </c>
      <c r="G97" s="527"/>
    </row>
    <row r="98" spans="2:7">
      <c r="B98" s="3504" t="s">
        <v>584</v>
      </c>
      <c r="C98" s="3506"/>
      <c r="D98" s="1239"/>
      <c r="E98" s="1242">
        <v>30</v>
      </c>
      <c r="F98" s="1240">
        <f t="shared" si="0"/>
        <v>0</v>
      </c>
      <c r="G98" s="527"/>
    </row>
    <row r="99" spans="2:7">
      <c r="B99" s="3504" t="s">
        <v>585</v>
      </c>
      <c r="C99" s="3506"/>
      <c r="D99" s="1239"/>
      <c r="E99" s="1242">
        <v>45</v>
      </c>
      <c r="F99" s="1240">
        <f t="shared" si="0"/>
        <v>0</v>
      </c>
      <c r="G99" s="527"/>
    </row>
    <row r="100" spans="2:7">
      <c r="B100" s="3504" t="s">
        <v>586</v>
      </c>
      <c r="C100" s="3506"/>
      <c r="D100" s="1239"/>
      <c r="E100" s="1242">
        <v>25</v>
      </c>
      <c r="F100" s="1240">
        <f t="shared" si="0"/>
        <v>0</v>
      </c>
      <c r="G100" s="527"/>
    </row>
    <row r="101" spans="2:7">
      <c r="B101" s="3504" t="s">
        <v>587</v>
      </c>
      <c r="C101" s="3506"/>
      <c r="D101" s="1239"/>
      <c r="E101" s="1242">
        <v>30</v>
      </c>
      <c r="F101" s="1240">
        <f t="shared" si="0"/>
        <v>0</v>
      </c>
      <c r="G101" s="527"/>
    </row>
    <row r="102" spans="2:7">
      <c r="B102" s="3504" t="s">
        <v>588</v>
      </c>
      <c r="C102" s="3506"/>
      <c r="D102" s="1239"/>
      <c r="E102" s="1242">
        <v>45</v>
      </c>
      <c r="F102" s="1240">
        <f t="shared" si="0"/>
        <v>0</v>
      </c>
      <c r="G102" s="527"/>
    </row>
    <row r="103" spans="2:7">
      <c r="B103" s="3504" t="s">
        <v>589</v>
      </c>
      <c r="C103" s="3506"/>
      <c r="D103" s="1239"/>
      <c r="E103" s="1242">
        <v>60</v>
      </c>
      <c r="F103" s="1240">
        <f t="shared" si="0"/>
        <v>0</v>
      </c>
      <c r="G103" s="527" t="s">
        <v>541</v>
      </c>
    </row>
    <row r="104" spans="2:7">
      <c r="B104" s="3504" t="s">
        <v>590</v>
      </c>
      <c r="C104" s="3506"/>
      <c r="D104" s="1239"/>
      <c r="E104" s="1242">
        <v>45</v>
      </c>
      <c r="F104" s="1240">
        <f t="shared" si="0"/>
        <v>0</v>
      </c>
      <c r="G104" s="527" t="s">
        <v>541</v>
      </c>
    </row>
    <row r="105" spans="2:7">
      <c r="B105" s="3504" t="s">
        <v>591</v>
      </c>
      <c r="C105" s="3506"/>
      <c r="D105" s="1239"/>
      <c r="E105" s="1242">
        <v>45</v>
      </c>
      <c r="F105" s="1240">
        <f t="shared" si="0"/>
        <v>0</v>
      </c>
      <c r="G105" s="527" t="s">
        <v>541</v>
      </c>
    </row>
    <row r="106" spans="2:7">
      <c r="B106" s="3504" t="s">
        <v>592</v>
      </c>
      <c r="C106" s="3506"/>
      <c r="D106" s="1239"/>
      <c r="E106" s="1242">
        <v>60</v>
      </c>
      <c r="F106" s="1240">
        <f t="shared" si="0"/>
        <v>0</v>
      </c>
      <c r="G106" s="527" t="s">
        <v>541</v>
      </c>
    </row>
    <row r="107" spans="2:7">
      <c r="B107" s="3504" t="s">
        <v>593</v>
      </c>
      <c r="C107" s="3506"/>
      <c r="D107" s="1239"/>
      <c r="E107" s="1242">
        <v>60</v>
      </c>
      <c r="F107" s="1240">
        <f t="shared" si="0"/>
        <v>0</v>
      </c>
      <c r="G107" s="527"/>
    </row>
    <row r="108" spans="2:7">
      <c r="B108" s="3504" t="s">
        <v>594</v>
      </c>
      <c r="C108" s="3505"/>
      <c r="D108" s="1239"/>
      <c r="E108" s="1242">
        <v>35</v>
      </c>
      <c r="F108" s="1240">
        <f t="shared" si="0"/>
        <v>0</v>
      </c>
      <c r="G108" s="527"/>
    </row>
    <row r="109" spans="2:7">
      <c r="B109" s="3504" t="s">
        <v>595</v>
      </c>
      <c r="C109" s="3506"/>
      <c r="D109" s="1239"/>
      <c r="E109" s="1242">
        <v>25</v>
      </c>
      <c r="F109" s="1240">
        <f t="shared" si="0"/>
        <v>0</v>
      </c>
      <c r="G109" s="527" t="s">
        <v>541</v>
      </c>
    </row>
    <row r="110" spans="2:7">
      <c r="B110" s="3504" t="s">
        <v>596</v>
      </c>
      <c r="C110" s="3506"/>
      <c r="D110" s="1239"/>
      <c r="E110" s="1242">
        <v>35</v>
      </c>
      <c r="F110" s="1240">
        <f t="shared" si="0"/>
        <v>0</v>
      </c>
      <c r="G110" s="527" t="s">
        <v>541</v>
      </c>
    </row>
    <row r="111" spans="2:7">
      <c r="B111" s="3504" t="s">
        <v>597</v>
      </c>
      <c r="C111" s="3506"/>
      <c r="D111" s="1239"/>
      <c r="E111" s="1242">
        <v>45</v>
      </c>
      <c r="F111" s="1240">
        <f t="shared" si="0"/>
        <v>0</v>
      </c>
      <c r="G111" s="527" t="s">
        <v>541</v>
      </c>
    </row>
    <row r="112" spans="2:7">
      <c r="B112" s="438" t="s">
        <v>598</v>
      </c>
      <c r="C112" s="1238"/>
      <c r="D112" s="1239"/>
      <c r="E112" s="1242">
        <v>15</v>
      </c>
      <c r="F112" s="1240">
        <f t="shared" si="0"/>
        <v>0</v>
      </c>
      <c r="G112" s="527" t="s">
        <v>541</v>
      </c>
    </row>
    <row r="113" spans="2:7">
      <c r="B113" s="3504" t="s">
        <v>599</v>
      </c>
      <c r="C113" s="3505"/>
      <c r="D113" s="1239"/>
      <c r="E113" s="1242">
        <v>60</v>
      </c>
      <c r="F113" s="1240">
        <f t="shared" si="0"/>
        <v>0</v>
      </c>
      <c r="G113" s="527" t="s">
        <v>541</v>
      </c>
    </row>
    <row r="114" spans="2:7">
      <c r="B114" s="3504" t="s">
        <v>600</v>
      </c>
      <c r="C114" s="3505"/>
      <c r="D114" s="1239"/>
      <c r="E114" s="1242">
        <v>15</v>
      </c>
      <c r="F114" s="1240">
        <f t="shared" si="0"/>
        <v>0</v>
      </c>
      <c r="G114" s="527" t="s">
        <v>541</v>
      </c>
    </row>
    <row r="115" spans="2:7">
      <c r="B115" s="3504" t="s">
        <v>601</v>
      </c>
      <c r="C115" s="3505"/>
      <c r="D115" s="1239"/>
      <c r="E115" s="1242">
        <v>25</v>
      </c>
      <c r="F115" s="1240">
        <f t="shared" si="0"/>
        <v>0</v>
      </c>
      <c r="G115" s="527" t="s">
        <v>541</v>
      </c>
    </row>
    <row r="116" spans="2:7">
      <c r="B116" s="3504" t="s">
        <v>602</v>
      </c>
      <c r="C116" s="3506"/>
      <c r="D116" s="1239"/>
      <c r="E116" s="1242">
        <v>90</v>
      </c>
      <c r="F116" s="1240">
        <f t="shared" si="0"/>
        <v>0</v>
      </c>
      <c r="G116" s="527"/>
    </row>
    <row r="117" spans="2:7">
      <c r="B117" s="3504" t="s">
        <v>603</v>
      </c>
      <c r="C117" s="3506"/>
      <c r="D117" s="1239"/>
      <c r="E117" s="1242">
        <v>20</v>
      </c>
      <c r="F117" s="1240">
        <f t="shared" si="0"/>
        <v>0</v>
      </c>
      <c r="G117" s="527"/>
    </row>
    <row r="118" spans="2:7">
      <c r="B118" s="3523" t="s">
        <v>604</v>
      </c>
      <c r="C118" s="3524"/>
      <c r="D118" s="1239"/>
      <c r="E118" s="1242">
        <v>20</v>
      </c>
      <c r="F118" s="1240">
        <f>D118*E118</f>
        <v>0</v>
      </c>
      <c r="G118" s="527"/>
    </row>
    <row r="119" spans="2:7">
      <c r="B119" s="3504" t="s">
        <v>605</v>
      </c>
      <c r="C119" s="3506"/>
      <c r="D119" s="1239"/>
      <c r="E119" s="1242">
        <v>6</v>
      </c>
      <c r="F119" s="1240">
        <f>D119*E119</f>
        <v>0</v>
      </c>
      <c r="G119" s="527"/>
    </row>
    <row r="120" spans="2:7">
      <c r="B120" s="3504" t="s">
        <v>606</v>
      </c>
      <c r="C120" s="3506"/>
      <c r="D120" s="1239"/>
      <c r="E120" s="1242">
        <v>180</v>
      </c>
      <c r="F120" s="1240">
        <f>D120*E120</f>
        <v>0</v>
      </c>
      <c r="G120" s="527"/>
    </row>
    <row r="121" spans="2:7">
      <c r="B121" s="3525" t="s">
        <v>607</v>
      </c>
      <c r="C121" s="3525"/>
      <c r="D121" s="1239"/>
      <c r="E121" s="1242">
        <v>45</v>
      </c>
      <c r="F121" s="1240">
        <f>D121*E121</f>
        <v>0</v>
      </c>
      <c r="G121" s="527"/>
    </row>
    <row r="122" spans="2:7">
      <c r="B122" s="1252"/>
      <c r="C122" s="3521" t="s">
        <v>1195</v>
      </c>
      <c r="D122" s="3521"/>
      <c r="E122" s="3522"/>
      <c r="F122" s="1241">
        <f>SUM(F53:F121)</f>
        <v>9800</v>
      </c>
      <c r="G122" s="243"/>
    </row>
  </sheetData>
  <sheetProtection algorithmName="SHA-512" hashValue="RnZoPq715ztB7+oWd2nKJ79fx87EM7/5nBCrA0+K9Gu3km0WtrpblZycupy71kijGIq4TlLjS/xm07TnUkq/4Q==" saltValue="pFYGOykgHSN+ankDL2pQ9A==" spinCount="100000" sheet="1" objects="1" selectLockedCells="1"/>
  <mergeCells count="84">
    <mergeCell ref="B71:C71"/>
    <mergeCell ref="Y41:AC41"/>
    <mergeCell ref="Y42:AC42"/>
    <mergeCell ref="B60:C60"/>
    <mergeCell ref="B50:G50"/>
    <mergeCell ref="B51:C52"/>
    <mergeCell ref="E51:E52"/>
    <mergeCell ref="G51:G52"/>
    <mergeCell ref="B53:C53"/>
    <mergeCell ref="B54:C54"/>
    <mergeCell ref="B55:C55"/>
    <mergeCell ref="B56:C56"/>
    <mergeCell ref="B57:C57"/>
    <mergeCell ref="B58:C58"/>
    <mergeCell ref="B59:C59"/>
    <mergeCell ref="D51:D52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99:C99"/>
    <mergeCell ref="B100:C100"/>
    <mergeCell ref="B85:C85"/>
    <mergeCell ref="B73:C73"/>
    <mergeCell ref="B74:C74"/>
    <mergeCell ref="B76:C76"/>
    <mergeCell ref="B77:C77"/>
    <mergeCell ref="B78:C78"/>
    <mergeCell ref="B79:C79"/>
    <mergeCell ref="B75:C75"/>
    <mergeCell ref="B80:C80"/>
    <mergeCell ref="B81:C81"/>
    <mergeCell ref="B82:C82"/>
    <mergeCell ref="B83:C83"/>
    <mergeCell ref="B84:C84"/>
    <mergeCell ref="B93:C93"/>
    <mergeCell ref="B94:C94"/>
    <mergeCell ref="B95:C95"/>
    <mergeCell ref="B96:C96"/>
    <mergeCell ref="B98:C98"/>
    <mergeCell ref="A27:D27"/>
    <mergeCell ref="A28:D28"/>
    <mergeCell ref="B30:D30"/>
    <mergeCell ref="B97:C97"/>
    <mergeCell ref="B86:C86"/>
    <mergeCell ref="B87:C87"/>
    <mergeCell ref="B88:C88"/>
    <mergeCell ref="B89:C89"/>
    <mergeCell ref="B90:C90"/>
    <mergeCell ref="B91:C91"/>
    <mergeCell ref="B92:C92"/>
    <mergeCell ref="B72:C72"/>
    <mergeCell ref="B101:C101"/>
    <mergeCell ref="B102:C102"/>
    <mergeCell ref="C122:E122"/>
    <mergeCell ref="B117:C117"/>
    <mergeCell ref="B118:C118"/>
    <mergeCell ref="B119:C119"/>
    <mergeCell ref="B120:C120"/>
    <mergeCell ref="B121:C121"/>
    <mergeCell ref="B116:C116"/>
    <mergeCell ref="B104:C104"/>
    <mergeCell ref="B105:C105"/>
    <mergeCell ref="B106:C106"/>
    <mergeCell ref="B110:C110"/>
    <mergeCell ref="B111:C111"/>
    <mergeCell ref="B115:C115"/>
    <mergeCell ref="B107:C107"/>
    <mergeCell ref="B7:D7"/>
    <mergeCell ref="D19:E20"/>
    <mergeCell ref="B19:C20"/>
    <mergeCell ref="B24:F24"/>
    <mergeCell ref="A26:D26"/>
    <mergeCell ref="B108:C108"/>
    <mergeCell ref="B109:C109"/>
    <mergeCell ref="B113:C113"/>
    <mergeCell ref="B114:C114"/>
    <mergeCell ref="B103:C103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Q163"/>
  <sheetViews>
    <sheetView showRowColHeaders="0" topLeftCell="A16" zoomScale="91" zoomScaleNormal="91" workbookViewId="0">
      <selection activeCell="K19" sqref="K19"/>
    </sheetView>
  </sheetViews>
  <sheetFormatPr defaultRowHeight="15"/>
  <cols>
    <col min="2" max="2" width="17.28515625" customWidth="1"/>
    <col min="3" max="3" width="8.5703125" bestFit="1" customWidth="1"/>
    <col min="5" max="5" width="10" customWidth="1"/>
    <col min="6" max="6" width="17.5703125" customWidth="1"/>
    <col min="10" max="10" width="19" customWidth="1"/>
    <col min="13" max="13" width="9.140625" customWidth="1"/>
    <col min="16" max="16" width="0.140625" customWidth="1"/>
    <col min="17" max="17" width="2.28515625" customWidth="1"/>
    <col min="18" max="18" width="19.140625" bestFit="1" customWidth="1"/>
  </cols>
  <sheetData>
    <row r="1" spans="1:28" hidden="1"/>
    <row r="2" spans="1:28" hidden="1">
      <c r="J2" s="338" t="s">
        <v>386</v>
      </c>
      <c r="K2" s="333"/>
      <c r="L2" s="338" t="s">
        <v>387</v>
      </c>
    </row>
    <row r="3" spans="1:28" hidden="1">
      <c r="F3" s="339" t="s">
        <v>388</v>
      </c>
      <c r="G3" s="340"/>
    </row>
    <row r="4" spans="1:28" hidden="1">
      <c r="B4" s="334" t="s">
        <v>383</v>
      </c>
      <c r="C4" s="334" t="s">
        <v>374</v>
      </c>
      <c r="F4" s="341" t="s">
        <v>384</v>
      </c>
      <c r="G4" s="336">
        <f>G20</f>
        <v>630</v>
      </c>
      <c r="H4" t="s">
        <v>2</v>
      </c>
      <c r="J4" s="338" t="s">
        <v>390</v>
      </c>
      <c r="K4" s="333"/>
      <c r="L4" s="333"/>
    </row>
    <row r="5" spans="1:28" hidden="1">
      <c r="B5" s="334"/>
      <c r="C5" s="334"/>
      <c r="F5" s="341" t="s">
        <v>385</v>
      </c>
      <c r="G5" s="252">
        <f>((G4/(3600*G6))*100)/G7</f>
        <v>4.0697674418604654E-2</v>
      </c>
      <c r="H5" t="s">
        <v>3</v>
      </c>
    </row>
    <row r="6" spans="1:28" hidden="1">
      <c r="B6" s="335" t="s">
        <v>380</v>
      </c>
      <c r="C6" t="s">
        <v>375</v>
      </c>
      <c r="F6" s="341" t="s">
        <v>382</v>
      </c>
      <c r="G6" s="347">
        <f>G22</f>
        <v>4.3</v>
      </c>
      <c r="H6" s="348" t="s">
        <v>122</v>
      </c>
      <c r="J6" s="344" t="s">
        <v>392</v>
      </c>
      <c r="K6" s="344">
        <v>1260</v>
      </c>
      <c r="O6" s="3548" t="s">
        <v>396</v>
      </c>
      <c r="P6" s="3549"/>
      <c r="Q6" s="3550"/>
    </row>
    <row r="7" spans="1:28" hidden="1">
      <c r="B7" s="335" t="s">
        <v>381</v>
      </c>
      <c r="C7" t="s">
        <v>376</v>
      </c>
      <c r="E7" s="342" t="s">
        <v>389</v>
      </c>
      <c r="F7" s="342"/>
      <c r="G7" s="333">
        <f>G23</f>
        <v>100</v>
      </c>
      <c r="H7" s="337"/>
      <c r="J7" s="344" t="s">
        <v>391</v>
      </c>
      <c r="K7" s="350">
        <v>1</v>
      </c>
      <c r="O7" s="3551" t="s">
        <v>393</v>
      </c>
      <c r="P7" s="3552"/>
      <c r="Q7" s="3553"/>
    </row>
    <row r="8" spans="1:28" hidden="1">
      <c r="B8" s="335" t="s">
        <v>382</v>
      </c>
      <c r="C8" t="s">
        <v>377</v>
      </c>
      <c r="J8" s="349" t="s">
        <v>395</v>
      </c>
      <c r="K8" s="351">
        <f>G5/K7</f>
        <v>4.0697674418604654E-2</v>
      </c>
      <c r="L8" s="352" t="s">
        <v>3</v>
      </c>
      <c r="M8">
        <f>K8/3.14</f>
        <v>1.2961042808472819E-2</v>
      </c>
      <c r="N8">
        <f>(M8)^(1/2)</f>
        <v>0.11384657574329067</v>
      </c>
      <c r="O8" s="345">
        <f>N8*2</f>
        <v>0.22769315148658134</v>
      </c>
      <c r="P8" s="1859"/>
      <c r="Q8" s="346" t="s">
        <v>156</v>
      </c>
    </row>
    <row r="9" spans="1:28" hidden="1">
      <c r="O9" s="345">
        <f>O8*100</f>
        <v>22.769315148658134</v>
      </c>
      <c r="P9" s="1859"/>
      <c r="Q9" s="346" t="s">
        <v>255</v>
      </c>
    </row>
    <row r="10" spans="1:28" hidden="1">
      <c r="B10" t="s">
        <v>378</v>
      </c>
      <c r="G10" s="473"/>
      <c r="J10" s="344" t="s">
        <v>394</v>
      </c>
      <c r="K10">
        <f>(K8)^(1/2)</f>
        <v>0.20173664619648224</v>
      </c>
      <c r="L10" t="s">
        <v>163</v>
      </c>
      <c r="O10" s="345">
        <f>O8*1000</f>
        <v>227.69315148658134</v>
      </c>
      <c r="P10" s="1859"/>
      <c r="Q10" s="346" t="s">
        <v>5</v>
      </c>
    </row>
    <row r="11" spans="1:28" hidden="1">
      <c r="B11" t="s">
        <v>379</v>
      </c>
      <c r="K11" s="353">
        <f>K10*100</f>
        <v>20.173664619648225</v>
      </c>
      <c r="L11" s="343" t="s">
        <v>255</v>
      </c>
    </row>
    <row r="12" spans="1:28" hidden="1">
      <c r="K12">
        <f>K10*1000</f>
        <v>201.73664619648224</v>
      </c>
      <c r="L12" t="s">
        <v>5</v>
      </c>
    </row>
    <row r="13" spans="1:28" hidden="1">
      <c r="E13" s="337"/>
      <c r="F13" s="337"/>
      <c r="H13" s="337"/>
    </row>
    <row r="14" spans="1:28" hidden="1">
      <c r="K14">
        <f>K10*K10</f>
        <v>4.0697674418604654E-2</v>
      </c>
      <c r="L14" t="s">
        <v>3</v>
      </c>
    </row>
    <row r="15" spans="1:28" hidden="1">
      <c r="A15" s="252"/>
      <c r="B15" s="252"/>
      <c r="C15" s="252"/>
      <c r="D15" s="252"/>
      <c r="E15" s="252"/>
      <c r="F15" s="252"/>
      <c r="G15" s="252"/>
      <c r="H15" s="252"/>
      <c r="I15" s="252"/>
      <c r="J15" s="252"/>
      <c r="K15" s="252"/>
      <c r="L15" s="252"/>
      <c r="M15" s="252"/>
      <c r="N15" s="252"/>
      <c r="O15" s="252"/>
      <c r="P15" s="252"/>
      <c r="Q15" s="252"/>
      <c r="R15" s="252"/>
      <c r="S15" s="252"/>
      <c r="T15" s="252"/>
      <c r="U15" s="252"/>
      <c r="V15" s="252"/>
      <c r="W15" s="252"/>
      <c r="X15" s="252"/>
      <c r="Y15" s="252"/>
      <c r="Z15" s="252"/>
      <c r="AA15" s="252"/>
      <c r="AB15" s="252"/>
    </row>
    <row r="16" spans="1:28" ht="15.75" thickBot="1">
      <c r="A16" s="252"/>
      <c r="B16" s="252"/>
      <c r="C16" s="252"/>
      <c r="D16" s="252"/>
      <c r="E16" s="252"/>
      <c r="F16" s="252"/>
      <c r="G16" s="252"/>
      <c r="H16" s="252"/>
      <c r="I16" s="252"/>
      <c r="J16" s="252"/>
      <c r="K16" s="252"/>
      <c r="L16" s="252"/>
      <c r="M16" s="252"/>
      <c r="N16" s="252"/>
      <c r="O16" s="252"/>
      <c r="P16" s="252"/>
      <c r="Q16" s="252"/>
      <c r="R16" s="252"/>
      <c r="S16" s="252"/>
      <c r="T16" s="252"/>
      <c r="U16" s="252"/>
      <c r="V16" s="252"/>
      <c r="W16" s="252"/>
      <c r="X16" s="252"/>
      <c r="Y16" s="252"/>
      <c r="Z16" s="252"/>
      <c r="AA16" s="252"/>
      <c r="AB16" s="252"/>
    </row>
    <row r="17" spans="1:43" ht="36" thickBot="1">
      <c r="A17" s="252"/>
      <c r="B17" s="3554" t="s">
        <v>712</v>
      </c>
      <c r="C17" s="3555"/>
      <c r="D17" s="3555"/>
      <c r="E17" s="3556"/>
      <c r="F17" s="252"/>
      <c r="G17" s="252"/>
      <c r="H17" s="252"/>
      <c r="I17" s="252"/>
      <c r="J17" s="252"/>
      <c r="K17" s="252"/>
      <c r="L17" s="252"/>
      <c r="M17" s="252"/>
      <c r="N17" s="252"/>
      <c r="O17" s="252"/>
      <c r="P17" s="252"/>
      <c r="Q17" s="252"/>
      <c r="R17" s="252"/>
      <c r="S17" s="252"/>
      <c r="T17" s="252"/>
      <c r="U17" s="252"/>
      <c r="V17" s="252"/>
      <c r="W17" s="252"/>
      <c r="X17" s="252"/>
      <c r="Y17" s="252"/>
      <c r="Z17" s="252"/>
      <c r="AA17" s="252"/>
      <c r="AB17" s="252"/>
      <c r="AC17" s="252"/>
      <c r="AD17" s="252"/>
      <c r="AE17" s="252"/>
      <c r="AF17" s="252"/>
      <c r="AG17" s="252"/>
      <c r="AH17" s="252"/>
      <c r="AI17" s="252"/>
      <c r="AJ17" s="252"/>
      <c r="AK17" s="252"/>
      <c r="AL17" s="252"/>
      <c r="AM17" s="252"/>
      <c r="AN17" s="252"/>
      <c r="AO17" s="252"/>
      <c r="AP17" s="252"/>
      <c r="AQ17" s="252"/>
    </row>
    <row r="18" spans="1:43" ht="15.75" thickBot="1">
      <c r="A18" s="252"/>
      <c r="B18" s="252"/>
      <c r="C18" s="252"/>
      <c r="D18" s="25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52"/>
      <c r="AA18" s="252"/>
      <c r="AB18" s="252"/>
      <c r="AC18" s="252"/>
      <c r="AD18" s="252"/>
      <c r="AE18" s="252"/>
      <c r="AF18" s="252"/>
      <c r="AG18" s="252"/>
      <c r="AH18" s="252"/>
      <c r="AI18" s="252"/>
      <c r="AJ18" s="252"/>
      <c r="AK18" s="252"/>
      <c r="AL18" s="252"/>
      <c r="AM18" s="252"/>
      <c r="AN18" s="252"/>
      <c r="AO18" s="252"/>
      <c r="AP18" s="252"/>
      <c r="AQ18" s="252"/>
    </row>
    <row r="19" spans="1:43" ht="18.75">
      <c r="A19" s="252"/>
      <c r="B19" s="3544" t="s">
        <v>374</v>
      </c>
      <c r="C19" s="3545"/>
      <c r="D19" s="252"/>
      <c r="E19" s="340"/>
      <c r="F19" s="1861" t="s">
        <v>388</v>
      </c>
      <c r="G19" s="340"/>
      <c r="H19" s="340"/>
      <c r="I19" s="252"/>
      <c r="J19" s="481" t="s">
        <v>705</v>
      </c>
      <c r="K19" s="376">
        <v>20</v>
      </c>
      <c r="L19" s="355" t="s">
        <v>397</v>
      </c>
      <c r="M19" s="356">
        <f>(K14/(K19/100))*100</f>
        <v>20.348837209302324</v>
      </c>
      <c r="N19" s="357" t="s">
        <v>397</v>
      </c>
      <c r="O19" s="252"/>
      <c r="P19" s="252"/>
      <c r="Q19" s="252"/>
      <c r="R19" s="3546" t="s">
        <v>1918</v>
      </c>
      <c r="S19" s="3546"/>
      <c r="T19" s="3546"/>
      <c r="U19" s="3546"/>
      <c r="V19" s="3546"/>
      <c r="W19" s="252"/>
      <c r="X19" s="252"/>
      <c r="Y19" s="252"/>
      <c r="Z19" s="252"/>
      <c r="AA19" s="252"/>
      <c r="AB19" s="252"/>
      <c r="AC19" s="252"/>
      <c r="AD19" s="252"/>
      <c r="AE19" s="252"/>
      <c r="AF19" s="252"/>
      <c r="AG19" s="252"/>
      <c r="AH19" s="252"/>
      <c r="AI19" s="252"/>
      <c r="AJ19" s="252"/>
      <c r="AK19" s="252"/>
      <c r="AL19" s="252"/>
      <c r="AM19" s="252"/>
      <c r="AN19" s="252"/>
      <c r="AO19" s="252"/>
      <c r="AP19" s="252"/>
      <c r="AQ19" s="252"/>
    </row>
    <row r="20" spans="1:43">
      <c r="A20" s="252"/>
      <c r="B20" s="475" t="s">
        <v>380</v>
      </c>
      <c r="C20" s="385" t="s">
        <v>375</v>
      </c>
      <c r="D20" s="252"/>
      <c r="E20" s="341"/>
      <c r="F20" s="341" t="s">
        <v>384</v>
      </c>
      <c r="G20" s="492">
        <v>630</v>
      </c>
      <c r="H20" s="363" t="s">
        <v>2</v>
      </c>
      <c r="I20" s="252"/>
      <c r="J20" s="481" t="s">
        <v>706</v>
      </c>
      <c r="K20" s="356">
        <f>K11</f>
        <v>20.173664619648225</v>
      </c>
      <c r="L20" s="472" t="s">
        <v>397</v>
      </c>
      <c r="M20" s="356">
        <f>K20</f>
        <v>20.173664619648225</v>
      </c>
      <c r="N20" s="357" t="s">
        <v>397</v>
      </c>
      <c r="O20" s="252"/>
      <c r="P20" s="252"/>
      <c r="Q20" s="252"/>
      <c r="R20" s="3283" t="s">
        <v>267</v>
      </c>
      <c r="S20" s="3283"/>
      <c r="T20" s="3283"/>
      <c r="U20" s="3283"/>
      <c r="V20" s="3283"/>
      <c r="W20" s="252"/>
      <c r="X20" s="252"/>
      <c r="Y20" s="252"/>
      <c r="Z20" s="252"/>
      <c r="AA20" s="252"/>
      <c r="AB20" s="252"/>
      <c r="AC20" s="252"/>
      <c r="AD20" s="252"/>
      <c r="AE20" s="252"/>
      <c r="AF20" s="252"/>
      <c r="AG20" s="252"/>
      <c r="AH20" s="252"/>
      <c r="AI20" s="252"/>
      <c r="AJ20" s="252"/>
      <c r="AK20" s="252"/>
      <c r="AL20" s="252"/>
      <c r="AM20" s="252"/>
      <c r="AN20" s="252"/>
      <c r="AO20" s="252"/>
      <c r="AP20" s="252"/>
      <c r="AQ20" s="252"/>
    </row>
    <row r="21" spans="1:43">
      <c r="A21" s="252"/>
      <c r="B21" s="475" t="s">
        <v>381</v>
      </c>
      <c r="C21" s="385" t="s">
        <v>376</v>
      </c>
      <c r="D21" s="252"/>
      <c r="E21" s="341"/>
      <c r="F21" s="341" t="s">
        <v>385</v>
      </c>
      <c r="G21" s="252">
        <f>G5</f>
        <v>4.0697674418604654E-2</v>
      </c>
      <c r="H21" t="s">
        <v>3</v>
      </c>
      <c r="I21" s="252"/>
      <c r="J21" s="481" t="s">
        <v>704</v>
      </c>
      <c r="K21" s="356">
        <f>O9</f>
        <v>22.769315148658134</v>
      </c>
      <c r="L21" s="472" t="s">
        <v>397</v>
      </c>
      <c r="M21" s="252"/>
      <c r="N21" s="252"/>
      <c r="O21" s="252"/>
      <c r="P21" s="252"/>
      <c r="Q21" s="252"/>
      <c r="R21" s="3547">
        <v>2026</v>
      </c>
      <c r="S21" s="3547"/>
      <c r="T21" s="3547"/>
      <c r="U21" s="3547"/>
      <c r="V21" s="3547"/>
      <c r="W21" s="252"/>
      <c r="X21" s="252"/>
      <c r="Y21" s="252"/>
      <c r="Z21" s="252"/>
      <c r="AA21" s="252"/>
      <c r="AB21" s="252"/>
      <c r="AC21" s="252"/>
      <c r="AD21" s="252"/>
      <c r="AE21" s="252"/>
      <c r="AF21" s="252"/>
      <c r="AG21" s="252"/>
      <c r="AH21" s="252"/>
      <c r="AI21" s="252"/>
      <c r="AJ21" s="252"/>
      <c r="AK21" s="252"/>
      <c r="AL21" s="252"/>
      <c r="AM21" s="252"/>
      <c r="AN21" s="252"/>
      <c r="AO21" s="252"/>
      <c r="AP21" s="252"/>
      <c r="AQ21" s="252"/>
    </row>
    <row r="22" spans="1:43">
      <c r="A22" s="252"/>
      <c r="B22" s="475" t="s">
        <v>382</v>
      </c>
      <c r="C22" s="385" t="s">
        <v>377</v>
      </c>
      <c r="D22" s="252"/>
      <c r="E22" s="341"/>
      <c r="F22" s="341" t="s">
        <v>382</v>
      </c>
      <c r="G22" s="376">
        <v>4.3</v>
      </c>
      <c r="H22" s="363" t="s">
        <v>122</v>
      </c>
      <c r="I22" s="252"/>
      <c r="J22" s="252"/>
      <c r="K22" s="252"/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252"/>
      <c r="W22" s="252"/>
      <c r="X22" s="252"/>
      <c r="Y22" s="252"/>
      <c r="Z22" s="252"/>
      <c r="AA22" s="252"/>
      <c r="AB22" s="252"/>
      <c r="AC22" s="252"/>
      <c r="AD22" s="252"/>
      <c r="AE22" s="252"/>
      <c r="AF22" s="252"/>
      <c r="AG22" s="252"/>
      <c r="AH22" s="252"/>
      <c r="AI22" s="252"/>
      <c r="AJ22" s="252"/>
      <c r="AK22" s="252"/>
      <c r="AL22" s="252"/>
      <c r="AM22" s="252"/>
      <c r="AN22" s="252"/>
      <c r="AO22" s="252"/>
      <c r="AP22" s="252"/>
      <c r="AQ22" s="252"/>
    </row>
    <row r="23" spans="1:43">
      <c r="A23" s="252"/>
      <c r="B23" s="476" t="s">
        <v>709</v>
      </c>
      <c r="C23" s="385" t="s">
        <v>707</v>
      </c>
      <c r="D23" s="252"/>
      <c r="E23" s="342" t="s">
        <v>389</v>
      </c>
      <c r="F23" s="342"/>
      <c r="G23" s="376">
        <v>100</v>
      </c>
      <c r="H23" s="466"/>
      <c r="I23" s="252"/>
      <c r="J23" s="252"/>
      <c r="K23" s="252"/>
      <c r="L23" s="252"/>
      <c r="M23" s="252"/>
      <c r="N23" s="252"/>
      <c r="O23" s="252"/>
      <c r="P23" s="252"/>
      <c r="Q23" s="252"/>
      <c r="R23" s="252"/>
      <c r="S23" s="252"/>
      <c r="T23" s="252"/>
      <c r="U23" s="252"/>
      <c r="V23" s="252"/>
      <c r="W23" s="252"/>
      <c r="X23" s="252"/>
      <c r="Y23" s="252"/>
      <c r="Z23" s="252"/>
      <c r="AA23" s="252"/>
      <c r="AB23" s="252"/>
      <c r="AC23" s="252"/>
      <c r="AD23" s="252"/>
      <c r="AE23" s="252"/>
      <c r="AF23" s="252"/>
      <c r="AG23" s="252"/>
      <c r="AH23" s="252"/>
      <c r="AI23" s="252"/>
      <c r="AJ23" s="252"/>
      <c r="AK23" s="252"/>
      <c r="AL23" s="252"/>
      <c r="AM23" s="252"/>
      <c r="AN23" s="252"/>
      <c r="AO23" s="252"/>
      <c r="AP23" s="252"/>
      <c r="AQ23" s="252"/>
    </row>
    <row r="24" spans="1:43" ht="15.75" thickBot="1">
      <c r="A24" s="252"/>
      <c r="B24" s="477" t="s">
        <v>710</v>
      </c>
      <c r="C24" s="388" t="s">
        <v>708</v>
      </c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</row>
    <row r="25" spans="1:43" ht="26.25">
      <c r="A25" s="252"/>
      <c r="B25" s="252"/>
      <c r="C25" s="252"/>
      <c r="D25" s="252"/>
      <c r="E25" s="252"/>
      <c r="F25" s="252"/>
      <c r="G25" s="252"/>
      <c r="H25" s="252"/>
      <c r="I25" s="252"/>
      <c r="J25" s="252"/>
      <c r="K25" s="1860" t="s">
        <v>711</v>
      </c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  <c r="AA25" s="252"/>
      <c r="AB25" s="252"/>
      <c r="AC25" s="252"/>
      <c r="AD25" s="252"/>
      <c r="AE25" s="252"/>
      <c r="AF25" s="252"/>
      <c r="AG25" s="252"/>
      <c r="AH25" s="252"/>
      <c r="AI25" s="252"/>
      <c r="AJ25" s="252"/>
      <c r="AK25" s="252"/>
      <c r="AL25" s="252"/>
      <c r="AM25" s="252"/>
      <c r="AN25" s="252"/>
      <c r="AO25" s="252"/>
      <c r="AP25" s="252"/>
      <c r="AQ25" s="252"/>
    </row>
    <row r="26" spans="1:43" hidden="1">
      <c r="A26" s="252"/>
      <c r="B26" s="252"/>
      <c r="C26" s="252"/>
      <c r="D26" s="252"/>
      <c r="E26" s="252"/>
      <c r="F26" s="252"/>
      <c r="G26" s="252"/>
      <c r="H26" s="252"/>
      <c r="I26" s="252"/>
      <c r="J26" s="465"/>
      <c r="K26" s="252"/>
      <c r="L26" s="465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  <c r="AA26" s="252"/>
      <c r="AB26" s="252"/>
      <c r="AC26" s="252"/>
      <c r="AD26" s="252"/>
      <c r="AE26" s="252"/>
      <c r="AF26" s="252"/>
      <c r="AG26" s="252"/>
      <c r="AH26" s="252"/>
      <c r="AI26" s="252"/>
      <c r="AJ26" s="252"/>
      <c r="AK26" s="252"/>
      <c r="AL26" s="252"/>
      <c r="AM26" s="252"/>
      <c r="AN26" s="252"/>
      <c r="AO26" s="252"/>
      <c r="AP26" s="252"/>
      <c r="AQ26" s="252"/>
    </row>
    <row r="27" spans="1:43" hidden="1">
      <c r="A27" s="252"/>
      <c r="B27" s="252"/>
      <c r="C27" s="252"/>
      <c r="S27" s="252"/>
      <c r="T27" s="252"/>
      <c r="U27" s="252"/>
      <c r="V27" s="252"/>
      <c r="W27" s="252"/>
      <c r="X27" s="252"/>
      <c r="Y27" s="252"/>
      <c r="Z27" s="252"/>
      <c r="AA27" s="252"/>
      <c r="AB27" s="252"/>
      <c r="AC27" s="252"/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</row>
    <row r="28" spans="1:43" hidden="1">
      <c r="A28" s="252"/>
      <c r="B28" s="252"/>
      <c r="C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  <c r="AD28" s="252"/>
      <c r="AE28" s="252"/>
      <c r="AF28" s="252"/>
      <c r="AG28" s="252"/>
      <c r="AH28" s="252"/>
      <c r="AI28" s="252"/>
      <c r="AJ28" s="252"/>
      <c r="AK28" s="252"/>
      <c r="AL28" s="252"/>
      <c r="AM28" s="252"/>
      <c r="AN28" s="252"/>
      <c r="AO28" s="252"/>
      <c r="AP28" s="252"/>
      <c r="AQ28" s="252"/>
    </row>
    <row r="29" spans="1:43" hidden="1">
      <c r="A29" s="252"/>
      <c r="B29" s="252"/>
      <c r="C29" s="252"/>
      <c r="S29" s="252"/>
      <c r="T29" s="252"/>
      <c r="U29" s="252"/>
      <c r="V29" s="252"/>
      <c r="W29" s="252"/>
      <c r="X29" s="252"/>
      <c r="Y29" s="252"/>
      <c r="Z29" s="252"/>
      <c r="AA29" s="252"/>
      <c r="AB29" s="252"/>
      <c r="AC29" s="252"/>
      <c r="AD29" s="252"/>
      <c r="AE29" s="252"/>
      <c r="AF29" s="252"/>
      <c r="AG29" s="252"/>
      <c r="AH29" s="252"/>
      <c r="AI29" s="252"/>
      <c r="AJ29" s="252"/>
      <c r="AK29" s="252"/>
      <c r="AL29" s="252"/>
      <c r="AM29" s="252"/>
      <c r="AN29" s="252"/>
      <c r="AO29" s="252"/>
      <c r="AP29" s="252"/>
      <c r="AQ29" s="252"/>
    </row>
    <row r="30" spans="1:43" hidden="1">
      <c r="A30" s="252"/>
      <c r="B30" s="252"/>
      <c r="C30" s="252"/>
      <c r="S30" s="252"/>
      <c r="T30" s="252"/>
      <c r="U30" s="252"/>
      <c r="V30" s="252"/>
      <c r="W30" s="252"/>
      <c r="X30" s="252"/>
      <c r="Y30" s="252"/>
      <c r="Z30" s="252"/>
      <c r="AA30" s="252"/>
      <c r="AB30" s="252"/>
      <c r="AC30" s="252"/>
      <c r="AD30" s="252"/>
      <c r="AE30" s="252"/>
      <c r="AF30" s="252"/>
      <c r="AG30" s="252"/>
      <c r="AH30" s="252"/>
      <c r="AI30" s="252"/>
      <c r="AJ30" s="252"/>
      <c r="AK30" s="252"/>
      <c r="AL30" s="252"/>
      <c r="AM30" s="252"/>
      <c r="AN30" s="252"/>
      <c r="AO30" s="252"/>
      <c r="AP30" s="252"/>
      <c r="AQ30" s="252"/>
    </row>
    <row r="31" spans="1:43" hidden="1">
      <c r="A31" s="252"/>
      <c r="B31" s="252"/>
      <c r="C31" s="252"/>
      <c r="S31" s="252"/>
      <c r="T31" s="252"/>
      <c r="U31" s="252"/>
      <c r="V31" s="252"/>
      <c r="W31" s="252"/>
      <c r="X31" s="252"/>
      <c r="Y31" s="252"/>
      <c r="Z31" s="252"/>
      <c r="AA31" s="252"/>
      <c r="AB31" s="252"/>
      <c r="AC31" s="252"/>
      <c r="AD31" s="252"/>
      <c r="AE31" s="252"/>
      <c r="AF31" s="252"/>
      <c r="AG31" s="252"/>
      <c r="AH31" s="252"/>
      <c r="AI31" s="252"/>
      <c r="AJ31" s="252"/>
      <c r="AK31" s="252"/>
      <c r="AL31" s="252"/>
      <c r="AM31" s="252"/>
      <c r="AN31" s="252"/>
      <c r="AO31" s="252"/>
      <c r="AP31" s="252"/>
      <c r="AQ31" s="252"/>
    </row>
    <row r="32" spans="1:43" hidden="1">
      <c r="A32" s="252"/>
      <c r="B32" s="252"/>
      <c r="C32" s="252"/>
      <c r="S32" s="252"/>
      <c r="T32" s="252"/>
      <c r="U32" s="252"/>
      <c r="V32" s="252"/>
      <c r="W32" s="252"/>
      <c r="X32" s="252"/>
      <c r="Y32" s="252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52"/>
      <c r="AK32" s="252"/>
      <c r="AL32" s="252"/>
      <c r="AM32" s="252"/>
      <c r="AN32" s="252"/>
      <c r="AO32" s="252"/>
      <c r="AP32" s="252"/>
      <c r="AQ32" s="252"/>
    </row>
    <row r="33" spans="1:43" hidden="1">
      <c r="A33" s="252"/>
      <c r="B33" s="252"/>
      <c r="C33" s="252"/>
      <c r="S33" s="252"/>
      <c r="T33" s="252"/>
      <c r="U33" s="252"/>
      <c r="V33" s="252"/>
      <c r="W33" s="252"/>
      <c r="X33" s="252"/>
      <c r="Y33" s="252"/>
      <c r="Z33" s="252"/>
      <c r="AA33" s="252"/>
      <c r="AB33" s="252"/>
      <c r="AC33" s="252"/>
      <c r="AD33" s="252"/>
      <c r="AE33" s="252"/>
      <c r="AF33" s="252"/>
      <c r="AG33" s="252"/>
      <c r="AH33" s="252"/>
      <c r="AI33" s="252"/>
      <c r="AJ33" s="252"/>
      <c r="AK33" s="252"/>
      <c r="AL33" s="252"/>
      <c r="AM33" s="252"/>
      <c r="AN33" s="252"/>
      <c r="AO33" s="252"/>
      <c r="AP33" s="252"/>
      <c r="AQ33" s="252"/>
    </row>
    <row r="34" spans="1:43" hidden="1">
      <c r="A34" s="252"/>
      <c r="B34" s="252"/>
      <c r="C34" s="252"/>
      <c r="S34" s="252"/>
      <c r="T34" s="252"/>
      <c r="U34" s="252"/>
      <c r="V34" s="252"/>
      <c r="W34" s="252"/>
      <c r="X34" s="252"/>
      <c r="Y34" s="252"/>
      <c r="Z34" s="252"/>
      <c r="AA34" s="252"/>
      <c r="AB34" s="252"/>
      <c r="AC34" s="252"/>
      <c r="AD34" s="252"/>
      <c r="AE34" s="252"/>
      <c r="AF34" s="252"/>
      <c r="AG34" s="252"/>
      <c r="AH34" s="252"/>
      <c r="AI34" s="252"/>
      <c r="AJ34" s="252"/>
      <c r="AK34" s="252"/>
      <c r="AL34" s="252"/>
      <c r="AM34" s="252"/>
      <c r="AN34" s="252"/>
      <c r="AO34" s="252"/>
      <c r="AP34" s="252"/>
      <c r="AQ34" s="252"/>
    </row>
    <row r="35" spans="1:43" hidden="1">
      <c r="A35" s="252"/>
      <c r="B35" s="252"/>
      <c r="C35" s="252"/>
      <c r="S35" s="252"/>
      <c r="T35" s="252"/>
      <c r="U35" s="252"/>
      <c r="V35" s="252"/>
      <c r="W35" s="252"/>
      <c r="X35" s="252"/>
      <c r="Y35" s="252"/>
      <c r="Z35" s="252"/>
      <c r="AA35" s="252"/>
      <c r="AB35" s="252"/>
      <c r="AC35" s="252"/>
      <c r="AD35" s="252"/>
      <c r="AE35" s="252"/>
      <c r="AF35" s="252"/>
      <c r="AG35" s="252"/>
      <c r="AH35" s="252"/>
      <c r="AI35" s="252"/>
      <c r="AJ35" s="252"/>
      <c r="AK35" s="252"/>
      <c r="AL35" s="252"/>
      <c r="AM35" s="252"/>
      <c r="AN35" s="252"/>
      <c r="AO35" s="252"/>
      <c r="AP35" s="252"/>
      <c r="AQ35" s="252"/>
    </row>
    <row r="36" spans="1:43" hidden="1">
      <c r="A36" s="252"/>
      <c r="B36" s="252"/>
      <c r="C36" s="252"/>
      <c r="S36" s="252"/>
      <c r="T36" s="252"/>
      <c r="U36" s="252"/>
      <c r="V36" s="252"/>
      <c r="W36" s="252"/>
      <c r="X36" s="252"/>
      <c r="Y36" s="252"/>
      <c r="Z36" s="252"/>
      <c r="AA36" s="252"/>
      <c r="AB36" s="252"/>
      <c r="AC36" s="252"/>
      <c r="AD36" s="252"/>
      <c r="AE36" s="252"/>
      <c r="AF36" s="252"/>
      <c r="AG36" s="252"/>
      <c r="AH36" s="252"/>
      <c r="AI36" s="252"/>
      <c r="AJ36" s="252"/>
      <c r="AK36" s="252"/>
      <c r="AL36" s="252"/>
      <c r="AM36" s="252"/>
      <c r="AN36" s="252"/>
      <c r="AO36" s="252"/>
      <c r="AP36" s="252"/>
      <c r="AQ36" s="252"/>
    </row>
    <row r="37" spans="1:43" hidden="1">
      <c r="A37" s="252"/>
      <c r="B37" s="252"/>
      <c r="C37" s="252"/>
      <c r="S37" s="252"/>
      <c r="T37" s="252"/>
      <c r="U37" s="252"/>
      <c r="V37" s="252"/>
      <c r="W37" s="252"/>
      <c r="X37" s="252"/>
      <c r="Y37" s="252"/>
      <c r="Z37" s="252"/>
      <c r="AA37" s="252"/>
      <c r="AB37" s="252"/>
      <c r="AC37" s="252"/>
      <c r="AD37" s="252"/>
      <c r="AE37" s="252"/>
      <c r="AF37" s="252"/>
      <c r="AG37" s="252"/>
      <c r="AH37" s="252"/>
      <c r="AI37" s="252"/>
      <c r="AJ37" s="252"/>
      <c r="AK37" s="252"/>
      <c r="AL37" s="252"/>
      <c r="AM37" s="252"/>
      <c r="AN37" s="252"/>
      <c r="AO37" s="252"/>
      <c r="AP37" s="252"/>
      <c r="AQ37" s="252"/>
    </row>
    <row r="38" spans="1:43" hidden="1">
      <c r="A38" s="252"/>
      <c r="B38" s="252"/>
      <c r="C38" s="252"/>
      <c r="S38" s="252"/>
      <c r="T38" s="252"/>
      <c r="U38" s="252"/>
      <c r="V38" s="252"/>
      <c r="W38" s="252"/>
      <c r="X38" s="252"/>
      <c r="Y38" s="252"/>
      <c r="Z38" s="252"/>
      <c r="AA38" s="252"/>
      <c r="AB38" s="252"/>
      <c r="AC38" s="252"/>
      <c r="AD38" s="252"/>
      <c r="AE38" s="252"/>
      <c r="AF38" s="252"/>
      <c r="AG38" s="252"/>
      <c r="AH38" s="252"/>
      <c r="AI38" s="252"/>
      <c r="AJ38" s="252"/>
      <c r="AK38" s="252"/>
      <c r="AL38" s="252"/>
      <c r="AM38" s="252"/>
      <c r="AN38" s="252"/>
      <c r="AO38" s="252"/>
      <c r="AP38" s="252"/>
      <c r="AQ38" s="252"/>
    </row>
    <row r="39" spans="1:43" hidden="1">
      <c r="A39" s="252"/>
      <c r="B39" s="252"/>
      <c r="C39" s="252"/>
      <c r="S39" s="252"/>
      <c r="T39" s="252"/>
      <c r="U39" s="252"/>
      <c r="V39" s="252"/>
      <c r="W39" s="252"/>
      <c r="X39" s="252"/>
      <c r="Y39" s="252"/>
      <c r="Z39" s="252"/>
      <c r="AA39" s="252"/>
      <c r="AB39" s="252"/>
      <c r="AC39" s="252"/>
      <c r="AD39" s="252"/>
      <c r="AE39" s="252"/>
      <c r="AF39" s="252"/>
      <c r="AG39" s="252"/>
      <c r="AH39" s="252"/>
      <c r="AI39" s="252"/>
      <c r="AJ39" s="252"/>
      <c r="AK39" s="252"/>
      <c r="AL39" s="252"/>
      <c r="AM39" s="252"/>
      <c r="AN39" s="252"/>
      <c r="AO39" s="252"/>
      <c r="AP39" s="252"/>
      <c r="AQ39" s="252"/>
    </row>
    <row r="40" spans="1:43" hidden="1">
      <c r="A40" s="252"/>
      <c r="B40" s="252"/>
      <c r="C40" s="252"/>
      <c r="S40" s="252"/>
      <c r="T40" s="252"/>
      <c r="U40" s="252"/>
      <c r="V40" s="252"/>
      <c r="W40" s="252"/>
      <c r="X40" s="252"/>
      <c r="Y40" s="252"/>
      <c r="Z40" s="252"/>
      <c r="AA40" s="252"/>
      <c r="AB40" s="252"/>
      <c r="AC40" s="252"/>
      <c r="AD40" s="252"/>
      <c r="AE40" s="252"/>
      <c r="AF40" s="252"/>
      <c r="AG40" s="252"/>
      <c r="AH40" s="252"/>
      <c r="AI40" s="252"/>
      <c r="AJ40" s="252"/>
      <c r="AK40" s="252"/>
      <c r="AL40" s="252"/>
      <c r="AM40" s="252"/>
      <c r="AN40" s="252"/>
      <c r="AO40" s="252"/>
      <c r="AP40" s="252"/>
      <c r="AQ40" s="252"/>
    </row>
    <row r="41" spans="1:43" hidden="1">
      <c r="A41" s="252"/>
      <c r="B41" s="252"/>
      <c r="C41" s="252"/>
      <c r="S41" s="252"/>
      <c r="T41" s="252"/>
      <c r="U41" s="252"/>
      <c r="V41" s="252"/>
      <c r="W41" s="252"/>
      <c r="X41" s="252"/>
      <c r="Y41" s="252"/>
      <c r="Z41" s="252"/>
      <c r="AA41" s="252"/>
      <c r="AB41" s="252"/>
      <c r="AC41" s="252"/>
      <c r="AD41" s="252"/>
      <c r="AE41" s="252"/>
      <c r="AF41" s="252"/>
      <c r="AG41" s="252"/>
      <c r="AH41" s="252"/>
      <c r="AI41" s="252"/>
      <c r="AJ41" s="252"/>
      <c r="AK41" s="252"/>
      <c r="AL41" s="252"/>
      <c r="AM41" s="252"/>
      <c r="AN41" s="252"/>
      <c r="AO41" s="252"/>
      <c r="AP41" s="252"/>
      <c r="AQ41" s="252"/>
    </row>
    <row r="42" spans="1:43" hidden="1">
      <c r="A42" s="252"/>
      <c r="B42" s="252"/>
      <c r="C42" s="252"/>
      <c r="S42" s="252"/>
      <c r="T42" s="252"/>
      <c r="U42" s="252"/>
      <c r="V42" s="252"/>
      <c r="W42" s="252"/>
      <c r="X42" s="252"/>
      <c r="Y42" s="252"/>
      <c r="Z42" s="252"/>
      <c r="AA42" s="252"/>
      <c r="AB42" s="252"/>
      <c r="AC42" s="252"/>
      <c r="AD42" s="252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252"/>
    </row>
    <row r="43" spans="1:43" hidden="1">
      <c r="A43" s="252"/>
      <c r="B43" s="252"/>
      <c r="C43" s="252"/>
      <c r="S43" s="252"/>
      <c r="T43" s="252"/>
      <c r="U43" s="252"/>
      <c r="V43" s="252"/>
      <c r="W43" s="252"/>
      <c r="X43" s="252"/>
      <c r="Y43" s="252"/>
      <c r="Z43" s="252"/>
      <c r="AA43" s="252"/>
      <c r="AB43" s="252"/>
      <c r="AC43" s="252"/>
      <c r="AD43" s="252"/>
      <c r="AE43" s="252"/>
      <c r="AF43" s="252"/>
      <c r="AG43" s="252"/>
      <c r="AH43" s="252"/>
      <c r="AI43" s="252"/>
      <c r="AJ43" s="252"/>
      <c r="AK43" s="252"/>
      <c r="AL43" s="252"/>
      <c r="AM43" s="252"/>
      <c r="AN43" s="252"/>
      <c r="AO43" s="252"/>
      <c r="AP43" s="252"/>
      <c r="AQ43" s="252"/>
    </row>
    <row r="44" spans="1:43" hidden="1">
      <c r="A44" s="252"/>
      <c r="B44" s="252"/>
      <c r="C44" s="252"/>
      <c r="S44" s="252"/>
      <c r="T44" s="252"/>
      <c r="U44" s="252"/>
      <c r="V44" s="252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2"/>
      <c r="AJ44" s="252"/>
      <c r="AK44" s="252"/>
      <c r="AL44" s="252"/>
      <c r="AM44" s="252"/>
      <c r="AN44" s="252"/>
      <c r="AO44" s="252"/>
      <c r="AP44" s="252"/>
      <c r="AQ44" s="252"/>
    </row>
    <row r="45" spans="1:43" hidden="1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</row>
    <row r="46" spans="1:43">
      <c r="A46" s="252"/>
      <c r="B46" s="252"/>
      <c r="C46" s="252"/>
      <c r="E46" s="252"/>
      <c r="F46" s="252"/>
      <c r="G46" s="252"/>
      <c r="H46" s="252"/>
      <c r="I46" s="252"/>
      <c r="J46" s="252"/>
      <c r="K46" s="252"/>
      <c r="L46" s="252"/>
      <c r="M46" s="252"/>
      <c r="N46" s="252"/>
      <c r="O46" s="252"/>
      <c r="P46" s="252"/>
      <c r="Q46" s="252"/>
      <c r="R46" s="252"/>
      <c r="S46" s="252"/>
      <c r="T46" s="252"/>
      <c r="U46" s="252"/>
      <c r="V46" s="252"/>
      <c r="W46" s="252"/>
      <c r="X46" s="252"/>
      <c r="Y46" s="252"/>
      <c r="Z46" s="252"/>
      <c r="AA46" s="252"/>
      <c r="AB46" s="252"/>
      <c r="AC46" s="252"/>
      <c r="AD46" s="252"/>
      <c r="AE46" s="252"/>
      <c r="AF46" s="252"/>
      <c r="AG46" s="252"/>
      <c r="AH46" s="252"/>
      <c r="AI46" s="252"/>
      <c r="AJ46" s="252"/>
      <c r="AK46" s="252"/>
      <c r="AL46" s="252"/>
      <c r="AM46" s="252"/>
      <c r="AN46" s="252"/>
      <c r="AO46" s="252"/>
      <c r="AP46" s="252"/>
      <c r="AQ46" s="252"/>
    </row>
    <row r="47" spans="1:43">
      <c r="A47" s="252"/>
      <c r="B47" s="252"/>
      <c r="C47" s="252"/>
      <c r="D47" s="252"/>
      <c r="E47" s="252"/>
      <c r="F47" s="252"/>
      <c r="G47" s="252"/>
      <c r="H47" s="252"/>
      <c r="I47" s="252"/>
      <c r="J47" s="252"/>
      <c r="M47" s="252"/>
      <c r="N47" s="252"/>
      <c r="O47" s="252"/>
      <c r="P47" s="252"/>
      <c r="Q47" s="252"/>
      <c r="R47" s="252"/>
      <c r="S47" s="252"/>
      <c r="T47" s="252"/>
      <c r="U47" s="252"/>
      <c r="V47" s="252"/>
      <c r="W47" s="252"/>
      <c r="X47" s="252"/>
      <c r="Y47" s="252"/>
      <c r="Z47" s="252"/>
      <c r="AA47" s="252"/>
      <c r="AB47" s="252"/>
      <c r="AC47" s="252"/>
      <c r="AD47" s="252"/>
      <c r="AE47" s="252"/>
      <c r="AF47" s="252"/>
      <c r="AG47" s="252"/>
      <c r="AH47" s="252"/>
      <c r="AI47" s="252"/>
      <c r="AJ47" s="252"/>
      <c r="AK47" s="252"/>
      <c r="AL47" s="252"/>
      <c r="AM47" s="252"/>
      <c r="AN47" s="252"/>
      <c r="AO47" s="252"/>
      <c r="AP47" s="252"/>
      <c r="AQ47" s="252"/>
    </row>
    <row r="48" spans="1:43">
      <c r="A48" s="252"/>
      <c r="B48" s="252"/>
      <c r="C48" s="252"/>
      <c r="D48" s="252"/>
      <c r="E48" s="252"/>
      <c r="F48" s="252"/>
      <c r="G48" s="252"/>
      <c r="H48" s="252"/>
      <c r="I48" s="252"/>
      <c r="J48" s="252"/>
      <c r="M48" s="252"/>
      <c r="N48" s="252"/>
      <c r="O48" s="252"/>
      <c r="P48" s="252"/>
      <c r="Q48" s="252"/>
      <c r="R48" s="252"/>
      <c r="S48" s="252"/>
      <c r="T48" s="252"/>
      <c r="U48" s="252"/>
      <c r="V48" s="252"/>
      <c r="W48" s="252"/>
      <c r="X48" s="252"/>
      <c r="Y48" s="252"/>
      <c r="Z48" s="252"/>
      <c r="AA48" s="252"/>
      <c r="AB48" s="252"/>
      <c r="AC48" s="252"/>
      <c r="AD48" s="252"/>
      <c r="AE48" s="252"/>
      <c r="AF48" s="252"/>
      <c r="AG48" s="252"/>
      <c r="AH48" s="252"/>
      <c r="AI48" s="252"/>
      <c r="AJ48" s="252"/>
      <c r="AK48" s="252"/>
      <c r="AL48" s="252"/>
      <c r="AM48" s="252"/>
      <c r="AN48" s="252"/>
      <c r="AO48" s="252"/>
      <c r="AP48" s="252"/>
      <c r="AQ48" s="252"/>
    </row>
    <row r="49" spans="1:43">
      <c r="A49" s="252"/>
      <c r="B49" s="252"/>
      <c r="C49" s="252"/>
      <c r="D49" s="252"/>
      <c r="E49" s="252"/>
      <c r="F49" s="252"/>
      <c r="G49" s="252"/>
      <c r="H49" s="252"/>
      <c r="I49" s="252"/>
      <c r="J49" s="252"/>
      <c r="M49" s="252"/>
      <c r="N49" s="252"/>
      <c r="O49" s="252"/>
      <c r="P49" s="252"/>
      <c r="Q49" s="252"/>
      <c r="R49" s="252"/>
      <c r="S49" s="252"/>
      <c r="T49" s="252"/>
      <c r="U49" s="252"/>
      <c r="V49" s="252"/>
      <c r="W49" s="252"/>
      <c r="X49" s="252"/>
      <c r="Y49" s="252"/>
      <c r="Z49" s="252"/>
      <c r="AA49" s="252"/>
      <c r="AB49" s="252"/>
      <c r="AC49" s="252"/>
      <c r="AD49" s="252"/>
      <c r="AE49" s="252"/>
      <c r="AF49" s="252"/>
      <c r="AG49" s="252"/>
      <c r="AH49" s="252"/>
      <c r="AI49" s="252"/>
      <c r="AJ49" s="252"/>
      <c r="AK49" s="252"/>
      <c r="AL49" s="252"/>
      <c r="AM49" s="252"/>
      <c r="AN49" s="252"/>
      <c r="AO49" s="252"/>
      <c r="AP49" s="252"/>
      <c r="AQ49" s="252"/>
    </row>
    <row r="50" spans="1:43">
      <c r="A50" s="252"/>
      <c r="B50" s="252"/>
      <c r="C50" s="252"/>
      <c r="D50" s="252"/>
      <c r="E50" s="252"/>
      <c r="F50" s="252"/>
      <c r="G50" s="252"/>
      <c r="H50" s="252"/>
      <c r="I50" s="252"/>
      <c r="J50" s="252"/>
      <c r="M50" s="252"/>
      <c r="N50" s="252"/>
      <c r="O50" s="252"/>
      <c r="P50" s="252"/>
      <c r="Q50" s="252"/>
      <c r="R50" s="252"/>
      <c r="S50" s="252"/>
      <c r="T50" s="252"/>
      <c r="U50" s="252"/>
      <c r="V50" s="252"/>
      <c r="W50" s="252"/>
      <c r="X50" s="252"/>
      <c r="Y50" s="252"/>
      <c r="Z50" s="252"/>
      <c r="AA50" s="252"/>
      <c r="AB50" s="252"/>
      <c r="AC50" s="252"/>
      <c r="AD50" s="252"/>
      <c r="AE50" s="252"/>
      <c r="AF50" s="252"/>
      <c r="AG50" s="252"/>
      <c r="AH50" s="252"/>
      <c r="AI50" s="252"/>
      <c r="AJ50" s="252"/>
      <c r="AK50" s="252"/>
      <c r="AL50" s="252"/>
      <c r="AM50" s="252"/>
      <c r="AN50" s="252"/>
      <c r="AO50" s="252"/>
      <c r="AP50" s="252"/>
      <c r="AQ50" s="252"/>
    </row>
    <row r="51" spans="1:43">
      <c r="A51" s="252"/>
      <c r="B51" s="252"/>
      <c r="C51" s="252"/>
      <c r="D51" s="252"/>
      <c r="E51" s="252"/>
      <c r="F51" s="252"/>
      <c r="G51" s="252"/>
      <c r="H51" s="252"/>
      <c r="I51" s="252"/>
      <c r="J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</row>
    <row r="52" spans="1:43">
      <c r="A52" s="252"/>
      <c r="B52" s="252"/>
      <c r="C52" s="252"/>
      <c r="D52" s="252"/>
      <c r="E52" s="252"/>
      <c r="F52" s="252"/>
      <c r="G52" s="252"/>
      <c r="H52" s="252"/>
      <c r="I52" s="252"/>
      <c r="J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52"/>
      <c r="AK52" s="252"/>
      <c r="AL52" s="252"/>
      <c r="AM52" s="252"/>
      <c r="AN52" s="252"/>
      <c r="AO52" s="252"/>
      <c r="AP52" s="252"/>
      <c r="AQ52" s="252"/>
    </row>
    <row r="53" spans="1:43">
      <c r="A53" s="252"/>
      <c r="B53" s="252"/>
      <c r="C53" s="252"/>
      <c r="D53" s="252"/>
      <c r="E53" s="252"/>
      <c r="F53" s="252"/>
      <c r="G53" s="252"/>
      <c r="H53" s="252"/>
      <c r="I53" s="252"/>
      <c r="J53" s="252"/>
      <c r="M53" s="252"/>
      <c r="N53" s="252"/>
      <c r="O53" s="252"/>
      <c r="P53" s="252"/>
      <c r="Q53" s="252"/>
      <c r="R53" s="252"/>
      <c r="S53" s="252"/>
      <c r="T53" s="252"/>
      <c r="U53" s="252"/>
      <c r="V53" s="252"/>
      <c r="W53" s="252"/>
      <c r="X53" s="252"/>
      <c r="Y53" s="252"/>
      <c r="Z53" s="252"/>
      <c r="AA53" s="252"/>
      <c r="AB53" s="252"/>
      <c r="AC53" s="252"/>
      <c r="AD53" s="252"/>
      <c r="AE53" s="252"/>
      <c r="AF53" s="252"/>
      <c r="AG53" s="252"/>
      <c r="AH53" s="252"/>
      <c r="AI53" s="252"/>
      <c r="AJ53" s="252"/>
      <c r="AK53" s="252"/>
      <c r="AL53" s="252"/>
      <c r="AM53" s="252"/>
      <c r="AN53" s="252"/>
      <c r="AO53" s="252"/>
      <c r="AP53" s="252"/>
      <c r="AQ53" s="252"/>
    </row>
    <row r="54" spans="1:43">
      <c r="A54" s="252"/>
      <c r="B54" s="252"/>
      <c r="C54" s="252"/>
      <c r="D54" s="252"/>
      <c r="E54" s="252"/>
      <c r="F54" s="252"/>
      <c r="G54" s="252"/>
      <c r="H54" s="252"/>
      <c r="I54" s="252"/>
      <c r="J54" s="252"/>
      <c r="M54" s="252"/>
      <c r="N54" s="252"/>
      <c r="O54" s="252"/>
      <c r="P54" s="252"/>
      <c r="Q54" s="252"/>
      <c r="R54" s="252"/>
      <c r="S54" s="252"/>
      <c r="T54" s="252"/>
      <c r="U54" s="252"/>
      <c r="V54" s="252"/>
      <c r="W54" s="252"/>
      <c r="X54" s="252"/>
      <c r="Y54" s="252"/>
      <c r="Z54" s="252"/>
      <c r="AA54" s="252"/>
      <c r="AB54" s="252"/>
      <c r="AC54" s="252"/>
      <c r="AD54" s="252"/>
      <c r="AE54" s="252"/>
      <c r="AF54" s="252"/>
      <c r="AG54" s="252"/>
      <c r="AH54" s="252"/>
      <c r="AI54" s="252"/>
      <c r="AJ54" s="252"/>
      <c r="AK54" s="252"/>
      <c r="AL54" s="252"/>
      <c r="AM54" s="252"/>
      <c r="AN54" s="252"/>
      <c r="AO54" s="252"/>
      <c r="AP54" s="252"/>
      <c r="AQ54" s="252"/>
    </row>
    <row r="55" spans="1:43">
      <c r="A55" s="252"/>
      <c r="B55" s="252"/>
      <c r="C55" s="252"/>
      <c r="D55" s="252"/>
      <c r="E55" s="252"/>
      <c r="F55" s="252"/>
      <c r="G55" s="252"/>
      <c r="H55" s="252"/>
      <c r="I55" s="252"/>
      <c r="J55" s="252"/>
      <c r="M55" s="252"/>
      <c r="N55" s="252"/>
      <c r="O55" s="252"/>
      <c r="P55" s="252"/>
      <c r="Q55" s="252"/>
      <c r="R55" s="252"/>
      <c r="S55" s="252"/>
      <c r="T55" s="252"/>
      <c r="U55" s="252"/>
      <c r="V55" s="252"/>
      <c r="W55" s="252"/>
      <c r="X55" s="252"/>
      <c r="Y55" s="252"/>
      <c r="Z55" s="252"/>
      <c r="AA55" s="252"/>
      <c r="AB55" s="252"/>
      <c r="AC55" s="252"/>
      <c r="AD55" s="252"/>
      <c r="AE55" s="252"/>
      <c r="AF55" s="252"/>
      <c r="AG55" s="252"/>
      <c r="AH55" s="252"/>
      <c r="AI55" s="252"/>
      <c r="AJ55" s="252"/>
      <c r="AK55" s="252"/>
      <c r="AL55" s="252"/>
      <c r="AM55" s="252"/>
      <c r="AN55" s="252"/>
      <c r="AO55" s="252"/>
      <c r="AP55" s="252"/>
      <c r="AQ55" s="252"/>
    </row>
    <row r="56" spans="1:43">
      <c r="A56" s="252"/>
      <c r="B56" s="252"/>
      <c r="C56" s="252"/>
      <c r="D56" s="252"/>
      <c r="E56" s="252"/>
      <c r="F56" s="252"/>
      <c r="G56" s="252"/>
      <c r="H56" s="252"/>
      <c r="I56" s="252"/>
      <c r="J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</row>
    <row r="57" spans="1:43">
      <c r="A57" s="252"/>
      <c r="B57" s="252"/>
      <c r="C57" s="252"/>
      <c r="D57" s="252"/>
      <c r="E57" s="252"/>
      <c r="F57" s="252"/>
      <c r="G57" s="252"/>
      <c r="H57" s="252"/>
      <c r="I57" s="252"/>
      <c r="J57" s="252"/>
      <c r="M57" s="252"/>
      <c r="N57" s="252"/>
      <c r="O57" s="252"/>
      <c r="P57" s="252"/>
      <c r="Q57" s="252"/>
      <c r="R57" s="252"/>
      <c r="S57" s="252"/>
      <c r="T57" s="252"/>
      <c r="U57" s="252"/>
      <c r="V57" s="252"/>
      <c r="W57" s="252"/>
      <c r="X57" s="252"/>
      <c r="Y57" s="252"/>
      <c r="Z57" s="252"/>
      <c r="AA57" s="252"/>
      <c r="AB57" s="252"/>
      <c r="AC57" s="252"/>
      <c r="AD57" s="252"/>
      <c r="AE57" s="252"/>
      <c r="AF57" s="252"/>
      <c r="AG57" s="252"/>
      <c r="AH57" s="252"/>
      <c r="AI57" s="252"/>
      <c r="AJ57" s="252"/>
      <c r="AK57" s="252"/>
      <c r="AL57" s="252"/>
      <c r="AM57" s="252"/>
      <c r="AN57" s="252"/>
      <c r="AO57" s="252"/>
      <c r="AP57" s="252"/>
      <c r="AQ57" s="252"/>
    </row>
    <row r="58" spans="1:43">
      <c r="A58" s="252"/>
      <c r="B58" s="252"/>
      <c r="C58" s="252"/>
      <c r="D58" s="252"/>
      <c r="E58" s="252"/>
      <c r="F58" s="252"/>
      <c r="G58" s="252"/>
      <c r="H58" s="252"/>
      <c r="I58" s="252"/>
      <c r="J58" s="252"/>
      <c r="M58" s="252"/>
      <c r="N58" s="252"/>
      <c r="O58" s="252"/>
      <c r="P58" s="252"/>
      <c r="Q58" s="252"/>
      <c r="R58" s="252"/>
      <c r="S58" s="252"/>
      <c r="T58" s="252"/>
      <c r="U58" s="252"/>
      <c r="V58" s="252"/>
      <c r="W58" s="252"/>
      <c r="X58" s="252"/>
      <c r="Y58" s="252"/>
      <c r="Z58" s="252"/>
      <c r="AA58" s="252"/>
      <c r="AB58" s="252"/>
      <c r="AC58" s="252"/>
      <c r="AD58" s="252"/>
      <c r="AE58" s="252"/>
      <c r="AF58" s="252"/>
      <c r="AG58" s="252"/>
      <c r="AH58" s="252"/>
      <c r="AI58" s="252"/>
      <c r="AJ58" s="252"/>
      <c r="AK58" s="252"/>
      <c r="AL58" s="252"/>
      <c r="AM58" s="252"/>
      <c r="AN58" s="252"/>
      <c r="AO58" s="252"/>
      <c r="AP58" s="252"/>
      <c r="AQ58" s="252"/>
    </row>
    <row r="59" spans="1:43">
      <c r="A59" s="252"/>
      <c r="B59" s="252"/>
      <c r="C59" s="252"/>
      <c r="D59" s="252"/>
      <c r="E59" s="252"/>
      <c r="F59" s="252"/>
      <c r="G59" s="252"/>
      <c r="H59" s="252"/>
      <c r="I59" s="252"/>
      <c r="J59" s="252"/>
      <c r="M59" s="252"/>
      <c r="N59" s="252"/>
      <c r="O59" s="252"/>
      <c r="P59" s="252"/>
      <c r="Q59" s="252"/>
      <c r="R59" s="252"/>
      <c r="S59" s="252"/>
      <c r="T59" s="252"/>
      <c r="U59" s="252"/>
      <c r="V59" s="252"/>
      <c r="W59" s="252"/>
      <c r="X59" s="252"/>
      <c r="Y59" s="252"/>
      <c r="Z59" s="252"/>
      <c r="AA59" s="252"/>
      <c r="AB59" s="252"/>
      <c r="AC59" s="252"/>
      <c r="AD59" s="252"/>
      <c r="AE59" s="252"/>
      <c r="AF59" s="252"/>
      <c r="AG59" s="252"/>
      <c r="AH59" s="252"/>
      <c r="AI59" s="252"/>
      <c r="AJ59" s="252"/>
      <c r="AK59" s="252"/>
      <c r="AL59" s="252"/>
      <c r="AM59" s="252"/>
      <c r="AN59" s="252"/>
      <c r="AO59" s="252"/>
      <c r="AP59" s="252"/>
      <c r="AQ59" s="252"/>
    </row>
    <row r="60" spans="1:43">
      <c r="A60" s="252"/>
      <c r="B60" s="252"/>
      <c r="C60" s="252"/>
      <c r="D60" s="252"/>
      <c r="E60" s="252"/>
      <c r="F60" s="252"/>
      <c r="G60" s="252"/>
      <c r="H60" s="252"/>
      <c r="I60" s="252"/>
      <c r="J60" s="252"/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  <c r="AA60" s="252"/>
      <c r="AB60" s="252"/>
      <c r="AC60" s="252"/>
      <c r="AD60" s="252"/>
      <c r="AE60" s="252"/>
      <c r="AF60" s="252"/>
      <c r="AG60" s="252"/>
      <c r="AH60" s="252"/>
      <c r="AI60" s="252"/>
      <c r="AJ60" s="252"/>
      <c r="AK60" s="252"/>
      <c r="AL60" s="252"/>
      <c r="AM60" s="252"/>
      <c r="AN60" s="252"/>
      <c r="AO60" s="252"/>
      <c r="AP60" s="252"/>
      <c r="AQ60" s="252"/>
    </row>
    <row r="61" spans="1:43">
      <c r="A61" s="252"/>
      <c r="B61" s="252"/>
      <c r="C61" s="252"/>
      <c r="D61" s="252"/>
      <c r="E61" s="252"/>
      <c r="F61" s="252"/>
      <c r="G61" s="252"/>
      <c r="H61" s="252"/>
      <c r="I61" s="252"/>
      <c r="J61" s="252"/>
      <c r="M61" s="252"/>
      <c r="N61" s="252"/>
      <c r="O61" s="252"/>
      <c r="P61" s="252"/>
      <c r="Q61" s="252"/>
      <c r="R61" s="252"/>
      <c r="S61" s="252"/>
      <c r="T61" s="252"/>
      <c r="U61" s="252"/>
      <c r="V61" s="252"/>
      <c r="W61" s="252"/>
      <c r="X61" s="252"/>
      <c r="Y61" s="252"/>
      <c r="Z61" s="252"/>
      <c r="AA61" s="252"/>
      <c r="AB61" s="252"/>
      <c r="AC61" s="252"/>
      <c r="AD61" s="252"/>
      <c r="AE61" s="252"/>
      <c r="AF61" s="252"/>
      <c r="AG61" s="252"/>
      <c r="AH61" s="252"/>
      <c r="AI61" s="252"/>
      <c r="AJ61" s="252"/>
      <c r="AK61" s="252"/>
      <c r="AL61" s="252"/>
      <c r="AM61" s="252"/>
      <c r="AN61" s="252"/>
      <c r="AO61" s="252"/>
      <c r="AP61" s="252"/>
      <c r="AQ61" s="252"/>
    </row>
    <row r="62" spans="1:43">
      <c r="A62" s="252"/>
      <c r="B62" s="252"/>
      <c r="C62" s="252"/>
      <c r="D62" s="252"/>
      <c r="E62" s="252"/>
      <c r="F62" s="252"/>
      <c r="G62" s="252"/>
      <c r="H62" s="252"/>
      <c r="I62" s="252"/>
      <c r="J62" s="252"/>
      <c r="M62" s="252"/>
      <c r="N62" s="252"/>
      <c r="O62" s="252"/>
      <c r="P62" s="252"/>
      <c r="Q62" s="252"/>
      <c r="R62" s="252"/>
      <c r="S62" s="252"/>
      <c r="T62" s="252"/>
      <c r="U62" s="252"/>
      <c r="V62" s="252"/>
      <c r="W62" s="252"/>
      <c r="X62" s="252"/>
      <c r="Y62" s="252"/>
      <c r="Z62" s="252"/>
      <c r="AA62" s="252"/>
      <c r="AB62" s="252"/>
      <c r="AC62" s="252"/>
      <c r="AD62" s="252"/>
      <c r="AE62" s="252"/>
      <c r="AF62" s="252"/>
      <c r="AG62" s="252"/>
      <c r="AH62" s="252"/>
      <c r="AI62" s="252"/>
      <c r="AJ62" s="252"/>
      <c r="AK62" s="252"/>
      <c r="AL62" s="252"/>
      <c r="AM62" s="252"/>
      <c r="AN62" s="252"/>
      <c r="AO62" s="252"/>
      <c r="AP62" s="252"/>
      <c r="AQ62" s="252"/>
    </row>
    <row r="63" spans="1:43">
      <c r="A63" s="252"/>
      <c r="B63" s="252"/>
      <c r="C63" s="252"/>
      <c r="D63" s="252"/>
      <c r="E63" s="252"/>
      <c r="F63" s="252"/>
      <c r="G63" s="252"/>
      <c r="H63" s="252"/>
      <c r="I63" s="252"/>
      <c r="J63" s="252"/>
      <c r="M63" s="252"/>
      <c r="N63" s="252"/>
      <c r="O63" s="252"/>
      <c r="P63" s="252"/>
      <c r="Q63" s="252"/>
      <c r="R63" s="252"/>
      <c r="S63" s="252"/>
      <c r="T63" s="252"/>
      <c r="U63" s="252"/>
      <c r="V63" s="252"/>
      <c r="W63" s="252"/>
      <c r="X63" s="252"/>
      <c r="Y63" s="252"/>
      <c r="Z63" s="252"/>
      <c r="AA63" s="252"/>
      <c r="AB63" s="252"/>
      <c r="AC63" s="252"/>
      <c r="AD63" s="252"/>
      <c r="AE63" s="252"/>
      <c r="AF63" s="252"/>
      <c r="AG63" s="252"/>
      <c r="AH63" s="252"/>
      <c r="AI63" s="252"/>
      <c r="AJ63" s="252"/>
      <c r="AK63" s="252"/>
      <c r="AL63" s="252"/>
      <c r="AM63" s="252"/>
      <c r="AN63" s="252"/>
      <c r="AO63" s="252"/>
      <c r="AP63" s="252"/>
      <c r="AQ63" s="252"/>
    </row>
    <row r="64" spans="1:43">
      <c r="A64" s="252"/>
      <c r="B64" s="252"/>
      <c r="C64" s="252"/>
      <c r="D64" s="252"/>
      <c r="E64" s="252"/>
      <c r="F64" s="252"/>
      <c r="G64" s="252"/>
      <c r="H64" s="252"/>
      <c r="I64" s="252"/>
      <c r="J64" s="252"/>
      <c r="M64" s="252"/>
      <c r="N64" s="252"/>
      <c r="O64" s="252"/>
      <c r="P64" s="252"/>
      <c r="Q64" s="252"/>
      <c r="R64" s="252"/>
      <c r="S64" s="252"/>
      <c r="T64" s="252"/>
      <c r="U64" s="252"/>
      <c r="V64" s="252"/>
      <c r="W64" s="252"/>
      <c r="X64" s="252"/>
      <c r="Y64" s="252"/>
      <c r="Z64" s="252"/>
      <c r="AA64" s="252"/>
      <c r="AB64" s="252"/>
      <c r="AC64" s="252"/>
      <c r="AD64" s="252"/>
      <c r="AE64" s="252"/>
      <c r="AF64" s="252"/>
      <c r="AG64" s="252"/>
      <c r="AH64" s="252"/>
      <c r="AI64" s="252"/>
      <c r="AJ64" s="252"/>
      <c r="AK64" s="252"/>
      <c r="AL64" s="252"/>
      <c r="AM64" s="252"/>
      <c r="AN64" s="252"/>
      <c r="AO64" s="252"/>
      <c r="AP64" s="252"/>
      <c r="AQ64" s="252"/>
    </row>
    <row r="65" spans="1:43">
      <c r="A65" s="252"/>
      <c r="B65" s="252"/>
      <c r="C65" s="252"/>
      <c r="D65" s="252"/>
      <c r="E65" s="252"/>
      <c r="F65" s="252"/>
      <c r="G65" s="252"/>
      <c r="H65" s="252"/>
      <c r="I65" s="252"/>
      <c r="J65" s="252"/>
      <c r="M65" s="252"/>
      <c r="N65" s="252"/>
      <c r="O65" s="252"/>
      <c r="P65" s="252"/>
      <c r="Q65" s="252"/>
      <c r="R65" s="252"/>
      <c r="S65" s="252"/>
      <c r="T65" s="252"/>
      <c r="U65" s="252"/>
      <c r="V65" s="252"/>
      <c r="W65" s="252"/>
      <c r="X65" s="252"/>
      <c r="Y65" s="252"/>
      <c r="Z65" s="252"/>
      <c r="AA65" s="252"/>
      <c r="AB65" s="252"/>
      <c r="AC65" s="252"/>
      <c r="AD65" s="252"/>
      <c r="AE65" s="252"/>
      <c r="AF65" s="252"/>
      <c r="AG65" s="252"/>
      <c r="AH65" s="252"/>
      <c r="AI65" s="252"/>
      <c r="AJ65" s="252"/>
      <c r="AK65" s="252"/>
      <c r="AL65" s="252"/>
      <c r="AM65" s="252"/>
      <c r="AN65" s="252"/>
      <c r="AO65" s="252"/>
      <c r="AP65" s="252"/>
      <c r="AQ65" s="252"/>
    </row>
    <row r="66" spans="1:43">
      <c r="A66" s="252"/>
      <c r="B66" s="252"/>
      <c r="C66" s="252"/>
      <c r="D66" s="252"/>
      <c r="E66" s="252"/>
      <c r="F66" s="252"/>
      <c r="G66" s="252"/>
      <c r="H66" s="252"/>
      <c r="I66" s="252"/>
      <c r="J66" s="252"/>
      <c r="M66" s="252"/>
      <c r="N66" s="252"/>
      <c r="O66" s="252"/>
      <c r="P66" s="252"/>
      <c r="Q66" s="252"/>
      <c r="R66" s="252"/>
      <c r="S66" s="252"/>
      <c r="T66" s="252"/>
      <c r="U66" s="252"/>
      <c r="V66" s="252"/>
      <c r="W66" s="252"/>
      <c r="X66" s="252"/>
      <c r="Y66" s="252"/>
      <c r="Z66" s="252"/>
      <c r="AA66" s="252"/>
      <c r="AB66" s="252"/>
      <c r="AC66" s="252"/>
      <c r="AD66" s="252"/>
      <c r="AE66" s="252"/>
      <c r="AF66" s="252"/>
      <c r="AG66" s="252"/>
      <c r="AH66" s="252"/>
      <c r="AI66" s="252"/>
      <c r="AJ66" s="252"/>
      <c r="AK66" s="252"/>
      <c r="AL66" s="252"/>
      <c r="AM66" s="252"/>
      <c r="AN66" s="252"/>
      <c r="AO66" s="252"/>
      <c r="AP66" s="252"/>
      <c r="AQ66" s="252"/>
    </row>
    <row r="67" spans="1:43">
      <c r="A67" s="252"/>
      <c r="B67" s="252"/>
      <c r="C67" s="252"/>
      <c r="D67" s="252"/>
      <c r="E67" s="252"/>
      <c r="F67" s="252"/>
      <c r="G67" s="252"/>
      <c r="H67" s="252"/>
      <c r="I67" s="252"/>
      <c r="J67" s="252"/>
      <c r="M67" s="252"/>
      <c r="N67" s="252"/>
      <c r="O67" s="252"/>
      <c r="P67" s="252"/>
      <c r="Q67" s="252"/>
      <c r="R67" s="252"/>
      <c r="S67" s="252"/>
      <c r="T67" s="252"/>
      <c r="U67" s="252"/>
      <c r="V67" s="252"/>
      <c r="W67" s="252"/>
      <c r="X67" s="252"/>
      <c r="Y67" s="252"/>
      <c r="Z67" s="252"/>
      <c r="AA67" s="252"/>
      <c r="AB67" s="252"/>
      <c r="AC67" s="252"/>
      <c r="AD67" s="252"/>
      <c r="AE67" s="252"/>
      <c r="AF67" s="252"/>
      <c r="AG67" s="252"/>
      <c r="AH67" s="252"/>
      <c r="AI67" s="252"/>
      <c r="AJ67" s="252"/>
      <c r="AK67" s="252"/>
      <c r="AL67" s="252"/>
      <c r="AM67" s="252"/>
      <c r="AN67" s="252"/>
      <c r="AO67" s="252"/>
      <c r="AP67" s="252"/>
      <c r="AQ67" s="252"/>
    </row>
    <row r="68" spans="1:43">
      <c r="A68" s="252"/>
      <c r="B68" s="252"/>
      <c r="C68" s="252"/>
      <c r="D68" s="252"/>
      <c r="E68" s="252"/>
      <c r="F68" s="252"/>
      <c r="G68" s="252"/>
      <c r="H68" s="252"/>
      <c r="I68" s="252"/>
      <c r="J68" s="252"/>
      <c r="M68" s="252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/>
      <c r="AE68" s="252"/>
      <c r="AF68" s="252"/>
      <c r="AG68" s="252"/>
      <c r="AH68" s="252"/>
      <c r="AI68" s="252"/>
      <c r="AJ68" s="252"/>
      <c r="AK68" s="252"/>
      <c r="AL68" s="252"/>
      <c r="AM68" s="252"/>
      <c r="AN68" s="252"/>
      <c r="AO68" s="252"/>
      <c r="AP68" s="252"/>
      <c r="AQ68" s="252"/>
    </row>
    <row r="69" spans="1:43">
      <c r="A69" s="252"/>
      <c r="B69" s="252"/>
      <c r="C69" s="252"/>
      <c r="D69" s="252"/>
      <c r="E69" s="252"/>
      <c r="F69" s="252"/>
      <c r="G69" s="252"/>
      <c r="H69" s="252"/>
      <c r="I69" s="252"/>
      <c r="J69" s="252"/>
      <c r="M69" s="252"/>
      <c r="N69" s="252"/>
      <c r="O69" s="252"/>
      <c r="P69" s="252"/>
      <c r="Q69" s="252"/>
      <c r="R69" s="252"/>
      <c r="S69" s="252"/>
      <c r="T69" s="252"/>
      <c r="U69" s="252"/>
      <c r="V69" s="252"/>
      <c r="W69" s="252"/>
      <c r="X69" s="252"/>
      <c r="Y69" s="252"/>
      <c r="Z69" s="252"/>
      <c r="AA69" s="252"/>
      <c r="AB69" s="252"/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</row>
    <row r="70" spans="1:43" hidden="1">
      <c r="A70" s="252"/>
      <c r="B70" s="252"/>
      <c r="C70" s="252"/>
      <c r="D70" s="252"/>
      <c r="E70" s="252"/>
      <c r="F70" s="252"/>
      <c r="G70" s="252"/>
      <c r="H70" s="252"/>
      <c r="I70" s="252"/>
      <c r="J70" s="252"/>
      <c r="K70" s="252"/>
      <c r="L70" s="252"/>
      <c r="M70" s="465" t="s">
        <v>388</v>
      </c>
      <c r="N70" s="252"/>
      <c r="O70" s="252"/>
      <c r="P70" s="252"/>
      <c r="Q70" s="252"/>
      <c r="R70" s="252"/>
      <c r="S70" s="252"/>
      <c r="T70" s="252"/>
      <c r="U70" s="252"/>
      <c r="V70" s="252"/>
      <c r="W70" s="252"/>
      <c r="X70" s="252"/>
      <c r="Y70" s="252"/>
      <c r="Z70" s="252"/>
      <c r="AA70" s="252"/>
      <c r="AB70" s="252"/>
      <c r="AC70" s="252"/>
      <c r="AD70" s="252"/>
      <c r="AE70" s="252"/>
      <c r="AF70" s="252"/>
      <c r="AG70" s="252"/>
      <c r="AH70" s="252"/>
      <c r="AI70" s="252"/>
      <c r="AJ70" s="252"/>
      <c r="AK70" s="252"/>
      <c r="AL70" s="252"/>
      <c r="AM70" s="252"/>
      <c r="AN70" s="252"/>
      <c r="AO70" s="252"/>
      <c r="AP70" s="252"/>
      <c r="AQ70" s="252"/>
    </row>
    <row r="71" spans="1:43" hidden="1">
      <c r="A71" s="252"/>
      <c r="B71" s="252"/>
      <c r="C71" s="252"/>
      <c r="D71" s="252"/>
      <c r="E71" s="252"/>
      <c r="F71" s="252"/>
      <c r="G71" s="252"/>
      <c r="H71" s="252"/>
      <c r="I71" s="252"/>
      <c r="J71" s="252"/>
      <c r="K71" s="252"/>
      <c r="L71" s="252"/>
      <c r="M71" s="252" t="s">
        <v>384</v>
      </c>
      <c r="N71" s="478">
        <f>N84</f>
        <v>630</v>
      </c>
      <c r="O71" s="252" t="s">
        <v>2</v>
      </c>
      <c r="P71" s="252"/>
      <c r="Q71" s="252"/>
      <c r="R71" s="465"/>
      <c r="S71" s="252"/>
      <c r="T71" s="252"/>
      <c r="U71" s="252"/>
      <c r="V71" s="252"/>
      <c r="W71" s="252"/>
      <c r="X71" s="252"/>
      <c r="Y71" s="252"/>
      <c r="Z71" s="252"/>
      <c r="AA71" s="252"/>
      <c r="AB71" s="252"/>
      <c r="AC71" s="252"/>
      <c r="AD71" s="252"/>
      <c r="AE71" s="252"/>
      <c r="AF71" s="252"/>
      <c r="AG71" s="252"/>
      <c r="AH71" s="252"/>
      <c r="AI71" s="252"/>
      <c r="AJ71" s="252"/>
      <c r="AK71" s="252"/>
      <c r="AL71" s="252"/>
      <c r="AM71" s="252"/>
      <c r="AN71" s="252"/>
      <c r="AO71" s="252"/>
      <c r="AP71" s="252"/>
      <c r="AQ71" s="252"/>
    </row>
    <row r="72" spans="1:43" hidden="1">
      <c r="A72" s="252"/>
      <c r="B72" s="252"/>
      <c r="C72" s="252"/>
      <c r="D72" s="252"/>
      <c r="E72" s="252"/>
      <c r="F72" s="252"/>
      <c r="G72" s="252"/>
      <c r="H72" s="252"/>
      <c r="I72" s="252"/>
      <c r="J72" s="252"/>
      <c r="K72" s="252"/>
      <c r="L72" s="252"/>
      <c r="M72" s="252" t="s">
        <v>385</v>
      </c>
      <c r="N72" s="252">
        <f>((N71/(3600*N73))*100)/N74</f>
        <v>0.05</v>
      </c>
      <c r="O72" s="252" t="s">
        <v>3</v>
      </c>
      <c r="P72" s="252"/>
      <c r="Q72" s="252"/>
      <c r="R72" s="252"/>
      <c r="S72" s="252"/>
      <c r="T72" s="252"/>
      <c r="U72" s="252"/>
      <c r="V72" s="252"/>
      <c r="W72" s="252"/>
      <c r="X72" s="252"/>
      <c r="Y72" s="252"/>
      <c r="Z72" s="252"/>
      <c r="AA72" s="252"/>
      <c r="AB72" s="252"/>
      <c r="AC72" s="252"/>
      <c r="AD72" s="252"/>
      <c r="AE72" s="252"/>
      <c r="AF72" s="252"/>
      <c r="AG72" s="252"/>
      <c r="AH72" s="252"/>
      <c r="AI72" s="252"/>
      <c r="AJ72" s="252"/>
      <c r="AK72" s="252"/>
      <c r="AL72" s="252"/>
      <c r="AM72" s="252"/>
      <c r="AN72" s="252"/>
      <c r="AO72" s="252"/>
      <c r="AP72" s="252"/>
      <c r="AQ72" s="252"/>
    </row>
    <row r="73" spans="1:43" hidden="1">
      <c r="A73" s="252"/>
      <c r="B73" s="252"/>
      <c r="C73" s="252"/>
      <c r="D73" s="252"/>
      <c r="E73" s="252"/>
      <c r="F73" s="252"/>
      <c r="G73" s="252"/>
      <c r="H73" s="252"/>
      <c r="I73" s="252"/>
      <c r="J73" s="252"/>
      <c r="K73" s="252"/>
      <c r="L73" s="252"/>
      <c r="M73" s="252" t="s">
        <v>382</v>
      </c>
      <c r="N73" s="380">
        <f>N86</f>
        <v>3.5</v>
      </c>
      <c r="O73" s="474" t="s">
        <v>122</v>
      </c>
      <c r="P73" s="252"/>
      <c r="Q73" s="252"/>
      <c r="R73" s="459" t="s">
        <v>392</v>
      </c>
      <c r="S73" s="459">
        <v>1260</v>
      </c>
      <c r="T73" s="252"/>
      <c r="U73" s="252"/>
      <c r="V73" s="252"/>
      <c r="W73" s="3557" t="s">
        <v>396</v>
      </c>
      <c r="X73" s="3558"/>
      <c r="Y73" s="252"/>
      <c r="Z73" s="252"/>
      <c r="AA73" s="252"/>
      <c r="AB73" s="252"/>
      <c r="AC73" s="252"/>
      <c r="AD73" s="252"/>
      <c r="AE73" s="252"/>
      <c r="AF73" s="252"/>
      <c r="AG73" s="252"/>
      <c r="AH73" s="252"/>
      <c r="AI73" s="252"/>
      <c r="AJ73" s="252"/>
      <c r="AK73" s="252"/>
      <c r="AL73" s="252"/>
      <c r="AM73" s="252"/>
      <c r="AN73" s="252"/>
      <c r="AO73" s="252"/>
      <c r="AP73" s="252"/>
      <c r="AQ73" s="252"/>
    </row>
    <row r="74" spans="1:43" hidden="1">
      <c r="A74" s="252"/>
      <c r="B74" s="252"/>
      <c r="C74" s="252"/>
      <c r="D74" s="252"/>
      <c r="E74" s="252"/>
      <c r="F74" s="252"/>
      <c r="G74" s="252"/>
      <c r="H74" s="252"/>
      <c r="I74" s="252"/>
      <c r="J74" s="252"/>
      <c r="K74" s="252"/>
      <c r="L74" s="465" t="s">
        <v>389</v>
      </c>
      <c r="M74" s="465"/>
      <c r="N74" s="252">
        <v>100</v>
      </c>
      <c r="O74" s="465"/>
      <c r="P74" s="465"/>
      <c r="Q74" s="252"/>
      <c r="R74" s="459" t="s">
        <v>391</v>
      </c>
      <c r="S74" s="479">
        <f>N85</f>
        <v>3</v>
      </c>
      <c r="T74" s="252"/>
      <c r="U74" s="252"/>
      <c r="V74" s="252"/>
      <c r="W74" s="3559" t="s">
        <v>393</v>
      </c>
      <c r="X74" s="3560"/>
      <c r="Y74" s="252"/>
      <c r="Z74" s="252"/>
      <c r="AA74" s="252"/>
      <c r="AB74" s="252"/>
      <c r="AC74" s="252"/>
      <c r="AD74" s="252"/>
      <c r="AE74" s="252"/>
      <c r="AF74" s="252"/>
      <c r="AG74" s="252"/>
      <c r="AH74" s="252"/>
      <c r="AI74" s="252"/>
      <c r="AJ74" s="252"/>
      <c r="AK74" s="252"/>
      <c r="AL74" s="252"/>
      <c r="AM74" s="252"/>
      <c r="AN74" s="252"/>
      <c r="AO74" s="252"/>
      <c r="AP74" s="252"/>
      <c r="AQ74" s="252"/>
    </row>
    <row r="75" spans="1:43" hidden="1">
      <c r="A75" s="252"/>
      <c r="B75" s="252"/>
      <c r="C75" s="252"/>
      <c r="D75" s="252"/>
      <c r="E75" s="252"/>
      <c r="F75" s="252"/>
      <c r="G75" s="252"/>
      <c r="H75" s="252"/>
      <c r="I75" s="252"/>
      <c r="J75" s="252"/>
      <c r="K75" s="252"/>
      <c r="L75" s="252"/>
      <c r="M75" s="252"/>
      <c r="N75" s="252"/>
      <c r="O75" s="252"/>
      <c r="P75" s="252"/>
      <c r="Q75" s="252"/>
      <c r="R75" s="459" t="s">
        <v>395</v>
      </c>
      <c r="S75" s="380">
        <f>N72/S74</f>
        <v>1.6666666666666666E-2</v>
      </c>
      <c r="T75" s="474" t="s">
        <v>3</v>
      </c>
      <c r="U75" s="252">
        <f>S75/3.14</f>
        <v>5.3078556263269636E-3</v>
      </c>
      <c r="V75" s="252">
        <f>(U75)^(1/2)</f>
        <v>7.2855031578655999E-2</v>
      </c>
      <c r="W75" s="380">
        <f>V75*2</f>
        <v>0.145710063157312</v>
      </c>
      <c r="X75" s="474" t="s">
        <v>156</v>
      </c>
      <c r="Y75" s="252"/>
      <c r="Z75" s="252"/>
      <c r="AA75" s="252"/>
      <c r="AB75" s="252"/>
      <c r="AC75" s="252"/>
      <c r="AD75" s="252"/>
      <c r="AE75" s="252"/>
      <c r="AF75" s="252"/>
      <c r="AG75" s="252"/>
      <c r="AH75" s="252"/>
      <c r="AI75" s="252"/>
      <c r="AJ75" s="252"/>
      <c r="AK75" s="252"/>
      <c r="AL75" s="252"/>
      <c r="AM75" s="252"/>
      <c r="AN75" s="252"/>
      <c r="AO75" s="252"/>
      <c r="AP75" s="252"/>
      <c r="AQ75" s="252"/>
    </row>
    <row r="76" spans="1:43" hidden="1">
      <c r="A76" s="252"/>
      <c r="B76" s="252"/>
      <c r="C76" s="252"/>
      <c r="D76" s="252"/>
      <c r="E76" s="252"/>
      <c r="F76" s="252"/>
      <c r="G76" s="252"/>
      <c r="H76" s="252"/>
      <c r="I76" s="252"/>
      <c r="J76" s="252"/>
      <c r="K76" s="252"/>
      <c r="L76" s="252"/>
      <c r="M76" s="252"/>
      <c r="N76" s="252"/>
      <c r="O76" s="252"/>
      <c r="P76" s="252"/>
      <c r="Q76" s="252"/>
      <c r="R76" s="252"/>
      <c r="S76" s="252"/>
      <c r="T76" s="252"/>
      <c r="U76" s="252"/>
      <c r="V76" s="252"/>
      <c r="W76" s="380">
        <f>W75*100</f>
        <v>14.5710063157312</v>
      </c>
      <c r="X76" s="474" t="s">
        <v>255</v>
      </c>
      <c r="Y76" s="252"/>
      <c r="Z76" s="252"/>
      <c r="AA76" s="252"/>
      <c r="AB76" s="252"/>
      <c r="AC76" s="252"/>
      <c r="AD76" s="252"/>
      <c r="AE76" s="252"/>
      <c r="AF76" s="252"/>
      <c r="AG76" s="252"/>
      <c r="AH76" s="252"/>
      <c r="AI76" s="252"/>
      <c r="AJ76" s="252"/>
      <c r="AK76" s="252"/>
      <c r="AL76" s="252"/>
      <c r="AM76" s="252"/>
      <c r="AN76" s="252"/>
      <c r="AO76" s="252"/>
      <c r="AP76" s="252"/>
      <c r="AQ76" s="252"/>
    </row>
    <row r="77" spans="1:43" hidden="1">
      <c r="A77" s="252"/>
      <c r="B77" s="252"/>
      <c r="C77" s="252"/>
      <c r="D77" s="252"/>
      <c r="E77" s="252"/>
      <c r="F77" s="252"/>
      <c r="G77" s="252"/>
      <c r="H77" s="252"/>
      <c r="I77" s="252"/>
      <c r="J77" s="252"/>
      <c r="K77" s="252"/>
      <c r="L77" s="252"/>
      <c r="M77" s="252"/>
      <c r="N77" s="478"/>
      <c r="O77" s="252"/>
      <c r="P77" s="252"/>
      <c r="Q77" s="252"/>
      <c r="R77" s="459" t="s">
        <v>394</v>
      </c>
      <c r="S77" s="252">
        <f>(S75)^(1/2)</f>
        <v>0.12909944487358055</v>
      </c>
      <c r="T77" s="252" t="s">
        <v>163</v>
      </c>
      <c r="U77" s="252"/>
      <c r="V77" s="252"/>
      <c r="W77" s="380">
        <f>W75*1000</f>
        <v>145.71006315731199</v>
      </c>
      <c r="X77" s="474" t="s">
        <v>5</v>
      </c>
      <c r="Y77" s="252"/>
      <c r="Z77" s="252"/>
      <c r="AA77" s="252"/>
      <c r="AB77" s="252"/>
      <c r="AC77" s="252"/>
      <c r="AD77" s="252"/>
      <c r="AE77" s="252"/>
      <c r="AF77" s="252"/>
      <c r="AG77" s="252"/>
      <c r="AH77" s="252"/>
      <c r="AI77" s="252"/>
      <c r="AJ77" s="252"/>
      <c r="AK77" s="252"/>
      <c r="AL77" s="252"/>
      <c r="AM77" s="252"/>
      <c r="AN77" s="252"/>
      <c r="AO77" s="252"/>
      <c r="AP77" s="252"/>
      <c r="AQ77" s="252"/>
    </row>
    <row r="78" spans="1:43" hidden="1">
      <c r="A78" s="252"/>
      <c r="B78" s="252"/>
      <c r="C78" s="252"/>
      <c r="D78" s="252"/>
      <c r="E78" s="252"/>
      <c r="F78" s="252"/>
      <c r="G78" s="252"/>
      <c r="H78" s="252"/>
      <c r="I78" s="252"/>
      <c r="J78" s="252"/>
      <c r="K78" s="252"/>
      <c r="L78" s="252"/>
      <c r="M78" s="252"/>
      <c r="N78" s="252"/>
      <c r="O78" s="252"/>
      <c r="P78" s="252"/>
      <c r="Q78" s="252"/>
      <c r="R78" s="252"/>
      <c r="S78" s="480">
        <f>S77*100</f>
        <v>12.909944487358056</v>
      </c>
      <c r="T78" s="252" t="s">
        <v>255</v>
      </c>
      <c r="U78" s="252"/>
      <c r="V78" s="252"/>
      <c r="W78" s="252"/>
      <c r="X78" s="252"/>
      <c r="Y78" s="252"/>
      <c r="Z78" s="252"/>
      <c r="AA78" s="252"/>
      <c r="AB78" s="252"/>
      <c r="AC78" s="252"/>
      <c r="AD78" s="252"/>
      <c r="AE78" s="252"/>
      <c r="AF78" s="252"/>
      <c r="AG78" s="252"/>
      <c r="AH78" s="252"/>
      <c r="AI78" s="252"/>
      <c r="AJ78" s="252"/>
      <c r="AK78" s="252"/>
      <c r="AL78" s="252"/>
      <c r="AM78" s="252"/>
      <c r="AN78" s="252"/>
      <c r="AO78" s="252"/>
      <c r="AP78" s="252"/>
      <c r="AQ78" s="252"/>
    </row>
    <row r="79" spans="1:43" hidden="1">
      <c r="A79" s="252"/>
      <c r="B79" s="252"/>
      <c r="C79" s="252"/>
      <c r="D79" s="252"/>
      <c r="E79" s="252"/>
      <c r="F79" s="252"/>
      <c r="G79" s="252"/>
      <c r="H79" s="252"/>
      <c r="I79" s="252"/>
      <c r="J79" s="252"/>
      <c r="K79" s="252"/>
      <c r="L79" s="252"/>
      <c r="M79" s="252"/>
      <c r="N79" s="252"/>
      <c r="O79" s="252"/>
      <c r="P79" s="252"/>
      <c r="Q79" s="252"/>
      <c r="R79" s="252"/>
      <c r="S79" s="252">
        <f>S77*1000</f>
        <v>129.09944487358055</v>
      </c>
      <c r="T79" s="252" t="s">
        <v>5</v>
      </c>
      <c r="U79" s="252"/>
      <c r="V79" s="252"/>
      <c r="W79" s="252"/>
      <c r="X79" s="252"/>
      <c r="Y79" s="252"/>
      <c r="Z79" s="252"/>
      <c r="AA79" s="252"/>
      <c r="AB79" s="252"/>
      <c r="AC79" s="252"/>
      <c r="AD79" s="252"/>
      <c r="AE79" s="252"/>
      <c r="AF79" s="252"/>
      <c r="AG79" s="252"/>
      <c r="AH79" s="252"/>
      <c r="AI79" s="252"/>
      <c r="AJ79" s="252"/>
      <c r="AK79" s="252"/>
      <c r="AL79" s="252"/>
      <c r="AM79" s="252"/>
      <c r="AN79" s="252"/>
      <c r="AO79" s="252"/>
      <c r="AP79" s="252"/>
      <c r="AQ79" s="252"/>
    </row>
    <row r="80" spans="1:43" hidden="1">
      <c r="A80" s="252"/>
      <c r="B80" s="252"/>
      <c r="C80" s="252"/>
      <c r="D80" s="252"/>
      <c r="E80" s="252"/>
      <c r="F80" s="252"/>
      <c r="G80" s="252"/>
      <c r="H80" s="252"/>
      <c r="I80" s="252"/>
      <c r="J80" s="252"/>
      <c r="K80" s="252"/>
      <c r="L80" s="465"/>
      <c r="M80" s="465"/>
      <c r="N80" s="252"/>
      <c r="O80" s="465"/>
      <c r="P80" s="465"/>
      <c r="Q80" s="252"/>
      <c r="R80" s="252"/>
      <c r="S80" s="252"/>
      <c r="T80" s="252"/>
      <c r="U80" s="252"/>
      <c r="V80" s="252"/>
      <c r="W80" s="252"/>
      <c r="X80" s="252"/>
      <c r="Y80" s="252"/>
      <c r="Z80" s="252"/>
      <c r="AA80" s="252"/>
      <c r="AB80" s="252"/>
      <c r="AC80" s="252"/>
      <c r="AD80" s="252"/>
      <c r="AE80" s="252"/>
      <c r="AF80" s="252"/>
      <c r="AG80" s="252"/>
      <c r="AH80" s="252"/>
      <c r="AI80" s="252"/>
      <c r="AJ80" s="252"/>
      <c r="AK80" s="252"/>
      <c r="AL80" s="252"/>
      <c r="AM80" s="252"/>
      <c r="AN80" s="252"/>
      <c r="AO80" s="252"/>
      <c r="AP80" s="252"/>
      <c r="AQ80" s="252"/>
    </row>
    <row r="81" spans="9:22" s="252" customFormat="1" hidden="1">
      <c r="S81" s="252">
        <f>S77*S77</f>
        <v>1.6666666666666663E-2</v>
      </c>
      <c r="T81" s="252" t="s">
        <v>3</v>
      </c>
    </row>
    <row r="82" spans="9:22" s="252" customFormat="1" hidden="1"/>
    <row r="83" spans="9:22" s="252" customFormat="1" ht="18.75">
      <c r="K83" s="3561" t="s">
        <v>1973</v>
      </c>
      <c r="L83" s="3561"/>
      <c r="M83" s="3561"/>
      <c r="N83" s="3561"/>
      <c r="O83" s="3561"/>
      <c r="P83" s="1858"/>
      <c r="R83" s="481" t="s">
        <v>705</v>
      </c>
      <c r="S83" s="376">
        <v>10</v>
      </c>
      <c r="T83" s="355" t="s">
        <v>397</v>
      </c>
      <c r="U83" s="356">
        <f>(S81/(S83/100))*100</f>
        <v>16.666666666666664</v>
      </c>
      <c r="V83" s="357" t="s">
        <v>397</v>
      </c>
    </row>
    <row r="84" spans="9:22" s="252" customFormat="1">
      <c r="L84" s="3562" t="s">
        <v>392</v>
      </c>
      <c r="M84" s="3563"/>
      <c r="N84" s="377">
        <v>630</v>
      </c>
      <c r="O84" s="364" t="s">
        <v>2</v>
      </c>
      <c r="P84" s="333"/>
      <c r="R84" s="481" t="s">
        <v>706</v>
      </c>
      <c r="S84" s="356">
        <f>S78</f>
        <v>12.909944487358056</v>
      </c>
      <c r="T84" s="472" t="s">
        <v>397</v>
      </c>
      <c r="U84" s="356">
        <f>S84</f>
        <v>12.909944487358056</v>
      </c>
      <c r="V84" s="357" t="s">
        <v>397</v>
      </c>
    </row>
    <row r="85" spans="9:22" s="252" customFormat="1">
      <c r="L85" s="3562" t="s">
        <v>391</v>
      </c>
      <c r="M85" s="3563"/>
      <c r="N85" s="376">
        <v>3</v>
      </c>
      <c r="O85" s="363"/>
      <c r="P85" s="333"/>
      <c r="R85" s="481" t="s">
        <v>704</v>
      </c>
      <c r="S85" s="356">
        <f>W76</f>
        <v>14.5710063157312</v>
      </c>
      <c r="T85" s="472" t="s">
        <v>397</v>
      </c>
    </row>
    <row r="86" spans="9:22" s="252" customFormat="1">
      <c r="M86" s="1484" t="s">
        <v>382</v>
      </c>
      <c r="N86" s="376">
        <v>3.5</v>
      </c>
      <c r="O86" s="363" t="s">
        <v>122</v>
      </c>
      <c r="P86" s="333"/>
    </row>
    <row r="87" spans="9:22" s="252" customFormat="1">
      <c r="I87" s="2330"/>
      <c r="J87" s="2330"/>
      <c r="K87" s="2330"/>
      <c r="L87" s="2330"/>
      <c r="M87" s="2330"/>
      <c r="N87" s="2330"/>
      <c r="O87" s="2330"/>
    </row>
    <row r="88" spans="9:22" s="252" customFormat="1"/>
    <row r="89" spans="9:22" s="252" customFormat="1"/>
    <row r="90" spans="9:22" s="252" customFormat="1"/>
    <row r="91" spans="9:22" s="252" customFormat="1"/>
    <row r="92" spans="9:22" s="252" customFormat="1"/>
    <row r="93" spans="9:22" s="252" customFormat="1"/>
    <row r="94" spans="9:22" s="252" customFormat="1"/>
    <row r="95" spans="9:22" s="252" customFormat="1"/>
    <row r="96" spans="9:22" s="252" customFormat="1"/>
    <row r="97" s="252" customFormat="1"/>
    <row r="98" s="252" customFormat="1"/>
    <row r="99" s="252" customFormat="1"/>
    <row r="100" s="252" customFormat="1"/>
    <row r="101" s="252" customFormat="1"/>
    <row r="102" s="252" customFormat="1"/>
    <row r="103" s="252" customFormat="1"/>
    <row r="104" s="252" customFormat="1"/>
    <row r="105" s="252" customFormat="1"/>
    <row r="106" s="252" customFormat="1"/>
    <row r="107" s="252" customFormat="1"/>
    <row r="108" s="252" customFormat="1"/>
    <row r="109" s="252" customFormat="1"/>
    <row r="110" s="252" customFormat="1"/>
    <row r="111" s="252" customFormat="1"/>
    <row r="112" s="252" customFormat="1"/>
    <row r="113" s="252" customFormat="1"/>
    <row r="114" s="252" customFormat="1"/>
    <row r="115" s="252" customFormat="1"/>
    <row r="116" s="252" customFormat="1"/>
    <row r="117" s="252" customFormat="1"/>
    <row r="118" s="252" customFormat="1"/>
    <row r="119" s="252" customFormat="1"/>
    <row r="120" s="252" customFormat="1"/>
    <row r="121" s="252" customFormat="1"/>
    <row r="122" s="252" customFormat="1"/>
    <row r="123" s="252" customFormat="1"/>
    <row r="124" s="252" customFormat="1"/>
    <row r="125" s="252" customFormat="1"/>
    <row r="126" s="252" customFormat="1"/>
    <row r="127" s="252" customFormat="1"/>
    <row r="128" s="252" customFormat="1"/>
    <row r="129" s="252" customFormat="1"/>
    <row r="130" s="252" customFormat="1"/>
    <row r="131" s="252" customFormat="1"/>
    <row r="132" s="252" customFormat="1"/>
    <row r="133" s="252" customFormat="1"/>
    <row r="134" s="252" customFormat="1"/>
    <row r="135" s="252" customFormat="1"/>
    <row r="136" s="252" customFormat="1"/>
    <row r="137" s="252" customFormat="1"/>
    <row r="138" s="252" customFormat="1"/>
    <row r="139" s="252" customFormat="1"/>
    <row r="140" s="252" customFormat="1"/>
    <row r="141" s="252" customFormat="1"/>
    <row r="142" s="252" customFormat="1"/>
    <row r="143" s="252" customFormat="1"/>
    <row r="144" s="252" customFormat="1"/>
    <row r="145" s="252" customFormat="1"/>
    <row r="146" s="252" customFormat="1"/>
    <row r="147" s="252" customFormat="1"/>
    <row r="148" s="252" customFormat="1"/>
    <row r="149" s="252" customFormat="1"/>
    <row r="150" s="252" customFormat="1"/>
    <row r="151" s="252" customFormat="1"/>
    <row r="152" s="252" customFormat="1"/>
    <row r="153" s="252" customFormat="1"/>
    <row r="154" s="252" customFormat="1"/>
    <row r="155" s="252" customFormat="1"/>
    <row r="156" s="252" customFormat="1"/>
    <row r="157" s="252" customFormat="1"/>
    <row r="158" s="252" customFormat="1"/>
    <row r="159" s="252" customFormat="1"/>
    <row r="160" s="252" customFormat="1"/>
    <row r="161" s="252" customFormat="1"/>
    <row r="162" s="252" customFormat="1"/>
    <row r="163" s="252" customFormat="1"/>
  </sheetData>
  <sheetProtection algorithmName="SHA-512" hashValue="NDI/GOD6jTDwPYg/95c/iUW/ZwFFV8FyO1CIznSyKprolMSk/j9KwpCA7Nm7dFt+k6RH9rskiYsfsV0+/aohLQ==" saltValue="raVychp6xVNXwkCbbkgFDg==" spinCount="100000" sheet="1" objects="1" selectLockedCells="1"/>
  <mergeCells count="12">
    <mergeCell ref="W73:X73"/>
    <mergeCell ref="W74:X74"/>
    <mergeCell ref="K83:O83"/>
    <mergeCell ref="L85:M85"/>
    <mergeCell ref="L84:M84"/>
    <mergeCell ref="B19:C19"/>
    <mergeCell ref="R19:V19"/>
    <mergeCell ref="R20:V20"/>
    <mergeCell ref="R21:V21"/>
    <mergeCell ref="O6:Q6"/>
    <mergeCell ref="O7:Q7"/>
    <mergeCell ref="B17:E1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R32:U34"/>
  <sheetViews>
    <sheetView showGridLines="0" showRowColHeaders="0" zoomScale="96" zoomScaleNormal="96" workbookViewId="0">
      <selection activeCell="R32" sqref="R32:U32"/>
    </sheetView>
  </sheetViews>
  <sheetFormatPr defaultColWidth="9.140625" defaultRowHeight="15"/>
  <cols>
    <col min="1" max="1" width="4.7109375" style="408" customWidth="1"/>
    <col min="2" max="2" width="5.140625" style="408" customWidth="1"/>
    <col min="3" max="17" width="9.140625" style="408"/>
    <col min="18" max="18" width="10.42578125" style="408" customWidth="1"/>
    <col min="19" max="16384" width="9.140625" style="408"/>
  </cols>
  <sheetData>
    <row r="32" spans="18:21">
      <c r="R32" s="3564" t="s">
        <v>1158</v>
      </c>
      <c r="S32" s="3564"/>
      <c r="T32" s="3564"/>
      <c r="U32" s="3564"/>
    </row>
    <row r="33" spans="18:21">
      <c r="R33" s="3565" t="s">
        <v>1157</v>
      </c>
      <c r="S33" s="3565"/>
      <c r="T33" s="3565"/>
      <c r="U33" s="3565"/>
    </row>
    <row r="34" spans="18:21">
      <c r="R34" s="3566">
        <v>2026</v>
      </c>
      <c r="S34" s="3566"/>
      <c r="T34" s="3566"/>
      <c r="U34" s="3566"/>
    </row>
  </sheetData>
  <sheetProtection algorithmName="SHA-512" hashValue="PNwOXbDJYdZhZlz6lQbG4ANgaRD4aCGM7He5D7ttAwI2YIhmiNA5mKo7TsLmWjY4zjarNx210Oex6ZKfiwz6Iw==" saltValue="AIEJAi08LMPsNO+qquQdEA==" spinCount="100000" sheet="1" objects="1" selectLockedCells="1"/>
  <mergeCells count="3">
    <mergeCell ref="R32:U32"/>
    <mergeCell ref="R33:U33"/>
    <mergeCell ref="R34:U34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19D86-A9D8-4FC3-AB62-1C0E115E09A1}">
  <dimension ref="A1:AG53"/>
  <sheetViews>
    <sheetView showGridLines="0" showRowColHeaders="0" topLeftCell="E1" zoomScale="95" zoomScaleNormal="95" workbookViewId="0">
      <selection activeCell="E12" sqref="E12"/>
    </sheetView>
  </sheetViews>
  <sheetFormatPr defaultRowHeight="15"/>
  <cols>
    <col min="1" max="1" width="8.85546875" style="243"/>
    <col min="2" max="2" width="0" style="243" hidden="1" customWidth="1"/>
    <col min="3" max="3" width="3.28515625" style="243" customWidth="1"/>
    <col min="4" max="4" width="32.5703125" style="243" customWidth="1"/>
    <col min="5" max="5" width="12" style="243" customWidth="1"/>
    <col min="6" max="6" width="10.42578125" style="243" customWidth="1"/>
    <col min="7" max="12" width="9.85546875" style="243" customWidth="1"/>
    <col min="13" max="13" width="6.7109375" style="243" customWidth="1"/>
    <col min="14" max="14" width="33.5703125" style="243" bestFit="1" customWidth="1"/>
    <col min="15" max="16" width="8.85546875" style="243"/>
    <col min="17" max="17" width="29.85546875" style="243" bestFit="1" customWidth="1"/>
    <col min="18" max="19" width="8.85546875" style="243"/>
    <col min="20" max="20" width="10.85546875" style="243" customWidth="1"/>
    <col min="21" max="263" width="8.85546875" style="243"/>
    <col min="264" max="264" width="3.28515625" style="243" customWidth="1"/>
    <col min="265" max="265" width="32.5703125" style="243" customWidth="1"/>
    <col min="266" max="266" width="12" style="243" customWidth="1"/>
    <col min="267" max="267" width="10.42578125" style="243" customWidth="1"/>
    <col min="268" max="268" width="9.85546875" style="243" customWidth="1"/>
    <col min="269" max="519" width="8.85546875" style="243"/>
    <col min="520" max="520" width="3.28515625" style="243" customWidth="1"/>
    <col min="521" max="521" width="32.5703125" style="243" customWidth="1"/>
    <col min="522" max="522" width="12" style="243" customWidth="1"/>
    <col min="523" max="523" width="10.42578125" style="243" customWidth="1"/>
    <col min="524" max="524" width="9.85546875" style="243" customWidth="1"/>
    <col min="525" max="775" width="8.85546875" style="243"/>
    <col min="776" max="776" width="3.28515625" style="243" customWidth="1"/>
    <col min="777" max="777" width="32.5703125" style="243" customWidth="1"/>
    <col min="778" max="778" width="12" style="243" customWidth="1"/>
    <col min="779" max="779" width="10.42578125" style="243" customWidth="1"/>
    <col min="780" max="780" width="9.85546875" style="243" customWidth="1"/>
    <col min="781" max="1031" width="8.85546875" style="243"/>
    <col min="1032" max="1032" width="3.28515625" style="243" customWidth="1"/>
    <col min="1033" max="1033" width="32.5703125" style="243" customWidth="1"/>
    <col min="1034" max="1034" width="12" style="243" customWidth="1"/>
    <col min="1035" max="1035" width="10.42578125" style="243" customWidth="1"/>
    <col min="1036" max="1036" width="9.85546875" style="243" customWidth="1"/>
    <col min="1037" max="1287" width="8.85546875" style="243"/>
    <col min="1288" max="1288" width="3.28515625" style="243" customWidth="1"/>
    <col min="1289" max="1289" width="32.5703125" style="243" customWidth="1"/>
    <col min="1290" max="1290" width="12" style="243" customWidth="1"/>
    <col min="1291" max="1291" width="10.42578125" style="243" customWidth="1"/>
    <col min="1292" max="1292" width="9.85546875" style="243" customWidth="1"/>
    <col min="1293" max="1543" width="8.85546875" style="243"/>
    <col min="1544" max="1544" width="3.28515625" style="243" customWidth="1"/>
    <col min="1545" max="1545" width="32.5703125" style="243" customWidth="1"/>
    <col min="1546" max="1546" width="12" style="243" customWidth="1"/>
    <col min="1547" max="1547" width="10.42578125" style="243" customWidth="1"/>
    <col min="1548" max="1548" width="9.85546875" style="243" customWidth="1"/>
    <col min="1549" max="1799" width="8.85546875" style="243"/>
    <col min="1800" max="1800" width="3.28515625" style="243" customWidth="1"/>
    <col min="1801" max="1801" width="32.5703125" style="243" customWidth="1"/>
    <col min="1802" max="1802" width="12" style="243" customWidth="1"/>
    <col min="1803" max="1803" width="10.42578125" style="243" customWidth="1"/>
    <col min="1804" max="1804" width="9.85546875" style="243" customWidth="1"/>
    <col min="1805" max="2055" width="8.85546875" style="243"/>
    <col min="2056" max="2056" width="3.28515625" style="243" customWidth="1"/>
    <col min="2057" max="2057" width="32.5703125" style="243" customWidth="1"/>
    <col min="2058" max="2058" width="12" style="243" customWidth="1"/>
    <col min="2059" max="2059" width="10.42578125" style="243" customWidth="1"/>
    <col min="2060" max="2060" width="9.85546875" style="243" customWidth="1"/>
    <col min="2061" max="2311" width="8.85546875" style="243"/>
    <col min="2312" max="2312" width="3.28515625" style="243" customWidth="1"/>
    <col min="2313" max="2313" width="32.5703125" style="243" customWidth="1"/>
    <col min="2314" max="2314" width="12" style="243" customWidth="1"/>
    <col min="2315" max="2315" width="10.42578125" style="243" customWidth="1"/>
    <col min="2316" max="2316" width="9.85546875" style="243" customWidth="1"/>
    <col min="2317" max="2567" width="8.85546875" style="243"/>
    <col min="2568" max="2568" width="3.28515625" style="243" customWidth="1"/>
    <col min="2569" max="2569" width="32.5703125" style="243" customWidth="1"/>
    <col min="2570" max="2570" width="12" style="243" customWidth="1"/>
    <col min="2571" max="2571" width="10.42578125" style="243" customWidth="1"/>
    <col min="2572" max="2572" width="9.85546875" style="243" customWidth="1"/>
    <col min="2573" max="2823" width="8.85546875" style="243"/>
    <col min="2824" max="2824" width="3.28515625" style="243" customWidth="1"/>
    <col min="2825" max="2825" width="32.5703125" style="243" customWidth="1"/>
    <col min="2826" max="2826" width="12" style="243" customWidth="1"/>
    <col min="2827" max="2827" width="10.42578125" style="243" customWidth="1"/>
    <col min="2828" max="2828" width="9.85546875" style="243" customWidth="1"/>
    <col min="2829" max="3079" width="8.85546875" style="243"/>
    <col min="3080" max="3080" width="3.28515625" style="243" customWidth="1"/>
    <col min="3081" max="3081" width="32.5703125" style="243" customWidth="1"/>
    <col min="3082" max="3082" width="12" style="243" customWidth="1"/>
    <col min="3083" max="3083" width="10.42578125" style="243" customWidth="1"/>
    <col min="3084" max="3084" width="9.85546875" style="243" customWidth="1"/>
    <col min="3085" max="3335" width="8.85546875" style="243"/>
    <col min="3336" max="3336" width="3.28515625" style="243" customWidth="1"/>
    <col min="3337" max="3337" width="32.5703125" style="243" customWidth="1"/>
    <col min="3338" max="3338" width="12" style="243" customWidth="1"/>
    <col min="3339" max="3339" width="10.42578125" style="243" customWidth="1"/>
    <col min="3340" max="3340" width="9.85546875" style="243" customWidth="1"/>
    <col min="3341" max="3591" width="8.85546875" style="243"/>
    <col min="3592" max="3592" width="3.28515625" style="243" customWidth="1"/>
    <col min="3593" max="3593" width="32.5703125" style="243" customWidth="1"/>
    <col min="3594" max="3594" width="12" style="243" customWidth="1"/>
    <col min="3595" max="3595" width="10.42578125" style="243" customWidth="1"/>
    <col min="3596" max="3596" width="9.85546875" style="243" customWidth="1"/>
    <col min="3597" max="3847" width="8.85546875" style="243"/>
    <col min="3848" max="3848" width="3.28515625" style="243" customWidth="1"/>
    <col min="3849" max="3849" width="32.5703125" style="243" customWidth="1"/>
    <col min="3850" max="3850" width="12" style="243" customWidth="1"/>
    <col min="3851" max="3851" width="10.42578125" style="243" customWidth="1"/>
    <col min="3852" max="3852" width="9.85546875" style="243" customWidth="1"/>
    <col min="3853" max="4103" width="8.85546875" style="243"/>
    <col min="4104" max="4104" width="3.28515625" style="243" customWidth="1"/>
    <col min="4105" max="4105" width="32.5703125" style="243" customWidth="1"/>
    <col min="4106" max="4106" width="12" style="243" customWidth="1"/>
    <col min="4107" max="4107" width="10.42578125" style="243" customWidth="1"/>
    <col min="4108" max="4108" width="9.85546875" style="243" customWidth="1"/>
    <col min="4109" max="4359" width="8.85546875" style="243"/>
    <col min="4360" max="4360" width="3.28515625" style="243" customWidth="1"/>
    <col min="4361" max="4361" width="32.5703125" style="243" customWidth="1"/>
    <col min="4362" max="4362" width="12" style="243" customWidth="1"/>
    <col min="4363" max="4363" width="10.42578125" style="243" customWidth="1"/>
    <col min="4364" max="4364" width="9.85546875" style="243" customWidth="1"/>
    <col min="4365" max="4615" width="8.85546875" style="243"/>
    <col min="4616" max="4616" width="3.28515625" style="243" customWidth="1"/>
    <col min="4617" max="4617" width="32.5703125" style="243" customWidth="1"/>
    <col min="4618" max="4618" width="12" style="243" customWidth="1"/>
    <col min="4619" max="4619" width="10.42578125" style="243" customWidth="1"/>
    <col min="4620" max="4620" width="9.85546875" style="243" customWidth="1"/>
    <col min="4621" max="4871" width="8.85546875" style="243"/>
    <col min="4872" max="4872" width="3.28515625" style="243" customWidth="1"/>
    <col min="4873" max="4873" width="32.5703125" style="243" customWidth="1"/>
    <col min="4874" max="4874" width="12" style="243" customWidth="1"/>
    <col min="4875" max="4875" width="10.42578125" style="243" customWidth="1"/>
    <col min="4876" max="4876" width="9.85546875" style="243" customWidth="1"/>
    <col min="4877" max="5127" width="8.85546875" style="243"/>
    <col min="5128" max="5128" width="3.28515625" style="243" customWidth="1"/>
    <col min="5129" max="5129" width="32.5703125" style="243" customWidth="1"/>
    <col min="5130" max="5130" width="12" style="243" customWidth="1"/>
    <col min="5131" max="5131" width="10.42578125" style="243" customWidth="1"/>
    <col min="5132" max="5132" width="9.85546875" style="243" customWidth="1"/>
    <col min="5133" max="5383" width="8.85546875" style="243"/>
    <col min="5384" max="5384" width="3.28515625" style="243" customWidth="1"/>
    <col min="5385" max="5385" width="32.5703125" style="243" customWidth="1"/>
    <col min="5386" max="5386" width="12" style="243" customWidth="1"/>
    <col min="5387" max="5387" width="10.42578125" style="243" customWidth="1"/>
    <col min="5388" max="5388" width="9.85546875" style="243" customWidth="1"/>
    <col min="5389" max="5639" width="8.85546875" style="243"/>
    <col min="5640" max="5640" width="3.28515625" style="243" customWidth="1"/>
    <col min="5641" max="5641" width="32.5703125" style="243" customWidth="1"/>
    <col min="5642" max="5642" width="12" style="243" customWidth="1"/>
    <col min="5643" max="5643" width="10.42578125" style="243" customWidth="1"/>
    <col min="5644" max="5644" width="9.85546875" style="243" customWidth="1"/>
    <col min="5645" max="5895" width="8.85546875" style="243"/>
    <col min="5896" max="5896" width="3.28515625" style="243" customWidth="1"/>
    <col min="5897" max="5897" width="32.5703125" style="243" customWidth="1"/>
    <col min="5898" max="5898" width="12" style="243" customWidth="1"/>
    <col min="5899" max="5899" width="10.42578125" style="243" customWidth="1"/>
    <col min="5900" max="5900" width="9.85546875" style="243" customWidth="1"/>
    <col min="5901" max="6151" width="8.85546875" style="243"/>
    <col min="6152" max="6152" width="3.28515625" style="243" customWidth="1"/>
    <col min="6153" max="6153" width="32.5703125" style="243" customWidth="1"/>
    <col min="6154" max="6154" width="12" style="243" customWidth="1"/>
    <col min="6155" max="6155" width="10.42578125" style="243" customWidth="1"/>
    <col min="6156" max="6156" width="9.85546875" style="243" customWidth="1"/>
    <col min="6157" max="6407" width="8.85546875" style="243"/>
    <col min="6408" max="6408" width="3.28515625" style="243" customWidth="1"/>
    <col min="6409" max="6409" width="32.5703125" style="243" customWidth="1"/>
    <col min="6410" max="6410" width="12" style="243" customWidth="1"/>
    <col min="6411" max="6411" width="10.42578125" style="243" customWidth="1"/>
    <col min="6412" max="6412" width="9.85546875" style="243" customWidth="1"/>
    <col min="6413" max="6663" width="8.85546875" style="243"/>
    <col min="6664" max="6664" width="3.28515625" style="243" customWidth="1"/>
    <col min="6665" max="6665" width="32.5703125" style="243" customWidth="1"/>
    <col min="6666" max="6666" width="12" style="243" customWidth="1"/>
    <col min="6667" max="6667" width="10.42578125" style="243" customWidth="1"/>
    <col min="6668" max="6668" width="9.85546875" style="243" customWidth="1"/>
    <col min="6669" max="6919" width="8.85546875" style="243"/>
    <col min="6920" max="6920" width="3.28515625" style="243" customWidth="1"/>
    <col min="6921" max="6921" width="32.5703125" style="243" customWidth="1"/>
    <col min="6922" max="6922" width="12" style="243" customWidth="1"/>
    <col min="6923" max="6923" width="10.42578125" style="243" customWidth="1"/>
    <col min="6924" max="6924" width="9.85546875" style="243" customWidth="1"/>
    <col min="6925" max="7175" width="8.85546875" style="243"/>
    <col min="7176" max="7176" width="3.28515625" style="243" customWidth="1"/>
    <col min="7177" max="7177" width="32.5703125" style="243" customWidth="1"/>
    <col min="7178" max="7178" width="12" style="243" customWidth="1"/>
    <col min="7179" max="7179" width="10.42578125" style="243" customWidth="1"/>
    <col min="7180" max="7180" width="9.85546875" style="243" customWidth="1"/>
    <col min="7181" max="7431" width="8.85546875" style="243"/>
    <col min="7432" max="7432" width="3.28515625" style="243" customWidth="1"/>
    <col min="7433" max="7433" width="32.5703125" style="243" customWidth="1"/>
    <col min="7434" max="7434" width="12" style="243" customWidth="1"/>
    <col min="7435" max="7435" width="10.42578125" style="243" customWidth="1"/>
    <col min="7436" max="7436" width="9.85546875" style="243" customWidth="1"/>
    <col min="7437" max="7687" width="8.85546875" style="243"/>
    <col min="7688" max="7688" width="3.28515625" style="243" customWidth="1"/>
    <col min="7689" max="7689" width="32.5703125" style="243" customWidth="1"/>
    <col min="7690" max="7690" width="12" style="243" customWidth="1"/>
    <col min="7691" max="7691" width="10.42578125" style="243" customWidth="1"/>
    <col min="7692" max="7692" width="9.85546875" style="243" customWidth="1"/>
    <col min="7693" max="7943" width="8.85546875" style="243"/>
    <col min="7944" max="7944" width="3.28515625" style="243" customWidth="1"/>
    <col min="7945" max="7945" width="32.5703125" style="243" customWidth="1"/>
    <col min="7946" max="7946" width="12" style="243" customWidth="1"/>
    <col min="7947" max="7947" width="10.42578125" style="243" customWidth="1"/>
    <col min="7948" max="7948" width="9.85546875" style="243" customWidth="1"/>
    <col min="7949" max="8199" width="8.85546875" style="243"/>
    <col min="8200" max="8200" width="3.28515625" style="243" customWidth="1"/>
    <col min="8201" max="8201" width="32.5703125" style="243" customWidth="1"/>
    <col min="8202" max="8202" width="12" style="243" customWidth="1"/>
    <col min="8203" max="8203" width="10.42578125" style="243" customWidth="1"/>
    <col min="8204" max="8204" width="9.85546875" style="243" customWidth="1"/>
    <col min="8205" max="8455" width="8.85546875" style="243"/>
    <col min="8456" max="8456" width="3.28515625" style="243" customWidth="1"/>
    <col min="8457" max="8457" width="32.5703125" style="243" customWidth="1"/>
    <col min="8458" max="8458" width="12" style="243" customWidth="1"/>
    <col min="8459" max="8459" width="10.42578125" style="243" customWidth="1"/>
    <col min="8460" max="8460" width="9.85546875" style="243" customWidth="1"/>
    <col min="8461" max="8711" width="8.85546875" style="243"/>
    <col min="8712" max="8712" width="3.28515625" style="243" customWidth="1"/>
    <col min="8713" max="8713" width="32.5703125" style="243" customWidth="1"/>
    <col min="8714" max="8714" width="12" style="243" customWidth="1"/>
    <col min="8715" max="8715" width="10.42578125" style="243" customWidth="1"/>
    <col min="8716" max="8716" width="9.85546875" style="243" customWidth="1"/>
    <col min="8717" max="8967" width="8.85546875" style="243"/>
    <col min="8968" max="8968" width="3.28515625" style="243" customWidth="1"/>
    <col min="8969" max="8969" width="32.5703125" style="243" customWidth="1"/>
    <col min="8970" max="8970" width="12" style="243" customWidth="1"/>
    <col min="8971" max="8971" width="10.42578125" style="243" customWidth="1"/>
    <col min="8972" max="8972" width="9.85546875" style="243" customWidth="1"/>
    <col min="8973" max="9223" width="8.85546875" style="243"/>
    <col min="9224" max="9224" width="3.28515625" style="243" customWidth="1"/>
    <col min="9225" max="9225" width="32.5703125" style="243" customWidth="1"/>
    <col min="9226" max="9226" width="12" style="243" customWidth="1"/>
    <col min="9227" max="9227" width="10.42578125" style="243" customWidth="1"/>
    <col min="9228" max="9228" width="9.85546875" style="243" customWidth="1"/>
    <col min="9229" max="9479" width="8.85546875" style="243"/>
    <col min="9480" max="9480" width="3.28515625" style="243" customWidth="1"/>
    <col min="9481" max="9481" width="32.5703125" style="243" customWidth="1"/>
    <col min="9482" max="9482" width="12" style="243" customWidth="1"/>
    <col min="9483" max="9483" width="10.42578125" style="243" customWidth="1"/>
    <col min="9484" max="9484" width="9.85546875" style="243" customWidth="1"/>
    <col min="9485" max="9735" width="8.85546875" style="243"/>
    <col min="9736" max="9736" width="3.28515625" style="243" customWidth="1"/>
    <col min="9737" max="9737" width="32.5703125" style="243" customWidth="1"/>
    <col min="9738" max="9738" width="12" style="243" customWidth="1"/>
    <col min="9739" max="9739" width="10.42578125" style="243" customWidth="1"/>
    <col min="9740" max="9740" width="9.85546875" style="243" customWidth="1"/>
    <col min="9741" max="9991" width="8.85546875" style="243"/>
    <col min="9992" max="9992" width="3.28515625" style="243" customWidth="1"/>
    <col min="9993" max="9993" width="32.5703125" style="243" customWidth="1"/>
    <col min="9994" max="9994" width="12" style="243" customWidth="1"/>
    <col min="9995" max="9995" width="10.42578125" style="243" customWidth="1"/>
    <col min="9996" max="9996" width="9.85546875" style="243" customWidth="1"/>
    <col min="9997" max="10247" width="8.85546875" style="243"/>
    <col min="10248" max="10248" width="3.28515625" style="243" customWidth="1"/>
    <col min="10249" max="10249" width="32.5703125" style="243" customWidth="1"/>
    <col min="10250" max="10250" width="12" style="243" customWidth="1"/>
    <col min="10251" max="10251" width="10.42578125" style="243" customWidth="1"/>
    <col min="10252" max="10252" width="9.85546875" style="243" customWidth="1"/>
    <col min="10253" max="10503" width="8.85546875" style="243"/>
    <col min="10504" max="10504" width="3.28515625" style="243" customWidth="1"/>
    <col min="10505" max="10505" width="32.5703125" style="243" customWidth="1"/>
    <col min="10506" max="10506" width="12" style="243" customWidth="1"/>
    <col min="10507" max="10507" width="10.42578125" style="243" customWidth="1"/>
    <col min="10508" max="10508" width="9.85546875" style="243" customWidth="1"/>
    <col min="10509" max="10759" width="8.85546875" style="243"/>
    <col min="10760" max="10760" width="3.28515625" style="243" customWidth="1"/>
    <col min="10761" max="10761" width="32.5703125" style="243" customWidth="1"/>
    <col min="10762" max="10762" width="12" style="243" customWidth="1"/>
    <col min="10763" max="10763" width="10.42578125" style="243" customWidth="1"/>
    <col min="10764" max="10764" width="9.85546875" style="243" customWidth="1"/>
    <col min="10765" max="11015" width="8.85546875" style="243"/>
    <col min="11016" max="11016" width="3.28515625" style="243" customWidth="1"/>
    <col min="11017" max="11017" width="32.5703125" style="243" customWidth="1"/>
    <col min="11018" max="11018" width="12" style="243" customWidth="1"/>
    <col min="11019" max="11019" width="10.42578125" style="243" customWidth="1"/>
    <col min="11020" max="11020" width="9.85546875" style="243" customWidth="1"/>
    <col min="11021" max="11271" width="8.85546875" style="243"/>
    <col min="11272" max="11272" width="3.28515625" style="243" customWidth="1"/>
    <col min="11273" max="11273" width="32.5703125" style="243" customWidth="1"/>
    <col min="11274" max="11274" width="12" style="243" customWidth="1"/>
    <col min="11275" max="11275" width="10.42578125" style="243" customWidth="1"/>
    <col min="11276" max="11276" width="9.85546875" style="243" customWidth="1"/>
    <col min="11277" max="11527" width="8.85546875" style="243"/>
    <col min="11528" max="11528" width="3.28515625" style="243" customWidth="1"/>
    <col min="11529" max="11529" width="32.5703125" style="243" customWidth="1"/>
    <col min="11530" max="11530" width="12" style="243" customWidth="1"/>
    <col min="11531" max="11531" width="10.42578125" style="243" customWidth="1"/>
    <col min="11532" max="11532" width="9.85546875" style="243" customWidth="1"/>
    <col min="11533" max="11783" width="8.85546875" style="243"/>
    <col min="11784" max="11784" width="3.28515625" style="243" customWidth="1"/>
    <col min="11785" max="11785" width="32.5703125" style="243" customWidth="1"/>
    <col min="11786" max="11786" width="12" style="243" customWidth="1"/>
    <col min="11787" max="11787" width="10.42578125" style="243" customWidth="1"/>
    <col min="11788" max="11788" width="9.85546875" style="243" customWidth="1"/>
    <col min="11789" max="12039" width="8.85546875" style="243"/>
    <col min="12040" max="12040" width="3.28515625" style="243" customWidth="1"/>
    <col min="12041" max="12041" width="32.5703125" style="243" customWidth="1"/>
    <col min="12042" max="12042" width="12" style="243" customWidth="1"/>
    <col min="12043" max="12043" width="10.42578125" style="243" customWidth="1"/>
    <col min="12044" max="12044" width="9.85546875" style="243" customWidth="1"/>
    <col min="12045" max="12295" width="8.85546875" style="243"/>
    <col min="12296" max="12296" width="3.28515625" style="243" customWidth="1"/>
    <col min="12297" max="12297" width="32.5703125" style="243" customWidth="1"/>
    <col min="12298" max="12298" width="12" style="243" customWidth="1"/>
    <col min="12299" max="12299" width="10.42578125" style="243" customWidth="1"/>
    <col min="12300" max="12300" width="9.85546875" style="243" customWidth="1"/>
    <col min="12301" max="12551" width="8.85546875" style="243"/>
    <col min="12552" max="12552" width="3.28515625" style="243" customWidth="1"/>
    <col min="12553" max="12553" width="32.5703125" style="243" customWidth="1"/>
    <col min="12554" max="12554" width="12" style="243" customWidth="1"/>
    <col min="12555" max="12555" width="10.42578125" style="243" customWidth="1"/>
    <col min="12556" max="12556" width="9.85546875" style="243" customWidth="1"/>
    <col min="12557" max="12807" width="8.85546875" style="243"/>
    <col min="12808" max="12808" width="3.28515625" style="243" customWidth="1"/>
    <col min="12809" max="12809" width="32.5703125" style="243" customWidth="1"/>
    <col min="12810" max="12810" width="12" style="243" customWidth="1"/>
    <col min="12811" max="12811" width="10.42578125" style="243" customWidth="1"/>
    <col min="12812" max="12812" width="9.85546875" style="243" customWidth="1"/>
    <col min="12813" max="13063" width="8.85546875" style="243"/>
    <col min="13064" max="13064" width="3.28515625" style="243" customWidth="1"/>
    <col min="13065" max="13065" width="32.5703125" style="243" customWidth="1"/>
    <col min="13066" max="13066" width="12" style="243" customWidth="1"/>
    <col min="13067" max="13067" width="10.42578125" style="243" customWidth="1"/>
    <col min="13068" max="13068" width="9.85546875" style="243" customWidth="1"/>
    <col min="13069" max="13319" width="8.85546875" style="243"/>
    <col min="13320" max="13320" width="3.28515625" style="243" customWidth="1"/>
    <col min="13321" max="13321" width="32.5703125" style="243" customWidth="1"/>
    <col min="13322" max="13322" width="12" style="243" customWidth="1"/>
    <col min="13323" max="13323" width="10.42578125" style="243" customWidth="1"/>
    <col min="13324" max="13324" width="9.85546875" style="243" customWidth="1"/>
    <col min="13325" max="13575" width="8.85546875" style="243"/>
    <col min="13576" max="13576" width="3.28515625" style="243" customWidth="1"/>
    <col min="13577" max="13577" width="32.5703125" style="243" customWidth="1"/>
    <col min="13578" max="13578" width="12" style="243" customWidth="1"/>
    <col min="13579" max="13579" width="10.42578125" style="243" customWidth="1"/>
    <col min="13580" max="13580" width="9.85546875" style="243" customWidth="1"/>
    <col min="13581" max="13831" width="8.85546875" style="243"/>
    <col min="13832" max="13832" width="3.28515625" style="243" customWidth="1"/>
    <col min="13833" max="13833" width="32.5703125" style="243" customWidth="1"/>
    <col min="13834" max="13834" width="12" style="243" customWidth="1"/>
    <col min="13835" max="13835" width="10.42578125" style="243" customWidth="1"/>
    <col min="13836" max="13836" width="9.85546875" style="243" customWidth="1"/>
    <col min="13837" max="14087" width="8.85546875" style="243"/>
    <col min="14088" max="14088" width="3.28515625" style="243" customWidth="1"/>
    <col min="14089" max="14089" width="32.5703125" style="243" customWidth="1"/>
    <col min="14090" max="14090" width="12" style="243" customWidth="1"/>
    <col min="14091" max="14091" width="10.42578125" style="243" customWidth="1"/>
    <col min="14092" max="14092" width="9.85546875" style="243" customWidth="1"/>
    <col min="14093" max="14343" width="8.85546875" style="243"/>
    <col min="14344" max="14344" width="3.28515625" style="243" customWidth="1"/>
    <col min="14345" max="14345" width="32.5703125" style="243" customWidth="1"/>
    <col min="14346" max="14346" width="12" style="243" customWidth="1"/>
    <col min="14347" max="14347" width="10.42578125" style="243" customWidth="1"/>
    <col min="14348" max="14348" width="9.85546875" style="243" customWidth="1"/>
    <col min="14349" max="14599" width="8.85546875" style="243"/>
    <col min="14600" max="14600" width="3.28515625" style="243" customWidth="1"/>
    <col min="14601" max="14601" width="32.5703125" style="243" customWidth="1"/>
    <col min="14602" max="14602" width="12" style="243" customWidth="1"/>
    <col min="14603" max="14603" width="10.42578125" style="243" customWidth="1"/>
    <col min="14604" max="14604" width="9.85546875" style="243" customWidth="1"/>
    <col min="14605" max="14855" width="8.85546875" style="243"/>
    <col min="14856" max="14856" width="3.28515625" style="243" customWidth="1"/>
    <col min="14857" max="14857" width="32.5703125" style="243" customWidth="1"/>
    <col min="14858" max="14858" width="12" style="243" customWidth="1"/>
    <col min="14859" max="14859" width="10.42578125" style="243" customWidth="1"/>
    <col min="14860" max="14860" width="9.85546875" style="243" customWidth="1"/>
    <col min="14861" max="15111" width="8.85546875" style="243"/>
    <col min="15112" max="15112" width="3.28515625" style="243" customWidth="1"/>
    <col min="15113" max="15113" width="32.5703125" style="243" customWidth="1"/>
    <col min="15114" max="15114" width="12" style="243" customWidth="1"/>
    <col min="15115" max="15115" width="10.42578125" style="243" customWidth="1"/>
    <col min="15116" max="15116" width="9.85546875" style="243" customWidth="1"/>
    <col min="15117" max="15367" width="8.85546875" style="243"/>
    <col min="15368" max="15368" width="3.28515625" style="243" customWidth="1"/>
    <col min="15369" max="15369" width="32.5703125" style="243" customWidth="1"/>
    <col min="15370" max="15370" width="12" style="243" customWidth="1"/>
    <col min="15371" max="15371" width="10.42578125" style="243" customWidth="1"/>
    <col min="15372" max="15372" width="9.85546875" style="243" customWidth="1"/>
    <col min="15373" max="15623" width="8.85546875" style="243"/>
    <col min="15624" max="15624" width="3.28515625" style="243" customWidth="1"/>
    <col min="15625" max="15625" width="32.5703125" style="243" customWidth="1"/>
    <col min="15626" max="15626" width="12" style="243" customWidth="1"/>
    <col min="15627" max="15627" width="10.42578125" style="243" customWidth="1"/>
    <col min="15628" max="15628" width="9.85546875" style="243" customWidth="1"/>
    <col min="15629" max="15879" width="8.85546875" style="243"/>
    <col min="15880" max="15880" width="3.28515625" style="243" customWidth="1"/>
    <col min="15881" max="15881" width="32.5703125" style="243" customWidth="1"/>
    <col min="15882" max="15882" width="12" style="243" customWidth="1"/>
    <col min="15883" max="15883" width="10.42578125" style="243" customWidth="1"/>
    <col min="15884" max="15884" width="9.85546875" style="243" customWidth="1"/>
    <col min="15885" max="16135" width="8.85546875" style="243"/>
    <col min="16136" max="16136" width="3.28515625" style="243" customWidth="1"/>
    <col min="16137" max="16137" width="32.5703125" style="243" customWidth="1"/>
    <col min="16138" max="16138" width="12" style="243" customWidth="1"/>
    <col min="16139" max="16139" width="10.42578125" style="243" customWidth="1"/>
    <col min="16140" max="16140" width="9.85546875" style="243" customWidth="1"/>
    <col min="16141" max="16384" width="8.85546875" style="243"/>
  </cols>
  <sheetData>
    <row r="1" spans="1:33" ht="29.45" customHeight="1">
      <c r="A1" s="231"/>
      <c r="B1" s="231"/>
      <c r="C1" s="231"/>
      <c r="D1" s="231"/>
      <c r="E1" s="450"/>
      <c r="F1" s="450"/>
      <c r="G1" s="450"/>
      <c r="H1" s="450"/>
      <c r="I1" s="450"/>
      <c r="J1" s="450"/>
      <c r="K1" s="450"/>
      <c r="L1" s="450"/>
      <c r="M1" s="450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</row>
    <row r="2" spans="1:33" ht="27.75">
      <c r="A2" s="231"/>
      <c r="B2" s="231"/>
      <c r="C2" s="231"/>
      <c r="D2" s="3571" t="s">
        <v>652</v>
      </c>
      <c r="E2" s="3572"/>
      <c r="F2" s="3572"/>
      <c r="G2" s="231"/>
      <c r="H2" s="231"/>
      <c r="I2" s="231"/>
      <c r="J2" s="231"/>
      <c r="K2" s="231"/>
      <c r="L2" s="231"/>
      <c r="M2" s="231"/>
      <c r="N2" s="3573" t="s">
        <v>652</v>
      </c>
      <c r="O2" s="3574"/>
      <c r="P2" s="3574"/>
      <c r="Q2" s="3570" t="s">
        <v>2087</v>
      </c>
      <c r="R2" s="3570"/>
      <c r="S2" s="3570"/>
      <c r="T2" s="231"/>
      <c r="U2" s="231"/>
      <c r="V2" s="231"/>
      <c r="W2" s="231"/>
      <c r="X2" s="231"/>
      <c r="Y2" s="231"/>
      <c r="Z2" s="231"/>
      <c r="AA2" s="231"/>
      <c r="AB2" s="231"/>
      <c r="AC2" s="231"/>
      <c r="AD2" s="231"/>
      <c r="AE2" s="231"/>
      <c r="AF2" s="231"/>
      <c r="AG2" s="231"/>
    </row>
    <row r="3" spans="1:33" ht="18">
      <c r="A3" s="231"/>
      <c r="B3" s="231"/>
      <c r="C3" s="231"/>
      <c r="D3" s="3575" t="s">
        <v>638</v>
      </c>
      <c r="E3" s="3576"/>
      <c r="F3" s="3576"/>
      <c r="G3" s="231"/>
      <c r="H3" s="231"/>
      <c r="I3" s="231"/>
      <c r="J3" s="231"/>
      <c r="K3" s="231"/>
      <c r="L3" s="231"/>
      <c r="M3" s="231"/>
      <c r="N3" s="3575" t="s">
        <v>653</v>
      </c>
      <c r="O3" s="3576"/>
      <c r="P3" s="3576"/>
      <c r="Q3" s="3570" t="s">
        <v>1156</v>
      </c>
      <c r="R3" s="3570"/>
      <c r="S3" s="3570"/>
      <c r="T3" s="231"/>
      <c r="U3" s="3577"/>
      <c r="V3" s="3577"/>
      <c r="W3" s="3577"/>
      <c r="X3" s="3577"/>
      <c r="Y3" s="3577"/>
      <c r="Z3" s="231"/>
      <c r="AA3" s="231"/>
      <c r="AB3" s="231"/>
      <c r="AC3" s="231"/>
      <c r="AD3" s="231"/>
      <c r="AE3" s="231"/>
      <c r="AF3" s="231"/>
      <c r="AG3" s="231"/>
    </row>
    <row r="4" spans="1:33" ht="18" customHeight="1">
      <c r="A4" s="231"/>
      <c r="B4" s="231"/>
      <c r="C4" s="231"/>
      <c r="D4" s="2050" t="s">
        <v>639</v>
      </c>
      <c r="E4" s="3567">
        <v>10</v>
      </c>
      <c r="F4" s="3568"/>
      <c r="G4" s="231"/>
      <c r="H4" s="231"/>
      <c r="I4" s="231"/>
      <c r="J4" s="231"/>
      <c r="K4" s="231"/>
      <c r="L4" s="231"/>
      <c r="M4" s="231"/>
      <c r="N4" s="436" t="s">
        <v>639</v>
      </c>
      <c r="O4" s="3567">
        <v>6</v>
      </c>
      <c r="P4" s="3568"/>
      <c r="Q4" s="3578">
        <v>2026</v>
      </c>
      <c r="R4" s="3578"/>
      <c r="S4" s="3578"/>
      <c r="T4" s="231"/>
      <c r="U4" s="3569"/>
      <c r="V4" s="3569"/>
      <c r="W4" s="3569"/>
      <c r="X4" s="3569"/>
      <c r="Y4" s="3569"/>
      <c r="Z4" s="231"/>
      <c r="AA4" s="231"/>
      <c r="AB4" s="231"/>
      <c r="AC4" s="231"/>
      <c r="AD4" s="231"/>
      <c r="AE4" s="231"/>
      <c r="AF4" s="231"/>
      <c r="AG4" s="231"/>
    </row>
    <row r="5" spans="1:33" ht="18">
      <c r="A5" s="231"/>
      <c r="B5" s="231"/>
      <c r="C5" s="231"/>
      <c r="D5" s="2050" t="s">
        <v>640</v>
      </c>
      <c r="E5" s="3579">
        <v>60</v>
      </c>
      <c r="F5" s="3580"/>
      <c r="G5" s="231"/>
      <c r="H5" s="231"/>
      <c r="I5" s="231"/>
      <c r="J5" s="231"/>
      <c r="K5" s="231"/>
      <c r="L5" s="231"/>
      <c r="M5" s="231"/>
      <c r="N5" s="436" t="s">
        <v>654</v>
      </c>
      <c r="O5" s="3567">
        <v>26</v>
      </c>
      <c r="P5" s="3568"/>
      <c r="Q5" s="2058"/>
      <c r="R5" s="2053">
        <f>O5*0.1</f>
        <v>2.6</v>
      </c>
      <c r="S5" s="2053" t="s">
        <v>2085</v>
      </c>
      <c r="T5" s="2053"/>
      <c r="U5" s="3589"/>
      <c r="V5" s="3589"/>
      <c r="W5" s="3589"/>
      <c r="X5" s="3589"/>
      <c r="Y5" s="3589"/>
      <c r="Z5" s="231"/>
      <c r="AA5" s="231"/>
      <c r="AB5" s="231"/>
      <c r="AC5" s="231"/>
      <c r="AD5" s="231"/>
      <c r="AE5" s="231"/>
      <c r="AF5" s="231"/>
      <c r="AG5" s="231"/>
    </row>
    <row r="6" spans="1:33" ht="18">
      <c r="A6" s="231"/>
      <c r="B6" s="231"/>
      <c r="C6" s="231"/>
      <c r="D6" s="439" t="s">
        <v>641</v>
      </c>
      <c r="E6" s="440">
        <f>E7+1</f>
        <v>6.2</v>
      </c>
      <c r="F6" s="441" t="s">
        <v>642</v>
      </c>
      <c r="G6" s="2015" t="s">
        <v>2075</v>
      </c>
      <c r="H6" s="231"/>
      <c r="I6" s="231"/>
      <c r="J6" s="231"/>
      <c r="K6" s="231"/>
      <c r="L6" s="231"/>
      <c r="M6" s="231"/>
      <c r="N6" s="436" t="s">
        <v>655</v>
      </c>
      <c r="O6" s="3567">
        <v>17</v>
      </c>
      <c r="P6" s="3568"/>
      <c r="Q6" s="2058"/>
      <c r="R6" s="2053">
        <f>O6*0.15</f>
        <v>2.5499999999999998</v>
      </c>
      <c r="S6" s="2053" t="s">
        <v>2085</v>
      </c>
      <c r="T6" s="2053"/>
      <c r="U6" s="2053"/>
      <c r="V6" s="2053"/>
      <c r="W6" s="2053"/>
      <c r="X6" s="2053"/>
      <c r="Y6" s="2053"/>
      <c r="Z6" s="231"/>
      <c r="AA6" s="231"/>
      <c r="AB6" s="231"/>
      <c r="AC6" s="231"/>
      <c r="AD6" s="231"/>
      <c r="AE6" s="231"/>
      <c r="AF6" s="231"/>
      <c r="AG6" s="231"/>
    </row>
    <row r="7" spans="1:33" ht="18">
      <c r="A7" s="231"/>
      <c r="B7" s="231"/>
      <c r="C7" s="231"/>
      <c r="D7" s="439" t="s">
        <v>643</v>
      </c>
      <c r="E7" s="440">
        <f>(E4*3+15+7)/10</f>
        <v>5.2</v>
      </c>
      <c r="F7" s="441" t="s">
        <v>642</v>
      </c>
      <c r="G7" s="2037" t="s">
        <v>2076</v>
      </c>
      <c r="H7" s="231"/>
      <c r="I7" s="231"/>
      <c r="J7" s="231"/>
      <c r="K7" s="231"/>
      <c r="L7" s="231"/>
      <c r="M7" s="231"/>
      <c r="N7" s="436" t="s">
        <v>656</v>
      </c>
      <c r="O7" s="3567">
        <v>1</v>
      </c>
      <c r="P7" s="3568"/>
      <c r="Q7" s="2058"/>
      <c r="R7" s="2053">
        <f>O7*0.15</f>
        <v>0.15</v>
      </c>
      <c r="S7" s="2053" t="s">
        <v>2085</v>
      </c>
      <c r="T7" s="2053"/>
      <c r="U7" s="2053"/>
      <c r="V7" s="2053"/>
      <c r="W7" s="2053"/>
      <c r="X7" s="2053"/>
      <c r="Y7" s="2053"/>
      <c r="Z7" s="231"/>
      <c r="AA7" s="231"/>
      <c r="AB7" s="231"/>
      <c r="AC7" s="231"/>
      <c r="AD7" s="231"/>
      <c r="AE7" s="231"/>
      <c r="AF7" s="231"/>
      <c r="AG7" s="231"/>
    </row>
    <row r="8" spans="1:33" ht="18">
      <c r="A8" s="231"/>
      <c r="B8" s="231"/>
      <c r="C8" s="231"/>
      <c r="D8" s="2043" t="s">
        <v>644</v>
      </c>
      <c r="E8" s="2044">
        <f>ROUNDUP(((E5*0.5)*0.4)*1.2,0)</f>
        <v>15</v>
      </c>
      <c r="F8" s="2045" t="s">
        <v>2</v>
      </c>
      <c r="G8" s="2052">
        <f>E8/3600</f>
        <v>4.1666666666666666E-3</v>
      </c>
      <c r="H8" s="2053">
        <f>G8/J8</f>
        <v>2.7777777777777779E-3</v>
      </c>
      <c r="I8" s="2053">
        <f>(((H8*4)/4)^0.5)*1000</f>
        <v>52.704627669472991</v>
      </c>
      <c r="J8" s="2063">
        <f>E12</f>
        <v>1.5</v>
      </c>
      <c r="K8" s="259"/>
      <c r="L8" s="231"/>
      <c r="M8" s="231"/>
      <c r="N8" s="437" t="s">
        <v>657</v>
      </c>
      <c r="O8" s="3579">
        <v>3</v>
      </c>
      <c r="P8" s="3580"/>
      <c r="Q8" s="2334"/>
      <c r="R8" s="2053">
        <f>O8*0.1</f>
        <v>0.30000000000000004</v>
      </c>
      <c r="S8" s="2053" t="s">
        <v>2085</v>
      </c>
      <c r="T8" s="2053"/>
      <c r="U8" s="2053"/>
      <c r="V8" s="2053"/>
      <c r="W8" s="2053"/>
      <c r="X8" s="2053"/>
      <c r="Y8" s="2053"/>
      <c r="Z8" s="231"/>
      <c r="AA8" s="231"/>
      <c r="AB8" s="231"/>
      <c r="AC8" s="231"/>
      <c r="AD8" s="231"/>
      <c r="AE8" s="231"/>
      <c r="AF8" s="231"/>
      <c r="AG8" s="231"/>
    </row>
    <row r="9" spans="1:33" ht="18">
      <c r="A9" s="231"/>
      <c r="B9" s="231"/>
      <c r="C9" s="231"/>
      <c r="D9" s="439" t="s">
        <v>645</v>
      </c>
      <c r="E9" s="440">
        <f>(E8*(E6*10))/(367*0.7)*1.25</f>
        <v>4.5251070455430131</v>
      </c>
      <c r="F9" s="441" t="s">
        <v>299</v>
      </c>
      <c r="G9" s="2053" t="s">
        <v>2078</v>
      </c>
      <c r="H9" s="2053" t="s">
        <v>2079</v>
      </c>
      <c r="I9" s="2053" t="s">
        <v>2080</v>
      </c>
      <c r="J9" s="2054" t="s">
        <v>2082</v>
      </c>
      <c r="K9" s="259"/>
      <c r="L9" s="231"/>
      <c r="M9" s="231"/>
      <c r="N9" s="439" t="s">
        <v>641</v>
      </c>
      <c r="O9" s="440">
        <f>O10+1</f>
        <v>4.8000000000000007</v>
      </c>
      <c r="P9" s="446" t="s">
        <v>642</v>
      </c>
      <c r="Q9" s="2015" t="s">
        <v>2075</v>
      </c>
      <c r="R9" s="2053">
        <f>SUM(R5:R8)</f>
        <v>5.6000000000000005</v>
      </c>
      <c r="S9" s="2053" t="s">
        <v>2085</v>
      </c>
      <c r="T9" s="2062">
        <f>(R9*3600)/1000</f>
        <v>20.160000000000004</v>
      </c>
      <c r="U9" s="2053" t="s">
        <v>2</v>
      </c>
      <c r="V9" s="2053"/>
      <c r="W9" s="2053"/>
      <c r="X9" s="2053"/>
      <c r="Y9" s="2053"/>
      <c r="Z9" s="231"/>
      <c r="AA9" s="231"/>
      <c r="AB9" s="231"/>
      <c r="AC9" s="231"/>
      <c r="AD9" s="231"/>
      <c r="AE9" s="231"/>
      <c r="AF9" s="231"/>
      <c r="AG9" s="231"/>
    </row>
    <row r="10" spans="1:33" ht="18">
      <c r="A10" s="231"/>
      <c r="B10" s="231"/>
      <c r="C10" s="231"/>
      <c r="D10" s="2043" t="s">
        <v>646</v>
      </c>
      <c r="E10" s="2046">
        <f>E8*30</f>
        <v>450</v>
      </c>
      <c r="F10" s="2045" t="s">
        <v>61</v>
      </c>
      <c r="G10" s="451"/>
      <c r="H10" s="451"/>
      <c r="I10" s="451"/>
      <c r="J10" s="451"/>
      <c r="K10" s="451"/>
      <c r="L10" s="451"/>
      <c r="M10" s="451"/>
      <c r="N10" s="439" t="s">
        <v>643</v>
      </c>
      <c r="O10" s="440">
        <f>R10</f>
        <v>3.8000000000000003</v>
      </c>
      <c r="P10" s="446" t="s">
        <v>642</v>
      </c>
      <c r="Q10" s="2037" t="s">
        <v>2076</v>
      </c>
      <c r="R10" s="2053">
        <f>((O4*3)/10)+1.8+0.2</f>
        <v>3.8000000000000003</v>
      </c>
      <c r="S10" s="2053"/>
      <c r="T10" s="2053"/>
      <c r="U10" s="2053"/>
      <c r="V10" s="2053"/>
      <c r="W10" s="2053"/>
      <c r="X10" s="2053"/>
      <c r="Y10" s="2053"/>
      <c r="Z10" s="231"/>
      <c r="AA10" s="231"/>
      <c r="AB10" s="231"/>
      <c r="AC10" s="231"/>
      <c r="AD10" s="231"/>
      <c r="AE10" s="231"/>
      <c r="AF10" s="231"/>
      <c r="AG10" s="231"/>
    </row>
    <row r="11" spans="1:33" ht="18">
      <c r="A11" s="231"/>
      <c r="B11" s="231"/>
      <c r="C11" s="231"/>
      <c r="D11" s="439" t="s">
        <v>2077</v>
      </c>
      <c r="E11" s="2038">
        <f>E7*0.9</f>
        <v>4.6800000000000006</v>
      </c>
      <c r="F11" s="2040" t="s">
        <v>642</v>
      </c>
      <c r="G11" s="451"/>
      <c r="H11" s="451"/>
      <c r="I11" s="451"/>
      <c r="J11" s="451"/>
      <c r="K11" s="451"/>
      <c r="L11" s="451"/>
      <c r="M11" s="451"/>
      <c r="N11" s="2043" t="s">
        <v>644</v>
      </c>
      <c r="O11" s="2044">
        <f>(T9*0.5)*1.25</f>
        <v>12.600000000000001</v>
      </c>
      <c r="P11" s="2057" t="s">
        <v>2</v>
      </c>
      <c r="Q11" s="2052">
        <f>O11/3600</f>
        <v>3.5000000000000005E-3</v>
      </c>
      <c r="R11" s="2053">
        <f>Q11/T11</f>
        <v>2.3333333333333335E-3</v>
      </c>
      <c r="S11" s="2053">
        <f>(((R11*4)/4)^0.5)*1000</f>
        <v>48.304589153964791</v>
      </c>
      <c r="T11" s="2063">
        <f>O15</f>
        <v>1.5</v>
      </c>
      <c r="U11" s="2053"/>
      <c r="V11" s="2053"/>
      <c r="W11" s="2053"/>
      <c r="X11" s="2053"/>
      <c r="Y11" s="2053"/>
      <c r="Z11" s="231"/>
      <c r="AA11" s="231"/>
      <c r="AB11" s="231"/>
      <c r="AC11" s="231"/>
      <c r="AD11" s="231"/>
      <c r="AE11" s="231"/>
      <c r="AF11" s="231"/>
      <c r="AG11" s="231"/>
    </row>
    <row r="12" spans="1:33" ht="18">
      <c r="A12" s="231"/>
      <c r="B12" s="231"/>
      <c r="C12" s="231"/>
      <c r="D12" s="2051" t="s">
        <v>2081</v>
      </c>
      <c r="E12" s="2041">
        <v>1.5</v>
      </c>
      <c r="F12" s="2042" t="s">
        <v>122</v>
      </c>
      <c r="G12" s="453" t="s">
        <v>2083</v>
      </c>
      <c r="H12" s="451"/>
      <c r="I12" s="451"/>
      <c r="J12" s="451"/>
      <c r="K12" s="451"/>
      <c r="L12" s="451"/>
      <c r="M12" s="451"/>
      <c r="N12" s="439" t="s">
        <v>645</v>
      </c>
      <c r="O12" s="440">
        <f>(O11*(O9*10))/(367*0.7)*1.25</f>
        <v>2.9427792915531348</v>
      </c>
      <c r="P12" s="441" t="s">
        <v>299</v>
      </c>
      <c r="Q12" s="2335" t="s">
        <v>2078</v>
      </c>
      <c r="R12" s="2053" t="s">
        <v>2079</v>
      </c>
      <c r="S12" s="2053" t="s">
        <v>2080</v>
      </c>
      <c r="T12" s="2054" t="s">
        <v>2082</v>
      </c>
      <c r="U12" s="2053"/>
      <c r="V12" s="2053"/>
      <c r="W12" s="2053"/>
      <c r="X12" s="2053"/>
      <c r="Y12" s="2053"/>
      <c r="Z12" s="231"/>
      <c r="AA12" s="231"/>
      <c r="AB12" s="231"/>
      <c r="AC12" s="231"/>
      <c r="AD12" s="231"/>
      <c r="AE12" s="231"/>
      <c r="AF12" s="231"/>
      <c r="AG12" s="231"/>
    </row>
    <row r="13" spans="1:33" ht="29.45" customHeight="1">
      <c r="A13" s="231"/>
      <c r="B13" s="231"/>
      <c r="C13" s="231"/>
      <c r="D13" s="2061" t="s">
        <v>2084</v>
      </c>
      <c r="E13" s="2059">
        <f>I8</f>
        <v>52.704627669472991</v>
      </c>
      <c r="F13" s="2060" t="s">
        <v>5</v>
      </c>
      <c r="G13" s="2036" t="s">
        <v>2086</v>
      </c>
      <c r="H13" s="2039"/>
      <c r="I13" s="451"/>
      <c r="J13" s="451"/>
      <c r="K13" s="451"/>
      <c r="L13" s="451"/>
      <c r="M13" s="451"/>
      <c r="N13" s="2043" t="s">
        <v>646</v>
      </c>
      <c r="O13" s="2046">
        <f>O11*25</f>
        <v>315.00000000000006</v>
      </c>
      <c r="P13" s="2045" t="s">
        <v>61</v>
      </c>
      <c r="Q13" s="2048"/>
      <c r="R13" s="231"/>
      <c r="S13" s="231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231"/>
      <c r="AF13" s="231"/>
      <c r="AG13" s="231"/>
    </row>
    <row r="14" spans="1:33" ht="19.149999999999999" customHeight="1">
      <c r="A14" s="231"/>
      <c r="B14" s="231"/>
      <c r="C14" s="231"/>
      <c r="D14" s="3581" t="s">
        <v>662</v>
      </c>
      <c r="E14" s="3582"/>
      <c r="F14" s="3582"/>
      <c r="G14" s="451"/>
      <c r="H14" s="2039"/>
      <c r="I14" s="451"/>
      <c r="J14" s="451"/>
      <c r="K14" s="451"/>
      <c r="L14" s="451"/>
      <c r="M14" s="451"/>
      <c r="N14" s="439" t="s">
        <v>2077</v>
      </c>
      <c r="O14" s="2038">
        <f>O10*0.9</f>
        <v>3.4200000000000004</v>
      </c>
      <c r="P14" s="2040" t="s">
        <v>642</v>
      </c>
      <c r="Q14" s="2048"/>
      <c r="R14" s="231"/>
      <c r="S14" s="231"/>
      <c r="T14" s="231"/>
      <c r="U14" s="231"/>
      <c r="V14" s="231"/>
      <c r="W14" s="231"/>
      <c r="X14" s="231"/>
      <c r="Y14" s="231"/>
      <c r="Z14" s="231"/>
      <c r="AA14" s="231"/>
      <c r="AB14" s="231"/>
      <c r="AC14" s="231"/>
      <c r="AD14" s="231"/>
      <c r="AE14" s="231"/>
      <c r="AF14" s="231"/>
      <c r="AG14" s="231"/>
    </row>
    <row r="15" spans="1:33" ht="18.75" thickBot="1">
      <c r="A15" s="231"/>
      <c r="B15" s="231"/>
      <c r="C15" s="231"/>
      <c r="D15" s="451"/>
      <c r="E15" s="452"/>
      <c r="F15" s="451"/>
      <c r="G15" s="451"/>
      <c r="H15" s="451"/>
      <c r="I15" s="451"/>
      <c r="J15" s="451"/>
      <c r="K15" s="451"/>
      <c r="L15" s="451"/>
      <c r="M15" s="451"/>
      <c r="N15" s="2051" t="s">
        <v>2081</v>
      </c>
      <c r="O15" s="2041">
        <v>1.5</v>
      </c>
      <c r="P15" s="2042" t="s">
        <v>122</v>
      </c>
      <c r="Q15" s="453" t="s">
        <v>2083</v>
      </c>
      <c r="R15" s="231"/>
      <c r="S15" s="231"/>
      <c r="T15" s="231"/>
      <c r="U15" s="231"/>
      <c r="V15" s="231"/>
      <c r="W15" s="231"/>
      <c r="X15" s="231"/>
      <c r="Y15" s="231"/>
      <c r="Z15" s="231"/>
      <c r="AA15" s="231"/>
      <c r="AB15" s="231"/>
      <c r="AC15" s="231"/>
      <c r="AD15" s="231"/>
      <c r="AE15" s="231"/>
      <c r="AF15" s="231"/>
      <c r="AG15" s="231"/>
    </row>
    <row r="16" spans="1:33" ht="31.9" customHeight="1">
      <c r="A16" s="231"/>
      <c r="B16" s="231"/>
      <c r="C16" s="231"/>
      <c r="D16" s="3583" t="s">
        <v>647</v>
      </c>
      <c r="E16" s="3584"/>
      <c r="F16" s="3585"/>
      <c r="G16" s="453"/>
      <c r="H16" s="451"/>
      <c r="I16" s="451"/>
      <c r="J16" s="451"/>
      <c r="K16" s="451"/>
      <c r="L16" s="451"/>
      <c r="M16" s="451"/>
      <c r="N16" s="2061" t="s">
        <v>2084</v>
      </c>
      <c r="O16" s="2059">
        <f>S11</f>
        <v>48.304589153964791</v>
      </c>
      <c r="P16" s="2060" t="s">
        <v>5</v>
      </c>
      <c r="Q16" s="2036" t="s">
        <v>2086</v>
      </c>
      <c r="R16" s="453"/>
      <c r="S16" s="231"/>
      <c r="T16" s="231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</row>
    <row r="17" spans="1:33" ht="27.75" customHeight="1" thickBot="1">
      <c r="A17" s="231"/>
      <c r="B17" s="231"/>
      <c r="C17" s="231"/>
      <c r="D17" s="3586" t="s">
        <v>648</v>
      </c>
      <c r="E17" s="3587"/>
      <c r="F17" s="3588"/>
      <c r="G17" s="451"/>
      <c r="H17" s="451"/>
      <c r="I17" s="451"/>
      <c r="J17" s="451"/>
      <c r="K17" s="451"/>
      <c r="L17" s="451"/>
      <c r="M17" s="451"/>
      <c r="N17" s="3581" t="s">
        <v>662</v>
      </c>
      <c r="O17" s="3582"/>
      <c r="P17" s="3582"/>
      <c r="Q17" s="231"/>
      <c r="R17" s="231"/>
      <c r="S17" s="231"/>
      <c r="T17" s="231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</row>
    <row r="18" spans="1:33" ht="18.75" thickBot="1">
      <c r="A18" s="231"/>
      <c r="B18" s="231"/>
      <c r="C18" s="231"/>
      <c r="D18" s="2048"/>
      <c r="E18" s="2049"/>
      <c r="F18" s="451"/>
      <c r="G18" s="451"/>
      <c r="H18" s="451"/>
      <c r="I18" s="451"/>
      <c r="J18" s="451"/>
      <c r="K18" s="451"/>
      <c r="L18" s="451"/>
      <c r="M18" s="451"/>
      <c r="N18" s="3597"/>
      <c r="O18" s="3598"/>
      <c r="P18" s="3598"/>
      <c r="Q18" s="2047"/>
      <c r="R18" s="231"/>
      <c r="S18" s="231"/>
      <c r="T18" s="231"/>
      <c r="U18" s="231"/>
      <c r="V18" s="231"/>
      <c r="W18" s="231"/>
      <c r="X18" s="231"/>
      <c r="Y18" s="231"/>
      <c r="Z18" s="231"/>
      <c r="AA18" s="231"/>
      <c r="AB18" s="231"/>
      <c r="AC18" s="231"/>
      <c r="AD18" s="231"/>
      <c r="AE18" s="231"/>
      <c r="AF18" s="231"/>
      <c r="AG18" s="231"/>
    </row>
    <row r="19" spans="1:33" ht="17.45" customHeight="1">
      <c r="A19" s="231"/>
      <c r="B19" s="231"/>
      <c r="C19" s="231"/>
      <c r="D19" s="3594" t="s">
        <v>649</v>
      </c>
      <c r="E19" s="3595"/>
      <c r="F19" s="3596"/>
      <c r="G19" s="451"/>
      <c r="H19" s="451"/>
      <c r="I19" s="451"/>
      <c r="J19" s="451"/>
      <c r="K19" s="451"/>
      <c r="L19" s="451"/>
      <c r="M19" s="451"/>
      <c r="N19" s="3601" t="s">
        <v>659</v>
      </c>
      <c r="O19" s="3602"/>
      <c r="R19" s="453"/>
      <c r="S19" s="231"/>
      <c r="T19" s="231"/>
      <c r="U19" s="231"/>
      <c r="V19" s="231"/>
      <c r="W19" s="231"/>
      <c r="X19" s="231"/>
      <c r="Y19" s="231"/>
      <c r="Z19" s="231"/>
      <c r="AA19" s="231"/>
      <c r="AB19" s="231"/>
      <c r="AC19" s="231"/>
      <c r="AD19" s="231"/>
      <c r="AE19" s="231"/>
      <c r="AF19" s="231"/>
      <c r="AG19" s="231"/>
    </row>
    <row r="20" spans="1:33" ht="55.15" customHeight="1">
      <c r="A20" s="231"/>
      <c r="B20" s="231"/>
      <c r="C20" s="231"/>
      <c r="D20" s="2055" t="s">
        <v>650</v>
      </c>
      <c r="E20" s="3590" t="s">
        <v>651</v>
      </c>
      <c r="F20" s="3591"/>
      <c r="G20" s="451"/>
      <c r="H20" s="451"/>
      <c r="I20" s="451"/>
      <c r="J20" s="451"/>
      <c r="K20" s="451"/>
      <c r="L20" s="451"/>
      <c r="M20" s="451"/>
      <c r="N20" s="445" t="s">
        <v>660</v>
      </c>
      <c r="O20" s="447" t="s">
        <v>661</v>
      </c>
      <c r="P20" s="447" t="s">
        <v>663</v>
      </c>
      <c r="Q20" s="443" t="s">
        <v>651</v>
      </c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</row>
    <row r="21" spans="1:33" ht="16.5" thickBot="1">
      <c r="A21" s="231"/>
      <c r="B21" s="231"/>
      <c r="C21" s="231"/>
      <c r="D21" s="2056">
        <v>36</v>
      </c>
      <c r="E21" s="3592">
        <f>0.5*D21-1</f>
        <v>17</v>
      </c>
      <c r="F21" s="3593"/>
      <c r="G21" s="451"/>
      <c r="H21" s="451"/>
      <c r="I21" s="451"/>
      <c r="J21" s="451"/>
      <c r="K21" s="451"/>
      <c r="L21" s="451"/>
      <c r="M21" s="451"/>
      <c r="N21" s="448">
        <v>100</v>
      </c>
      <c r="O21" s="449">
        <v>90</v>
      </c>
      <c r="P21" s="449">
        <v>2</v>
      </c>
      <c r="Q21" s="444">
        <f>(N21*O21*P21)/1000</f>
        <v>18</v>
      </c>
      <c r="R21" s="231"/>
      <c r="S21" s="231"/>
      <c r="T21" s="231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</row>
    <row r="22" spans="1:33" ht="18">
      <c r="A22" s="231"/>
      <c r="B22" s="231"/>
      <c r="C22" s="231"/>
      <c r="G22" s="451"/>
      <c r="H22" s="451"/>
      <c r="I22" s="451"/>
      <c r="J22" s="451"/>
      <c r="K22" s="451"/>
      <c r="L22" s="451"/>
      <c r="M22" s="451"/>
      <c r="N22" s="2048"/>
      <c r="O22" s="2049"/>
      <c r="P22" s="451"/>
      <c r="Q22" s="451"/>
      <c r="R22" s="231"/>
      <c r="S22" s="231"/>
      <c r="T22" s="231"/>
      <c r="U22" s="231"/>
      <c r="V22" s="231"/>
      <c r="W22" s="231"/>
      <c r="X22" s="231"/>
      <c r="Y22" s="231"/>
      <c r="Z22" s="231"/>
      <c r="AA22" s="231"/>
      <c r="AB22" s="231"/>
      <c r="AC22" s="231"/>
      <c r="AD22" s="231"/>
      <c r="AE22" s="231"/>
      <c r="AF22" s="231"/>
      <c r="AG22" s="231"/>
    </row>
    <row r="23" spans="1:33" ht="17.45" customHeight="1">
      <c r="A23" s="231"/>
      <c r="B23" s="231"/>
      <c r="C23" s="231"/>
      <c r="G23" s="451"/>
      <c r="H23" s="451"/>
      <c r="I23" s="451"/>
      <c r="J23" s="451"/>
      <c r="K23" s="451"/>
      <c r="L23" s="451"/>
      <c r="M23" s="451"/>
      <c r="N23" s="3570"/>
      <c r="O23" s="3570"/>
      <c r="P23" s="3570"/>
      <c r="Q23" s="451"/>
      <c r="R23" s="231"/>
      <c r="S23" s="231"/>
      <c r="T23" s="231"/>
      <c r="U23" s="231"/>
      <c r="V23" s="231"/>
      <c r="W23" s="231"/>
      <c r="X23" s="231"/>
      <c r="Y23" s="231"/>
      <c r="Z23" s="231"/>
      <c r="AA23" s="231"/>
      <c r="AB23" s="231"/>
      <c r="AC23" s="231"/>
      <c r="AD23" s="231"/>
      <c r="AE23" s="231"/>
      <c r="AF23" s="231"/>
      <c r="AG23" s="231"/>
    </row>
    <row r="24" spans="1:33" ht="17.45" customHeight="1">
      <c r="A24" s="231"/>
      <c r="B24" s="231"/>
      <c r="C24" s="231"/>
      <c r="G24" s="231"/>
      <c r="H24" s="231"/>
      <c r="I24" s="231"/>
      <c r="J24" s="231"/>
      <c r="K24" s="231"/>
      <c r="L24" s="231"/>
      <c r="M24" s="231"/>
      <c r="N24" s="3570"/>
      <c r="O24" s="3570"/>
      <c r="P24" s="3570"/>
      <c r="Q24" s="451"/>
      <c r="R24" s="231"/>
      <c r="S24" s="231"/>
      <c r="T24" s="231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</row>
    <row r="25" spans="1:33" ht="15.75" customHeight="1">
      <c r="A25" s="231"/>
      <c r="B25" s="231"/>
      <c r="C25" s="231"/>
      <c r="G25" s="231"/>
      <c r="H25" s="231"/>
      <c r="I25" s="231"/>
      <c r="J25" s="231"/>
      <c r="K25" s="231"/>
      <c r="L25" s="231"/>
      <c r="M25" s="231"/>
      <c r="N25" s="3578"/>
      <c r="O25" s="3578"/>
      <c r="P25" s="3578"/>
      <c r="Q25" s="453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</row>
    <row r="26" spans="1:33" ht="39" customHeight="1">
      <c r="A26" s="231"/>
      <c r="B26" s="231"/>
      <c r="C26" s="231"/>
      <c r="D26" s="451"/>
      <c r="E26" s="451"/>
      <c r="F26" s="451"/>
      <c r="G26" s="231"/>
      <c r="H26" s="231"/>
      <c r="I26" s="231"/>
      <c r="J26" s="231"/>
      <c r="K26" s="231"/>
      <c r="L26" s="231"/>
      <c r="M26" s="231"/>
      <c r="N26" s="3599"/>
      <c r="O26" s="3600"/>
      <c r="P26" s="3600"/>
      <c r="Q26" s="2035"/>
      <c r="R26" s="231"/>
      <c r="S26" s="231"/>
      <c r="T26" s="231"/>
      <c r="U26" s="231"/>
      <c r="V26" s="231"/>
      <c r="W26" s="231"/>
      <c r="X26" s="231"/>
      <c r="Y26" s="231"/>
      <c r="Z26" s="231"/>
      <c r="AA26" s="231"/>
      <c r="AB26" s="231"/>
      <c r="AC26" s="231"/>
      <c r="AD26" s="231"/>
      <c r="AE26" s="231"/>
      <c r="AF26" s="231"/>
      <c r="AG26" s="231"/>
    </row>
    <row r="27" spans="1:33" ht="20.25" customHeight="1">
      <c r="A27" s="231"/>
      <c r="B27" s="231"/>
      <c r="C27" s="442"/>
      <c r="F27" s="231"/>
      <c r="G27" s="231"/>
      <c r="H27" s="231"/>
      <c r="I27" s="231"/>
      <c r="J27" s="231"/>
      <c r="K27" s="231"/>
      <c r="L27" s="231"/>
      <c r="M27" s="231"/>
      <c r="R27" s="231"/>
      <c r="S27" s="231"/>
      <c r="T27" s="231"/>
      <c r="U27" s="231"/>
      <c r="V27" s="231"/>
      <c r="W27" s="231"/>
      <c r="X27" s="231"/>
      <c r="Y27" s="231"/>
      <c r="Z27" s="231"/>
      <c r="AA27" s="231"/>
      <c r="AB27" s="231"/>
      <c r="AC27" s="231"/>
      <c r="AD27" s="231"/>
      <c r="AE27" s="231"/>
      <c r="AF27" s="231"/>
      <c r="AG27" s="231"/>
    </row>
    <row r="28" spans="1:33">
      <c r="A28" s="231"/>
      <c r="B28" s="231"/>
      <c r="C28" s="231"/>
      <c r="F28" s="231"/>
      <c r="G28" s="231"/>
      <c r="H28" s="231"/>
      <c r="I28" s="231"/>
      <c r="J28" s="231"/>
      <c r="K28" s="231"/>
      <c r="L28" s="231"/>
      <c r="M28" s="231"/>
      <c r="S28" s="231"/>
      <c r="T28" s="231"/>
      <c r="U28" s="3358"/>
      <c r="V28" s="3358"/>
      <c r="W28" s="3358"/>
      <c r="X28" s="3358"/>
      <c r="Y28" s="231"/>
      <c r="Z28" s="231"/>
      <c r="AA28" s="231"/>
      <c r="AB28" s="231"/>
      <c r="AC28" s="231"/>
      <c r="AD28" s="231"/>
      <c r="AE28" s="231"/>
      <c r="AF28" s="231"/>
      <c r="AG28" s="231"/>
    </row>
    <row r="29" spans="1:33" ht="16.5" customHeight="1">
      <c r="A29" s="231"/>
      <c r="B29" s="231"/>
      <c r="C29" s="231"/>
      <c r="F29" s="231"/>
      <c r="G29" s="231"/>
      <c r="H29" s="231"/>
      <c r="I29" s="231"/>
      <c r="J29" s="231"/>
      <c r="K29" s="231"/>
      <c r="L29" s="231"/>
      <c r="M29" s="231"/>
      <c r="S29" s="231"/>
      <c r="T29" s="231"/>
      <c r="U29" s="3359"/>
      <c r="V29" s="3359"/>
      <c r="W29" s="3359"/>
      <c r="X29" s="3359"/>
      <c r="Y29" s="231"/>
      <c r="Z29" s="231"/>
      <c r="AA29" s="231"/>
      <c r="AB29" s="231"/>
      <c r="AC29" s="231"/>
      <c r="AD29" s="231"/>
      <c r="AE29" s="231"/>
      <c r="AF29" s="231"/>
      <c r="AG29" s="231"/>
    </row>
    <row r="30" spans="1:33" ht="39" customHeight="1">
      <c r="A30" s="231"/>
      <c r="B30" s="231"/>
      <c r="C30" s="231"/>
      <c r="D30" s="451"/>
      <c r="E30" s="451"/>
      <c r="F30" s="45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3360"/>
      <c r="V30" s="3360"/>
      <c r="W30" s="3360"/>
      <c r="X30" s="3360"/>
      <c r="Y30" s="231"/>
      <c r="Z30" s="231"/>
      <c r="AA30" s="231"/>
      <c r="AB30" s="231"/>
      <c r="AC30" s="231"/>
      <c r="AD30" s="231"/>
      <c r="AE30" s="231"/>
      <c r="AF30" s="231"/>
      <c r="AG30" s="231"/>
    </row>
    <row r="31" spans="1:33">
      <c r="A31" s="231"/>
      <c r="B31" s="231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231"/>
      <c r="N31" s="231"/>
      <c r="O31" s="231"/>
      <c r="P31" s="231"/>
      <c r="Q31" s="231"/>
      <c r="R31" s="231"/>
      <c r="S31" s="231"/>
      <c r="T31" s="231"/>
      <c r="U31" s="231"/>
      <c r="V31" s="231"/>
      <c r="W31" s="231"/>
      <c r="X31" s="231"/>
      <c r="Y31" s="231"/>
      <c r="Z31" s="231"/>
      <c r="AA31" s="231"/>
      <c r="AB31" s="231"/>
      <c r="AC31" s="231"/>
      <c r="AD31" s="231"/>
      <c r="AE31" s="231"/>
      <c r="AF31" s="231"/>
      <c r="AG31" s="231"/>
    </row>
    <row r="32" spans="1:33">
      <c r="A32" s="231"/>
      <c r="B32" s="231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231"/>
      <c r="N32" s="231"/>
      <c r="O32" s="231"/>
      <c r="P32" s="231"/>
      <c r="Q32" s="231"/>
      <c r="R32" s="231"/>
      <c r="S32" s="231"/>
      <c r="T32" s="231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</row>
    <row r="33" spans="1:33">
      <c r="A33" s="231"/>
      <c r="B33" s="231"/>
      <c r="C33" s="231"/>
      <c r="D33" s="231"/>
      <c r="E33" s="231"/>
      <c r="F33" s="231"/>
      <c r="G33" s="231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</row>
    <row r="34" spans="1:33">
      <c r="A34" s="231"/>
      <c r="B34" s="231"/>
      <c r="C34" s="231"/>
      <c r="D34" s="231"/>
      <c r="E34" s="231"/>
      <c r="F34" s="231"/>
      <c r="G34" s="231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1"/>
      <c r="S34" s="231"/>
      <c r="T34" s="231"/>
      <c r="U34" s="231"/>
      <c r="V34" s="231"/>
      <c r="W34" s="231"/>
      <c r="X34" s="231"/>
      <c r="Y34" s="231"/>
      <c r="Z34" s="231"/>
      <c r="AA34" s="231"/>
      <c r="AB34" s="231"/>
      <c r="AC34" s="231"/>
      <c r="AD34" s="231"/>
      <c r="AE34" s="231"/>
      <c r="AF34" s="231"/>
      <c r="AG34" s="231"/>
    </row>
    <row r="35" spans="1:33">
      <c r="A35" s="231"/>
      <c r="B35" s="231"/>
      <c r="C35" s="231"/>
      <c r="D35" s="231"/>
      <c r="E35" s="231"/>
      <c r="F35" s="231"/>
      <c r="G35" s="231"/>
      <c r="H35" s="231"/>
      <c r="I35" s="231"/>
      <c r="J35" s="231"/>
      <c r="K35" s="231"/>
      <c r="L35" s="231"/>
      <c r="M35" s="231"/>
      <c r="N35" s="231"/>
      <c r="O35" s="231"/>
      <c r="P35" s="231"/>
      <c r="Q35" s="231"/>
      <c r="R35" s="231"/>
      <c r="S35" s="231"/>
      <c r="T35" s="231"/>
      <c r="U35" s="231"/>
      <c r="V35" s="231"/>
      <c r="W35" s="231"/>
      <c r="X35" s="231"/>
      <c r="Y35" s="231"/>
      <c r="Z35" s="231"/>
      <c r="AA35" s="231"/>
      <c r="AB35" s="231"/>
      <c r="AC35" s="231"/>
      <c r="AD35" s="231"/>
      <c r="AE35" s="231"/>
      <c r="AF35" s="231"/>
      <c r="AG35" s="231"/>
    </row>
    <row r="36" spans="1:33">
      <c r="A36" s="231"/>
      <c r="B36" s="231"/>
      <c r="C36" s="231"/>
      <c r="D36" s="231"/>
      <c r="E36" s="231"/>
      <c r="F36" s="231"/>
      <c r="G36" s="231"/>
      <c r="H36" s="231"/>
      <c r="I36" s="231"/>
      <c r="J36" s="231"/>
      <c r="K36" s="231"/>
      <c r="L36" s="231"/>
      <c r="M36" s="231"/>
      <c r="N36" s="231"/>
      <c r="O36" s="231"/>
      <c r="P36" s="231"/>
      <c r="Q36" s="231"/>
      <c r="R36" s="231"/>
      <c r="S36" s="231"/>
      <c r="T36" s="231"/>
      <c r="U36" s="231"/>
      <c r="V36" s="231"/>
      <c r="W36" s="231"/>
      <c r="X36" s="231"/>
      <c r="Y36" s="231"/>
      <c r="Z36" s="231"/>
      <c r="AA36" s="231"/>
      <c r="AB36" s="231"/>
      <c r="AC36" s="231"/>
      <c r="AD36" s="231"/>
      <c r="AE36" s="231"/>
      <c r="AF36" s="231"/>
      <c r="AG36" s="231"/>
    </row>
    <row r="37" spans="1:33">
      <c r="A37" s="231"/>
      <c r="B37" s="231"/>
      <c r="C37" s="231"/>
      <c r="D37" s="231"/>
      <c r="E37" s="231"/>
      <c r="F37" s="231"/>
      <c r="G37" s="231"/>
      <c r="H37" s="231"/>
      <c r="I37" s="231"/>
      <c r="J37" s="231"/>
      <c r="K37" s="231"/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231"/>
      <c r="W37" s="231"/>
      <c r="X37" s="231"/>
      <c r="Y37" s="231"/>
      <c r="Z37" s="231"/>
      <c r="AA37" s="231"/>
      <c r="AB37" s="231"/>
      <c r="AC37" s="231"/>
      <c r="AD37" s="231"/>
      <c r="AE37" s="231"/>
      <c r="AF37" s="231"/>
      <c r="AG37" s="231"/>
    </row>
    <row r="38" spans="1:33">
      <c r="A38" s="231"/>
      <c r="B38" s="231"/>
      <c r="C38" s="231"/>
      <c r="D38" s="231"/>
      <c r="E38" s="231"/>
      <c r="F38" s="231"/>
      <c r="G38" s="231"/>
      <c r="H38" s="231"/>
      <c r="I38" s="231"/>
      <c r="J38" s="231"/>
      <c r="K38" s="231"/>
      <c r="L38" s="231"/>
      <c r="M38" s="231"/>
      <c r="N38" s="231"/>
      <c r="O38" s="231"/>
      <c r="P38" s="231"/>
      <c r="Q38" s="231"/>
      <c r="R38" s="231"/>
      <c r="S38" s="231"/>
      <c r="T38" s="231"/>
      <c r="U38" s="231"/>
      <c r="V38" s="231"/>
      <c r="W38" s="231"/>
      <c r="X38" s="231"/>
      <c r="Y38" s="231"/>
      <c r="Z38" s="231"/>
      <c r="AA38" s="231"/>
      <c r="AB38" s="231"/>
      <c r="AC38" s="231"/>
      <c r="AD38" s="231"/>
      <c r="AE38" s="231"/>
      <c r="AF38" s="231"/>
      <c r="AG38" s="231"/>
    </row>
    <row r="39" spans="1:33">
      <c r="A39" s="231"/>
      <c r="B39" s="231"/>
      <c r="C39" s="231"/>
      <c r="D39" s="231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</row>
    <row r="40" spans="1:33">
      <c r="A40" s="231"/>
      <c r="B40" s="231"/>
      <c r="C40" s="231"/>
      <c r="D40" s="231"/>
      <c r="E40" s="231"/>
      <c r="F40" s="231"/>
      <c r="G40" s="231"/>
      <c r="H40" s="231"/>
      <c r="I40" s="231"/>
      <c r="J40" s="231"/>
      <c r="K40" s="231"/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</row>
    <row r="41" spans="1:33">
      <c r="A41" s="231"/>
      <c r="B41" s="231"/>
      <c r="C41" s="231"/>
      <c r="D41" s="231"/>
      <c r="E41" s="231"/>
      <c r="F41" s="231"/>
      <c r="G41" s="231"/>
      <c r="H41" s="231"/>
      <c r="I41" s="231"/>
      <c r="J41" s="231"/>
      <c r="K41" s="231"/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1"/>
      <c r="AC41" s="231"/>
      <c r="AD41" s="231"/>
      <c r="AE41" s="231"/>
      <c r="AF41" s="231"/>
      <c r="AG41" s="231"/>
    </row>
    <row r="42" spans="1:33">
      <c r="A42" s="231"/>
      <c r="B42" s="231"/>
      <c r="C42" s="231"/>
      <c r="D42" s="231"/>
      <c r="E42" s="231"/>
      <c r="F42" s="231"/>
      <c r="G42" s="231"/>
      <c r="H42" s="231"/>
      <c r="I42" s="231"/>
      <c r="J42" s="231"/>
      <c r="K42" s="231"/>
      <c r="L42" s="231"/>
      <c r="M42" s="231"/>
      <c r="N42" s="231"/>
      <c r="O42" s="231"/>
      <c r="P42" s="231"/>
      <c r="Q42" s="231"/>
      <c r="R42" s="231"/>
      <c r="S42" s="231"/>
      <c r="T42" s="231"/>
      <c r="U42" s="231"/>
      <c r="V42" s="231"/>
      <c r="W42" s="231"/>
      <c r="X42" s="231"/>
      <c r="Y42" s="231"/>
    </row>
    <row r="43" spans="1:33">
      <c r="A43" s="231"/>
      <c r="B43" s="231"/>
      <c r="C43" s="231"/>
      <c r="D43" s="231"/>
      <c r="E43" s="231"/>
      <c r="F43" s="231"/>
      <c r="G43" s="231"/>
      <c r="H43" s="231"/>
      <c r="I43" s="231"/>
      <c r="J43" s="231"/>
      <c r="K43" s="231"/>
      <c r="L43" s="231"/>
      <c r="M43" s="231"/>
      <c r="N43" s="231"/>
      <c r="O43" s="231"/>
      <c r="P43" s="231"/>
      <c r="Q43" s="231"/>
      <c r="R43" s="231"/>
      <c r="S43" s="231"/>
      <c r="T43" s="231"/>
      <c r="U43" s="231"/>
      <c r="V43" s="231"/>
      <c r="W43" s="231"/>
      <c r="X43" s="231"/>
      <c r="Y43" s="231"/>
    </row>
    <row r="44" spans="1:33">
      <c r="A44" s="231"/>
      <c r="B44" s="231"/>
      <c r="C44" s="231"/>
      <c r="D44" s="231"/>
      <c r="E44" s="231"/>
      <c r="F44" s="231"/>
      <c r="G44" s="231"/>
      <c r="H44" s="231"/>
      <c r="I44" s="231"/>
      <c r="J44" s="231"/>
      <c r="K44" s="231"/>
      <c r="L44" s="231"/>
      <c r="M44" s="231"/>
      <c r="N44" s="231"/>
      <c r="O44" s="231"/>
      <c r="P44" s="231"/>
      <c r="Q44" s="231"/>
      <c r="R44" s="231"/>
      <c r="S44" s="231"/>
      <c r="T44" s="231"/>
      <c r="U44" s="231"/>
      <c r="V44" s="231"/>
      <c r="W44" s="231"/>
      <c r="X44" s="231"/>
      <c r="Y44" s="231"/>
    </row>
    <row r="45" spans="1:33">
      <c r="A45" s="231"/>
      <c r="B45" s="231"/>
      <c r="C45" s="231"/>
      <c r="D45" s="231"/>
      <c r="E45" s="231"/>
      <c r="F45" s="231"/>
      <c r="G45" s="231"/>
      <c r="H45" s="231"/>
      <c r="I45" s="231"/>
      <c r="J45" s="231"/>
      <c r="K45" s="231"/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231"/>
      <c r="W45" s="231"/>
      <c r="X45" s="231"/>
      <c r="Y45" s="231"/>
    </row>
    <row r="46" spans="1:33">
      <c r="A46" s="231"/>
      <c r="B46" s="231"/>
      <c r="C46" s="231"/>
      <c r="F46" s="231"/>
    </row>
    <row r="47" spans="1:33">
      <c r="A47" s="231"/>
      <c r="B47" s="231"/>
      <c r="C47" s="231"/>
      <c r="F47" s="231"/>
    </row>
    <row r="48" spans="1:33">
      <c r="A48" s="231"/>
      <c r="B48" s="231"/>
      <c r="C48" s="231"/>
      <c r="F48" s="231"/>
    </row>
    <row r="49" spans="1:6">
      <c r="A49" s="231"/>
      <c r="B49" s="231"/>
      <c r="C49" s="231"/>
      <c r="F49" s="231"/>
    </row>
    <row r="50" spans="1:6">
      <c r="A50" s="231"/>
      <c r="B50" s="231"/>
      <c r="C50" s="231"/>
      <c r="F50" s="231"/>
    </row>
    <row r="51" spans="1:6">
      <c r="A51" s="231"/>
      <c r="B51" s="231"/>
      <c r="C51" s="231"/>
      <c r="F51" s="231"/>
    </row>
    <row r="52" spans="1:6">
      <c r="A52" s="231"/>
      <c r="B52" s="231"/>
      <c r="C52" s="231"/>
      <c r="F52" s="231"/>
    </row>
    <row r="53" spans="1:6">
      <c r="A53" s="231"/>
      <c r="B53" s="231"/>
      <c r="C53" s="231"/>
    </row>
  </sheetData>
  <sheetProtection algorithmName="SHA-512" hashValue="C+/7m6NIUNGJ7CXG0Gwmbwzf/Vxtp/bqAUkkBs5CFeiYQHzukVpg5scXaWdKCUk1IBgfRGo26U5BwA2Yeo+YYQ==" saltValue="RkCwif0dlS1dD8uAHYfc3A==" spinCount="100000" sheet="1" objects="1" selectLockedCells="1"/>
  <mergeCells count="33">
    <mergeCell ref="U30:X30"/>
    <mergeCell ref="E20:F20"/>
    <mergeCell ref="E21:F21"/>
    <mergeCell ref="D19:F19"/>
    <mergeCell ref="N18:P18"/>
    <mergeCell ref="N24:P24"/>
    <mergeCell ref="N25:P25"/>
    <mergeCell ref="N26:P26"/>
    <mergeCell ref="N19:O19"/>
    <mergeCell ref="U28:X28"/>
    <mergeCell ref="U29:X29"/>
    <mergeCell ref="N23:P23"/>
    <mergeCell ref="E5:F5"/>
    <mergeCell ref="O5:P5"/>
    <mergeCell ref="U5:Y5"/>
    <mergeCell ref="O6:P6"/>
    <mergeCell ref="O7:P7"/>
    <mergeCell ref="O8:P8"/>
    <mergeCell ref="D14:F14"/>
    <mergeCell ref="D16:F16"/>
    <mergeCell ref="D17:F17"/>
    <mergeCell ref="N17:P17"/>
    <mergeCell ref="E4:F4"/>
    <mergeCell ref="O4:P4"/>
    <mergeCell ref="U4:Y4"/>
    <mergeCell ref="Q2:S2"/>
    <mergeCell ref="Q3:S3"/>
    <mergeCell ref="D2:F2"/>
    <mergeCell ref="N2:P2"/>
    <mergeCell ref="D3:F3"/>
    <mergeCell ref="N3:P3"/>
    <mergeCell ref="U3:Y3"/>
    <mergeCell ref="Q4:S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ayfa8"/>
  <dimension ref="A1:IV29"/>
  <sheetViews>
    <sheetView showGridLines="0" showRowColHeaders="0" topLeftCell="H4" zoomScale="130" zoomScaleNormal="130" workbookViewId="0">
      <selection activeCell="F7" sqref="F7"/>
    </sheetView>
  </sheetViews>
  <sheetFormatPr defaultColWidth="9" defaultRowHeight="15"/>
  <cols>
    <col min="1" max="2" width="9.140625" style="150" customWidth="1"/>
    <col min="3" max="3" width="3.7109375" style="150" customWidth="1"/>
    <col min="4" max="4" width="19.28515625" style="150" customWidth="1"/>
    <col min="5" max="5" width="26.85546875" style="150" customWidth="1"/>
    <col min="6" max="6" width="9.140625" style="150" customWidth="1"/>
    <col min="7" max="7" width="9.7109375" style="150" customWidth="1"/>
    <col min="8" max="8" width="5.85546875" style="150" customWidth="1"/>
    <col min="9" max="9" width="5.28515625" style="150" customWidth="1"/>
    <col min="10" max="10" width="7.85546875" style="150" customWidth="1"/>
    <col min="11" max="11" width="11" style="150" customWidth="1"/>
    <col min="12" max="256" width="9.140625" style="150" customWidth="1"/>
  </cols>
  <sheetData>
    <row r="1" spans="4:21" ht="15.75" thickBot="1"/>
    <row r="2" spans="4:21" ht="33" thickBot="1">
      <c r="D2" s="2338" t="s">
        <v>112</v>
      </c>
      <c r="E2" s="2329"/>
    </row>
    <row r="3" spans="4:21" ht="22.5" customHeight="1" thickBot="1"/>
    <row r="4" spans="4:21">
      <c r="D4" s="151" t="s">
        <v>23</v>
      </c>
      <c r="E4" s="152"/>
      <c r="F4" s="3603" t="s">
        <v>20</v>
      </c>
      <c r="G4" s="3604"/>
      <c r="H4" s="153"/>
      <c r="K4" s="154"/>
    </row>
    <row r="5" spans="4:21">
      <c r="F5" s="153"/>
      <c r="G5" s="153"/>
      <c r="H5" s="153"/>
      <c r="I5" s="155" t="s">
        <v>110</v>
      </c>
      <c r="K5" s="154"/>
    </row>
    <row r="6" spans="4:21">
      <c r="F6" s="153"/>
      <c r="G6" s="153"/>
      <c r="H6" s="153"/>
      <c r="I6" s="156"/>
    </row>
    <row r="7" spans="4:21">
      <c r="D7" s="157" t="s">
        <v>106</v>
      </c>
      <c r="E7" s="158" t="s">
        <v>105</v>
      </c>
      <c r="F7" s="159">
        <v>700</v>
      </c>
      <c r="G7" s="160" t="s">
        <v>74</v>
      </c>
      <c r="H7" s="161"/>
      <c r="J7" s="162">
        <f>F7*6</f>
        <v>4200</v>
      </c>
      <c r="K7" s="163" t="s">
        <v>109</v>
      </c>
    </row>
    <row r="8" spans="4:21">
      <c r="F8" s="164"/>
      <c r="G8" s="161"/>
      <c r="H8" s="161"/>
    </row>
    <row r="9" spans="4:21">
      <c r="D9" s="165" t="s">
        <v>107</v>
      </c>
      <c r="E9" s="158" t="s">
        <v>105</v>
      </c>
      <c r="F9" s="159"/>
      <c r="G9" s="160" t="s">
        <v>74</v>
      </c>
      <c r="H9" s="161"/>
      <c r="J9" s="162">
        <f>F9*15</f>
        <v>0</v>
      </c>
      <c r="K9" s="163" t="s">
        <v>109</v>
      </c>
    </row>
    <row r="10" spans="4:21">
      <c r="F10" s="164"/>
      <c r="G10" s="161"/>
      <c r="H10" s="161"/>
    </row>
    <row r="11" spans="4:21">
      <c r="D11" s="166" t="s">
        <v>111</v>
      </c>
      <c r="E11" s="158" t="s">
        <v>108</v>
      </c>
      <c r="F11" s="159">
        <v>0</v>
      </c>
      <c r="G11" s="160" t="s">
        <v>88</v>
      </c>
      <c r="H11" s="161"/>
      <c r="J11" s="162">
        <f>F11*30</f>
        <v>0</v>
      </c>
      <c r="K11" s="163" t="s">
        <v>109</v>
      </c>
      <c r="L11" s="167"/>
      <c r="M11" s="167"/>
    </row>
    <row r="12" spans="4:21">
      <c r="E12" s="168"/>
      <c r="G12" s="164"/>
      <c r="H12" s="164"/>
      <c r="I12" s="161"/>
      <c r="M12" s="3605"/>
      <c r="N12" s="3606"/>
      <c r="O12" s="3606"/>
      <c r="P12" s="3606"/>
    </row>
    <row r="13" spans="4:21">
      <c r="E13" s="3611" t="s">
        <v>113</v>
      </c>
      <c r="F13" s="3612"/>
      <c r="G13" s="3613"/>
      <c r="H13" s="169"/>
      <c r="I13" s="161"/>
      <c r="J13" s="170">
        <f>J7+J9+J11</f>
        <v>4200</v>
      </c>
      <c r="K13" s="152" t="s">
        <v>109</v>
      </c>
      <c r="L13" s="171"/>
      <c r="M13" s="3607"/>
      <c r="N13" s="3607"/>
      <c r="O13" s="3607"/>
      <c r="P13" s="3607"/>
      <c r="R13" s="171"/>
      <c r="S13" s="171"/>
      <c r="T13" s="172"/>
      <c r="U13" s="172"/>
    </row>
    <row r="14" spans="4:21">
      <c r="E14" s="168"/>
      <c r="G14" s="164"/>
      <c r="H14" s="164"/>
      <c r="I14" s="161"/>
      <c r="L14" s="171"/>
      <c r="M14" s="3608" t="s">
        <v>116</v>
      </c>
      <c r="N14" s="3609"/>
      <c r="O14" s="3609"/>
      <c r="P14" s="3610"/>
      <c r="R14" s="171"/>
      <c r="S14" s="173"/>
      <c r="T14" s="172"/>
      <c r="U14" s="172"/>
    </row>
    <row r="15" spans="4:21">
      <c r="E15" s="174" t="s">
        <v>115</v>
      </c>
      <c r="F15" s="175"/>
      <c r="G15" s="176" t="s">
        <v>1</v>
      </c>
      <c r="H15" s="164"/>
      <c r="I15" s="161"/>
      <c r="J15" s="177">
        <f>F15*8</f>
        <v>0</v>
      </c>
      <c r="K15" s="163" t="s">
        <v>109</v>
      </c>
      <c r="L15" s="171"/>
      <c r="M15" s="173"/>
      <c r="N15" s="178">
        <f>(J15+J13)/1000</f>
        <v>4.2</v>
      </c>
      <c r="O15" s="179" t="s">
        <v>117</v>
      </c>
      <c r="R15" s="171"/>
      <c r="S15" s="173"/>
      <c r="T15" s="172"/>
      <c r="U15" s="172"/>
    </row>
    <row r="16" spans="4:21">
      <c r="E16" s="168"/>
      <c r="G16" s="164"/>
      <c r="H16" s="164"/>
      <c r="I16" s="161"/>
      <c r="L16" s="180"/>
      <c r="M16" s="180"/>
      <c r="N16" s="177">
        <f>J13+J15</f>
        <v>4200</v>
      </c>
      <c r="O16" s="163" t="s">
        <v>118</v>
      </c>
      <c r="R16" s="3605"/>
      <c r="S16" s="3606"/>
      <c r="T16" s="3606"/>
      <c r="U16" s="3606"/>
    </row>
    <row r="17" spans="4:19">
      <c r="D17" s="3614"/>
      <c r="E17" s="3614"/>
      <c r="L17" s="180"/>
      <c r="M17" s="180"/>
    </row>
    <row r="18" spans="4:19">
      <c r="D18" s="154" t="s">
        <v>103</v>
      </c>
    </row>
    <row r="19" spans="4:19">
      <c r="D19" s="150" t="s">
        <v>100</v>
      </c>
      <c r="M19" s="171"/>
      <c r="N19" s="171"/>
      <c r="O19" s="172"/>
      <c r="P19" s="172"/>
    </row>
    <row r="20" spans="4:19">
      <c r="D20" s="150" t="s">
        <v>101</v>
      </c>
      <c r="M20" s="171"/>
      <c r="N20" s="173"/>
      <c r="O20" s="172"/>
      <c r="P20" s="172"/>
    </row>
    <row r="21" spans="4:19">
      <c r="D21" s="150" t="s">
        <v>102</v>
      </c>
      <c r="M21" s="3605"/>
      <c r="N21" s="3606"/>
      <c r="O21" s="3606"/>
      <c r="P21" s="3606"/>
    </row>
    <row r="22" spans="4:19">
      <c r="D22" s="150" t="s">
        <v>114</v>
      </c>
    </row>
    <row r="23" spans="4:19">
      <c r="O23" s="3615" t="s">
        <v>47</v>
      </c>
      <c r="P23" s="3615"/>
      <c r="Q23" s="3615"/>
      <c r="R23" s="3615"/>
      <c r="S23" s="3615"/>
    </row>
    <row r="24" spans="4:19">
      <c r="D24" s="167" t="s">
        <v>104</v>
      </c>
      <c r="N24" s="3616" t="s">
        <v>17</v>
      </c>
      <c r="O24" s="3616"/>
      <c r="P24" s="3616"/>
      <c r="Q24" s="3616"/>
      <c r="R24" s="3616"/>
      <c r="S24" s="3616"/>
    </row>
    <row r="25" spans="4:19">
      <c r="D25" s="150" t="s">
        <v>119</v>
      </c>
      <c r="O25" s="171"/>
      <c r="P25" s="3617">
        <v>2026</v>
      </c>
      <c r="Q25" s="3617"/>
      <c r="R25" s="3617"/>
      <c r="S25" s="3617"/>
    </row>
    <row r="26" spans="4:19">
      <c r="O26" s="3605"/>
      <c r="P26" s="3605"/>
      <c r="Q26" s="3605"/>
      <c r="R26" s="3605"/>
    </row>
    <row r="27" spans="4:19">
      <c r="H27" s="171"/>
      <c r="I27" s="171"/>
      <c r="J27" s="172"/>
      <c r="K27" s="172"/>
    </row>
    <row r="28" spans="4:19">
      <c r="H28" s="171"/>
      <c r="I28" s="173"/>
      <c r="J28" s="172"/>
      <c r="K28" s="172"/>
      <c r="O28" s="171"/>
      <c r="P28" s="171"/>
      <c r="Q28" s="172"/>
    </row>
    <row r="29" spans="4:19">
      <c r="H29" s="3605"/>
      <c r="I29" s="3606"/>
      <c r="J29" s="3606"/>
      <c r="K29" s="3606"/>
      <c r="O29" s="171"/>
      <c r="P29" s="173"/>
      <c r="Q29" s="172"/>
    </row>
  </sheetData>
  <sheetProtection algorithmName="SHA-512" hashValue="DTgT65NhIemLZLpRFalIJKzAPtjz8SGNchg7rJ1b4CSYh/NnNQyOJSLU644DTcrZiTzf+Bfp8ET6fr9czaI9SQ==" saltValue="zCxSJuuPORgr+GFWV5HqnQ==" spinCount="100000" sheet="1" objects="1" selectLockedCells="1"/>
  <mergeCells count="13">
    <mergeCell ref="F4:G4"/>
    <mergeCell ref="M12:P12"/>
    <mergeCell ref="M13:P13"/>
    <mergeCell ref="M14:P14"/>
    <mergeCell ref="H29:K29"/>
    <mergeCell ref="O26:R26"/>
    <mergeCell ref="E13:G13"/>
    <mergeCell ref="R16:U16"/>
    <mergeCell ref="D17:E17"/>
    <mergeCell ref="M21:P21"/>
    <mergeCell ref="O23:S23"/>
    <mergeCell ref="N24:S24"/>
    <mergeCell ref="P25:S25"/>
  </mergeCells>
  <pageMargins left="0.7" right="0.7" top="0.75" bottom="0.75" header="0.5" footer="0.5"/>
  <headerFooter alignWithMargins="0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D6FD3-93DF-4B8C-98F0-F22BCFF06F95}">
  <dimension ref="A2:O83"/>
  <sheetViews>
    <sheetView topLeftCell="A7" workbookViewId="0">
      <selection activeCell="C70" sqref="C70"/>
    </sheetView>
  </sheetViews>
  <sheetFormatPr defaultColWidth="9.140625" defaultRowHeight="15"/>
  <cols>
    <col min="1" max="1" width="9.140625" style="243"/>
    <col min="2" max="2" width="17.7109375" style="243" bestFit="1" customWidth="1"/>
    <col min="3" max="3" width="13.42578125" style="2082" customWidth="1"/>
    <col min="4" max="4" width="12" style="243" bestFit="1" customWidth="1"/>
    <col min="5" max="7" width="9.140625" style="243"/>
    <col min="8" max="8" width="23.140625" style="243" bestFit="1" customWidth="1"/>
    <col min="9" max="12" width="9.140625" style="243"/>
    <col min="13" max="13" width="14.42578125" style="2083" bestFit="1" customWidth="1"/>
    <col min="14" max="14" width="14.42578125" style="243" bestFit="1" customWidth="1"/>
    <col min="15" max="16384" width="9.140625" style="243"/>
  </cols>
  <sheetData>
    <row r="2" spans="1:15">
      <c r="A2" s="243" t="s">
        <v>2093</v>
      </c>
      <c r="B2" s="243" t="s">
        <v>2094</v>
      </c>
      <c r="C2" s="2082" t="s">
        <v>2095</v>
      </c>
      <c r="D2" t="s">
        <v>2207</v>
      </c>
      <c r="E2" t="s">
        <v>2096</v>
      </c>
      <c r="F2" t="s">
        <v>2097</v>
      </c>
      <c r="G2" t="s">
        <v>2098</v>
      </c>
      <c r="H2" t="s">
        <v>2099</v>
      </c>
    </row>
    <row r="3" spans="1:15">
      <c r="A3" s="243">
        <v>1</v>
      </c>
      <c r="B3" s="243" t="s">
        <v>2100</v>
      </c>
      <c r="C3" s="335" t="s">
        <v>2101</v>
      </c>
      <c r="D3">
        <v>64</v>
      </c>
      <c r="E3">
        <v>60</v>
      </c>
      <c r="F3">
        <v>35</v>
      </c>
      <c r="G3">
        <v>40</v>
      </c>
      <c r="H3">
        <v>499</v>
      </c>
    </row>
    <row r="4" spans="1:15">
      <c r="A4" s="243">
        <v>2</v>
      </c>
      <c r="B4" s="243" t="s">
        <v>2102</v>
      </c>
      <c r="C4" s="335" t="s">
        <v>2103</v>
      </c>
      <c r="D4">
        <v>58</v>
      </c>
      <c r="E4">
        <v>55</v>
      </c>
      <c r="F4">
        <v>30</v>
      </c>
      <c r="G4">
        <v>40</v>
      </c>
      <c r="H4">
        <v>483</v>
      </c>
    </row>
    <row r="5" spans="1:15">
      <c r="A5" s="243">
        <v>3</v>
      </c>
      <c r="B5" s="243" t="s">
        <v>2104</v>
      </c>
      <c r="C5" s="335" t="s">
        <v>2105</v>
      </c>
      <c r="D5">
        <v>47</v>
      </c>
      <c r="E5">
        <v>45</v>
      </c>
      <c r="F5">
        <v>30</v>
      </c>
      <c r="G5">
        <v>40</v>
      </c>
      <c r="H5">
        <v>462</v>
      </c>
    </row>
    <row r="6" spans="1:15">
      <c r="A6" s="243">
        <v>4</v>
      </c>
      <c r="B6" s="243" t="s">
        <v>2106</v>
      </c>
      <c r="C6" s="335" t="s">
        <v>2107</v>
      </c>
      <c r="D6">
        <v>41</v>
      </c>
      <c r="E6">
        <v>40</v>
      </c>
      <c r="F6">
        <v>25</v>
      </c>
      <c r="G6">
        <v>40</v>
      </c>
      <c r="H6">
        <v>446</v>
      </c>
    </row>
    <row r="7" spans="1:15">
      <c r="A7" s="243">
        <v>5</v>
      </c>
      <c r="B7" s="243" t="s">
        <v>2108</v>
      </c>
      <c r="C7" s="335" t="s">
        <v>2109</v>
      </c>
      <c r="D7">
        <v>52</v>
      </c>
      <c r="E7">
        <v>50</v>
      </c>
      <c r="F7">
        <v>30</v>
      </c>
      <c r="G7">
        <v>40</v>
      </c>
      <c r="H7">
        <v>472</v>
      </c>
    </row>
    <row r="8" spans="1:15">
      <c r="A8" s="243">
        <v>6</v>
      </c>
      <c r="B8" s="243" t="s">
        <v>2110</v>
      </c>
      <c r="C8" s="335" t="s">
        <v>2111</v>
      </c>
      <c r="D8">
        <v>47</v>
      </c>
      <c r="E8">
        <v>45</v>
      </c>
      <c r="F8">
        <v>30</v>
      </c>
      <c r="G8">
        <v>40</v>
      </c>
      <c r="H8">
        <v>462</v>
      </c>
    </row>
    <row r="9" spans="1:15">
      <c r="A9" s="243">
        <v>7</v>
      </c>
      <c r="B9" s="243" t="s">
        <v>2113</v>
      </c>
      <c r="C9" s="335" t="s">
        <v>2114</v>
      </c>
      <c r="D9">
        <v>52</v>
      </c>
      <c r="E9">
        <v>50</v>
      </c>
      <c r="F9">
        <v>30</v>
      </c>
      <c r="G9">
        <v>40</v>
      </c>
      <c r="H9">
        <v>472</v>
      </c>
    </row>
    <row r="10" spans="1:15">
      <c r="A10" s="243">
        <v>8</v>
      </c>
      <c r="B10" s="243" t="s">
        <v>2115</v>
      </c>
      <c r="C10" s="335" t="s">
        <v>2116</v>
      </c>
      <c r="D10">
        <v>64</v>
      </c>
      <c r="E10">
        <v>50</v>
      </c>
      <c r="F10">
        <v>35</v>
      </c>
      <c r="G10">
        <v>40</v>
      </c>
      <c r="H10">
        <v>489</v>
      </c>
    </row>
    <row r="11" spans="1:15">
      <c r="A11" s="243">
        <v>9</v>
      </c>
      <c r="B11" s="243" t="s">
        <v>2117</v>
      </c>
      <c r="C11" s="335" t="s">
        <v>2118</v>
      </c>
      <c r="D11">
        <v>35</v>
      </c>
      <c r="E11">
        <v>35</v>
      </c>
      <c r="F11">
        <v>25</v>
      </c>
      <c r="G11">
        <v>40</v>
      </c>
      <c r="H11">
        <v>435</v>
      </c>
    </row>
    <row r="12" spans="1:15">
      <c r="A12" s="243">
        <v>10</v>
      </c>
      <c r="B12" s="243" t="s">
        <v>2119</v>
      </c>
      <c r="C12" s="335" t="s">
        <v>2120</v>
      </c>
      <c r="D12">
        <v>41</v>
      </c>
      <c r="E12">
        <v>40</v>
      </c>
      <c r="F12">
        <v>30</v>
      </c>
      <c r="G12">
        <v>40</v>
      </c>
      <c r="H12">
        <v>451</v>
      </c>
      <c r="I12" s="2122"/>
    </row>
    <row r="13" spans="1:15">
      <c r="A13" s="243">
        <v>11</v>
      </c>
      <c r="B13" s="243" t="s">
        <v>2121</v>
      </c>
      <c r="C13" s="335" t="s">
        <v>2122</v>
      </c>
      <c r="D13">
        <v>58</v>
      </c>
      <c r="E13">
        <v>50</v>
      </c>
      <c r="F13">
        <v>35</v>
      </c>
      <c r="G13">
        <v>40</v>
      </c>
      <c r="H13">
        <v>483</v>
      </c>
    </row>
    <row r="14" spans="1:15">
      <c r="A14" s="243">
        <v>12</v>
      </c>
      <c r="B14" s="243" t="s">
        <v>2123</v>
      </c>
      <c r="C14" s="335" t="s">
        <v>2124</v>
      </c>
      <c r="D14">
        <v>52</v>
      </c>
      <c r="E14">
        <v>45</v>
      </c>
      <c r="F14">
        <v>30</v>
      </c>
      <c r="G14">
        <v>40</v>
      </c>
      <c r="H14">
        <v>467</v>
      </c>
      <c r="O14" s="2084"/>
    </row>
    <row r="15" spans="1:15">
      <c r="A15" s="243">
        <v>13</v>
      </c>
      <c r="B15" s="243" t="s">
        <v>2125</v>
      </c>
      <c r="C15" s="335" t="s">
        <v>2126</v>
      </c>
      <c r="D15">
        <v>47</v>
      </c>
      <c r="E15">
        <v>45</v>
      </c>
      <c r="F15">
        <v>30</v>
      </c>
      <c r="G15">
        <v>40</v>
      </c>
      <c r="H15">
        <v>462</v>
      </c>
    </row>
    <row r="16" spans="1:15">
      <c r="A16" s="243">
        <v>14</v>
      </c>
      <c r="B16" s="243" t="s">
        <v>2127</v>
      </c>
      <c r="C16" s="335" t="s">
        <v>2128</v>
      </c>
      <c r="D16">
        <v>58</v>
      </c>
      <c r="E16">
        <v>55</v>
      </c>
      <c r="F16">
        <v>30</v>
      </c>
      <c r="G16">
        <v>40</v>
      </c>
      <c r="H16">
        <v>483</v>
      </c>
    </row>
    <row r="17" spans="1:8">
      <c r="A17" s="243">
        <v>15</v>
      </c>
      <c r="B17" s="243" t="s">
        <v>2129</v>
      </c>
      <c r="C17" s="335" t="s">
        <v>2107</v>
      </c>
      <c r="D17">
        <v>41</v>
      </c>
      <c r="E17">
        <v>40</v>
      </c>
      <c r="F17">
        <v>25</v>
      </c>
      <c r="G17">
        <v>40</v>
      </c>
      <c r="H17">
        <v>446</v>
      </c>
    </row>
    <row r="18" spans="1:8">
      <c r="A18" s="243">
        <v>16</v>
      </c>
      <c r="B18" s="243" t="s">
        <v>2130</v>
      </c>
      <c r="C18" s="335" t="s">
        <v>2105</v>
      </c>
      <c r="D18">
        <v>47</v>
      </c>
      <c r="E18">
        <v>45</v>
      </c>
      <c r="F18">
        <v>30</v>
      </c>
      <c r="G18">
        <v>40</v>
      </c>
      <c r="H18">
        <v>462</v>
      </c>
    </row>
    <row r="19" spans="1:8">
      <c r="A19" s="243">
        <v>17</v>
      </c>
      <c r="B19" s="243" t="s">
        <v>2131</v>
      </c>
      <c r="C19" s="335" t="s">
        <v>2109</v>
      </c>
      <c r="D19">
        <v>52</v>
      </c>
      <c r="E19">
        <v>50</v>
      </c>
      <c r="F19">
        <v>30</v>
      </c>
      <c r="G19">
        <v>40</v>
      </c>
      <c r="H19">
        <v>472</v>
      </c>
    </row>
    <row r="20" spans="1:8">
      <c r="A20" s="243">
        <v>18</v>
      </c>
      <c r="B20" s="243" t="s">
        <v>2132</v>
      </c>
      <c r="C20" s="335" t="s">
        <v>2105</v>
      </c>
      <c r="D20">
        <v>47</v>
      </c>
      <c r="E20">
        <v>45</v>
      </c>
      <c r="F20">
        <v>30</v>
      </c>
      <c r="G20">
        <v>40</v>
      </c>
      <c r="H20">
        <v>462</v>
      </c>
    </row>
    <row r="21" spans="1:8">
      <c r="A21" s="243">
        <v>19</v>
      </c>
      <c r="B21" s="243" t="s">
        <v>2133</v>
      </c>
      <c r="C21" s="335" t="s">
        <v>2126</v>
      </c>
      <c r="D21">
        <v>47</v>
      </c>
      <c r="E21">
        <v>45</v>
      </c>
      <c r="F21">
        <v>30</v>
      </c>
      <c r="G21">
        <v>40</v>
      </c>
      <c r="H21">
        <v>462</v>
      </c>
    </row>
    <row r="22" spans="1:8">
      <c r="A22" s="243">
        <v>20</v>
      </c>
      <c r="B22" s="243" t="s">
        <v>2134</v>
      </c>
      <c r="C22" s="335" t="s">
        <v>2135</v>
      </c>
      <c r="D22">
        <v>52</v>
      </c>
      <c r="E22">
        <v>45</v>
      </c>
      <c r="F22">
        <v>30</v>
      </c>
      <c r="G22">
        <v>40</v>
      </c>
      <c r="H22">
        <v>467</v>
      </c>
    </row>
    <row r="23" spans="1:8">
      <c r="A23" s="243">
        <v>21</v>
      </c>
      <c r="B23" s="243" t="s">
        <v>2136</v>
      </c>
      <c r="C23" s="335" t="s">
        <v>2137</v>
      </c>
      <c r="D23">
        <v>52</v>
      </c>
      <c r="E23">
        <v>45</v>
      </c>
      <c r="F23">
        <v>30</v>
      </c>
      <c r="G23">
        <v>40</v>
      </c>
      <c r="H23">
        <v>467</v>
      </c>
    </row>
    <row r="24" spans="1:8">
      <c r="A24" s="243">
        <v>22</v>
      </c>
      <c r="B24" s="243" t="s">
        <v>2138</v>
      </c>
      <c r="C24" s="335" t="s">
        <v>2137</v>
      </c>
      <c r="D24">
        <v>52</v>
      </c>
      <c r="E24">
        <v>45</v>
      </c>
      <c r="F24">
        <v>30</v>
      </c>
      <c r="G24">
        <v>40</v>
      </c>
      <c r="H24">
        <v>467</v>
      </c>
    </row>
    <row r="25" spans="1:8">
      <c r="A25" s="243">
        <v>23</v>
      </c>
      <c r="B25" s="243" t="s">
        <v>2139</v>
      </c>
      <c r="C25" s="335" t="s">
        <v>2140</v>
      </c>
      <c r="D25">
        <v>47</v>
      </c>
      <c r="E25">
        <v>45</v>
      </c>
      <c r="F25">
        <v>30</v>
      </c>
      <c r="G25">
        <v>40</v>
      </c>
      <c r="H25">
        <v>462</v>
      </c>
    </row>
    <row r="26" spans="1:8">
      <c r="A26" s="243">
        <v>24</v>
      </c>
      <c r="B26" s="243" t="s">
        <v>2141</v>
      </c>
      <c r="C26" s="335" t="s">
        <v>2105</v>
      </c>
      <c r="D26">
        <v>47</v>
      </c>
      <c r="E26">
        <v>45</v>
      </c>
      <c r="F26">
        <v>30</v>
      </c>
      <c r="G26">
        <v>40</v>
      </c>
      <c r="H26">
        <v>462</v>
      </c>
    </row>
    <row r="27" spans="1:8">
      <c r="A27" s="243">
        <v>25</v>
      </c>
      <c r="B27" s="243" t="s">
        <v>2142</v>
      </c>
      <c r="C27" s="335" t="s">
        <v>2116</v>
      </c>
      <c r="D27">
        <v>58</v>
      </c>
      <c r="E27">
        <v>50</v>
      </c>
      <c r="F27">
        <v>35</v>
      </c>
      <c r="G27">
        <v>40</v>
      </c>
      <c r="H27">
        <v>483</v>
      </c>
    </row>
    <row r="28" spans="1:8">
      <c r="A28" s="243">
        <v>26</v>
      </c>
      <c r="B28" s="243" t="s">
        <v>2143</v>
      </c>
      <c r="C28" s="335" t="s">
        <v>2144</v>
      </c>
      <c r="D28">
        <v>64</v>
      </c>
      <c r="E28">
        <v>60</v>
      </c>
      <c r="F28">
        <v>30</v>
      </c>
      <c r="G28">
        <v>40</v>
      </c>
      <c r="H28">
        <v>494</v>
      </c>
    </row>
    <row r="29" spans="1:8">
      <c r="A29" s="243">
        <v>27</v>
      </c>
      <c r="B29" s="243" t="s">
        <v>2145</v>
      </c>
      <c r="C29" s="335" t="s">
        <v>2126</v>
      </c>
      <c r="D29">
        <v>47</v>
      </c>
      <c r="E29">
        <v>45</v>
      </c>
      <c r="F29">
        <v>30</v>
      </c>
      <c r="G29">
        <v>40</v>
      </c>
      <c r="H29">
        <v>462</v>
      </c>
    </row>
    <row r="30" spans="1:8">
      <c r="A30" s="243">
        <v>28</v>
      </c>
      <c r="B30" s="243" t="s">
        <v>2146</v>
      </c>
      <c r="C30" s="335" t="s">
        <v>2135</v>
      </c>
      <c r="D30">
        <v>52</v>
      </c>
      <c r="E30">
        <v>45</v>
      </c>
      <c r="F30">
        <v>30</v>
      </c>
      <c r="G30">
        <v>40</v>
      </c>
      <c r="H30">
        <v>467</v>
      </c>
    </row>
    <row r="31" spans="1:8">
      <c r="A31" s="243">
        <v>29</v>
      </c>
      <c r="B31" s="243" t="s">
        <v>2147</v>
      </c>
      <c r="C31" s="335" t="s">
        <v>2109</v>
      </c>
      <c r="D31">
        <v>52</v>
      </c>
      <c r="E31">
        <v>50</v>
      </c>
      <c r="F31">
        <v>30</v>
      </c>
      <c r="G31">
        <v>40</v>
      </c>
      <c r="H31">
        <v>472</v>
      </c>
    </row>
    <row r="32" spans="1:8">
      <c r="A32" s="243">
        <v>30</v>
      </c>
      <c r="B32" s="243" t="s">
        <v>2148</v>
      </c>
      <c r="C32" s="335" t="s">
        <v>2105</v>
      </c>
      <c r="D32">
        <v>47</v>
      </c>
      <c r="E32">
        <v>45</v>
      </c>
      <c r="F32">
        <v>30</v>
      </c>
      <c r="G32">
        <v>40</v>
      </c>
      <c r="H32">
        <v>462</v>
      </c>
    </row>
    <row r="33" spans="1:8">
      <c r="A33" s="243">
        <v>31</v>
      </c>
      <c r="B33" s="243" t="s">
        <v>2149</v>
      </c>
      <c r="C33" s="335" t="s">
        <v>2107</v>
      </c>
      <c r="D33">
        <v>41</v>
      </c>
      <c r="E33">
        <v>40</v>
      </c>
      <c r="F33">
        <v>25</v>
      </c>
      <c r="G33">
        <v>40</v>
      </c>
      <c r="H33">
        <v>446</v>
      </c>
    </row>
    <row r="34" spans="1:8">
      <c r="A34" s="243">
        <v>32</v>
      </c>
      <c r="B34" s="243" t="s">
        <v>2150</v>
      </c>
      <c r="C34" s="335" t="s">
        <v>2109</v>
      </c>
      <c r="D34">
        <v>52</v>
      </c>
      <c r="E34">
        <v>50</v>
      </c>
      <c r="F34">
        <v>30</v>
      </c>
      <c r="G34">
        <v>40</v>
      </c>
      <c r="H34">
        <v>472</v>
      </c>
    </row>
    <row r="35" spans="1:8">
      <c r="A35" s="243">
        <v>33</v>
      </c>
      <c r="B35" s="243" t="s">
        <v>2151</v>
      </c>
      <c r="C35" s="335" t="s">
        <v>2103</v>
      </c>
      <c r="D35">
        <v>58</v>
      </c>
      <c r="E35">
        <v>55</v>
      </c>
      <c r="F35">
        <v>30</v>
      </c>
      <c r="G35">
        <v>40</v>
      </c>
      <c r="H35">
        <v>483</v>
      </c>
    </row>
    <row r="36" spans="1:8">
      <c r="A36" s="243">
        <v>34</v>
      </c>
      <c r="B36" s="243" t="s">
        <v>2152</v>
      </c>
      <c r="C36" s="335" t="s">
        <v>2120</v>
      </c>
      <c r="D36">
        <v>41</v>
      </c>
      <c r="E36">
        <v>40</v>
      </c>
      <c r="F36">
        <v>30</v>
      </c>
      <c r="G36">
        <v>40</v>
      </c>
      <c r="H36">
        <v>451</v>
      </c>
    </row>
    <row r="37" spans="1:8">
      <c r="A37" s="243">
        <v>35</v>
      </c>
      <c r="B37" s="243" t="s">
        <v>2153</v>
      </c>
      <c r="C37" s="335" t="s">
        <v>2120</v>
      </c>
      <c r="D37">
        <v>41</v>
      </c>
      <c r="E37">
        <v>40</v>
      </c>
      <c r="F37">
        <v>30</v>
      </c>
      <c r="G37">
        <v>40</v>
      </c>
      <c r="H37">
        <v>451</v>
      </c>
    </row>
    <row r="38" spans="1:8">
      <c r="A38" s="243">
        <v>36</v>
      </c>
      <c r="B38" s="243" t="s">
        <v>2154</v>
      </c>
      <c r="C38" s="335" t="s">
        <v>2107</v>
      </c>
      <c r="D38">
        <v>41</v>
      </c>
      <c r="E38">
        <v>40</v>
      </c>
      <c r="F38">
        <v>25</v>
      </c>
      <c r="G38">
        <v>40</v>
      </c>
      <c r="H38">
        <v>446</v>
      </c>
    </row>
    <row r="39" spans="1:8">
      <c r="A39" s="243">
        <v>37</v>
      </c>
      <c r="B39" s="243" t="s">
        <v>2155</v>
      </c>
      <c r="C39" s="335" t="s">
        <v>2156</v>
      </c>
      <c r="D39">
        <v>64</v>
      </c>
      <c r="E39">
        <v>60</v>
      </c>
      <c r="F39">
        <v>35</v>
      </c>
      <c r="G39">
        <v>40</v>
      </c>
      <c r="H39">
        <v>499</v>
      </c>
    </row>
    <row r="40" spans="1:8">
      <c r="A40" s="243">
        <v>38</v>
      </c>
      <c r="B40" s="243" t="s">
        <v>2157</v>
      </c>
      <c r="C40" s="335" t="s">
        <v>2109</v>
      </c>
      <c r="D40">
        <v>52</v>
      </c>
      <c r="E40">
        <v>50</v>
      </c>
      <c r="F40">
        <v>30</v>
      </c>
      <c r="G40">
        <v>40</v>
      </c>
      <c r="H40">
        <v>472</v>
      </c>
    </row>
    <row r="41" spans="1:8">
      <c r="A41" s="243">
        <v>39</v>
      </c>
      <c r="B41" s="243" t="s">
        <v>2158</v>
      </c>
      <c r="C41" s="335" t="s">
        <v>2137</v>
      </c>
      <c r="D41">
        <v>52</v>
      </c>
      <c r="E41">
        <v>45</v>
      </c>
      <c r="F41">
        <v>30</v>
      </c>
      <c r="G41">
        <v>40</v>
      </c>
      <c r="H41">
        <v>467</v>
      </c>
    </row>
    <row r="42" spans="1:8">
      <c r="A42" s="243">
        <v>40</v>
      </c>
      <c r="B42" s="243" t="s">
        <v>20</v>
      </c>
      <c r="C42" s="335" t="s">
        <v>2159</v>
      </c>
      <c r="D42">
        <v>41</v>
      </c>
      <c r="E42">
        <v>30</v>
      </c>
      <c r="F42">
        <v>25</v>
      </c>
      <c r="G42">
        <v>35</v>
      </c>
      <c r="H42">
        <v>431</v>
      </c>
    </row>
    <row r="43" spans="1:8">
      <c r="A43" s="243">
        <v>41</v>
      </c>
      <c r="B43" s="243" t="s">
        <v>2160</v>
      </c>
      <c r="C43" s="335" t="s">
        <v>2116</v>
      </c>
      <c r="D43">
        <v>58</v>
      </c>
      <c r="E43">
        <v>50</v>
      </c>
      <c r="F43">
        <v>35</v>
      </c>
      <c r="G43">
        <v>40</v>
      </c>
      <c r="H43">
        <v>483</v>
      </c>
    </row>
    <row r="44" spans="1:8">
      <c r="A44" s="243">
        <v>42</v>
      </c>
      <c r="B44" s="243" t="s">
        <v>2161</v>
      </c>
      <c r="C44" s="335" t="s">
        <v>2128</v>
      </c>
      <c r="D44">
        <v>58</v>
      </c>
      <c r="E44">
        <v>55</v>
      </c>
      <c r="F44">
        <v>30</v>
      </c>
      <c r="G44">
        <v>40</v>
      </c>
      <c r="H44">
        <v>483</v>
      </c>
    </row>
    <row r="45" spans="1:8">
      <c r="A45" s="243">
        <v>43</v>
      </c>
      <c r="B45" s="243" t="s">
        <v>2162</v>
      </c>
      <c r="C45" s="335" t="s">
        <v>2126</v>
      </c>
      <c r="D45">
        <v>47</v>
      </c>
      <c r="E45">
        <v>45</v>
      </c>
      <c r="F45">
        <v>30</v>
      </c>
      <c r="G45">
        <v>40</v>
      </c>
      <c r="H45">
        <v>462</v>
      </c>
    </row>
    <row r="46" spans="1:8">
      <c r="A46" s="243">
        <v>44</v>
      </c>
      <c r="B46" s="243" t="s">
        <v>2163</v>
      </c>
      <c r="C46" s="335" t="s">
        <v>2109</v>
      </c>
      <c r="D46">
        <v>52</v>
      </c>
      <c r="E46">
        <v>50</v>
      </c>
      <c r="F46">
        <v>30</v>
      </c>
      <c r="G46">
        <v>40</v>
      </c>
      <c r="H46">
        <v>472</v>
      </c>
    </row>
    <row r="47" spans="1:8">
      <c r="A47" s="243">
        <v>45</v>
      </c>
      <c r="B47" s="243" t="s">
        <v>2164</v>
      </c>
      <c r="C47" s="335" t="s">
        <v>2118</v>
      </c>
      <c r="D47">
        <v>35</v>
      </c>
      <c r="E47">
        <v>35</v>
      </c>
      <c r="F47">
        <v>25</v>
      </c>
      <c r="G47">
        <v>40</v>
      </c>
      <c r="H47">
        <v>435</v>
      </c>
    </row>
    <row r="48" spans="1:8">
      <c r="A48" s="243">
        <v>46</v>
      </c>
      <c r="B48" s="243" t="s">
        <v>2165</v>
      </c>
      <c r="C48" s="335" t="s">
        <v>2126</v>
      </c>
      <c r="D48">
        <v>47</v>
      </c>
      <c r="E48">
        <v>45</v>
      </c>
      <c r="F48">
        <v>30</v>
      </c>
      <c r="G48">
        <v>40</v>
      </c>
      <c r="H48">
        <v>462</v>
      </c>
    </row>
    <row r="49" spans="1:8">
      <c r="A49" s="243">
        <v>47</v>
      </c>
      <c r="B49" s="243" t="s">
        <v>2166</v>
      </c>
      <c r="C49" s="335" t="s">
        <v>2109</v>
      </c>
      <c r="D49">
        <v>52</v>
      </c>
      <c r="E49">
        <v>50</v>
      </c>
      <c r="F49">
        <v>30</v>
      </c>
      <c r="G49">
        <v>40</v>
      </c>
      <c r="H49">
        <v>472</v>
      </c>
    </row>
    <row r="50" spans="1:8">
      <c r="A50" s="243">
        <v>48</v>
      </c>
      <c r="B50" s="243" t="s">
        <v>2167</v>
      </c>
      <c r="C50" s="335" t="s">
        <v>2140</v>
      </c>
      <c r="D50">
        <v>47</v>
      </c>
      <c r="E50">
        <v>45</v>
      </c>
      <c r="F50">
        <v>30</v>
      </c>
      <c r="G50">
        <v>40</v>
      </c>
      <c r="H50">
        <v>462</v>
      </c>
    </row>
    <row r="51" spans="1:8">
      <c r="A51" s="243">
        <v>49</v>
      </c>
      <c r="B51" s="243" t="s">
        <v>2168</v>
      </c>
      <c r="C51" s="335" t="s">
        <v>2137</v>
      </c>
      <c r="D51">
        <v>52</v>
      </c>
      <c r="E51">
        <v>45</v>
      </c>
      <c r="F51">
        <v>30</v>
      </c>
      <c r="G51">
        <v>40</v>
      </c>
      <c r="H51">
        <v>467</v>
      </c>
    </row>
    <row r="52" spans="1:8">
      <c r="A52" s="243">
        <v>50</v>
      </c>
      <c r="B52" s="243" t="s">
        <v>2169</v>
      </c>
      <c r="C52" s="335" t="s">
        <v>2140</v>
      </c>
      <c r="D52">
        <v>47</v>
      </c>
      <c r="E52">
        <v>45</v>
      </c>
      <c r="F52">
        <v>30</v>
      </c>
      <c r="G52">
        <v>40</v>
      </c>
      <c r="H52">
        <v>462</v>
      </c>
    </row>
    <row r="53" spans="1:8">
      <c r="A53" s="243">
        <v>51</v>
      </c>
      <c r="B53" s="243" t="s">
        <v>2170</v>
      </c>
      <c r="C53" s="335" t="s">
        <v>2128</v>
      </c>
      <c r="D53">
        <v>58</v>
      </c>
      <c r="E53">
        <v>55</v>
      </c>
      <c r="F53">
        <v>30</v>
      </c>
      <c r="G53">
        <v>40</v>
      </c>
      <c r="H53">
        <v>483</v>
      </c>
    </row>
    <row r="54" spans="1:8">
      <c r="A54" s="243">
        <v>52</v>
      </c>
      <c r="B54" s="243" t="s">
        <v>2171</v>
      </c>
      <c r="C54" s="335" t="s">
        <v>2159</v>
      </c>
      <c r="D54">
        <v>41</v>
      </c>
      <c r="E54">
        <v>30</v>
      </c>
      <c r="F54">
        <v>25</v>
      </c>
      <c r="G54">
        <v>35</v>
      </c>
      <c r="H54">
        <v>431</v>
      </c>
    </row>
    <row r="55" spans="1:8">
      <c r="A55" s="243">
        <v>53</v>
      </c>
      <c r="B55" s="243" t="s">
        <v>2172</v>
      </c>
      <c r="C55" s="335" t="s">
        <v>2109</v>
      </c>
      <c r="D55">
        <v>52</v>
      </c>
      <c r="E55">
        <v>50</v>
      </c>
      <c r="F55">
        <v>30</v>
      </c>
      <c r="G55">
        <v>40</v>
      </c>
      <c r="H55">
        <v>472</v>
      </c>
    </row>
    <row r="56" spans="1:8">
      <c r="A56" s="243">
        <v>54</v>
      </c>
      <c r="B56" s="243" t="s">
        <v>2173</v>
      </c>
      <c r="C56" s="335" t="s">
        <v>2105</v>
      </c>
      <c r="D56">
        <v>47</v>
      </c>
      <c r="E56">
        <v>45</v>
      </c>
      <c r="F56">
        <v>30</v>
      </c>
      <c r="G56">
        <v>40</v>
      </c>
      <c r="H56">
        <v>462</v>
      </c>
    </row>
    <row r="57" spans="1:8">
      <c r="A57" s="243">
        <v>55</v>
      </c>
      <c r="B57" s="243" t="s">
        <v>2174</v>
      </c>
      <c r="C57" s="335" t="s">
        <v>2109</v>
      </c>
      <c r="D57">
        <v>52</v>
      </c>
      <c r="E57">
        <v>50</v>
      </c>
      <c r="F57">
        <v>30</v>
      </c>
      <c r="G57">
        <v>40</v>
      </c>
      <c r="H57">
        <v>472</v>
      </c>
    </row>
    <row r="58" spans="1:8">
      <c r="A58" s="243">
        <v>56</v>
      </c>
      <c r="B58" s="243" t="s">
        <v>2175</v>
      </c>
      <c r="C58" s="335" t="s">
        <v>2116</v>
      </c>
      <c r="D58">
        <v>58</v>
      </c>
      <c r="E58">
        <v>50</v>
      </c>
      <c r="F58">
        <v>35</v>
      </c>
      <c r="G58">
        <v>40</v>
      </c>
      <c r="H58">
        <v>483</v>
      </c>
    </row>
    <row r="59" spans="1:8">
      <c r="A59" s="243">
        <v>57</v>
      </c>
      <c r="B59" s="243" t="s">
        <v>2176</v>
      </c>
      <c r="C59" s="335" t="s">
        <v>2144</v>
      </c>
      <c r="D59">
        <v>64</v>
      </c>
      <c r="E59">
        <v>60</v>
      </c>
      <c r="F59">
        <v>30</v>
      </c>
      <c r="G59">
        <v>40</v>
      </c>
      <c r="H59">
        <v>494</v>
      </c>
    </row>
    <row r="60" spans="1:8">
      <c r="A60" s="243">
        <v>58</v>
      </c>
      <c r="B60" s="243" t="s">
        <v>2177</v>
      </c>
      <c r="C60" s="335" t="s">
        <v>2122</v>
      </c>
      <c r="D60">
        <v>64</v>
      </c>
      <c r="E60">
        <v>50</v>
      </c>
      <c r="F60">
        <v>35</v>
      </c>
      <c r="G60">
        <v>40</v>
      </c>
      <c r="H60">
        <v>489</v>
      </c>
    </row>
    <row r="61" spans="1:8">
      <c r="A61" s="243">
        <v>59</v>
      </c>
      <c r="B61" s="243" t="s">
        <v>2178</v>
      </c>
      <c r="C61" s="335" t="s">
        <v>2116</v>
      </c>
      <c r="D61">
        <v>58</v>
      </c>
      <c r="E61">
        <v>50</v>
      </c>
      <c r="F61">
        <v>35</v>
      </c>
      <c r="G61">
        <v>40</v>
      </c>
      <c r="H61">
        <v>483</v>
      </c>
    </row>
    <row r="62" spans="1:8">
      <c r="A62" s="243">
        <v>60</v>
      </c>
      <c r="B62" s="243" t="s">
        <v>2179</v>
      </c>
      <c r="C62" s="335" t="s">
        <v>2105</v>
      </c>
      <c r="D62">
        <v>47</v>
      </c>
      <c r="E62">
        <v>45</v>
      </c>
      <c r="F62">
        <v>30</v>
      </c>
      <c r="G62">
        <v>40</v>
      </c>
      <c r="H62">
        <v>462</v>
      </c>
    </row>
    <row r="63" spans="1:8">
      <c r="A63" s="243">
        <v>61</v>
      </c>
      <c r="B63" s="243" t="s">
        <v>2180</v>
      </c>
      <c r="C63" s="335" t="s">
        <v>2105</v>
      </c>
      <c r="D63">
        <v>47</v>
      </c>
      <c r="E63">
        <v>45</v>
      </c>
      <c r="F63">
        <v>30</v>
      </c>
      <c r="G63">
        <v>40</v>
      </c>
      <c r="H63">
        <v>462</v>
      </c>
    </row>
    <row r="64" spans="1:8">
      <c r="A64" s="243">
        <v>62</v>
      </c>
      <c r="B64" s="243" t="s">
        <v>2181</v>
      </c>
      <c r="C64" s="335" t="s">
        <v>2105</v>
      </c>
      <c r="D64">
        <v>47</v>
      </c>
      <c r="E64">
        <v>45</v>
      </c>
      <c r="F64">
        <v>30</v>
      </c>
      <c r="G64">
        <v>40</v>
      </c>
      <c r="H64">
        <v>462</v>
      </c>
    </row>
    <row r="65" spans="1:8">
      <c r="A65" s="243">
        <v>63</v>
      </c>
      <c r="B65" s="243" t="s">
        <v>2182</v>
      </c>
      <c r="C65" s="335" t="s">
        <v>2120</v>
      </c>
      <c r="D65">
        <v>41</v>
      </c>
      <c r="E65">
        <v>40</v>
      </c>
      <c r="F65">
        <v>30</v>
      </c>
      <c r="G65">
        <v>40</v>
      </c>
      <c r="H65">
        <v>451</v>
      </c>
    </row>
    <row r="66" spans="1:8">
      <c r="A66" s="243">
        <v>64</v>
      </c>
      <c r="B66" s="243" t="s">
        <v>2183</v>
      </c>
      <c r="C66" s="335" t="s">
        <v>2156</v>
      </c>
      <c r="D66">
        <v>64</v>
      </c>
      <c r="E66">
        <v>60</v>
      </c>
      <c r="F66">
        <v>35</v>
      </c>
      <c r="G66">
        <v>40</v>
      </c>
      <c r="H66">
        <v>499</v>
      </c>
    </row>
    <row r="67" spans="1:8">
      <c r="A67" s="243">
        <v>65</v>
      </c>
      <c r="B67" s="243" t="s">
        <v>2184</v>
      </c>
      <c r="C67" s="335" t="s">
        <v>2120</v>
      </c>
      <c r="D67">
        <v>41</v>
      </c>
      <c r="E67">
        <v>40</v>
      </c>
      <c r="F67">
        <v>30</v>
      </c>
      <c r="G67">
        <v>40</v>
      </c>
      <c r="H67">
        <v>451</v>
      </c>
    </row>
    <row r="68" spans="1:8">
      <c r="A68" s="243">
        <v>66</v>
      </c>
      <c r="B68" s="243" t="s">
        <v>2185</v>
      </c>
      <c r="C68" s="335" t="s">
        <v>2126</v>
      </c>
      <c r="D68">
        <v>47</v>
      </c>
      <c r="E68">
        <v>45</v>
      </c>
      <c r="F68">
        <v>30</v>
      </c>
      <c r="G68">
        <v>40</v>
      </c>
      <c r="H68">
        <v>462</v>
      </c>
    </row>
    <row r="69" spans="1:8">
      <c r="A69" s="243">
        <v>67</v>
      </c>
      <c r="B69" s="243" t="s">
        <v>2186</v>
      </c>
      <c r="C69" s="335" t="s">
        <v>2120</v>
      </c>
      <c r="D69">
        <v>41</v>
      </c>
      <c r="E69">
        <v>40</v>
      </c>
      <c r="F69">
        <v>30</v>
      </c>
      <c r="G69">
        <v>40</v>
      </c>
      <c r="H69">
        <v>451</v>
      </c>
    </row>
    <row r="70" spans="1:8">
      <c r="A70" s="243">
        <v>68</v>
      </c>
      <c r="B70" s="243" t="s">
        <v>2187</v>
      </c>
      <c r="C70" s="335" t="s">
        <v>2188</v>
      </c>
      <c r="D70">
        <v>70</v>
      </c>
      <c r="E70">
        <v>65</v>
      </c>
      <c r="F70">
        <v>25</v>
      </c>
      <c r="G70">
        <v>40</v>
      </c>
      <c r="H70">
        <v>500</v>
      </c>
    </row>
    <row r="71" spans="1:8">
      <c r="A71" s="243">
        <v>69</v>
      </c>
      <c r="B71" s="243" t="s">
        <v>2189</v>
      </c>
      <c r="C71" s="335" t="s">
        <v>2128</v>
      </c>
      <c r="D71">
        <v>58</v>
      </c>
      <c r="E71">
        <v>55</v>
      </c>
      <c r="F71">
        <v>30</v>
      </c>
      <c r="G71">
        <v>40</v>
      </c>
      <c r="H71">
        <v>483</v>
      </c>
    </row>
    <row r="72" spans="1:8">
      <c r="A72" s="243">
        <v>70</v>
      </c>
      <c r="B72" s="243" t="s">
        <v>2190</v>
      </c>
      <c r="C72" s="335" t="s">
        <v>2120</v>
      </c>
      <c r="D72">
        <v>41</v>
      </c>
      <c r="E72">
        <v>40</v>
      </c>
      <c r="F72">
        <v>30</v>
      </c>
      <c r="G72">
        <v>40</v>
      </c>
      <c r="H72">
        <v>451</v>
      </c>
    </row>
    <row r="73" spans="1:8">
      <c r="A73" s="243">
        <v>71</v>
      </c>
      <c r="B73" s="243" t="s">
        <v>2191</v>
      </c>
      <c r="C73" s="335" t="s">
        <v>2105</v>
      </c>
      <c r="D73">
        <v>47</v>
      </c>
      <c r="E73">
        <v>45</v>
      </c>
      <c r="F73">
        <v>30</v>
      </c>
      <c r="G73">
        <v>40</v>
      </c>
      <c r="H73">
        <v>462</v>
      </c>
    </row>
    <row r="74" spans="1:8">
      <c r="A74" s="243">
        <v>72</v>
      </c>
      <c r="B74" s="243" t="s">
        <v>2192</v>
      </c>
      <c r="C74" s="335" t="s">
        <v>2137</v>
      </c>
      <c r="D74">
        <v>52</v>
      </c>
      <c r="E74">
        <v>45</v>
      </c>
      <c r="F74">
        <v>30</v>
      </c>
      <c r="G74">
        <v>40</v>
      </c>
      <c r="H74">
        <v>467</v>
      </c>
    </row>
    <row r="75" spans="1:8">
      <c r="A75" s="243">
        <v>73</v>
      </c>
      <c r="B75" s="243" t="s">
        <v>2193</v>
      </c>
      <c r="C75" s="335" t="s">
        <v>2105</v>
      </c>
      <c r="D75">
        <v>47</v>
      </c>
      <c r="E75">
        <v>45</v>
      </c>
      <c r="F75">
        <v>30</v>
      </c>
      <c r="G75">
        <v>40</v>
      </c>
      <c r="H75">
        <v>462</v>
      </c>
    </row>
    <row r="76" spans="1:8">
      <c r="A76" s="243">
        <v>74</v>
      </c>
      <c r="B76" s="243" t="s">
        <v>2194</v>
      </c>
      <c r="C76" s="335" t="s">
        <v>2120</v>
      </c>
      <c r="D76">
        <v>41</v>
      </c>
      <c r="E76">
        <v>40</v>
      </c>
      <c r="F76">
        <v>30</v>
      </c>
      <c r="G76">
        <v>40</v>
      </c>
      <c r="H76">
        <v>451</v>
      </c>
    </row>
    <row r="77" spans="1:8">
      <c r="A77" s="243">
        <v>75</v>
      </c>
      <c r="B77" s="243" t="s">
        <v>2195</v>
      </c>
      <c r="C77" s="335" t="s">
        <v>2105</v>
      </c>
      <c r="D77">
        <v>47</v>
      </c>
      <c r="E77">
        <v>45</v>
      </c>
      <c r="F77">
        <v>30</v>
      </c>
      <c r="G77">
        <v>40</v>
      </c>
      <c r="H77">
        <v>462</v>
      </c>
    </row>
    <row r="78" spans="1:8">
      <c r="A78" s="243">
        <v>76</v>
      </c>
      <c r="B78" s="243" t="s">
        <v>2196</v>
      </c>
      <c r="C78" s="335" t="s">
        <v>2137</v>
      </c>
      <c r="D78">
        <v>52</v>
      </c>
      <c r="E78">
        <v>45</v>
      </c>
      <c r="F78">
        <v>30</v>
      </c>
      <c r="G78">
        <v>40</v>
      </c>
      <c r="H78">
        <v>467</v>
      </c>
    </row>
    <row r="79" spans="1:8">
      <c r="A79" s="243">
        <v>77</v>
      </c>
      <c r="B79" s="243" t="s">
        <v>2112</v>
      </c>
      <c r="C79" s="335" t="s">
        <v>2105</v>
      </c>
      <c r="D79">
        <v>47</v>
      </c>
      <c r="E79">
        <v>45</v>
      </c>
      <c r="F79">
        <v>30</v>
      </c>
      <c r="G79">
        <v>40</v>
      </c>
      <c r="H79">
        <v>462</v>
      </c>
    </row>
    <row r="80" spans="1:8">
      <c r="A80" s="243">
        <v>78</v>
      </c>
      <c r="B80" s="243" t="s">
        <v>2197</v>
      </c>
      <c r="C80" s="335" t="s">
        <v>2198</v>
      </c>
      <c r="D80">
        <v>47</v>
      </c>
      <c r="E80">
        <v>40</v>
      </c>
      <c r="F80">
        <v>30</v>
      </c>
      <c r="G80">
        <v>40</v>
      </c>
      <c r="H80">
        <v>457</v>
      </c>
    </row>
    <row r="81" spans="1:8">
      <c r="A81" s="243">
        <v>79</v>
      </c>
      <c r="B81" s="243" t="s">
        <v>2199</v>
      </c>
      <c r="C81" s="335" t="s">
        <v>2105</v>
      </c>
      <c r="D81">
        <v>47</v>
      </c>
      <c r="E81">
        <v>45</v>
      </c>
      <c r="F81">
        <v>30</v>
      </c>
      <c r="G81">
        <v>40</v>
      </c>
      <c r="H81">
        <v>462</v>
      </c>
    </row>
    <row r="82" spans="1:8">
      <c r="A82" s="243">
        <v>80</v>
      </c>
      <c r="B82" s="243" t="s">
        <v>2200</v>
      </c>
      <c r="C82" s="335" t="s">
        <v>2126</v>
      </c>
      <c r="D82">
        <v>47</v>
      </c>
      <c r="E82">
        <v>45</v>
      </c>
      <c r="F82">
        <v>30</v>
      </c>
      <c r="G82">
        <v>40</v>
      </c>
      <c r="H82">
        <v>462</v>
      </c>
    </row>
    <row r="83" spans="1:8">
      <c r="A83" s="243">
        <v>81</v>
      </c>
      <c r="B83" s="243" t="s">
        <v>2201</v>
      </c>
      <c r="C83" s="335" t="s">
        <v>2202</v>
      </c>
      <c r="D83" t="s">
        <v>2202</v>
      </c>
      <c r="E83" t="s">
        <v>2202</v>
      </c>
      <c r="F83" t="s">
        <v>2202</v>
      </c>
      <c r="G83" t="s">
        <v>2202</v>
      </c>
      <c r="H83" t="s">
        <v>2208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00FC6-FD01-41B3-8C3F-324B4C7B4677}">
  <dimension ref="B3:AH51"/>
  <sheetViews>
    <sheetView showGridLines="0" showRowColHeaders="0" zoomScale="69" zoomScaleNormal="69" workbookViewId="0">
      <selection activeCell="K6" sqref="K6"/>
    </sheetView>
  </sheetViews>
  <sheetFormatPr defaultColWidth="9.140625" defaultRowHeight="15"/>
  <cols>
    <col min="1" max="2" width="9.140625" style="630"/>
    <col min="3" max="3" width="12.5703125" style="630" customWidth="1"/>
    <col min="4" max="4" width="9.140625" style="630"/>
    <col min="5" max="5" width="15.42578125" style="630" customWidth="1"/>
    <col min="6" max="6" width="8.7109375" style="630" customWidth="1"/>
    <col min="7" max="7" width="9.140625" style="630"/>
    <col min="8" max="8" width="7.5703125" style="630" customWidth="1"/>
    <col min="9" max="9" width="12" style="630" customWidth="1"/>
    <col min="10" max="10" width="7" style="630" customWidth="1"/>
    <col min="11" max="11" width="9.140625" style="630"/>
    <col min="12" max="12" width="11" style="630" customWidth="1"/>
    <col min="13" max="14" width="9.140625" style="630"/>
    <col min="15" max="15" width="6.42578125" style="630" customWidth="1"/>
    <col min="16" max="22" width="9.140625" style="630"/>
    <col min="23" max="23" width="0" style="630" hidden="1" customWidth="1"/>
    <col min="24" max="24" width="9.140625" style="630"/>
    <col min="25" max="25" width="3.85546875" style="630" customWidth="1"/>
    <col min="26" max="16384" width="9.140625" style="630"/>
  </cols>
  <sheetData>
    <row r="3" spans="2:29" ht="32.25" customHeight="1">
      <c r="B3" s="1890"/>
      <c r="C3" s="3641" t="s">
        <v>2269</v>
      </c>
      <c r="D3" s="3641"/>
      <c r="E3" s="3641"/>
      <c r="F3" s="3641"/>
      <c r="G3" s="3641"/>
      <c r="H3" s="3641"/>
      <c r="I3" s="3641"/>
      <c r="J3" s="3641"/>
      <c r="K3" s="3641"/>
      <c r="L3" s="3641"/>
      <c r="M3" s="1891"/>
      <c r="N3" s="1891"/>
      <c r="O3" s="1892"/>
    </row>
    <row r="4" spans="2:29">
      <c r="B4" s="1897"/>
      <c r="C4" s="3642"/>
      <c r="D4" s="3642"/>
      <c r="E4" s="3642"/>
      <c r="F4" s="3642"/>
      <c r="G4" s="3642"/>
      <c r="H4" s="3642"/>
      <c r="I4" s="3642"/>
      <c r="J4" s="3642"/>
      <c r="K4" s="3642"/>
      <c r="L4" s="3642"/>
      <c r="M4" s="2336"/>
      <c r="N4" s="2336"/>
      <c r="O4" s="2337"/>
      <c r="P4" s="2208"/>
      <c r="Q4" s="2208"/>
      <c r="R4" s="2208"/>
      <c r="S4" s="2208"/>
      <c r="T4" s="2208"/>
      <c r="U4" s="2208"/>
      <c r="V4" s="2208"/>
      <c r="W4" s="2208"/>
      <c r="X4" s="2208"/>
      <c r="Y4" s="2208"/>
      <c r="Z4" s="2208"/>
      <c r="AA4" s="2208"/>
      <c r="AB4" s="2208"/>
      <c r="AC4" s="2208"/>
    </row>
    <row r="5" spans="2:29">
      <c r="E5" s="2208"/>
      <c r="K5" s="2208"/>
      <c r="L5" s="2208"/>
      <c r="M5" s="2208"/>
      <c r="N5" s="2208"/>
      <c r="O5" s="2208"/>
      <c r="P5" s="2208"/>
      <c r="Q5" s="2208"/>
      <c r="R5" s="2208"/>
      <c r="S5" s="2208"/>
      <c r="T5" s="2208"/>
      <c r="U5" s="2208"/>
      <c r="V5" s="2208"/>
      <c r="W5" s="2208"/>
      <c r="X5" s="2208"/>
      <c r="Y5" s="2208"/>
      <c r="Z5" s="2208"/>
      <c r="AA5" s="2208"/>
      <c r="AB5" s="2208"/>
      <c r="AC5" s="2208"/>
    </row>
    <row r="6" spans="2:29" ht="15.75">
      <c r="E6" s="2208"/>
      <c r="G6" s="3669" t="s">
        <v>2270</v>
      </c>
      <c r="H6" s="3669"/>
      <c r="I6" s="3669"/>
      <c r="J6" s="3669"/>
      <c r="K6" s="2245">
        <v>350</v>
      </c>
      <c r="L6" s="2246" t="s">
        <v>3</v>
      </c>
      <c r="M6" s="2208"/>
      <c r="N6" s="2208"/>
      <c r="O6" s="2208"/>
      <c r="P6" s="2208"/>
      <c r="Q6" s="2208"/>
      <c r="R6" s="2208"/>
      <c r="S6" s="2208"/>
      <c r="T6" s="2208"/>
      <c r="U6" s="2208"/>
      <c r="V6" s="2208"/>
      <c r="W6" s="2208"/>
    </row>
    <row r="7" spans="2:29" ht="15.75">
      <c r="G7" s="3630" t="s">
        <v>2271</v>
      </c>
      <c r="H7" s="3630"/>
      <c r="I7" s="3630"/>
      <c r="J7" s="3631"/>
      <c r="K7" s="2245">
        <v>534</v>
      </c>
      <c r="L7" s="2246" t="s">
        <v>2275</v>
      </c>
      <c r="M7" s="2208"/>
      <c r="N7" s="2208"/>
      <c r="O7" s="2208"/>
      <c r="P7" s="2208"/>
      <c r="Q7" s="2208"/>
      <c r="R7" s="2208"/>
      <c r="S7" s="2208"/>
      <c r="T7" s="2208"/>
      <c r="U7" s="2208"/>
      <c r="V7" s="2208"/>
      <c r="W7" s="2208"/>
    </row>
    <row r="8" spans="2:29">
      <c r="G8" s="3632" t="s">
        <v>2272</v>
      </c>
      <c r="H8" s="3633"/>
      <c r="I8" s="3633"/>
      <c r="J8" s="3634"/>
      <c r="K8" s="2223">
        <f>(K6/10000)*K7</f>
        <v>18.690000000000001</v>
      </c>
      <c r="L8" s="2224" t="s">
        <v>2273</v>
      </c>
      <c r="M8" s="2208"/>
      <c r="N8" s="2208"/>
      <c r="O8" s="2208"/>
      <c r="P8" s="2208"/>
      <c r="Q8" s="2208"/>
      <c r="R8" s="2208"/>
      <c r="S8" s="2208"/>
      <c r="T8" s="2208"/>
      <c r="U8" s="2208"/>
      <c r="V8" s="2208"/>
      <c r="W8" s="2208"/>
    </row>
    <row r="9" spans="2:29">
      <c r="G9" s="3635"/>
      <c r="H9" s="3636"/>
      <c r="I9" s="3636"/>
      <c r="J9" s="3637"/>
      <c r="K9" s="2221">
        <f>K8/1000</f>
        <v>1.8690000000000002E-2</v>
      </c>
      <c r="L9" s="2222" t="s">
        <v>2274</v>
      </c>
      <c r="M9" s="2208"/>
      <c r="N9" s="2208"/>
      <c r="O9" s="2208"/>
      <c r="P9" s="2208"/>
      <c r="Q9" s="2208"/>
      <c r="R9" s="2208"/>
      <c r="S9" s="2208"/>
      <c r="T9" s="2208"/>
      <c r="U9" s="2208"/>
      <c r="V9" s="2208"/>
      <c r="W9" s="2208"/>
      <c r="X9" s="2208"/>
      <c r="Y9" s="2208"/>
      <c r="Z9" s="2208"/>
      <c r="AA9" s="2208"/>
      <c r="AB9" s="2208"/>
      <c r="AC9" s="2208"/>
    </row>
    <row r="10" spans="2:29">
      <c r="K10" s="2208"/>
      <c r="L10" s="2208"/>
      <c r="M10" s="2208"/>
      <c r="N10" s="2208"/>
      <c r="O10" s="2208"/>
      <c r="P10" s="2208"/>
      <c r="Q10" s="2208"/>
      <c r="R10" s="2208"/>
      <c r="S10" s="2208"/>
      <c r="T10" s="2208"/>
      <c r="U10" s="2208"/>
      <c r="V10" s="2208"/>
      <c r="W10" s="2208"/>
      <c r="X10" s="2208"/>
      <c r="Y10" s="2208"/>
      <c r="Z10" s="2208"/>
      <c r="AA10" s="2208"/>
      <c r="AB10" s="2208"/>
      <c r="AC10" s="2208"/>
    </row>
    <row r="11" spans="2:29">
      <c r="F11" s="2225"/>
      <c r="G11" s="2234"/>
      <c r="H11" s="2234"/>
      <c r="I11" s="2234"/>
      <c r="J11" s="2234"/>
      <c r="K11" s="2226"/>
      <c r="L11" s="2226"/>
      <c r="M11" s="2226"/>
      <c r="N11" s="2226"/>
      <c r="O11" s="2227"/>
      <c r="P11" s="2208"/>
      <c r="Q11" s="2208"/>
      <c r="R11" s="2208"/>
      <c r="S11" s="2208"/>
      <c r="T11" s="2208"/>
      <c r="U11" s="2208"/>
      <c r="V11" s="2208"/>
      <c r="W11" s="2208"/>
      <c r="X11" s="2208"/>
      <c r="Y11" s="2208"/>
      <c r="Z11" s="2208"/>
      <c r="AA11" s="2208"/>
      <c r="AB11" s="2208"/>
      <c r="AC11" s="2208"/>
    </row>
    <row r="12" spans="2:29">
      <c r="F12" s="2228"/>
      <c r="G12" s="3638" t="s">
        <v>2276</v>
      </c>
      <c r="H12" s="3638"/>
      <c r="I12" s="3638"/>
      <c r="J12" s="3638"/>
      <c r="K12" s="2208"/>
      <c r="L12" s="2208"/>
      <c r="M12" s="2208"/>
      <c r="N12" s="2208"/>
      <c r="O12" s="2229"/>
      <c r="P12" s="2208"/>
      <c r="Q12" s="2208"/>
      <c r="R12" s="2208"/>
      <c r="S12" s="2208"/>
      <c r="T12" s="2208"/>
      <c r="U12" s="2208"/>
      <c r="V12" s="2208"/>
      <c r="W12" s="2208"/>
      <c r="X12" s="2208"/>
      <c r="Y12" s="2208"/>
      <c r="Z12" s="2208"/>
      <c r="AA12" s="2208"/>
      <c r="AB12" s="2208"/>
      <c r="AC12" s="2208"/>
    </row>
    <row r="13" spans="2:29">
      <c r="F13" s="2228"/>
      <c r="G13" s="3639" t="s">
        <v>1202</v>
      </c>
      <c r="H13" s="3639"/>
      <c r="I13" s="3639"/>
      <c r="J13" s="3639"/>
      <c r="K13" s="2214">
        <v>185</v>
      </c>
      <c r="L13" s="2213" t="s">
        <v>5</v>
      </c>
      <c r="M13" s="2215">
        <f>K13/10</f>
        <v>18.5</v>
      </c>
      <c r="N13" s="2216" t="s">
        <v>255</v>
      </c>
      <c r="O13" s="2236">
        <f>M13/100</f>
        <v>0.185</v>
      </c>
      <c r="P13" s="2235" t="s">
        <v>156</v>
      </c>
      <c r="Q13" s="2235"/>
      <c r="R13" s="2235"/>
      <c r="S13" s="2208"/>
      <c r="T13" s="2208"/>
      <c r="U13" s="2208"/>
      <c r="V13" s="2208"/>
      <c r="W13" s="2208"/>
      <c r="X13" s="2208"/>
      <c r="Y13" s="2208"/>
      <c r="Z13" s="2208"/>
      <c r="AA13" s="2208"/>
      <c r="AB13" s="2208"/>
      <c r="AC13" s="2208"/>
    </row>
    <row r="14" spans="2:29">
      <c r="F14" s="2228"/>
      <c r="G14" s="3640" t="s">
        <v>896</v>
      </c>
      <c r="H14" s="3640"/>
      <c r="I14" s="3640"/>
      <c r="J14" s="3640"/>
      <c r="K14" s="2214">
        <v>200</v>
      </c>
      <c r="L14" s="2213" t="s">
        <v>5</v>
      </c>
      <c r="M14" s="2215">
        <f>K14/10</f>
        <v>20</v>
      </c>
      <c r="N14" s="2216" t="s">
        <v>255</v>
      </c>
      <c r="O14" s="2236">
        <f>M14/100</f>
        <v>0.2</v>
      </c>
      <c r="P14" s="2235" t="s">
        <v>156</v>
      </c>
      <c r="Q14" s="2235"/>
      <c r="R14" s="2235"/>
      <c r="S14" s="2208"/>
      <c r="T14" s="2208"/>
      <c r="U14" s="2208"/>
      <c r="V14" s="2208"/>
      <c r="W14" s="2208"/>
      <c r="X14" s="2208"/>
      <c r="Y14" s="2208"/>
      <c r="Z14" s="2208"/>
      <c r="AA14" s="2208"/>
      <c r="AB14" s="2208"/>
      <c r="AC14" s="2208"/>
    </row>
    <row r="15" spans="2:29">
      <c r="F15" s="2228"/>
      <c r="K15" s="2208"/>
      <c r="L15" s="2208"/>
      <c r="M15" s="2208"/>
      <c r="N15" s="2208"/>
      <c r="O15" s="2236" t="s">
        <v>2277</v>
      </c>
      <c r="P15" s="2235">
        <f>O13*O14</f>
        <v>3.6999999999999998E-2</v>
      </c>
      <c r="Q15" s="2235" t="s">
        <v>3</v>
      </c>
      <c r="R15" s="2235"/>
      <c r="S15" s="2208"/>
      <c r="T15" s="2208"/>
      <c r="U15" s="2208"/>
      <c r="V15" s="2208"/>
      <c r="W15" s="2208"/>
      <c r="X15" s="2208"/>
      <c r="Y15" s="2208"/>
      <c r="Z15" s="2208"/>
      <c r="AA15" s="2208"/>
      <c r="AB15" s="2208"/>
      <c r="AC15" s="2208"/>
    </row>
    <row r="16" spans="2:29">
      <c r="F16" s="2228"/>
      <c r="G16" s="3618" t="s">
        <v>2279</v>
      </c>
      <c r="H16" s="3619"/>
      <c r="I16" s="3619"/>
      <c r="J16" s="3620"/>
      <c r="K16" s="2247">
        <v>1</v>
      </c>
      <c r="L16" s="2248" t="s">
        <v>21</v>
      </c>
      <c r="M16" s="2235">
        <f>K16/100</f>
        <v>0.01</v>
      </c>
      <c r="N16" s="2235"/>
      <c r="O16" s="2236" t="s">
        <v>2278</v>
      </c>
      <c r="P16" s="2235">
        <f>O13+2*O14</f>
        <v>0.58499999999999996</v>
      </c>
      <c r="Q16" s="2235" t="s">
        <v>3</v>
      </c>
      <c r="R16" s="2235"/>
      <c r="S16" s="2208"/>
      <c r="T16" s="2208"/>
      <c r="U16" s="2208"/>
      <c r="V16" s="2208"/>
      <c r="W16" s="2208"/>
      <c r="X16" s="2208"/>
      <c r="Y16" s="2208"/>
      <c r="Z16" s="2208"/>
      <c r="AA16" s="2208"/>
      <c r="AB16" s="2208"/>
      <c r="AC16" s="2208"/>
    </row>
    <row r="17" spans="6:29">
      <c r="F17" s="2228"/>
      <c r="G17" s="3621" t="s">
        <v>2283</v>
      </c>
      <c r="H17" s="3622"/>
      <c r="I17" s="3622"/>
      <c r="J17" s="3623"/>
      <c r="K17" s="3624">
        <v>1.0999999999999999E-2</v>
      </c>
      <c r="L17" s="3625"/>
      <c r="M17" s="2235"/>
      <c r="N17" s="2235"/>
      <c r="O17" s="2236" t="s">
        <v>2280</v>
      </c>
      <c r="P17" s="2235">
        <f>P15/P16</f>
        <v>6.3247863247863245E-2</v>
      </c>
      <c r="Q17" s="2235" t="s">
        <v>156</v>
      </c>
      <c r="R17" s="2235"/>
      <c r="S17" s="2208"/>
      <c r="T17" s="2208"/>
      <c r="U17" s="2208"/>
      <c r="V17" s="2208"/>
      <c r="W17" s="2208"/>
      <c r="X17" s="2208"/>
      <c r="Y17" s="2208"/>
      <c r="Z17" s="2208"/>
      <c r="AA17" s="2208"/>
      <c r="AB17" s="2208"/>
      <c r="AC17" s="2208"/>
    </row>
    <row r="18" spans="6:29">
      <c r="F18" s="2228"/>
      <c r="K18" s="2208"/>
      <c r="L18" s="2208"/>
      <c r="M18" s="2208"/>
      <c r="N18" s="2208"/>
      <c r="O18" s="2236" t="s">
        <v>2281</v>
      </c>
      <c r="P18" s="2241">
        <f>P17^(2/3)</f>
        <v>0.15874397049596428</v>
      </c>
      <c r="Q18" s="2235"/>
      <c r="R18" s="2235"/>
      <c r="S18" s="2208"/>
      <c r="T18" s="2208"/>
      <c r="U18" s="2208"/>
      <c r="V18" s="2208"/>
      <c r="W18" s="2208"/>
      <c r="X18" s="2208"/>
      <c r="Y18" s="2208"/>
      <c r="Z18" s="2208"/>
      <c r="AA18" s="2208"/>
      <c r="AB18" s="2208"/>
      <c r="AC18" s="2208"/>
    </row>
    <row r="19" spans="6:29" ht="18.75">
      <c r="F19" s="2228"/>
      <c r="G19" s="3655" t="s">
        <v>2294</v>
      </c>
      <c r="H19" s="3656"/>
      <c r="I19" s="3656"/>
      <c r="J19" s="3656"/>
      <c r="K19" s="3656"/>
      <c r="L19" s="3656"/>
      <c r="M19" s="3656"/>
      <c r="N19" s="3657"/>
      <c r="O19" s="2236" t="s">
        <v>2282</v>
      </c>
      <c r="P19" s="2235">
        <f>M16^(1/2)</f>
        <v>0.1</v>
      </c>
      <c r="Q19" s="2235"/>
      <c r="R19" s="2235"/>
      <c r="S19" s="2208"/>
      <c r="T19" s="2208"/>
      <c r="U19" s="2208"/>
      <c r="V19" s="2208"/>
      <c r="W19" s="2208"/>
      <c r="X19" s="2208"/>
      <c r="Y19" s="2208"/>
      <c r="Z19" s="2208"/>
      <c r="AA19" s="2208"/>
      <c r="AB19" s="2208"/>
      <c r="AC19" s="2208"/>
    </row>
    <row r="20" spans="6:29" ht="21" customHeight="1">
      <c r="F20" s="2228"/>
      <c r="G20" s="3651" t="s">
        <v>2291</v>
      </c>
      <c r="H20" s="3652"/>
      <c r="I20" s="3628">
        <f>P21</f>
        <v>53.39569916682435</v>
      </c>
      <c r="J20" s="3626" t="s">
        <v>2284</v>
      </c>
      <c r="K20" s="3670" t="str">
        <f>IF(P20&gt;K9,"*** Kanal Ölçüsü Uygundur ***","Kanalı Ölçüsü YETERSİZ !!!")</f>
        <v>*** Kanal Ölçüsü Uygundur ***</v>
      </c>
      <c r="L20" s="3671"/>
      <c r="M20" s="3671"/>
      <c r="N20" s="3672"/>
      <c r="O20" s="2237" t="s">
        <v>1184</v>
      </c>
      <c r="P20" s="2242">
        <f>(1/K17)*P15*P18*P19</f>
        <v>5.3395699166824351E-2</v>
      </c>
      <c r="Q20" s="2235" t="s">
        <v>2274</v>
      </c>
      <c r="R20" s="2235"/>
      <c r="S20" s="2208"/>
      <c r="T20" s="2208"/>
      <c r="U20" s="2208"/>
      <c r="V20" s="2208"/>
      <c r="W20" s="2208"/>
      <c r="X20" s="2208"/>
      <c r="Y20" s="2208"/>
      <c r="Z20" s="2208"/>
      <c r="AA20" s="2208"/>
      <c r="AB20" s="2208"/>
      <c r="AC20" s="2208"/>
    </row>
    <row r="21" spans="6:29" ht="21" customHeight="1">
      <c r="F21" s="2228"/>
      <c r="G21" s="3653"/>
      <c r="H21" s="3654"/>
      <c r="I21" s="3629"/>
      <c r="J21" s="3627"/>
      <c r="K21" s="3673"/>
      <c r="L21" s="3674"/>
      <c r="M21" s="3674"/>
      <c r="N21" s="3675"/>
      <c r="O21" s="2236"/>
      <c r="P21" s="2243">
        <f>P20*1000</f>
        <v>53.39569916682435</v>
      </c>
      <c r="Q21" s="2240" t="s">
        <v>2284</v>
      </c>
      <c r="R21" s="2235"/>
      <c r="S21" s="2208"/>
      <c r="T21" s="2208"/>
      <c r="U21" s="2208"/>
      <c r="V21" s="2208"/>
      <c r="W21" s="2208"/>
      <c r="X21" s="2208"/>
      <c r="Y21" s="2208"/>
      <c r="Z21" s="2208"/>
      <c r="AA21" s="2208"/>
      <c r="AB21" s="2208"/>
      <c r="AC21" s="2208"/>
    </row>
    <row r="22" spans="6:29">
      <c r="F22" s="2228"/>
      <c r="G22" s="2218" t="s">
        <v>2289</v>
      </c>
      <c r="H22" s="2209"/>
      <c r="I22" s="2209"/>
      <c r="J22" s="2217"/>
      <c r="K22" s="2219">
        <f>Q26</f>
        <v>21.001691475120616</v>
      </c>
      <c r="L22" s="2220" t="s">
        <v>2290</v>
      </c>
      <c r="M22" s="2208"/>
      <c r="N22" s="2208"/>
      <c r="O22" s="2236"/>
      <c r="P22" s="2235"/>
      <c r="Q22" s="2235"/>
      <c r="R22" s="2235"/>
      <c r="S22" s="2208"/>
      <c r="T22" s="2208"/>
      <c r="U22" s="2208"/>
      <c r="V22" s="2208"/>
      <c r="W22" s="2208"/>
      <c r="X22" s="2208"/>
      <c r="Y22" s="2208"/>
      <c r="Z22" s="2208"/>
      <c r="AA22" s="2208"/>
      <c r="AB22" s="2208"/>
      <c r="AC22" s="2208"/>
    </row>
    <row r="23" spans="6:29" ht="15" customHeight="1">
      <c r="F23" s="2230"/>
      <c r="G23" s="2231"/>
      <c r="H23" s="2231"/>
      <c r="I23" s="2231"/>
      <c r="J23" s="2231"/>
      <c r="K23" s="2232"/>
      <c r="L23" s="2232"/>
      <c r="M23" s="2232"/>
      <c r="N23" s="2232"/>
      <c r="O23" s="2238"/>
      <c r="P23" s="2235" t="s">
        <v>2285</v>
      </c>
      <c r="Q23" s="2235">
        <f>K9*3600</f>
        <v>67.284000000000006</v>
      </c>
      <c r="R23" s="2235" t="s">
        <v>133</v>
      </c>
      <c r="S23" s="2208"/>
      <c r="T23" s="2208"/>
      <c r="U23" s="2208"/>
      <c r="V23" s="2208"/>
      <c r="W23" s="2208"/>
      <c r="X23" s="2208"/>
      <c r="Y23" s="2208"/>
      <c r="Z23" s="2208"/>
      <c r="AA23" s="2208"/>
      <c r="AB23" s="2208"/>
      <c r="AC23" s="2208"/>
    </row>
    <row r="24" spans="6:29" ht="15" customHeight="1">
      <c r="K24" s="2208"/>
      <c r="L24" s="2208"/>
      <c r="M24" s="2208"/>
      <c r="N24" s="2208"/>
      <c r="O24" s="2235"/>
      <c r="P24" s="2235"/>
      <c r="Q24" s="2235"/>
      <c r="R24" s="2235"/>
      <c r="S24" s="2208"/>
      <c r="T24" s="2208"/>
      <c r="U24" s="2208"/>
      <c r="V24" s="2208"/>
      <c r="W24" s="2208"/>
      <c r="X24" s="2208"/>
      <c r="Y24" s="2208"/>
      <c r="Z24" s="2208"/>
      <c r="AA24" s="2208"/>
      <c r="AB24" s="2208"/>
      <c r="AC24" s="2208"/>
    </row>
    <row r="25" spans="6:29">
      <c r="F25" s="2225"/>
      <c r="G25" s="3658"/>
      <c r="H25" s="3659"/>
      <c r="I25" s="3659"/>
      <c r="J25" s="3659"/>
      <c r="K25" s="3659"/>
      <c r="L25" s="2226"/>
      <c r="M25" s="2226"/>
      <c r="N25" s="2226"/>
      <c r="O25" s="2239"/>
      <c r="P25" s="2235" t="s">
        <v>2286</v>
      </c>
      <c r="Q25" s="2235">
        <f>Q23/P20</f>
        <v>1260.101488507237</v>
      </c>
      <c r="R25" s="2235" t="s">
        <v>2287</v>
      </c>
      <c r="S25" s="2208"/>
      <c r="T25" s="2208"/>
      <c r="U25" s="2208"/>
      <c r="V25" s="2208"/>
      <c r="W25" s="2208"/>
      <c r="X25" s="2208"/>
      <c r="Y25" s="2208"/>
      <c r="Z25" s="2208"/>
      <c r="AA25" s="2208"/>
      <c r="AB25" s="2208"/>
      <c r="AC25" s="2208"/>
    </row>
    <row r="26" spans="6:29" ht="18.75">
      <c r="F26" s="2228"/>
      <c r="G26" s="3666" t="s">
        <v>2295</v>
      </c>
      <c r="H26" s="3667"/>
      <c r="I26" s="3667"/>
      <c r="J26" s="3667"/>
      <c r="K26" s="3667"/>
      <c r="L26" s="3667"/>
      <c r="M26" s="3668"/>
      <c r="N26" s="2208"/>
      <c r="O26" s="2236"/>
      <c r="P26" s="2235" t="s">
        <v>2286</v>
      </c>
      <c r="Q26" s="2235">
        <f>Q25/60</f>
        <v>21.001691475120616</v>
      </c>
      <c r="R26" s="2235" t="s">
        <v>2288</v>
      </c>
      <c r="S26" s="2208"/>
      <c r="T26" s="2208"/>
      <c r="U26" s="2208"/>
      <c r="V26" s="2208"/>
      <c r="W26" s="2208"/>
      <c r="X26" s="2208"/>
      <c r="Y26" s="2208"/>
      <c r="Z26" s="2208"/>
      <c r="AA26" s="2208"/>
      <c r="AB26" s="2208"/>
      <c r="AC26" s="2208"/>
    </row>
    <row r="27" spans="6:29">
      <c r="F27" s="2228"/>
      <c r="G27" s="3660" t="s">
        <v>2292</v>
      </c>
      <c r="H27" s="3661"/>
      <c r="I27" s="3661"/>
      <c r="J27" s="3661"/>
      <c r="K27" s="3662"/>
      <c r="L27" s="3643">
        <v>100</v>
      </c>
      <c r="M27" s="3645" t="s">
        <v>5</v>
      </c>
      <c r="N27" s="2235">
        <f>L27/1000</f>
        <v>0.1</v>
      </c>
      <c r="O27" s="2236"/>
      <c r="P27" s="2235"/>
      <c r="Q27" s="2235"/>
      <c r="R27" s="2235"/>
      <c r="S27" s="2208"/>
      <c r="T27" s="2208"/>
      <c r="U27" s="2208"/>
      <c r="V27" s="2208"/>
      <c r="W27" s="2208"/>
      <c r="X27" s="2208"/>
      <c r="Y27" s="2208"/>
      <c r="Z27" s="2208"/>
      <c r="AA27" s="2208"/>
      <c r="AB27" s="2208"/>
      <c r="AC27" s="2208"/>
    </row>
    <row r="28" spans="6:29" ht="12" customHeight="1">
      <c r="F28" s="2228"/>
      <c r="G28" s="3663"/>
      <c r="H28" s="3664"/>
      <c r="I28" s="3664"/>
      <c r="J28" s="3664"/>
      <c r="K28" s="3665"/>
      <c r="L28" s="3644"/>
      <c r="M28" s="3646"/>
      <c r="N28" s="2235"/>
      <c r="O28" s="2236" t="s">
        <v>1073</v>
      </c>
      <c r="P28" s="2235">
        <f>(3.14*(N27^2))/4</f>
        <v>7.8500000000000011E-3</v>
      </c>
      <c r="Q28" s="2235"/>
      <c r="R28" s="2235"/>
      <c r="S28" s="2208"/>
      <c r="T28" s="2208"/>
      <c r="U28" s="2208"/>
      <c r="V28" s="2208"/>
      <c r="W28" s="2208"/>
      <c r="X28" s="2208"/>
      <c r="Y28" s="2208"/>
      <c r="Z28" s="2208"/>
      <c r="AA28" s="2208"/>
      <c r="AB28" s="2208"/>
      <c r="AC28" s="2208"/>
    </row>
    <row r="29" spans="6:29">
      <c r="F29" s="2228"/>
      <c r="G29" s="3632" t="s">
        <v>2293</v>
      </c>
      <c r="H29" s="3633"/>
      <c r="I29" s="3633"/>
      <c r="J29" s="3633"/>
      <c r="K29" s="3634"/>
      <c r="L29" s="3643">
        <v>4</v>
      </c>
      <c r="M29" s="3645" t="s">
        <v>88</v>
      </c>
      <c r="N29" s="2235"/>
      <c r="O29" s="2236" t="s">
        <v>1077</v>
      </c>
      <c r="P29" s="2235">
        <f>N27/4</f>
        <v>2.5000000000000001E-2</v>
      </c>
      <c r="Q29" s="2235"/>
      <c r="R29" s="2235"/>
      <c r="S29" s="2208"/>
      <c r="T29" s="2208"/>
      <c r="U29" s="2208"/>
      <c r="V29" s="2208"/>
      <c r="W29" s="2208"/>
      <c r="X29" s="2208"/>
      <c r="Y29" s="2208"/>
      <c r="Z29" s="2208"/>
      <c r="AA29" s="2208"/>
      <c r="AB29" s="2208"/>
      <c r="AC29" s="2208"/>
    </row>
    <row r="30" spans="6:29" ht="9" customHeight="1">
      <c r="F30" s="2228"/>
      <c r="G30" s="3635"/>
      <c r="H30" s="3636"/>
      <c r="I30" s="3636"/>
      <c r="J30" s="3636"/>
      <c r="K30" s="3637"/>
      <c r="L30" s="3644"/>
      <c r="M30" s="3646"/>
      <c r="N30" s="2235"/>
      <c r="O30" s="2236" t="s">
        <v>1184</v>
      </c>
      <c r="P30" s="2235">
        <f>(1/K17)*P28*(P29^(2/3))*(N31^(1/2))</f>
        <v>6.1015050824600346E-3</v>
      </c>
      <c r="Q30" s="2235">
        <f>P30*1000</f>
        <v>6.1015050824600348</v>
      </c>
      <c r="R30" s="2235" t="s">
        <v>1972</v>
      </c>
      <c r="S30" s="2208"/>
      <c r="T30" s="2208"/>
      <c r="U30" s="2208"/>
      <c r="V30" s="2208"/>
      <c r="W30" s="2208"/>
      <c r="X30" s="2208"/>
      <c r="Y30" s="2208"/>
      <c r="Z30" s="2208"/>
      <c r="AA30" s="2208"/>
      <c r="AB30" s="2208"/>
      <c r="AC30" s="2208"/>
    </row>
    <row r="31" spans="6:29" ht="12" customHeight="1">
      <c r="F31" s="2228"/>
      <c r="G31" s="3632" t="s">
        <v>2296</v>
      </c>
      <c r="H31" s="3633"/>
      <c r="I31" s="3633"/>
      <c r="J31" s="3633"/>
      <c r="K31" s="3634"/>
      <c r="L31" s="3647">
        <v>1</v>
      </c>
      <c r="M31" s="3649" t="s">
        <v>21</v>
      </c>
      <c r="N31" s="2235">
        <f>L31/100</f>
        <v>0.01</v>
      </c>
      <c r="O31" s="2236"/>
      <c r="P31" s="2235">
        <f>P30*L29</f>
        <v>2.4406020329840138E-2</v>
      </c>
      <c r="Q31" s="2235">
        <f>L29*Q30</f>
        <v>24.406020329840139</v>
      </c>
      <c r="R31" s="2235"/>
      <c r="S31" s="2208"/>
      <c r="T31" s="2208"/>
      <c r="U31" s="2208"/>
      <c r="V31" s="2208"/>
      <c r="W31" s="2208"/>
      <c r="X31" s="2208"/>
      <c r="Y31" s="2208"/>
      <c r="Z31" s="2208"/>
      <c r="AA31" s="2208"/>
      <c r="AB31" s="2208"/>
      <c r="AC31" s="2208"/>
    </row>
    <row r="32" spans="6:29" ht="6.75" customHeight="1">
      <c r="F32" s="2228"/>
      <c r="G32" s="3635"/>
      <c r="H32" s="3636"/>
      <c r="I32" s="3636"/>
      <c r="J32" s="3636"/>
      <c r="K32" s="3637"/>
      <c r="L32" s="3648"/>
      <c r="M32" s="3650"/>
      <c r="N32" s="2208"/>
      <c r="O32" s="2236"/>
      <c r="P32" s="2235"/>
      <c r="Q32" s="2235"/>
      <c r="R32" s="2235"/>
      <c r="S32" s="2208"/>
      <c r="T32" s="2208"/>
      <c r="U32" s="2208"/>
      <c r="V32" s="2208"/>
      <c r="W32" s="2208"/>
      <c r="X32" s="2208"/>
      <c r="Y32" s="2208"/>
      <c r="Z32" s="2208"/>
      <c r="AA32" s="2208"/>
      <c r="AB32" s="2208"/>
      <c r="AC32" s="2208"/>
    </row>
    <row r="33" spans="6:34" ht="15" customHeight="1">
      <c r="F33" s="2228"/>
      <c r="G33" s="3651" t="s">
        <v>2291</v>
      </c>
      <c r="H33" s="3652"/>
      <c r="I33" s="3628">
        <f>Q31</f>
        <v>24.406020329840139</v>
      </c>
      <c r="J33" s="3626" t="s">
        <v>2284</v>
      </c>
      <c r="K33" s="3670" t="str">
        <f>IF(P31&gt;K9,"*** Boru Ölçüsü Uygundur ***","Boru Ölçüsü YETERSİZ !!!")</f>
        <v>*** Boru Ölçüsü Uygundur ***</v>
      </c>
      <c r="L33" s="3671"/>
      <c r="M33" s="3671"/>
      <c r="N33" s="3672"/>
      <c r="O33" s="2236"/>
      <c r="P33" s="2235" t="s">
        <v>2286</v>
      </c>
      <c r="Q33" s="2235">
        <f>Q23/P31</f>
        <v>2756.8607700344696</v>
      </c>
      <c r="R33" s="2235" t="s">
        <v>2287</v>
      </c>
      <c r="S33" s="2208"/>
      <c r="T33" s="2208"/>
      <c r="U33" s="2208"/>
      <c r="V33" s="2208"/>
      <c r="W33" s="2208"/>
      <c r="X33" s="2208"/>
      <c r="Y33" s="2208"/>
      <c r="Z33" s="2208"/>
      <c r="AA33" s="2208"/>
      <c r="AB33" s="2208"/>
      <c r="AC33" s="2208"/>
    </row>
    <row r="34" spans="6:34" ht="15" customHeight="1">
      <c r="F34" s="2228"/>
      <c r="G34" s="3653"/>
      <c r="H34" s="3654"/>
      <c r="I34" s="3629"/>
      <c r="J34" s="3627"/>
      <c r="K34" s="3673"/>
      <c r="L34" s="3674"/>
      <c r="M34" s="3674"/>
      <c r="N34" s="3675"/>
      <c r="O34" s="2236"/>
      <c r="P34" s="2235" t="s">
        <v>2286</v>
      </c>
      <c r="Q34" s="2235">
        <f>Q33/60</f>
        <v>45.947679500574495</v>
      </c>
      <c r="R34" s="2235" t="s">
        <v>2288</v>
      </c>
      <c r="S34" s="2208"/>
      <c r="T34" s="2208"/>
      <c r="U34" s="2208"/>
      <c r="V34" s="2208"/>
      <c r="W34" s="2208"/>
      <c r="X34" s="2208"/>
      <c r="Y34" s="2208"/>
      <c r="Z34" s="2208"/>
      <c r="AA34" s="2208"/>
      <c r="AB34" s="2208"/>
      <c r="AC34" s="2208"/>
    </row>
    <row r="35" spans="6:34">
      <c r="F35" s="2228"/>
      <c r="G35" s="2218" t="s">
        <v>2289</v>
      </c>
      <c r="H35" s="2209"/>
      <c r="I35" s="2209"/>
      <c r="J35" s="2217"/>
      <c r="K35" s="2219">
        <f>Q34</f>
        <v>45.947679500574495</v>
      </c>
      <c r="L35" s="2220" t="s">
        <v>2290</v>
      </c>
      <c r="M35" s="2208"/>
      <c r="N35" s="2208"/>
      <c r="O35" s="2229"/>
      <c r="P35" s="2208"/>
      <c r="Q35" s="2208"/>
      <c r="R35" s="2208"/>
      <c r="S35" s="2208"/>
      <c r="T35" s="2208"/>
      <c r="U35" s="2208"/>
      <c r="V35" s="2208"/>
      <c r="W35" s="2208"/>
      <c r="X35" s="2208"/>
      <c r="Y35" s="2208"/>
      <c r="Z35" s="2208"/>
      <c r="AA35" s="2208"/>
      <c r="AB35" s="2208"/>
      <c r="AC35" s="2208"/>
    </row>
    <row r="36" spans="6:34">
      <c r="F36" s="2230"/>
      <c r="G36" s="2231"/>
      <c r="H36" s="2231"/>
      <c r="I36" s="2231"/>
      <c r="J36" s="2231"/>
      <c r="K36" s="2232"/>
      <c r="L36" s="2232"/>
      <c r="M36" s="2232"/>
      <c r="N36" s="2232"/>
      <c r="O36" s="2233"/>
      <c r="P36" s="2208"/>
      <c r="Q36" s="2208"/>
      <c r="R36" s="2208"/>
      <c r="S36" s="2208"/>
      <c r="T36" s="2208"/>
      <c r="U36" s="2208"/>
      <c r="V36" s="2208"/>
      <c r="W36" s="2208"/>
      <c r="X36" s="2208"/>
      <c r="Y36" s="2208"/>
      <c r="Z36" s="2208"/>
      <c r="AA36" s="2208"/>
      <c r="AB36" s="2208"/>
      <c r="AC36" s="2208"/>
    </row>
    <row r="37" spans="6:34">
      <c r="K37" s="2208"/>
      <c r="L37" s="2208"/>
      <c r="M37" s="2208"/>
      <c r="N37" s="2208"/>
      <c r="O37" s="2208"/>
      <c r="P37" s="2208"/>
      <c r="Q37" s="2208"/>
      <c r="R37" s="2208"/>
      <c r="S37" s="2208"/>
      <c r="T37" s="2208"/>
      <c r="U37" s="2208"/>
      <c r="V37" s="2208"/>
      <c r="W37" s="2208"/>
      <c r="X37" s="2208"/>
      <c r="Y37" s="2208"/>
      <c r="Z37" s="2208"/>
      <c r="AA37" s="2208"/>
      <c r="AB37" s="2208"/>
      <c r="AC37" s="2208"/>
    </row>
    <row r="38" spans="6:34">
      <c r="K38" s="2208"/>
      <c r="L38" s="2208"/>
      <c r="M38" s="2208"/>
      <c r="N38" s="2208"/>
      <c r="O38" s="2208"/>
      <c r="P38" s="2208"/>
      <c r="Q38" s="2208"/>
      <c r="R38" s="2208"/>
      <c r="S38" s="2208"/>
      <c r="T38" s="2208"/>
      <c r="U38" s="2208"/>
      <c r="V38" s="2208"/>
      <c r="W38" s="2208"/>
      <c r="X38" s="2208"/>
      <c r="Y38" s="2208"/>
      <c r="Z38" s="2208"/>
      <c r="AA38" s="2208"/>
      <c r="AB38" s="2208"/>
      <c r="AC38" s="2208"/>
    </row>
    <row r="39" spans="6:34">
      <c r="K39" s="2208"/>
      <c r="L39" s="2208"/>
      <c r="M39" s="2208"/>
      <c r="N39" s="2208"/>
      <c r="O39" s="2208"/>
      <c r="P39" s="2208"/>
      <c r="Q39" s="2208"/>
      <c r="R39" s="2208"/>
      <c r="S39" s="2208"/>
      <c r="T39" s="2208"/>
      <c r="U39" s="2208"/>
      <c r="V39" s="2208"/>
      <c r="W39" s="2208"/>
      <c r="X39" s="2208"/>
      <c r="Y39" s="2208"/>
      <c r="Z39" s="2208"/>
      <c r="AA39" s="2208"/>
      <c r="AB39" s="2208"/>
      <c r="AC39" s="2208"/>
    </row>
    <row r="40" spans="6:34">
      <c r="K40" s="2208"/>
      <c r="L40" s="2208"/>
      <c r="M40" s="2208"/>
      <c r="N40" s="2208"/>
      <c r="O40" s="2208"/>
      <c r="P40" s="2208"/>
      <c r="Q40" s="2208"/>
      <c r="R40" s="2208"/>
      <c r="S40" s="2208"/>
      <c r="T40" s="2208"/>
      <c r="U40" s="2208"/>
      <c r="V40" s="2208"/>
      <c r="W40" s="2208"/>
      <c r="X40" s="2208"/>
      <c r="Y40" s="2208"/>
      <c r="Z40" s="2208"/>
      <c r="AA40" s="2208"/>
      <c r="AB40" s="2208"/>
      <c r="AC40" s="2208"/>
    </row>
    <row r="41" spans="6:34">
      <c r="K41" s="2208"/>
      <c r="L41" s="2208"/>
      <c r="M41" s="2208"/>
      <c r="N41" s="2208"/>
      <c r="O41" s="2208"/>
      <c r="P41" s="2208"/>
      <c r="Q41" s="2208"/>
      <c r="R41" s="2208"/>
      <c r="S41" s="2208"/>
      <c r="T41" s="2208"/>
      <c r="U41" s="2208"/>
      <c r="V41" s="2208"/>
      <c r="W41" s="2208"/>
      <c r="X41" s="2208"/>
      <c r="Y41" s="2208"/>
      <c r="Z41" s="2208"/>
      <c r="AA41" s="2208"/>
      <c r="AB41" s="2208"/>
      <c r="AC41" s="2208"/>
    </row>
    <row r="42" spans="6:34">
      <c r="K42" s="2208"/>
      <c r="L42" s="2208"/>
      <c r="M42" s="2208"/>
      <c r="N42" s="2208"/>
      <c r="O42" s="2208"/>
      <c r="P42" s="2208"/>
      <c r="Q42" s="2208"/>
      <c r="R42" s="2208"/>
      <c r="S42" s="2208"/>
      <c r="T42" s="2208"/>
      <c r="U42" s="2208"/>
      <c r="V42" s="2208"/>
      <c r="W42" s="2208"/>
      <c r="X42" s="2208"/>
      <c r="Y42" s="2208"/>
      <c r="Z42" s="2208"/>
      <c r="AA42" s="2208"/>
      <c r="AB42" s="2208"/>
      <c r="AC42" s="2208"/>
    </row>
    <row r="46" spans="6:34">
      <c r="AC46" s="3677"/>
      <c r="AD46" s="3677"/>
      <c r="AE46" s="3677"/>
      <c r="AF46" s="3677"/>
      <c r="AG46" s="3677"/>
      <c r="AH46" s="3677"/>
    </row>
    <row r="47" spans="6:34">
      <c r="AC47" s="3677"/>
      <c r="AD47" s="3677"/>
      <c r="AE47" s="3677"/>
      <c r="AF47" s="3677"/>
      <c r="AG47" s="3677"/>
      <c r="AH47" s="3677"/>
    </row>
    <row r="48" spans="6:34">
      <c r="AC48" s="2208"/>
      <c r="AD48" s="3677"/>
      <c r="AE48" s="3677"/>
      <c r="AF48" s="3677"/>
      <c r="AG48" s="3677"/>
      <c r="AH48" s="3677"/>
    </row>
    <row r="49" spans="28:33">
      <c r="AB49" s="3676" t="s">
        <v>1920</v>
      </c>
      <c r="AC49" s="3676"/>
      <c r="AD49" s="3676"/>
      <c r="AE49" s="3676"/>
      <c r="AF49" s="3676"/>
      <c r="AG49" s="3676"/>
    </row>
    <row r="50" spans="28:33">
      <c r="AB50" s="3676" t="s">
        <v>17</v>
      </c>
      <c r="AC50" s="3676"/>
      <c r="AD50" s="3676"/>
      <c r="AE50" s="3676"/>
      <c r="AF50" s="3676"/>
      <c r="AG50" s="3676"/>
    </row>
    <row r="51" spans="28:33">
      <c r="AB51" s="2244"/>
      <c r="AC51" s="3676">
        <v>2026</v>
      </c>
      <c r="AD51" s="3676"/>
      <c r="AE51" s="3676"/>
      <c r="AF51" s="3676"/>
      <c r="AG51" s="3676"/>
    </row>
  </sheetData>
  <sheetProtection algorithmName="SHA-512" hashValue="dBqRqQ4MDA9hk87tU3eroXCiiojCfz/8Vgz1JAIvDswyc+W532e0lHtzIYaKIgDk2VDiZySUPN4PaSxvvwt+Vg==" saltValue="r31ZqBgJZYfuuuDvB05/CA==" spinCount="100000" sheet="1" objects="1" selectLockedCells="1"/>
  <mergeCells count="36">
    <mergeCell ref="AB49:AG49"/>
    <mergeCell ref="AB50:AG50"/>
    <mergeCell ref="AC51:AG51"/>
    <mergeCell ref="G33:H34"/>
    <mergeCell ref="I33:I34"/>
    <mergeCell ref="J33:J34"/>
    <mergeCell ref="K33:N34"/>
    <mergeCell ref="AC46:AH46"/>
    <mergeCell ref="AC47:AH47"/>
    <mergeCell ref="AD48:AH48"/>
    <mergeCell ref="C3:L4"/>
    <mergeCell ref="G29:K30"/>
    <mergeCell ref="L29:L30"/>
    <mergeCell ref="M29:M30"/>
    <mergeCell ref="G31:K32"/>
    <mergeCell ref="L31:L32"/>
    <mergeCell ref="M31:M32"/>
    <mergeCell ref="G20:H21"/>
    <mergeCell ref="G19:N19"/>
    <mergeCell ref="G25:K25"/>
    <mergeCell ref="L27:L28"/>
    <mergeCell ref="M27:M28"/>
    <mergeCell ref="G27:K28"/>
    <mergeCell ref="G26:M26"/>
    <mergeCell ref="G6:J6"/>
    <mergeCell ref="K20:N21"/>
    <mergeCell ref="G7:J7"/>
    <mergeCell ref="G8:J9"/>
    <mergeCell ref="G12:J12"/>
    <mergeCell ref="G13:J13"/>
    <mergeCell ref="G14:J14"/>
    <mergeCell ref="G16:J16"/>
    <mergeCell ref="G17:J17"/>
    <mergeCell ref="K17:L17"/>
    <mergeCell ref="J20:J21"/>
    <mergeCell ref="I20:I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2A63D-BA91-4B3E-A3A6-1FF27EC94B1E}">
  <dimension ref="B1:AB38"/>
  <sheetViews>
    <sheetView showGridLines="0" showRowColHeaders="0" zoomScale="97" zoomScaleNormal="97" workbookViewId="0">
      <selection activeCell="E7" sqref="E7"/>
    </sheetView>
  </sheetViews>
  <sheetFormatPr defaultColWidth="9.140625" defaultRowHeight="15"/>
  <cols>
    <col min="1" max="3" width="9.140625" style="334"/>
    <col min="4" max="4" width="13.140625" style="334" customWidth="1"/>
    <col min="5" max="5" width="9.140625" style="334"/>
    <col min="6" max="6" width="10.7109375" style="334" customWidth="1"/>
    <col min="7" max="7" width="18.85546875" style="334" customWidth="1"/>
    <col min="8" max="11" width="8.7109375" style="334" customWidth="1"/>
    <col min="12" max="12" width="4.140625" style="2076" customWidth="1"/>
    <col min="13" max="13" width="10.42578125" style="334" customWidth="1"/>
    <col min="14" max="25" width="9.140625" style="334"/>
    <col min="26" max="26" width="11.85546875" style="334" customWidth="1"/>
    <col min="27" max="16384" width="9.140625" style="334"/>
  </cols>
  <sheetData>
    <row r="1" spans="2:28" ht="15.75" thickBot="1"/>
    <row r="2" spans="2:28" ht="38.25" thickBot="1">
      <c r="B2" s="1185"/>
      <c r="C2" s="2321" t="s">
        <v>1960</v>
      </c>
      <c r="D2" s="2321"/>
      <c r="E2" s="2322"/>
    </row>
    <row r="3" spans="2:28" ht="16.5" customHeight="1">
      <c r="C3" s="2081"/>
    </row>
    <row r="4" spans="2:28">
      <c r="B4" s="2091"/>
      <c r="C4" s="2092"/>
      <c r="D4" s="2092"/>
      <c r="E4" s="2092"/>
      <c r="F4" s="2092"/>
      <c r="G4" s="2092"/>
      <c r="H4" s="2092"/>
      <c r="I4" s="2093"/>
    </row>
    <row r="5" spans="2:28" ht="18.75">
      <c r="B5" s="2094"/>
      <c r="C5" s="2095" t="s">
        <v>2092</v>
      </c>
      <c r="I5" s="1872"/>
    </row>
    <row r="6" spans="2:28" ht="17.25" thickBot="1">
      <c r="B6" s="2094"/>
      <c r="C6" s="2096"/>
      <c r="I6" s="1872"/>
    </row>
    <row r="7" spans="2:28" ht="18.75" thickBot="1">
      <c r="B7" s="2094"/>
      <c r="C7" s="2097" t="s">
        <v>320</v>
      </c>
      <c r="E7" s="967">
        <v>33.35</v>
      </c>
      <c r="F7" s="2077" t="s">
        <v>317</v>
      </c>
      <c r="I7" s="1872"/>
      <c r="L7" s="2111"/>
      <c r="M7" s="2120" t="s">
        <v>358</v>
      </c>
      <c r="N7" s="2092"/>
      <c r="O7" s="2092"/>
      <c r="P7" s="2092"/>
      <c r="Q7" s="2092"/>
      <c r="R7" s="2092"/>
      <c r="S7" s="2092"/>
      <c r="T7" s="2092"/>
      <c r="U7" s="2092"/>
      <c r="V7" s="2093"/>
      <c r="X7" s="252"/>
      <c r="Y7" s="3362" t="s">
        <v>2235</v>
      </c>
      <c r="Z7" s="3362"/>
      <c r="AA7" s="3362"/>
      <c r="AB7" s="252"/>
    </row>
    <row r="8" spans="2:28" ht="15.75" thickBot="1">
      <c r="B8" s="2094"/>
      <c r="I8" s="1872"/>
      <c r="L8" s="2112"/>
      <c r="M8" s="2113" t="s">
        <v>385</v>
      </c>
      <c r="O8" s="334" t="s">
        <v>787</v>
      </c>
      <c r="V8" s="1872"/>
      <c r="X8" s="252"/>
      <c r="Y8" s="465" t="s">
        <v>2221</v>
      </c>
      <c r="Z8" s="252"/>
      <c r="AA8" s="2127" t="s">
        <v>2228</v>
      </c>
      <c r="AB8" s="252"/>
    </row>
    <row r="9" spans="2:28" ht="18.75" thickBot="1">
      <c r="B9" s="2094"/>
      <c r="C9" s="2098" t="s">
        <v>321</v>
      </c>
      <c r="D9" s="2099"/>
      <c r="E9" s="2116">
        <f>(E7/2.2)*1000</f>
        <v>15159.090909090908</v>
      </c>
      <c r="F9" s="2100" t="s">
        <v>318</v>
      </c>
      <c r="I9" s="1872"/>
      <c r="L9" s="2112"/>
      <c r="M9" s="580">
        <v>40</v>
      </c>
      <c r="N9" s="334" t="s">
        <v>781</v>
      </c>
      <c r="O9" s="580">
        <v>150</v>
      </c>
      <c r="P9" s="334" t="s">
        <v>658</v>
      </c>
      <c r="Q9" s="2080">
        <f>M9*O9</f>
        <v>6000</v>
      </c>
      <c r="R9" s="334" t="s">
        <v>658</v>
      </c>
      <c r="S9" s="2080">
        <f>Q9/1000</f>
        <v>6</v>
      </c>
      <c r="T9" s="334" t="s">
        <v>77</v>
      </c>
      <c r="U9" s="2080">
        <f>Q9*3.412</f>
        <v>20472</v>
      </c>
      <c r="V9" s="1872" t="s">
        <v>318</v>
      </c>
      <c r="X9" s="252"/>
      <c r="Y9" s="465" t="s">
        <v>2223</v>
      </c>
      <c r="Z9" s="252"/>
      <c r="AA9" s="2127" t="s">
        <v>2229</v>
      </c>
      <c r="AB9" s="252"/>
    </row>
    <row r="10" spans="2:28" ht="15.75" thickBot="1">
      <c r="B10" s="2094"/>
      <c r="E10" s="2117">
        <f>E9/3412</f>
        <v>4.4428754129809223</v>
      </c>
      <c r="F10" s="2100" t="s">
        <v>77</v>
      </c>
      <c r="I10" s="1872"/>
      <c r="L10" s="2112"/>
      <c r="V10" s="1872"/>
      <c r="X10" s="252"/>
      <c r="Y10" s="465" t="s">
        <v>2222</v>
      </c>
      <c r="Z10" s="252"/>
      <c r="AA10" s="2127" t="s">
        <v>2230</v>
      </c>
      <c r="AB10" s="252"/>
    </row>
    <row r="11" spans="2:28">
      <c r="B11" s="2101"/>
      <c r="C11" s="2102"/>
      <c r="D11" s="2102"/>
      <c r="E11" s="2103"/>
      <c r="F11" s="2104"/>
      <c r="G11" s="2102"/>
      <c r="H11" s="2102"/>
      <c r="I11" s="2105"/>
      <c r="L11" s="2114"/>
      <c r="M11" s="2102"/>
      <c r="N11" s="2102"/>
      <c r="O11" s="2102"/>
      <c r="P11" s="2102"/>
      <c r="Q11" s="2102"/>
      <c r="R11" s="2102"/>
      <c r="S11" s="2102"/>
      <c r="T11" s="2102"/>
      <c r="U11" s="2102"/>
      <c r="V11" s="2105"/>
      <c r="X11" s="252"/>
      <c r="Y11" s="465" t="s">
        <v>2224</v>
      </c>
      <c r="Z11" s="252"/>
      <c r="AA11" s="2127" t="s">
        <v>2231</v>
      </c>
      <c r="AB11" s="252"/>
    </row>
    <row r="12" spans="2:28">
      <c r="X12" s="252"/>
      <c r="Y12" s="465" t="s">
        <v>2225</v>
      </c>
      <c r="Z12" s="252"/>
      <c r="AA12" s="2127" t="s">
        <v>2232</v>
      </c>
      <c r="AB12" s="252"/>
    </row>
    <row r="13" spans="2:28" ht="18.75">
      <c r="B13" s="2091"/>
      <c r="C13" s="2106" t="s">
        <v>2212</v>
      </c>
      <c r="D13" s="2092"/>
      <c r="E13" s="2092"/>
      <c r="F13" s="2092"/>
      <c r="G13" s="2092"/>
      <c r="H13" s="2092"/>
      <c r="I13" s="2093"/>
      <c r="L13" s="2111"/>
      <c r="M13" s="2092"/>
      <c r="N13" s="2092"/>
      <c r="O13" s="2092"/>
      <c r="P13" s="2092"/>
      <c r="Q13" s="2092"/>
      <c r="R13" s="2092"/>
      <c r="S13" s="2093"/>
      <c r="X13" s="252"/>
      <c r="Y13" s="465" t="s">
        <v>2226</v>
      </c>
      <c r="Z13" s="252"/>
      <c r="AA13" s="2127" t="s">
        <v>2233</v>
      </c>
      <c r="AB13" s="252"/>
    </row>
    <row r="14" spans="2:28" ht="19.5" thickBot="1">
      <c r="B14" s="2094"/>
      <c r="C14" s="2095"/>
      <c r="I14" s="1872"/>
      <c r="L14" s="2112"/>
      <c r="S14" s="1872"/>
      <c r="U14" s="2129" t="s">
        <v>2210</v>
      </c>
      <c r="V14" s="2129">
        <v>450</v>
      </c>
      <c r="W14" s="2129" t="s">
        <v>318</v>
      </c>
      <c r="X14" s="2128"/>
      <c r="Y14" s="465" t="s">
        <v>2227</v>
      </c>
      <c r="Z14" s="252"/>
      <c r="AA14" s="2127" t="s">
        <v>2234</v>
      </c>
      <c r="AB14" s="252"/>
    </row>
    <row r="15" spans="2:28" ht="19.5" thickBot="1">
      <c r="B15" s="2094"/>
      <c r="C15" s="2096"/>
      <c r="G15" s="3678" t="s">
        <v>2206</v>
      </c>
      <c r="H15" s="3678"/>
      <c r="I15" s="2107"/>
      <c r="J15" s="2087"/>
      <c r="K15" s="2087"/>
      <c r="L15" s="2094"/>
      <c r="M15" s="2119" t="s">
        <v>905</v>
      </c>
      <c r="P15" s="580">
        <v>1</v>
      </c>
      <c r="Q15" s="334" t="s">
        <v>77</v>
      </c>
      <c r="R15" s="2080">
        <f>P15*3412</f>
        <v>3412</v>
      </c>
      <c r="S15" s="2115" t="s">
        <v>318</v>
      </c>
      <c r="U15" s="2129" t="s">
        <v>2218</v>
      </c>
      <c r="V15" s="2129">
        <v>550</v>
      </c>
      <c r="W15" s="2129"/>
      <c r="X15" s="2128"/>
      <c r="Y15" s="252"/>
      <c r="Z15" s="252"/>
      <c r="AA15" s="252"/>
      <c r="AB15" s="252"/>
    </row>
    <row r="16" spans="2:28" ht="18.75" thickBot="1">
      <c r="B16" s="2094"/>
      <c r="C16" s="3679" t="s">
        <v>2203</v>
      </c>
      <c r="D16" s="3680"/>
      <c r="E16" s="967">
        <v>33</v>
      </c>
      <c r="F16" s="2077" t="s">
        <v>317</v>
      </c>
      <c r="G16" s="272" t="s">
        <v>2178</v>
      </c>
      <c r="H16" s="2121" cm="1">
        <f t="array" ref="H16">_xlfn.XLOOKUP('Klima Hesabı '!G16,'Soğutma Katsayısı'!B3:B82,'Soğutma Katsayısı'!H3:H82,YOK,0)</f>
        <v>483</v>
      </c>
      <c r="I16" s="2108"/>
      <c r="J16" s="2088"/>
      <c r="K16" s="2088"/>
      <c r="L16" s="2094"/>
      <c r="S16" s="1872"/>
      <c r="U16" s="2129" t="s">
        <v>2213</v>
      </c>
      <c r="V16" s="2129">
        <v>550</v>
      </c>
      <c r="W16" s="2129"/>
      <c r="X16" s="2129"/>
    </row>
    <row r="17" spans="2:24" ht="18.75" thickBot="1">
      <c r="B17" s="2094"/>
      <c r="C17" s="3679" t="s">
        <v>2204</v>
      </c>
      <c r="D17" s="3680"/>
      <c r="E17" s="967">
        <v>2.8</v>
      </c>
      <c r="F17" s="2077" t="s">
        <v>156</v>
      </c>
      <c r="I17" s="1872"/>
      <c r="L17" s="2094"/>
      <c r="N17" s="2090"/>
      <c r="O17" s="2089"/>
      <c r="P17" s="580">
        <v>1</v>
      </c>
      <c r="Q17" s="334" t="s">
        <v>658</v>
      </c>
      <c r="R17" s="2080">
        <f>P17*3.412</f>
        <v>3.4119999999999999</v>
      </c>
      <c r="S17" s="2115" t="s">
        <v>318</v>
      </c>
      <c r="U17" s="2129" t="s">
        <v>2214</v>
      </c>
      <c r="V17" s="2129">
        <v>1000</v>
      </c>
      <c r="W17" s="2129"/>
      <c r="X17" s="2129"/>
    </row>
    <row r="18" spans="2:24" ht="15.75" thickBot="1">
      <c r="B18" s="2094"/>
      <c r="G18" s="2085"/>
      <c r="H18" s="2086"/>
      <c r="I18" s="2079"/>
      <c r="J18" s="2086"/>
      <c r="K18" s="2086"/>
      <c r="L18" s="2094"/>
      <c r="N18" s="2078"/>
      <c r="S18" s="1872"/>
      <c r="T18" s="2129"/>
      <c r="U18" s="2129" t="s">
        <v>2215</v>
      </c>
      <c r="V18" s="2129">
        <v>800</v>
      </c>
      <c r="W18" s="2129"/>
      <c r="X18" s="2129"/>
    </row>
    <row r="19" spans="2:24" ht="18.75" thickBot="1">
      <c r="B19" s="2094"/>
      <c r="C19" s="2097" t="s">
        <v>2205</v>
      </c>
      <c r="E19" s="2134">
        <f>H16</f>
        <v>483</v>
      </c>
      <c r="G19" s="2085"/>
      <c r="H19" s="2086"/>
      <c r="I19" s="2079"/>
      <c r="J19" s="2086"/>
      <c r="K19" s="2086"/>
      <c r="L19" s="2112"/>
      <c r="N19" s="2078"/>
      <c r="P19" s="580">
        <v>9582</v>
      </c>
      <c r="Q19" s="334" t="s">
        <v>318</v>
      </c>
      <c r="R19" s="2080">
        <f>P19/3412</f>
        <v>2.8083235638921455</v>
      </c>
      <c r="S19" s="1872" t="s">
        <v>77</v>
      </c>
      <c r="T19" s="2129"/>
      <c r="U19" s="2129" t="s">
        <v>2210</v>
      </c>
      <c r="V19" s="2129"/>
      <c r="W19" s="2129">
        <v>12</v>
      </c>
      <c r="X19" s="2129" t="s">
        <v>2219</v>
      </c>
    </row>
    <row r="20" spans="2:24" ht="15.75" thickBot="1">
      <c r="B20" s="2094"/>
      <c r="G20" s="2085"/>
      <c r="H20" s="2086"/>
      <c r="I20" s="2079"/>
      <c r="J20" s="2086"/>
      <c r="K20" s="2086"/>
      <c r="L20" s="2112"/>
      <c r="S20" s="1872"/>
      <c r="T20" s="2129"/>
      <c r="U20" s="2129" t="s">
        <v>2218</v>
      </c>
      <c r="V20" s="2129"/>
      <c r="W20" s="2129">
        <v>15</v>
      </c>
      <c r="X20" s="2129"/>
    </row>
    <row r="21" spans="2:24" ht="18.75" thickBot="1">
      <c r="B21" s="2094"/>
      <c r="C21" s="2097" t="s">
        <v>2211</v>
      </c>
      <c r="E21" s="3682" t="s">
        <v>2218</v>
      </c>
      <c r="F21" s="3683"/>
      <c r="G21" s="2130" cm="1">
        <f t="array" ref="G21">_xlfn.XLOOKUP(E21,U14:U18,V14:V18,YOK,0)</f>
        <v>550</v>
      </c>
      <c r="H21" s="2131" t="s">
        <v>2216</v>
      </c>
      <c r="I21" s="2132"/>
      <c r="J21" s="2086"/>
      <c r="K21" s="2086"/>
      <c r="L21" s="2112"/>
      <c r="P21" s="580">
        <v>51180</v>
      </c>
      <c r="Q21" s="334" t="s">
        <v>318</v>
      </c>
      <c r="R21" s="2080">
        <f>P21/3.412</f>
        <v>15000</v>
      </c>
      <c r="S21" s="1872" t="s">
        <v>658</v>
      </c>
      <c r="T21" s="2129"/>
      <c r="U21" s="2129" t="s">
        <v>2213</v>
      </c>
      <c r="V21" s="2129"/>
      <c r="W21" s="2129">
        <v>18</v>
      </c>
      <c r="X21" s="2129"/>
    </row>
    <row r="22" spans="2:24" ht="15.75" thickBot="1">
      <c r="B22" s="2123"/>
      <c r="C22" s="2118"/>
      <c r="G22" s="2085"/>
      <c r="H22" s="2086"/>
      <c r="I22" s="2079"/>
      <c r="J22" s="2086"/>
      <c r="K22" s="2086"/>
      <c r="L22" s="2114"/>
      <c r="M22" s="2102"/>
      <c r="N22" s="2102"/>
      <c r="O22" s="2102"/>
      <c r="P22" s="2102"/>
      <c r="Q22" s="2102"/>
      <c r="R22" s="2102"/>
      <c r="S22" s="2105"/>
      <c r="T22" s="2129"/>
      <c r="U22" s="2129" t="s">
        <v>2214</v>
      </c>
      <c r="V22" s="2129"/>
      <c r="W22" s="2129">
        <v>15</v>
      </c>
      <c r="X22" s="2129"/>
    </row>
    <row r="23" spans="2:24" ht="18.75" thickBot="1">
      <c r="B23" s="2094"/>
      <c r="C23" s="3679" t="s">
        <v>331</v>
      </c>
      <c r="D23" s="3680"/>
      <c r="E23" s="967">
        <v>4</v>
      </c>
      <c r="F23" s="2126">
        <f>G21</f>
        <v>550</v>
      </c>
      <c r="G23" s="2125" t="s">
        <v>2217</v>
      </c>
      <c r="H23" s="2086"/>
      <c r="I23" s="2079"/>
      <c r="J23" s="2086"/>
      <c r="K23" s="2086"/>
      <c r="T23" s="2129"/>
      <c r="U23" s="2129" t="s">
        <v>2215</v>
      </c>
      <c r="V23" s="2129"/>
      <c r="W23" s="2129">
        <v>25</v>
      </c>
      <c r="X23" s="2129"/>
    </row>
    <row r="24" spans="2:24" ht="16.5" customHeight="1" thickBot="1">
      <c r="B24" s="2094"/>
      <c r="G24" s="2109"/>
      <c r="H24" s="2076"/>
      <c r="I24" s="2110"/>
      <c r="J24" s="2076"/>
      <c r="K24" s="2076"/>
      <c r="L24" s="3681" t="s">
        <v>2209</v>
      </c>
      <c r="M24" s="3681"/>
      <c r="N24" s="3681"/>
      <c r="O24" s="3681"/>
      <c r="P24" s="3681"/>
      <c r="Q24" s="3681"/>
      <c r="R24" s="3681"/>
      <c r="S24" s="3681"/>
      <c r="T24" s="2129"/>
      <c r="U24" s="2129" t="s">
        <v>2453</v>
      </c>
      <c r="V24" s="2129"/>
      <c r="W24" s="2129"/>
      <c r="X24" s="2129"/>
    </row>
    <row r="25" spans="2:24" ht="18.75" thickBot="1">
      <c r="B25" s="2094"/>
      <c r="C25" s="3679" t="s">
        <v>2220</v>
      </c>
      <c r="D25" s="3680"/>
      <c r="E25" s="2080">
        <f>I25*E16</f>
        <v>495</v>
      </c>
      <c r="F25" s="2078" t="s">
        <v>658</v>
      </c>
      <c r="G25" s="2124"/>
      <c r="I25" s="2133" cm="1">
        <f t="array" ref="I25">_xlfn.XLOOKUP(E21,U19:U23,W19:W23,YOK,0)</f>
        <v>15</v>
      </c>
      <c r="J25" s="2077"/>
      <c r="K25" s="2077"/>
      <c r="T25" s="2129"/>
      <c r="U25" s="2129" t="s">
        <v>2452</v>
      </c>
      <c r="V25" s="2129"/>
      <c r="W25" s="2129"/>
      <c r="X25" s="2129"/>
    </row>
    <row r="26" spans="2:24" ht="18.75" thickBot="1">
      <c r="B26" s="2094"/>
      <c r="C26" s="2493"/>
      <c r="D26" s="2493"/>
      <c r="F26" s="2078"/>
      <c r="G26" s="2124"/>
      <c r="I26" s="2133"/>
      <c r="J26" s="2077"/>
      <c r="K26" s="2077"/>
      <c r="T26" s="2129"/>
      <c r="U26" s="2129" t="s">
        <v>2454</v>
      </c>
      <c r="V26" s="2129"/>
      <c r="W26" s="2129"/>
      <c r="X26" s="2129"/>
    </row>
    <row r="27" spans="2:24" ht="18.75" thickBot="1">
      <c r="B27" s="2094"/>
      <c r="C27" s="3679" t="s">
        <v>2451</v>
      </c>
      <c r="D27" s="3680"/>
      <c r="E27" s="327">
        <v>10</v>
      </c>
      <c r="F27" s="2513" t="s">
        <v>2456</v>
      </c>
      <c r="G27" s="2514" t="s">
        <v>2454</v>
      </c>
      <c r="H27" s="2129">
        <f>IF(G27="KUZEY",300,400)</f>
        <v>300</v>
      </c>
      <c r="I27" s="2133">
        <f>E27*H27</f>
        <v>3000</v>
      </c>
      <c r="J27" s="2077"/>
      <c r="K27" s="2077"/>
      <c r="T27" s="2129"/>
      <c r="U27" s="2129" t="s">
        <v>2455</v>
      </c>
      <c r="V27" s="2129"/>
      <c r="W27" s="2129"/>
      <c r="X27" s="2129"/>
    </row>
    <row r="28" spans="2:24" ht="18">
      <c r="B28" s="2094"/>
      <c r="C28" s="2493"/>
      <c r="D28" s="2493"/>
      <c r="E28" s="334">
        <f>I27</f>
        <v>3000</v>
      </c>
      <c r="F28" s="2078" t="s">
        <v>658</v>
      </c>
      <c r="G28" s="2109"/>
      <c r="H28" s="2076"/>
      <c r="I28" s="2515"/>
      <c r="J28" s="2077"/>
      <c r="K28" s="2077"/>
      <c r="T28" s="2492"/>
      <c r="U28" s="2512"/>
      <c r="V28" s="2492"/>
      <c r="W28" s="2492"/>
    </row>
    <row r="29" spans="2:24" ht="11.25" customHeight="1" thickBot="1">
      <c r="B29" s="2094"/>
      <c r="G29" s="2109"/>
      <c r="H29" s="2076"/>
      <c r="I29" s="2110"/>
      <c r="J29" s="2076"/>
      <c r="K29" s="2076"/>
    </row>
    <row r="30" spans="2:24" ht="18.75" thickBot="1">
      <c r="B30" s="2094"/>
      <c r="C30" s="2098" t="s">
        <v>321</v>
      </c>
      <c r="D30" s="2099"/>
      <c r="E30" s="2116">
        <f>(E16*E19*(1+(E17-2.6)*0.05))+(E23*F23)+(E25*3.412)+(E28*3.412)</f>
        <v>30223.329999999998</v>
      </c>
      <c r="F30" s="2100" t="s">
        <v>318</v>
      </c>
      <c r="I30" s="1872"/>
      <c r="L30" s="334"/>
      <c r="M30" s="3438" t="s">
        <v>47</v>
      </c>
      <c r="N30" s="3438"/>
      <c r="O30" s="3438"/>
      <c r="P30" s="3438"/>
    </row>
    <row r="31" spans="2:24" ht="15.75" thickBot="1">
      <c r="B31" s="2094"/>
      <c r="E31" s="2117">
        <f>E30/3412</f>
        <v>8.8579513481828833</v>
      </c>
      <c r="F31" s="2100" t="s">
        <v>77</v>
      </c>
      <c r="I31" s="1872"/>
      <c r="L31" s="3438" t="s">
        <v>17</v>
      </c>
      <c r="M31" s="3438"/>
      <c r="N31" s="3438"/>
      <c r="O31" s="3438"/>
      <c r="P31" s="3438"/>
    </row>
    <row r="32" spans="2:24">
      <c r="B32" s="2101"/>
      <c r="C32" s="2102"/>
      <c r="D32" s="2102"/>
      <c r="E32" s="2102"/>
      <c r="F32" s="2102"/>
      <c r="G32" s="2102"/>
      <c r="H32" s="2102"/>
      <c r="I32" s="2105"/>
      <c r="L32" s="334"/>
      <c r="O32" s="3438">
        <v>2026</v>
      </c>
      <c r="P32" s="3438"/>
    </row>
    <row r="33" spans="4:17">
      <c r="D33" s="3438"/>
      <c r="E33" s="3438"/>
      <c r="F33" s="3438"/>
      <c r="G33" s="3438"/>
      <c r="H33" s="3438"/>
      <c r="I33" s="2075"/>
      <c r="J33" s="2075"/>
      <c r="K33" s="2075"/>
      <c r="M33" s="3438"/>
      <c r="N33" s="3438"/>
      <c r="O33" s="3438"/>
      <c r="P33" s="3438"/>
      <c r="Q33" s="3438"/>
    </row>
    <row r="34" spans="4:17">
      <c r="G34" s="3438"/>
      <c r="H34" s="3438"/>
      <c r="I34" s="2075"/>
      <c r="J34" s="2075"/>
      <c r="K34" s="2075"/>
    </row>
    <row r="36" spans="4:17">
      <c r="E36" s="3438"/>
      <c r="F36" s="3438"/>
      <c r="G36" s="3438"/>
      <c r="H36" s="3438"/>
      <c r="I36" s="2075"/>
      <c r="J36" s="2075"/>
      <c r="K36" s="2075"/>
    </row>
    <row r="37" spans="4:17">
      <c r="D37" s="3438"/>
      <c r="E37" s="3438"/>
      <c r="F37" s="3438"/>
      <c r="G37" s="3438"/>
      <c r="H37" s="3438"/>
      <c r="I37" s="2075"/>
      <c r="J37" s="2075"/>
      <c r="K37" s="2075"/>
    </row>
    <row r="38" spans="4:17">
      <c r="G38" s="3438"/>
      <c r="H38" s="3438"/>
      <c r="I38" s="2075"/>
      <c r="J38" s="2075"/>
      <c r="K38" s="2075"/>
    </row>
  </sheetData>
  <sheetProtection algorithmName="SHA-512" hashValue="1s4ItTorgJiVJTqzw37D4qpAOncjg/UOPrZOyJsqWU/98nQjWqBhcwcmjHYubCloXOp7HANGViSFe56NyyPyXQ==" saltValue="vDezZGS6/6A2glKdW38STQ==" spinCount="100000" sheet="1" selectLockedCells="1"/>
  <dataConsolidate/>
  <mergeCells count="18">
    <mergeCell ref="Y7:AA7"/>
    <mergeCell ref="C16:D16"/>
    <mergeCell ref="L24:S24"/>
    <mergeCell ref="E21:F21"/>
    <mergeCell ref="C23:D23"/>
    <mergeCell ref="G38:H38"/>
    <mergeCell ref="G15:H15"/>
    <mergeCell ref="D33:H33"/>
    <mergeCell ref="M33:Q33"/>
    <mergeCell ref="G34:H34"/>
    <mergeCell ref="E36:H36"/>
    <mergeCell ref="D37:H37"/>
    <mergeCell ref="M30:P30"/>
    <mergeCell ref="L31:P31"/>
    <mergeCell ref="O32:P32"/>
    <mergeCell ref="C17:D17"/>
    <mergeCell ref="C25:D25"/>
    <mergeCell ref="C27:D27"/>
  </mergeCells>
  <phoneticPr fontId="274" type="noConversion"/>
  <dataValidations count="2">
    <dataValidation type="list" allowBlank="1" showInputMessage="1" showErrorMessage="1" sqref="E21:F21" xr:uid="{B6873AF5-8D30-4330-9755-0785565C1402}">
      <formula1>$U$14:$U$18</formula1>
    </dataValidation>
    <dataValidation type="list" allowBlank="1" showInputMessage="1" showErrorMessage="1" sqref="G27" xr:uid="{351E4C6B-9E09-4329-B6AC-35F27E153AA3}">
      <formula1>$U$24:$U$27</formula1>
    </dataValidation>
  </dataValidations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4F82CC-CCB9-470B-90CB-FA30F4414E9D}">
          <x14:formula1>
            <xm:f>'Soğutma Katsayısı'!$B$3:$B$82</xm:f>
          </x14:formula1>
          <xm:sqref>G16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B2:V32"/>
  <sheetViews>
    <sheetView showGridLines="0" zoomScale="98" zoomScaleNormal="98" workbookViewId="0">
      <selection activeCell="D7" sqref="D7"/>
    </sheetView>
  </sheetViews>
  <sheetFormatPr defaultColWidth="9.140625" defaultRowHeight="15"/>
  <cols>
    <col min="1" max="2" width="9.140625" style="273"/>
    <col min="3" max="3" width="11.42578125" style="273" customWidth="1"/>
    <col min="4" max="5" width="9.140625" style="273"/>
    <col min="6" max="6" width="18.85546875" style="273" customWidth="1"/>
    <col min="7" max="7" width="4.28515625" style="273" customWidth="1"/>
    <col min="8" max="8" width="4.140625" style="281" customWidth="1"/>
    <col min="9" max="16384" width="9.140625" style="273"/>
  </cols>
  <sheetData>
    <row r="2" spans="2:22" ht="37.5">
      <c r="B2" s="1821" t="s">
        <v>1960</v>
      </c>
    </row>
    <row r="4" spans="2:22" ht="18.75">
      <c r="B4" s="1699" t="s">
        <v>1914</v>
      </c>
    </row>
    <row r="5" spans="2:22" ht="17.25" thickBot="1">
      <c r="B5" s="276"/>
    </row>
    <row r="6" spans="2:22" ht="18.75" thickBot="1">
      <c r="B6" s="279" t="s">
        <v>320</v>
      </c>
      <c r="D6" s="290">
        <v>30</v>
      </c>
      <c r="E6" s="274" t="s">
        <v>317</v>
      </c>
      <c r="I6" s="579" t="s">
        <v>358</v>
      </c>
    </row>
    <row r="7" spans="2:22" ht="15.75" thickBot="1">
      <c r="I7" s="579" t="s">
        <v>385</v>
      </c>
      <c r="K7" s="273" t="s">
        <v>787</v>
      </c>
    </row>
    <row r="8" spans="2:22" ht="18.75" thickBot="1">
      <c r="B8" s="280" t="s">
        <v>321</v>
      </c>
      <c r="C8" s="278"/>
      <c r="D8" s="938">
        <f>(D6/2.2)*1000</f>
        <v>13636.363636363634</v>
      </c>
      <c r="E8" s="277" t="s">
        <v>318</v>
      </c>
      <c r="I8" s="580">
        <v>40</v>
      </c>
      <c r="J8" s="273" t="s">
        <v>781</v>
      </c>
      <c r="K8" s="580">
        <v>150</v>
      </c>
      <c r="L8" s="273" t="s">
        <v>658</v>
      </c>
      <c r="M8" s="578">
        <f>I8*K8</f>
        <v>6000</v>
      </c>
      <c r="N8" s="273" t="s">
        <v>658</v>
      </c>
      <c r="O8" s="578">
        <f>M8/1000</f>
        <v>6</v>
      </c>
      <c r="P8" s="273" t="s">
        <v>77</v>
      </c>
      <c r="Q8" s="578">
        <f>M8*3.412</f>
        <v>20472</v>
      </c>
      <c r="R8" s="273" t="s">
        <v>318</v>
      </c>
    </row>
    <row r="9" spans="2:22" ht="15.75" thickBot="1">
      <c r="D9" s="939">
        <f>D8/3412</f>
        <v>3.9965895768943827</v>
      </c>
      <c r="E9" s="277" t="s">
        <v>77</v>
      </c>
    </row>
    <row r="10" spans="2:22" ht="15.75" thickBot="1">
      <c r="L10" s="878"/>
      <c r="M10" s="879"/>
      <c r="N10" s="879"/>
      <c r="O10" s="879"/>
      <c r="P10" s="879"/>
      <c r="Q10" s="879"/>
      <c r="R10" s="880"/>
    </row>
    <row r="11" spans="2:22" ht="19.5" thickBot="1">
      <c r="B11" s="1699" t="s">
        <v>1915</v>
      </c>
      <c r="L11" s="881"/>
      <c r="O11" s="580">
        <v>1</v>
      </c>
      <c r="P11" s="273" t="s">
        <v>77</v>
      </c>
      <c r="Q11" s="578">
        <f>O11*3412</f>
        <v>3412</v>
      </c>
      <c r="R11" s="882" t="s">
        <v>318</v>
      </c>
    </row>
    <row r="12" spans="2:22" ht="17.25" thickBot="1">
      <c r="B12" s="276"/>
      <c r="H12" s="273"/>
      <c r="L12" s="881"/>
      <c r="R12" s="882"/>
    </row>
    <row r="13" spans="2:22" ht="18.75" thickBot="1">
      <c r="B13" s="279" t="s">
        <v>320</v>
      </c>
      <c r="D13" s="290">
        <v>25.7</v>
      </c>
      <c r="E13" s="274" t="s">
        <v>317</v>
      </c>
      <c r="F13" s="283" t="s">
        <v>330</v>
      </c>
      <c r="G13" s="282"/>
      <c r="H13" s="273"/>
      <c r="J13" s="275"/>
      <c r="L13" s="3685" t="s">
        <v>905</v>
      </c>
      <c r="M13" s="3686"/>
      <c r="N13" s="3687"/>
      <c r="O13" s="580">
        <v>150</v>
      </c>
      <c r="P13" s="273" t="s">
        <v>658</v>
      </c>
      <c r="Q13" s="578">
        <f>O13*3.412</f>
        <v>511.8</v>
      </c>
      <c r="R13" s="886" t="s">
        <v>318</v>
      </c>
      <c r="T13" s="889" t="s">
        <v>907</v>
      </c>
      <c r="U13" s="888"/>
      <c r="V13" s="888"/>
    </row>
    <row r="14" spans="2:22" ht="15.75" thickBot="1">
      <c r="F14" s="284" t="s">
        <v>328</v>
      </c>
      <c r="G14" s="285">
        <v>385</v>
      </c>
      <c r="H14" s="273"/>
      <c r="J14" s="275"/>
      <c r="L14" s="881"/>
      <c r="M14" s="275"/>
      <c r="R14" s="882"/>
    </row>
    <row r="15" spans="2:22" ht="15.75" thickBot="1">
      <c r="F15" s="286" t="s">
        <v>329</v>
      </c>
      <c r="G15" s="287">
        <v>445</v>
      </c>
      <c r="H15" s="273"/>
      <c r="L15" s="881"/>
      <c r="M15" s="275"/>
      <c r="O15" s="580">
        <v>600</v>
      </c>
      <c r="P15" s="273" t="s">
        <v>318</v>
      </c>
      <c r="Q15" s="578">
        <f>O15/3412</f>
        <v>0.17584994138335286</v>
      </c>
      <c r="R15" s="882" t="s">
        <v>77</v>
      </c>
    </row>
    <row r="16" spans="2:22" ht="18.75" thickBot="1">
      <c r="B16" s="279" t="s">
        <v>327</v>
      </c>
      <c r="D16" s="290">
        <v>462</v>
      </c>
      <c r="F16" s="286" t="s">
        <v>322</v>
      </c>
      <c r="G16" s="287">
        <v>308</v>
      </c>
      <c r="L16" s="881"/>
      <c r="R16" s="882"/>
    </row>
    <row r="17" spans="2:18" ht="15.75" thickBot="1">
      <c r="F17" s="286" t="s">
        <v>323</v>
      </c>
      <c r="G17" s="287">
        <v>423</v>
      </c>
      <c r="L17" s="881"/>
      <c r="O17" s="580">
        <v>51180</v>
      </c>
      <c r="P17" s="273" t="s">
        <v>318</v>
      </c>
      <c r="Q17" s="578">
        <f>O17/3.412</f>
        <v>15000</v>
      </c>
      <c r="R17" s="882" t="s">
        <v>658</v>
      </c>
    </row>
    <row r="18" spans="2:18" ht="18.75" thickBot="1">
      <c r="B18" s="279" t="s">
        <v>331</v>
      </c>
      <c r="D18" s="290">
        <v>0</v>
      </c>
      <c r="F18" s="286" t="s">
        <v>324</v>
      </c>
      <c r="G18" s="287">
        <v>462</v>
      </c>
      <c r="L18" s="883"/>
      <c r="M18" s="884"/>
      <c r="N18" s="884"/>
      <c r="O18" s="884"/>
      <c r="P18" s="884"/>
      <c r="Q18" s="884"/>
      <c r="R18" s="885"/>
    </row>
    <row r="19" spans="2:18">
      <c r="B19" s="887" t="s">
        <v>906</v>
      </c>
      <c r="F19" s="286" t="s">
        <v>325</v>
      </c>
      <c r="G19" s="287">
        <v>346</v>
      </c>
    </row>
    <row r="20" spans="2:18" ht="18">
      <c r="B20" s="279"/>
      <c r="F20" s="288" t="s">
        <v>326</v>
      </c>
      <c r="G20" s="289">
        <v>385</v>
      </c>
    </row>
    <row r="21" spans="2:18" ht="15.75" thickBot="1">
      <c r="F21" s="282"/>
      <c r="G21" s="281"/>
    </row>
    <row r="22" spans="2:18" ht="18.75" thickBot="1">
      <c r="B22" s="279" t="s">
        <v>332</v>
      </c>
      <c r="F22" s="291">
        <v>0</v>
      </c>
      <c r="G22" s="274" t="s">
        <v>160</v>
      </c>
    </row>
    <row r="23" spans="2:18" ht="15.75" thickBot="1">
      <c r="F23" s="282"/>
      <c r="G23" s="281"/>
    </row>
    <row r="24" spans="2:18" ht="18.75" thickBot="1">
      <c r="B24" s="280" t="s">
        <v>321</v>
      </c>
      <c r="C24" s="278"/>
      <c r="D24" s="938">
        <f>(D13*D16)+(D18*600)+(F22*3.412)</f>
        <v>11873.4</v>
      </c>
      <c r="E24" s="277" t="s">
        <v>318</v>
      </c>
    </row>
    <row r="25" spans="2:18" ht="15.75" thickBot="1">
      <c r="D25" s="939">
        <f>D24/3412</f>
        <v>3.47989449003517</v>
      </c>
      <c r="E25" s="277" t="s">
        <v>77</v>
      </c>
    </row>
    <row r="27" spans="2:18">
      <c r="C27" s="3684"/>
      <c r="D27" s="3684"/>
      <c r="E27" s="3684"/>
      <c r="F27" s="3684"/>
      <c r="G27" s="3684"/>
      <c r="I27" s="3684"/>
      <c r="J27" s="3684"/>
      <c r="K27" s="3684"/>
      <c r="L27" s="3684"/>
      <c r="M27" s="3684"/>
    </row>
    <row r="28" spans="2:18">
      <c r="F28" s="3684"/>
      <c r="G28" s="3684"/>
    </row>
    <row r="30" spans="2:18">
      <c r="D30" s="3684" t="s">
        <v>47</v>
      </c>
      <c r="E30" s="3684"/>
      <c r="F30" s="3684"/>
      <c r="G30" s="3684"/>
    </row>
    <row r="31" spans="2:18">
      <c r="C31" s="3684" t="s">
        <v>17</v>
      </c>
      <c r="D31" s="3684"/>
      <c r="E31" s="3684"/>
      <c r="F31" s="3684"/>
      <c r="G31" s="3684"/>
    </row>
    <row r="32" spans="2:18">
      <c r="F32" s="3684">
        <v>2025</v>
      </c>
      <c r="G32" s="3684"/>
    </row>
  </sheetData>
  <sheetProtection selectLockedCells="1"/>
  <dataConsolidate/>
  <mergeCells count="7">
    <mergeCell ref="F32:G32"/>
    <mergeCell ref="I27:M27"/>
    <mergeCell ref="C27:G27"/>
    <mergeCell ref="F28:G28"/>
    <mergeCell ref="L13:N13"/>
    <mergeCell ref="C31:G31"/>
    <mergeCell ref="D30:G30"/>
  </mergeCells>
  <dataValidations disablePrompts="1" count="1">
    <dataValidation type="list" allowBlank="1" showInputMessage="1" showErrorMessage="1" sqref="I15" xr:uid="{00000000-0002-0000-2800-000000000000}">
      <formula1>$M$13:$M$19</formula1>
    </dataValidation>
  </dataValidations>
  <pageMargins left="0.7" right="0.7" top="0.75" bottom="0.75" header="0.3" footer="0.3"/>
  <pageSetup paperSize="9" orientation="portrait" verticalDpi="30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B1:V72"/>
  <sheetViews>
    <sheetView showGridLines="0" showRowColHeaders="0" zoomScale="81" zoomScaleNormal="81" workbookViewId="0">
      <selection activeCell="F5" sqref="F5"/>
    </sheetView>
  </sheetViews>
  <sheetFormatPr defaultRowHeight="15"/>
  <cols>
    <col min="5" max="5" width="15.28515625" customWidth="1"/>
    <col min="7" max="7" width="7" customWidth="1"/>
    <col min="8" max="8" width="11.28515625" customWidth="1"/>
    <col min="9" max="9" width="9.42578125" customWidth="1"/>
    <col min="10" max="10" width="6.85546875" customWidth="1"/>
    <col min="11" max="11" width="9.5703125" customWidth="1"/>
    <col min="12" max="12" width="6.140625" customWidth="1"/>
    <col min="13" max="13" width="12" bestFit="1" customWidth="1"/>
    <col min="17" max="17" width="3.85546875" customWidth="1"/>
    <col min="18" max="18" width="8.140625" customWidth="1"/>
    <col min="19" max="19" width="10.85546875" bestFit="1" customWidth="1"/>
  </cols>
  <sheetData>
    <row r="1" spans="3:20" s="292" customFormat="1" ht="7.15" customHeight="1"/>
    <row r="2" spans="3:20" s="292" customFormat="1" ht="35.25">
      <c r="C2" s="1844" t="s">
        <v>359</v>
      </c>
    </row>
    <row r="3" spans="3:20" s="292" customFormat="1">
      <c r="C3" s="293"/>
    </row>
    <row r="4" spans="3:20" s="292" customFormat="1" ht="16.5" thickBot="1">
      <c r="I4" s="3688" t="s">
        <v>358</v>
      </c>
      <c r="J4" s="3688"/>
      <c r="N4" s="293"/>
      <c r="Q4" s="299"/>
      <c r="R4" s="300"/>
      <c r="S4" s="293"/>
    </row>
    <row r="5" spans="3:20" s="292" customFormat="1" ht="19.5" thickBot="1">
      <c r="C5" s="3688" t="s">
        <v>333</v>
      </c>
      <c r="D5" s="3688"/>
      <c r="E5" s="3689"/>
      <c r="F5" s="327">
        <v>500</v>
      </c>
      <c r="G5" s="295" t="s">
        <v>334</v>
      </c>
      <c r="I5" s="3701" t="s">
        <v>336</v>
      </c>
      <c r="J5" s="3702"/>
      <c r="K5" s="914" t="s">
        <v>337</v>
      </c>
      <c r="L5" s="899">
        <v>300</v>
      </c>
      <c r="N5" s="294" t="s">
        <v>335</v>
      </c>
      <c r="Q5" s="306" t="s">
        <v>337</v>
      </c>
      <c r="R5" s="307">
        <f>L5</f>
        <v>300</v>
      </c>
      <c r="S5" s="308" t="s">
        <v>350</v>
      </c>
      <c r="T5" s="309" t="s">
        <v>349</v>
      </c>
    </row>
    <row r="6" spans="3:20" s="292" customFormat="1" ht="15.75" thickBot="1">
      <c r="C6" s="3690" t="s">
        <v>341</v>
      </c>
      <c r="D6" s="3690"/>
      <c r="E6" s="3690"/>
      <c r="F6" s="3690"/>
      <c r="G6" s="3690"/>
      <c r="N6" s="293" t="s">
        <v>338</v>
      </c>
      <c r="Q6" s="310" t="s">
        <v>348</v>
      </c>
      <c r="R6" s="311">
        <f>(((L5/1000)/2)^2)*3.14</f>
        <v>7.0650000000000004E-2</v>
      </c>
      <c r="S6" s="312" t="s">
        <v>3</v>
      </c>
      <c r="T6" s="313"/>
    </row>
    <row r="7" spans="3:20" s="292" customFormat="1" ht="15.75" thickBot="1">
      <c r="C7" s="293"/>
      <c r="I7" s="3701" t="s">
        <v>342</v>
      </c>
      <c r="J7" s="3702"/>
      <c r="K7" s="3699">
        <v>0.7</v>
      </c>
      <c r="L7" s="3700"/>
      <c r="N7" s="293" t="s">
        <v>339</v>
      </c>
    </row>
    <row r="8" spans="3:20" s="292" customFormat="1" ht="15.75" thickBot="1">
      <c r="I8" s="293"/>
      <c r="J8" s="293"/>
      <c r="K8" s="293" t="s">
        <v>343</v>
      </c>
      <c r="N8" s="293" t="s">
        <v>340</v>
      </c>
    </row>
    <row r="9" spans="3:20" s="292" customFormat="1" ht="16.5" thickBot="1">
      <c r="C9" s="297" t="s">
        <v>347</v>
      </c>
      <c r="D9" s="297"/>
      <c r="E9" s="298"/>
      <c r="F9" s="327">
        <v>3000</v>
      </c>
      <c r="G9" s="295" t="s">
        <v>3</v>
      </c>
      <c r="I9" s="293"/>
      <c r="J9" s="293"/>
      <c r="K9" s="293" t="s">
        <v>344</v>
      </c>
    </row>
    <row r="10" spans="3:20" s="292" customFormat="1" ht="16.5" thickBot="1">
      <c r="C10" s="293" t="s">
        <v>346</v>
      </c>
      <c r="I10" s="295" t="s">
        <v>345</v>
      </c>
      <c r="J10" s="293"/>
      <c r="K10" s="915" t="s">
        <v>21</v>
      </c>
      <c r="L10" s="916">
        <v>33</v>
      </c>
      <c r="M10" s="301" t="s">
        <v>354</v>
      </c>
      <c r="N10" s="293">
        <f>R6*K7</f>
        <v>4.9454999999999999E-2</v>
      </c>
      <c r="O10" s="293" t="s">
        <v>351</v>
      </c>
    </row>
    <row r="11" spans="3:20" s="292" customFormat="1" ht="15.75" thickBot="1">
      <c r="M11" s="301" t="s">
        <v>354</v>
      </c>
      <c r="N11" s="293">
        <f>N10*1000</f>
        <v>49.454999999999998</v>
      </c>
      <c r="O11" s="293" t="s">
        <v>352</v>
      </c>
    </row>
    <row r="12" spans="3:20" s="292" customFormat="1" ht="15.75" thickBot="1">
      <c r="C12" s="295" t="s">
        <v>356</v>
      </c>
      <c r="I12" s="3701" t="s">
        <v>353</v>
      </c>
      <c r="J12" s="3701"/>
      <c r="K12" s="3701"/>
      <c r="L12" s="3701"/>
      <c r="M12" s="3701"/>
      <c r="N12" s="302">
        <f>(N11*L10)/100</f>
        <v>16.320149999999998</v>
      </c>
      <c r="O12" s="293" t="s">
        <v>352</v>
      </c>
    </row>
    <row r="13" spans="3:20" s="292" customFormat="1" ht="15.75" thickBot="1">
      <c r="E13" s="315">
        <f>F9*F5</f>
        <v>1500000</v>
      </c>
      <c r="F13" s="314" t="s">
        <v>357</v>
      </c>
      <c r="I13" s="301"/>
      <c r="J13" s="301"/>
      <c r="K13" s="301"/>
      <c r="L13" s="301"/>
      <c r="M13" s="301"/>
      <c r="N13" s="303"/>
      <c r="O13" s="293"/>
    </row>
    <row r="14" spans="3:20" s="292" customFormat="1" ht="15.75" thickBot="1">
      <c r="H14" s="316" t="s">
        <v>360</v>
      </c>
      <c r="I14" s="3701" t="s">
        <v>355</v>
      </c>
      <c r="J14" s="3701"/>
      <c r="K14" s="3701"/>
      <c r="L14" s="3701"/>
      <c r="M14" s="3701"/>
      <c r="N14" s="296">
        <f>N12*3600</f>
        <v>58752.539999999994</v>
      </c>
      <c r="O14" s="293" t="s">
        <v>352</v>
      </c>
      <c r="Q14" s="293"/>
    </row>
    <row r="15" spans="3:20" s="292" customFormat="1" ht="15.75" thickBot="1"/>
    <row r="16" spans="3:20" s="292" customFormat="1" ht="15.75" thickBot="1">
      <c r="H16" s="292" t="s">
        <v>361</v>
      </c>
      <c r="I16" s="3701" t="s">
        <v>355</v>
      </c>
      <c r="J16" s="3701"/>
      <c r="K16" s="3701"/>
      <c r="L16" s="3701"/>
      <c r="M16" s="3701"/>
      <c r="N16" s="296">
        <f>N14*0.66</f>
        <v>38776.676399999997</v>
      </c>
      <c r="O16" s="293" t="s">
        <v>352</v>
      </c>
    </row>
    <row r="17" spans="2:22" s="292" customFormat="1" ht="15.75" thickBot="1">
      <c r="I17" s="893"/>
      <c r="J17" s="893"/>
      <c r="K17" s="893"/>
      <c r="L17" s="893"/>
      <c r="M17" s="893"/>
      <c r="O17" s="293"/>
    </row>
    <row r="18" spans="2:22" s="292" customFormat="1" ht="15.75" thickBot="1">
      <c r="B18" s="897"/>
      <c r="C18" s="318"/>
      <c r="D18" s="318"/>
      <c r="E18" s="318"/>
      <c r="F18" s="318"/>
      <c r="G18" s="318"/>
      <c r="H18" s="318"/>
      <c r="I18" s="910"/>
      <c r="J18" s="910"/>
      <c r="K18" s="910"/>
      <c r="L18" s="910"/>
      <c r="M18" s="910"/>
      <c r="N18" s="319"/>
      <c r="O18" s="293"/>
    </row>
    <row r="19" spans="2:22" s="292" customFormat="1" ht="19.5" thickBot="1">
      <c r="B19" s="894"/>
      <c r="C19" s="304"/>
      <c r="D19" s="3694" t="s">
        <v>910</v>
      </c>
      <c r="E19" s="3694"/>
      <c r="F19" s="305" t="s">
        <v>337</v>
      </c>
      <c r="G19" s="913">
        <f>L5</f>
        <v>300</v>
      </c>
      <c r="H19" s="304" t="s">
        <v>911</v>
      </c>
      <c r="N19" s="895"/>
    </row>
    <row r="20" spans="2:22" s="292" customFormat="1" ht="19.5" thickBot="1">
      <c r="B20" s="894"/>
      <c r="C20" s="304"/>
      <c r="D20" s="911"/>
      <c r="E20" s="911"/>
      <c r="H20" s="304"/>
      <c r="N20" s="895"/>
    </row>
    <row r="21" spans="2:22" s="292" customFormat="1" ht="15.75" thickBot="1">
      <c r="B21" s="897"/>
      <c r="C21" s="912"/>
      <c r="D21" s="318"/>
      <c r="E21" s="318"/>
      <c r="F21" s="318"/>
      <c r="G21" s="319"/>
      <c r="H21" s="897"/>
      <c r="I21" s="318"/>
      <c r="J21" s="318"/>
      <c r="K21" s="318"/>
      <c r="L21" s="318"/>
      <c r="M21" s="318"/>
      <c r="N21" s="319"/>
    </row>
    <row r="22" spans="2:22" s="292" customFormat="1" ht="19.5" thickBot="1">
      <c r="B22" s="3695" t="s">
        <v>913</v>
      </c>
      <c r="C22" s="3696"/>
      <c r="D22" s="3696"/>
      <c r="E22" s="3696"/>
      <c r="F22" s="317">
        <f>E13/N14</f>
        <v>25.530811093443791</v>
      </c>
      <c r="G22" s="895"/>
      <c r="H22" s="903" t="s">
        <v>912</v>
      </c>
      <c r="I22" s="900"/>
      <c r="J22" s="900"/>
      <c r="L22" s="901">
        <f>E13/N16</f>
        <v>38.683047111278469</v>
      </c>
      <c r="N22" s="895"/>
    </row>
    <row r="23" spans="2:22" s="292" customFormat="1" ht="7.15" customHeight="1">
      <c r="B23" s="894"/>
      <c r="C23" s="907"/>
      <c r="D23" s="907"/>
      <c r="E23" s="907"/>
      <c r="F23" s="325"/>
      <c r="G23" s="895"/>
      <c r="H23" s="903"/>
      <c r="I23" s="900"/>
      <c r="J23" s="900"/>
      <c r="L23" s="325"/>
      <c r="N23" s="895"/>
    </row>
    <row r="24" spans="2:22" s="292" customFormat="1">
      <c r="B24" s="894"/>
      <c r="C24" s="3692" t="s">
        <v>360</v>
      </c>
      <c r="D24" s="3692"/>
      <c r="G24" s="895"/>
      <c r="H24" s="3693" t="s">
        <v>361</v>
      </c>
      <c r="I24" s="3692"/>
      <c r="N24" s="895"/>
    </row>
    <row r="25" spans="2:22" s="292" customFormat="1">
      <c r="B25" s="894"/>
      <c r="C25" s="3691" t="s">
        <v>362</v>
      </c>
      <c r="D25" s="3691"/>
      <c r="E25" s="3691"/>
      <c r="F25" s="320">
        <f>F22*R6</f>
        <v>1.8037518037518039</v>
      </c>
      <c r="G25" s="321" t="s">
        <v>3</v>
      </c>
      <c r="H25" s="326" t="s">
        <v>362</v>
      </c>
      <c r="M25" s="292">
        <f>L22*R6</f>
        <v>2.7329572784118241</v>
      </c>
      <c r="N25" s="321" t="s">
        <v>3</v>
      </c>
    </row>
    <row r="26" spans="2:22" s="292" customFormat="1">
      <c r="B26" s="894"/>
      <c r="F26" s="292">
        <f>ROUND(F25*10000,0)</f>
        <v>18038</v>
      </c>
      <c r="G26" s="321" t="s">
        <v>806</v>
      </c>
      <c r="H26" s="894"/>
      <c r="M26" s="292">
        <f>ROUND(M25*10000,0)</f>
        <v>27330</v>
      </c>
      <c r="N26" s="321" t="s">
        <v>806</v>
      </c>
    </row>
    <row r="27" spans="2:22" s="292" customFormat="1">
      <c r="B27" s="894"/>
      <c r="G27" s="895"/>
      <c r="H27" s="904"/>
      <c r="I27" s="898" t="s">
        <v>909</v>
      </c>
      <c r="N27" s="895"/>
      <c r="R27" s="3698" t="s">
        <v>1920</v>
      </c>
      <c r="S27" s="3698"/>
      <c r="T27" s="3698"/>
      <c r="U27" s="3698"/>
      <c r="V27" s="3698"/>
    </row>
    <row r="28" spans="2:22" s="292" customFormat="1">
      <c r="B28" s="909" t="s">
        <v>811</v>
      </c>
      <c r="C28" s="333">
        <f>ROUNDUP(C29*100,0)</f>
        <v>135</v>
      </c>
      <c r="D28" s="333" t="s">
        <v>255</v>
      </c>
      <c r="E28" s="908" t="s">
        <v>817</v>
      </c>
      <c r="F28" s="333">
        <f>ROUNDUP(C29*100,0)</f>
        <v>135</v>
      </c>
      <c r="G28" s="906" t="s">
        <v>255</v>
      </c>
      <c r="H28" s="905"/>
      <c r="I28" s="902" t="s">
        <v>908</v>
      </c>
      <c r="J28" s="333">
        <f>ROUNDUP(I29*100,0)</f>
        <v>166</v>
      </c>
      <c r="K28" s="333" t="s">
        <v>255</v>
      </c>
      <c r="L28" s="333" t="s">
        <v>817</v>
      </c>
      <c r="M28" s="333">
        <f>ROUNDUP(I29*100,0)</f>
        <v>166</v>
      </c>
      <c r="N28" s="906" t="s">
        <v>255</v>
      </c>
      <c r="Q28" s="3697" t="s">
        <v>17</v>
      </c>
      <c r="R28" s="3697"/>
      <c r="S28" s="3697"/>
      <c r="T28" s="3697"/>
      <c r="U28" s="3697"/>
      <c r="V28" s="3697"/>
    </row>
    <row r="29" spans="2:22" s="292" customFormat="1" ht="15.75" thickBot="1">
      <c r="B29" s="322"/>
      <c r="C29" s="896">
        <f>(F25)^(1/2)</f>
        <v>1.3430382733756339</v>
      </c>
      <c r="D29" s="323"/>
      <c r="E29" s="323"/>
      <c r="F29" s="323"/>
      <c r="G29" s="324"/>
      <c r="H29" s="322"/>
      <c r="I29" s="896">
        <f>(M25)^(1/2)</f>
        <v>1.6531658351211544</v>
      </c>
      <c r="J29" s="323"/>
      <c r="K29" s="323"/>
      <c r="L29" s="323"/>
      <c r="M29" s="323"/>
      <c r="N29" s="324"/>
      <c r="R29" s="3697">
        <v>2025</v>
      </c>
      <c r="S29" s="3697"/>
      <c r="T29" s="3697"/>
      <c r="U29" s="3697"/>
      <c r="V29" s="3697"/>
    </row>
    <row r="30" spans="2:22" s="292" customFormat="1"/>
    <row r="31" spans="2:22" s="292" customFormat="1"/>
    <row r="32" spans="2:22" s="292" customFormat="1"/>
    <row r="33" s="292" customFormat="1"/>
    <row r="34" s="292" customFormat="1"/>
    <row r="35" s="292" customFormat="1"/>
    <row r="36" s="292" customFormat="1"/>
    <row r="37" s="292" customFormat="1"/>
    <row r="38" s="292" customFormat="1"/>
    <row r="39" s="292" customFormat="1"/>
    <row r="40" s="292" customFormat="1"/>
    <row r="41" s="292" customFormat="1"/>
    <row r="42" s="292" customFormat="1"/>
    <row r="43" s="292" customFormat="1"/>
    <row r="44" s="292" customFormat="1"/>
    <row r="45" s="292" customFormat="1"/>
    <row r="46" s="292" customFormat="1"/>
    <row r="47" s="292" customFormat="1"/>
    <row r="48" s="292" customFormat="1"/>
    <row r="49" s="292" customFormat="1"/>
    <row r="50" s="292" customFormat="1"/>
    <row r="51" s="292" customFormat="1"/>
    <row r="52" s="292" customFormat="1"/>
    <row r="53" s="292" customFormat="1"/>
    <row r="54" s="292" customFormat="1"/>
    <row r="55" s="292" customFormat="1"/>
    <row r="56" s="292" customFormat="1"/>
    <row r="57" s="292" customFormat="1"/>
    <row r="58" s="292" customFormat="1"/>
    <row r="59" s="292" customFormat="1"/>
    <row r="60" s="292" customFormat="1"/>
    <row r="61" s="292" customFormat="1"/>
    <row r="62" s="292" customFormat="1"/>
    <row r="63" s="292" customFormat="1"/>
    <row r="64" s="292" customFormat="1"/>
    <row r="65" s="292" customFormat="1"/>
    <row r="66" s="292" customFormat="1"/>
    <row r="67" s="292" customFormat="1"/>
    <row r="68" s="292" customFormat="1"/>
    <row r="69" s="292" customFormat="1"/>
    <row r="70" s="292" customFormat="1"/>
    <row r="71" s="292" customFormat="1"/>
    <row r="72" s="292" customFormat="1"/>
  </sheetData>
  <sheetProtection algorithmName="SHA-512" hashValue="SIlc95ylpqddaG6Fo8D/MPTPragAd24UV/1He0ixpvBLxP88pPPOtDfl7CCT0s8sVffnO3iPODD6+lYPs6/qpA==" saltValue="almHDhja/x46gZescJvfxw==" spinCount="100000" sheet="1" objects="1" selectLockedCells="1"/>
  <mergeCells count="17">
    <mergeCell ref="Q28:V28"/>
    <mergeCell ref="R27:V27"/>
    <mergeCell ref="R29:V29"/>
    <mergeCell ref="K7:L7"/>
    <mergeCell ref="I5:J5"/>
    <mergeCell ref="I7:J7"/>
    <mergeCell ref="I16:M16"/>
    <mergeCell ref="I12:M12"/>
    <mergeCell ref="I14:M14"/>
    <mergeCell ref="I4:J4"/>
    <mergeCell ref="C5:E5"/>
    <mergeCell ref="C6:G6"/>
    <mergeCell ref="C25:E25"/>
    <mergeCell ref="C24:D24"/>
    <mergeCell ref="H24:I24"/>
    <mergeCell ref="D19:E19"/>
    <mergeCell ref="B22:E22"/>
  </mergeCells>
  <pageMargins left="0.7" right="0.7" top="0.75" bottom="0.75" header="0.3" footer="0.3"/>
  <pageSetup paperSize="9" orientation="portrait" verticalDpi="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B3:AY45"/>
  <sheetViews>
    <sheetView showGridLines="0" showRowColHeaders="0" zoomScale="82" zoomScaleNormal="82" workbookViewId="0">
      <selection activeCell="E6" sqref="E6"/>
    </sheetView>
  </sheetViews>
  <sheetFormatPr defaultColWidth="9.140625" defaultRowHeight="15"/>
  <cols>
    <col min="1" max="1" width="9.140625" style="365"/>
    <col min="2" max="2" width="12.5703125" style="365" customWidth="1"/>
    <col min="3" max="3" width="9.140625" style="365"/>
    <col min="4" max="4" width="15.42578125" style="365" customWidth="1"/>
    <col min="5" max="5" width="8.7109375" style="365" customWidth="1"/>
    <col min="6" max="6" width="9.140625" style="365"/>
    <col min="7" max="7" width="7.5703125" style="365" customWidth="1"/>
    <col min="8" max="8" width="9.140625" style="365"/>
    <col min="9" max="9" width="12" style="365" bestFit="1" customWidth="1"/>
    <col min="10" max="16384" width="9.140625" style="365"/>
  </cols>
  <sheetData>
    <row r="3" spans="2:10" ht="29.25">
      <c r="B3" s="1843" t="s">
        <v>359</v>
      </c>
    </row>
    <row r="6" spans="2:10">
      <c r="C6" s="3709" t="s">
        <v>410</v>
      </c>
      <c r="D6" s="3709"/>
      <c r="E6" s="376">
        <v>100</v>
      </c>
      <c r="F6" s="363" t="s">
        <v>407</v>
      </c>
      <c r="G6" s="3703" t="s">
        <v>1932</v>
      </c>
      <c r="H6" s="3704"/>
      <c r="I6" s="3704"/>
      <c r="J6" s="469">
        <v>1</v>
      </c>
    </row>
    <row r="7" spans="2:10">
      <c r="B7" s="3709" t="s">
        <v>411</v>
      </c>
      <c r="C7" s="3709"/>
      <c r="D7" s="3709"/>
      <c r="E7" s="376">
        <v>534</v>
      </c>
      <c r="F7" s="363" t="s">
        <v>408</v>
      </c>
    </row>
    <row r="8" spans="2:10">
      <c r="B8" s="366"/>
      <c r="C8" s="3705" t="s">
        <v>412</v>
      </c>
      <c r="D8" s="3705"/>
      <c r="E8" s="347">
        <f>(E6/10000)*E7*J6</f>
        <v>5.34</v>
      </c>
      <c r="F8" s="348" t="s">
        <v>409</v>
      </c>
    </row>
    <row r="9" spans="2:10">
      <c r="B9" s="3709" t="s">
        <v>413</v>
      </c>
      <c r="C9" s="3709"/>
      <c r="D9" s="3709"/>
      <c r="E9" s="376">
        <v>1</v>
      </c>
      <c r="F9" s="363" t="s">
        <v>88</v>
      </c>
    </row>
    <row r="10" spans="2:10" ht="15.75" thickBot="1">
      <c r="B10" s="3705" t="s">
        <v>414</v>
      </c>
      <c r="C10" s="3705"/>
      <c r="D10" s="3705"/>
      <c r="E10" s="1332">
        <f>E8/E9</f>
        <v>5.34</v>
      </c>
      <c r="F10" s="928" t="s">
        <v>409</v>
      </c>
    </row>
    <row r="11" spans="2:10" ht="15.75" thickBot="1">
      <c r="B11" s="3709" t="s">
        <v>415</v>
      </c>
      <c r="C11" s="3709"/>
      <c r="D11" s="3709"/>
      <c r="E11" s="1331">
        <f>((E10*D36)/(D30*D34))^(3/8)</f>
        <v>105.39693253540588</v>
      </c>
      <c r="F11" s="361" t="s">
        <v>5</v>
      </c>
    </row>
    <row r="13" spans="2:10">
      <c r="B13" s="3709" t="s">
        <v>923</v>
      </c>
      <c r="C13" s="3709"/>
      <c r="D13" s="3709"/>
      <c r="E13" s="365">
        <f>3.14*(((E11/10)/2)^2)</f>
        <v>87.201830094802247</v>
      </c>
      <c r="F13" s="365" t="s">
        <v>806</v>
      </c>
    </row>
    <row r="17" spans="2:10">
      <c r="B17" s="926"/>
      <c r="C17" s="927"/>
      <c r="D17" s="927"/>
      <c r="E17" s="927"/>
      <c r="F17" s="927"/>
      <c r="G17" s="927"/>
      <c r="H17" s="928"/>
    </row>
    <row r="18" spans="2:10">
      <c r="B18" s="3710" t="s">
        <v>924</v>
      </c>
      <c r="C18" s="3711"/>
      <c r="D18" s="3711"/>
      <c r="E18" s="934">
        <v>9.5</v>
      </c>
      <c r="F18" s="365" t="s">
        <v>255</v>
      </c>
      <c r="G18" s="929">
        <f>E13/E18</f>
        <v>9.179140009979184</v>
      </c>
      <c r="H18" s="930" t="s">
        <v>255</v>
      </c>
    </row>
    <row r="19" spans="2:10">
      <c r="B19" s="931"/>
      <c r="C19" s="932"/>
      <c r="D19" s="932"/>
      <c r="E19" s="932"/>
      <c r="F19" s="932"/>
      <c r="G19" s="932"/>
      <c r="H19" s="933"/>
    </row>
    <row r="23" spans="2:10" ht="15.75" thickBot="1"/>
    <row r="24" spans="2:10" ht="16.5" thickBot="1">
      <c r="C24" s="3706" t="s">
        <v>416</v>
      </c>
      <c r="D24" s="3707"/>
      <c r="E24" s="3707"/>
      <c r="F24" s="3708"/>
      <c r="H24" s="371" t="s">
        <v>417</v>
      </c>
      <c r="I24" s="368"/>
      <c r="J24" s="367"/>
    </row>
    <row r="25" spans="2:10" ht="7.5" customHeight="1">
      <c r="C25" s="372"/>
      <c r="D25" s="372"/>
      <c r="E25" s="372"/>
      <c r="F25" s="372"/>
      <c r="H25" s="373"/>
    </row>
    <row r="26" spans="2:10" ht="15.75" thickBot="1">
      <c r="C26" s="366" t="s">
        <v>402</v>
      </c>
      <c r="D26" s="376">
        <v>25</v>
      </c>
      <c r="E26" s="363" t="s">
        <v>5</v>
      </c>
      <c r="H26" s="366" t="s">
        <v>354</v>
      </c>
      <c r="I26" s="377">
        <v>211.94</v>
      </c>
      <c r="J26" s="364" t="s">
        <v>400</v>
      </c>
    </row>
    <row r="27" spans="2:10" ht="15.75" thickBot="1">
      <c r="C27" s="366" t="s">
        <v>405</v>
      </c>
      <c r="D27" s="378">
        <v>0.2</v>
      </c>
      <c r="E27" s="365" t="s">
        <v>403</v>
      </c>
      <c r="H27" s="366" t="s">
        <v>402</v>
      </c>
      <c r="I27" s="362">
        <f>((I26*D36)/(D30*D34))^(3/8)</f>
        <v>419.11176166739148</v>
      </c>
      <c r="J27" s="361" t="s">
        <v>5</v>
      </c>
    </row>
    <row r="28" spans="2:10" ht="15.75" thickBot="1">
      <c r="C28" s="366" t="s">
        <v>406</v>
      </c>
      <c r="D28" s="379">
        <v>0.25</v>
      </c>
      <c r="E28" s="365" t="s">
        <v>404</v>
      </c>
    </row>
    <row r="29" spans="2:10" ht="15.75" thickBot="1">
      <c r="C29" s="360" t="s">
        <v>354</v>
      </c>
      <c r="D29" s="359">
        <f>(D30)*((D32*D34)/D36)</f>
        <v>0.11512598433251189</v>
      </c>
      <c r="E29" s="361" t="s">
        <v>400</v>
      </c>
      <c r="F29" s="365" t="s">
        <v>401</v>
      </c>
      <c r="H29" s="366"/>
    </row>
    <row r="30" spans="2:10">
      <c r="C30" s="374"/>
      <c r="D30" s="374">
        <f>2.5*10^(-4)</f>
        <v>2.5000000000000001E-4</v>
      </c>
      <c r="E30" s="374"/>
      <c r="F30" s="374"/>
      <c r="G30" s="374"/>
      <c r="H30" s="369"/>
      <c r="I30" s="369"/>
      <c r="J30" s="369"/>
    </row>
    <row r="31" spans="2:10">
      <c r="B31" s="1735"/>
      <c r="C31" s="375" t="s">
        <v>402</v>
      </c>
      <c r="D31" s="374"/>
      <c r="E31" s="374"/>
      <c r="F31" s="374"/>
      <c r="G31" s="374"/>
      <c r="H31" s="370"/>
      <c r="I31" s="369"/>
      <c r="J31" s="369"/>
    </row>
    <row r="32" spans="2:10">
      <c r="B32" s="1735"/>
      <c r="C32" s="374"/>
      <c r="D32" s="374">
        <f>D26^(8/3)</f>
        <v>5343.6748333646692</v>
      </c>
      <c r="E32" s="374"/>
      <c r="F32" s="374"/>
      <c r="G32" s="374"/>
      <c r="H32" s="369"/>
      <c r="I32" s="369"/>
      <c r="J32" s="369"/>
    </row>
    <row r="33" spans="2:51">
      <c r="B33" s="1735"/>
      <c r="C33" s="375" t="s">
        <v>405</v>
      </c>
      <c r="D33" s="374">
        <f>D27</f>
        <v>0.2</v>
      </c>
      <c r="E33" s="374" t="s">
        <v>403</v>
      </c>
      <c r="F33" s="374"/>
      <c r="G33" s="374"/>
      <c r="H33" s="369"/>
      <c r="I33" s="369"/>
      <c r="J33" s="369"/>
      <c r="Z33" s="365" t="s">
        <v>1931</v>
      </c>
    </row>
    <row r="34" spans="2:51">
      <c r="B34" s="1735"/>
      <c r="C34" s="374"/>
      <c r="D34" s="374">
        <f>D33^(5/3)</f>
        <v>6.8399037867067886E-2</v>
      </c>
      <c r="E34" s="374"/>
      <c r="F34" s="374"/>
      <c r="G34" s="374"/>
      <c r="H34" s="369"/>
      <c r="I34" s="369"/>
      <c r="J34" s="369"/>
    </row>
    <row r="35" spans="2:51">
      <c r="B35" s="1735"/>
      <c r="C35" s="375" t="s">
        <v>406</v>
      </c>
      <c r="D35" s="374">
        <f>D28</f>
        <v>0.25</v>
      </c>
      <c r="E35" s="374" t="s">
        <v>404</v>
      </c>
      <c r="F35" s="374"/>
      <c r="G35" s="374"/>
      <c r="H35" s="369"/>
      <c r="I35" s="369"/>
      <c r="J35" s="369"/>
    </row>
    <row r="36" spans="2:51">
      <c r="B36" s="1735"/>
      <c r="C36" s="374"/>
      <c r="D36" s="374">
        <f>D35^(1/6)</f>
        <v>0.79370052598409979</v>
      </c>
      <c r="E36" s="374"/>
      <c r="F36" s="374"/>
      <c r="G36" s="374"/>
    </row>
    <row r="37" spans="2:51">
      <c r="B37" s="1735"/>
      <c r="C37" s="374"/>
      <c r="D37" s="374"/>
      <c r="E37" s="374"/>
      <c r="F37" s="374"/>
      <c r="G37" s="374"/>
      <c r="J37" s="3705"/>
      <c r="K37" s="3705"/>
      <c r="L37" s="3705"/>
      <c r="M37" s="3705"/>
      <c r="N37" s="3705"/>
    </row>
    <row r="38" spans="2:51">
      <c r="B38" s="1735"/>
      <c r="C38" s="1735"/>
      <c r="D38" s="1735"/>
      <c r="E38" s="1735"/>
      <c r="F38" s="1735"/>
      <c r="G38" s="369"/>
      <c r="I38" s="3705"/>
      <c r="J38" s="3705"/>
      <c r="K38" s="3705"/>
      <c r="L38" s="3705"/>
      <c r="M38" s="3705"/>
      <c r="N38" s="3705"/>
    </row>
    <row r="39" spans="2:51">
      <c r="B39" s="1735"/>
      <c r="C39" s="1735"/>
      <c r="D39" s="1735"/>
      <c r="E39" s="1735"/>
      <c r="F39" s="1735"/>
      <c r="J39" s="3705"/>
      <c r="K39" s="3705"/>
      <c r="L39" s="3705"/>
      <c r="M39" s="3705"/>
      <c r="N39" s="3705"/>
    </row>
    <row r="40" spans="2:51">
      <c r="B40" s="1735"/>
      <c r="C40" s="1735"/>
      <c r="D40" s="1735"/>
      <c r="E40" s="1735"/>
      <c r="F40" s="1735"/>
    </row>
    <row r="41" spans="2:51">
      <c r="D41" s="1735"/>
    </row>
    <row r="42" spans="2:51">
      <c r="D42" s="1735"/>
      <c r="AY42" s="2207"/>
    </row>
    <row r="43" spans="2:51">
      <c r="I43" s="3705" t="s">
        <v>47</v>
      </c>
      <c r="J43" s="3705"/>
      <c r="K43" s="3705"/>
      <c r="L43" s="3705"/>
      <c r="M43" s="3705"/>
    </row>
    <row r="44" spans="2:51">
      <c r="H44" s="3705" t="s">
        <v>17</v>
      </c>
      <c r="I44" s="3705"/>
      <c r="J44" s="3705"/>
      <c r="K44" s="3705"/>
      <c r="L44" s="3705"/>
      <c r="M44" s="3705"/>
    </row>
    <row r="45" spans="2:51">
      <c r="I45" s="3705">
        <v>2026</v>
      </c>
      <c r="J45" s="3705"/>
      <c r="K45" s="3705"/>
      <c r="L45" s="3705"/>
      <c r="M45" s="3705"/>
    </row>
  </sheetData>
  <sheetProtection algorithmName="SHA-512" hashValue="LF+hlFJqhMClDqGMqadDUNk0xZa5KRTXWajFJZUyIoX809CwgQ4S9BEl7GjSu9LuffuQ3US/rtOduJ+5Tj1dsg==" saltValue="2ErvZhtBcSx4tfo3BFX7pA==" spinCount="100000" sheet="1" objects="1" selectLockedCells="1"/>
  <mergeCells count="16">
    <mergeCell ref="C24:F24"/>
    <mergeCell ref="B7:D7"/>
    <mergeCell ref="C6:D6"/>
    <mergeCell ref="C8:D8"/>
    <mergeCell ref="B9:D9"/>
    <mergeCell ref="B10:D10"/>
    <mergeCell ref="B11:D11"/>
    <mergeCell ref="B13:D13"/>
    <mergeCell ref="B18:D18"/>
    <mergeCell ref="G6:I6"/>
    <mergeCell ref="I43:M43"/>
    <mergeCell ref="H44:M44"/>
    <mergeCell ref="I45:M45"/>
    <mergeCell ref="J39:N39"/>
    <mergeCell ref="J37:N37"/>
    <mergeCell ref="I38:N3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B2:P21"/>
  <sheetViews>
    <sheetView showGridLines="0" showRowColHeaders="0" zoomScale="93" zoomScaleNormal="93" workbookViewId="0">
      <selection activeCell="L3" sqref="L3"/>
    </sheetView>
  </sheetViews>
  <sheetFormatPr defaultColWidth="9.140625" defaultRowHeight="15"/>
  <cols>
    <col min="1" max="16384" width="9.140625" style="1177"/>
  </cols>
  <sheetData>
    <row r="2" spans="2:16" ht="36" thickBot="1">
      <c r="B2" s="1845" t="s">
        <v>1136</v>
      </c>
      <c r="P2" s="1178"/>
    </row>
    <row r="3" spans="2:16" ht="15.75" thickBot="1">
      <c r="H3" s="1178" t="s">
        <v>1141</v>
      </c>
      <c r="L3" s="490">
        <v>500</v>
      </c>
      <c r="M3" s="484" t="s">
        <v>1140</v>
      </c>
      <c r="N3" s="1178" t="s">
        <v>1142</v>
      </c>
    </row>
    <row r="5" spans="2:16" ht="15.75" thickBot="1">
      <c r="H5" s="1178"/>
      <c r="N5" s="1178"/>
    </row>
    <row r="6" spans="2:16" ht="15.75" thickBot="1">
      <c r="H6" s="1178" t="s">
        <v>1137</v>
      </c>
      <c r="N6" s="490">
        <v>5096</v>
      </c>
      <c r="O6" s="1173" t="s">
        <v>3</v>
      </c>
    </row>
    <row r="7" spans="2:16" ht="15.75" thickBot="1"/>
    <row r="8" spans="2:16" ht="15.75" thickBot="1">
      <c r="H8" s="1178" t="s">
        <v>1138</v>
      </c>
      <c r="N8" s="1176">
        <f>(N6*L3)/10000</f>
        <v>254.8</v>
      </c>
      <c r="O8" s="1175" t="s">
        <v>400</v>
      </c>
    </row>
    <row r="9" spans="2:16" ht="15.75" thickBot="1"/>
    <row r="10" spans="2:16" ht="15.75" thickBot="1">
      <c r="H10" s="1177" t="s">
        <v>1135</v>
      </c>
      <c r="N10" s="490">
        <v>2.5</v>
      </c>
      <c r="O10" s="484" t="s">
        <v>400</v>
      </c>
    </row>
    <row r="11" spans="2:16" ht="15.75" thickBot="1"/>
    <row r="12" spans="2:16" ht="15.75" thickBot="1">
      <c r="H12" s="1178" t="s">
        <v>1139</v>
      </c>
      <c r="N12" s="1174">
        <f>ROUNDUP(N8/N10,0)</f>
        <v>102</v>
      </c>
      <c r="O12" s="1175" t="s">
        <v>88</v>
      </c>
    </row>
    <row r="15" spans="2:16">
      <c r="H15" s="3712" t="s">
        <v>47</v>
      </c>
      <c r="I15" s="3712"/>
      <c r="J15" s="3712"/>
      <c r="K15" s="3712"/>
      <c r="L15" s="3712"/>
    </row>
    <row r="16" spans="2:16">
      <c r="G16" s="3712" t="s">
        <v>17</v>
      </c>
      <c r="H16" s="3712"/>
      <c r="I16" s="3712"/>
      <c r="J16" s="3712"/>
      <c r="K16" s="3712"/>
      <c r="L16" s="3712"/>
    </row>
    <row r="17" spans="8:12">
      <c r="I17" s="3712">
        <v>2026</v>
      </c>
      <c r="J17" s="3712"/>
      <c r="K17" s="3712"/>
      <c r="L17" s="3712"/>
    </row>
    <row r="21" spans="8:12">
      <c r="H21" s="3712"/>
      <c r="I21" s="3712"/>
      <c r="J21" s="3712"/>
      <c r="K21" s="3712"/>
      <c r="L21" s="3712"/>
    </row>
  </sheetData>
  <sheetProtection algorithmName="SHA-512" hashValue="al0u7SWhbNtmGN2eKqmZcDYQY0+WUyyzR10mOEz78EykhlEiH/YaRWB331HEf47e6h3pFeK8dScUxyGGBFGcbw==" saltValue="9S3i9KSvpWYo6TWCInMsOA==" spinCount="100000" sheet="1" objects="1" selectLockedCells="1"/>
  <mergeCells count="4">
    <mergeCell ref="H21:L21"/>
    <mergeCell ref="H15:L15"/>
    <mergeCell ref="G16:L16"/>
    <mergeCell ref="I17:L17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ayfa12"/>
  <dimension ref="A1:AS110"/>
  <sheetViews>
    <sheetView showGridLines="0" showRowColHeaders="0" zoomScale="87" zoomScaleNormal="87" workbookViewId="0">
      <selection activeCell="D8" sqref="D8"/>
    </sheetView>
  </sheetViews>
  <sheetFormatPr defaultColWidth="9.140625" defaultRowHeight="15"/>
  <cols>
    <col min="1" max="1" width="9.140625" style="243" customWidth="1"/>
    <col min="2" max="2" width="20.28515625" style="243" customWidth="1"/>
    <col min="3" max="3" width="16.85546875" style="243" customWidth="1"/>
    <col min="4" max="4" width="13.28515625" style="243" customWidth="1"/>
    <col min="5" max="5" width="10.28515625" style="243" customWidth="1"/>
    <col min="6" max="6" width="4.7109375" style="243" customWidth="1"/>
    <col min="7" max="23" width="9.140625" style="231"/>
    <col min="24" max="27" width="9.140625" style="244"/>
    <col min="28" max="32" width="9.140625" style="243"/>
    <col min="33" max="33" width="13.85546875" style="243" customWidth="1"/>
    <col min="34" max="16384" width="9.140625" style="243"/>
  </cols>
  <sheetData>
    <row r="1" spans="1:45" s="231" customFormat="1">
      <c r="A1" s="230"/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D1" s="230"/>
      <c r="AE1" s="230"/>
      <c r="AF1" s="230"/>
      <c r="AG1" s="230"/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</row>
    <row r="2" spans="1:45" s="231" customFormat="1">
      <c r="A2" s="230"/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  <c r="R2" s="230"/>
      <c r="S2" s="230"/>
      <c r="T2" s="230"/>
      <c r="U2" s="230"/>
      <c r="V2" s="230"/>
      <c r="W2" s="230"/>
      <c r="X2" s="230"/>
      <c r="Y2" s="230"/>
      <c r="Z2" s="230"/>
      <c r="AA2" s="230"/>
      <c r="AB2" s="230"/>
      <c r="AC2" s="230"/>
      <c r="AD2" s="230"/>
      <c r="AE2" s="230"/>
      <c r="AF2" s="230"/>
      <c r="AG2" s="230"/>
      <c r="AH2" s="230"/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</row>
    <row r="3" spans="1:45" s="231" customFormat="1">
      <c r="A3" s="230"/>
      <c r="B3" s="230"/>
      <c r="C3" s="230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30"/>
      <c r="R3" s="230"/>
      <c r="S3" s="230"/>
      <c r="T3" s="230"/>
      <c r="U3" s="230"/>
      <c r="V3" s="230"/>
      <c r="W3" s="230"/>
      <c r="X3" s="230"/>
      <c r="Y3" s="230"/>
      <c r="Z3" s="230"/>
      <c r="AA3" s="230"/>
      <c r="AB3" s="230"/>
      <c r="AC3" s="230"/>
      <c r="AD3" s="230"/>
      <c r="AE3" s="230"/>
      <c r="AF3" s="230"/>
      <c r="AG3" s="230"/>
      <c r="AH3" s="230"/>
      <c r="AI3" s="230"/>
      <c r="AJ3" s="230"/>
      <c r="AK3" s="230"/>
      <c r="AL3" s="230"/>
      <c r="AM3" s="230"/>
      <c r="AN3" s="230"/>
      <c r="AO3" s="230"/>
      <c r="AP3" s="230"/>
      <c r="AQ3" s="230"/>
      <c r="AR3" s="230"/>
      <c r="AS3" s="230"/>
    </row>
    <row r="4" spans="1:45" s="231" customFormat="1">
      <c r="A4" s="230"/>
      <c r="B4" s="230"/>
      <c r="C4" s="230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  <c r="AN4" s="230"/>
      <c r="AO4" s="230"/>
      <c r="AP4" s="230"/>
      <c r="AQ4" s="230"/>
      <c r="AR4" s="230"/>
      <c r="AS4" s="230"/>
    </row>
    <row r="5" spans="1:45" s="231" customFormat="1">
      <c r="A5" s="230"/>
      <c r="B5" s="230"/>
      <c r="C5" s="230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1700"/>
      <c r="S5" s="3713"/>
      <c r="T5" s="3713"/>
      <c r="U5" s="3713"/>
      <c r="V5" s="3713"/>
      <c r="W5" s="3713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  <c r="AS5" s="230"/>
    </row>
    <row r="6" spans="1:45" s="231" customFormat="1" ht="15.75" thickBot="1">
      <c r="A6" s="230"/>
      <c r="B6" s="230"/>
      <c r="C6" s="230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30"/>
      <c r="Q6" s="230"/>
      <c r="R6" s="3713"/>
      <c r="S6" s="3713"/>
      <c r="T6" s="3713"/>
      <c r="U6" s="3713"/>
      <c r="V6" s="3713"/>
      <c r="W6" s="3713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0"/>
      <c r="AR6" s="230"/>
      <c r="AS6" s="230"/>
    </row>
    <row r="7" spans="1:45" s="231" customFormat="1" ht="29.25" customHeight="1" thickBot="1">
      <c r="A7" s="230"/>
      <c r="B7" s="3722" t="s">
        <v>241</v>
      </c>
      <c r="C7" s="3723"/>
      <c r="D7" s="3723"/>
      <c r="E7" s="3724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30"/>
      <c r="Q7" s="230"/>
      <c r="R7" s="1701"/>
      <c r="S7" s="1700"/>
      <c r="T7" s="3713"/>
      <c r="U7" s="3713"/>
      <c r="V7" s="3713"/>
      <c r="W7" s="3713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  <c r="AS7" s="230"/>
    </row>
    <row r="8" spans="1:45" s="231" customFormat="1" ht="21">
      <c r="A8" s="230"/>
      <c r="B8" s="3725" t="s">
        <v>242</v>
      </c>
      <c r="C8" s="3726"/>
      <c r="D8" s="232">
        <v>600</v>
      </c>
      <c r="E8" s="233" t="s">
        <v>77</v>
      </c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8"/>
      <c r="S8" s="230"/>
      <c r="T8" s="230"/>
      <c r="U8" s="230"/>
      <c r="V8" s="230"/>
      <c r="W8" s="230"/>
      <c r="X8" s="230"/>
      <c r="Y8" s="230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  <c r="AQ8" s="230"/>
      <c r="AR8" s="230"/>
      <c r="AS8" s="230"/>
    </row>
    <row r="9" spans="1:45" s="231" customFormat="1" ht="21.75">
      <c r="A9" s="230"/>
      <c r="B9" s="3727" t="s">
        <v>243</v>
      </c>
      <c r="C9" s="3728"/>
      <c r="D9" s="234">
        <v>20</v>
      </c>
      <c r="E9" s="235" t="s">
        <v>19</v>
      </c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  <c r="AS9" s="230"/>
    </row>
    <row r="10" spans="1:45" s="231" customFormat="1" ht="21">
      <c r="A10" s="230"/>
      <c r="B10" s="3720" t="s">
        <v>244</v>
      </c>
      <c r="C10" s="3721"/>
      <c r="D10" s="2341">
        <f>D8/(D11*D12*D9)</f>
        <v>7.2359146228644913E-3</v>
      </c>
      <c r="E10" s="236" t="s">
        <v>245</v>
      </c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</row>
    <row r="11" spans="1:45" s="231" customFormat="1" ht="15.75">
      <c r="A11" s="230"/>
      <c r="B11" s="3716" t="s">
        <v>246</v>
      </c>
      <c r="C11" s="3717"/>
      <c r="D11" s="2340">
        <v>992.1</v>
      </c>
      <c r="E11" s="237" t="s">
        <v>247</v>
      </c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  <c r="AQ11" s="230"/>
      <c r="AR11" s="230"/>
      <c r="AS11" s="230"/>
    </row>
    <row r="12" spans="1:45" s="231" customFormat="1" ht="15.75">
      <c r="A12" s="230"/>
      <c r="B12" s="3716" t="s">
        <v>248</v>
      </c>
      <c r="C12" s="3717"/>
      <c r="D12" s="2340">
        <v>4.1790000000000003</v>
      </c>
      <c r="E12" s="237" t="s">
        <v>249</v>
      </c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  <c r="AS12" s="230"/>
    </row>
    <row r="13" spans="1:45" s="231" customFormat="1" ht="15.75">
      <c r="A13" s="230"/>
      <c r="B13" s="3716" t="s">
        <v>250</v>
      </c>
      <c r="C13" s="3717"/>
      <c r="D13" s="2340">
        <v>0.7</v>
      </c>
      <c r="E13" s="237" t="s">
        <v>122</v>
      </c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8" t="s">
        <v>251</v>
      </c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0"/>
    </row>
    <row r="14" spans="1:45" s="231" customFormat="1" ht="21">
      <c r="A14" s="230"/>
      <c r="B14" s="3718" t="s">
        <v>252</v>
      </c>
      <c r="C14" s="3719"/>
      <c r="D14" s="2342">
        <f>SQRT(D10*4/(3.14*D13))*1000</f>
        <v>114.75268832345674</v>
      </c>
      <c r="E14" s="239" t="s">
        <v>5</v>
      </c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8"/>
      <c r="S14" s="230"/>
      <c r="T14" s="230"/>
      <c r="U14" s="230"/>
      <c r="V14" s="230"/>
      <c r="W14" s="230"/>
      <c r="X14" s="230"/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  <c r="AQ14" s="230"/>
      <c r="AR14" s="230"/>
      <c r="AS14" s="230"/>
    </row>
    <row r="15" spans="1:45" s="231" customFormat="1" ht="21">
      <c r="A15" s="230"/>
      <c r="B15" s="3718" t="s">
        <v>253</v>
      </c>
      <c r="C15" s="3719"/>
      <c r="D15" s="2342">
        <f>SQRT(D14*D14*4)</f>
        <v>229.50537664691348</v>
      </c>
      <c r="E15" s="239" t="s">
        <v>5</v>
      </c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4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  <c r="AQ15" s="230"/>
      <c r="AR15" s="230"/>
      <c r="AS15" s="230"/>
    </row>
    <row r="16" spans="1:45" s="231" customFormat="1" ht="21">
      <c r="A16" s="230"/>
      <c r="B16" s="3718" t="s">
        <v>254</v>
      </c>
      <c r="C16" s="3719"/>
      <c r="D16" s="2342">
        <f>(D15*3.5)/10</f>
        <v>80.326881826419722</v>
      </c>
      <c r="E16" s="239" t="s">
        <v>255</v>
      </c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41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</row>
    <row r="17" spans="1:45" s="231" customFormat="1" ht="21">
      <c r="A17" s="230"/>
      <c r="B17" s="3720" t="s">
        <v>256</v>
      </c>
      <c r="C17" s="3721"/>
      <c r="D17" s="2343">
        <f>(D15*4)/10</f>
        <v>91.802150658765385</v>
      </c>
      <c r="E17" s="236" t="s">
        <v>255</v>
      </c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41" t="s">
        <v>257</v>
      </c>
      <c r="S17" s="230"/>
      <c r="T17" s="230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  <c r="AQ17" s="230"/>
      <c r="AR17" s="230"/>
      <c r="AS17" s="230"/>
    </row>
    <row r="18" spans="1:45" s="231" customFormat="1" ht="21.75" thickBot="1">
      <c r="A18" s="230"/>
      <c r="B18" s="3714" t="s">
        <v>258</v>
      </c>
      <c r="C18" s="3715"/>
      <c r="D18" s="2344">
        <f>(D15*5)/10</f>
        <v>114.75268832345674</v>
      </c>
      <c r="E18" s="242" t="s">
        <v>255</v>
      </c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230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</row>
    <row r="19" spans="1:45" s="231" customFormat="1">
      <c r="A19" s="230"/>
      <c r="B19" s="230"/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</row>
    <row r="20" spans="1:45" s="231" customFormat="1">
      <c r="A20" s="230"/>
      <c r="B20" s="230" t="s">
        <v>259</v>
      </c>
      <c r="C20" s="230"/>
      <c r="D20" s="230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</row>
    <row r="21" spans="1:45" s="231" customFormat="1">
      <c r="A21" s="230"/>
      <c r="B21" s="230" t="s">
        <v>260</v>
      </c>
      <c r="C21" s="230"/>
      <c r="D21" s="230"/>
      <c r="E21" s="230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</row>
    <row r="22" spans="1:45" s="231" customFormat="1">
      <c r="A22" s="230"/>
      <c r="B22" s="230" t="s">
        <v>261</v>
      </c>
      <c r="C22" s="230"/>
      <c r="D22" s="230"/>
      <c r="E22" s="230"/>
      <c r="F22" s="230"/>
      <c r="G22" s="230"/>
      <c r="H22" s="230"/>
      <c r="I22" s="230"/>
      <c r="J22" s="230"/>
      <c r="K22" s="230"/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</row>
    <row r="23" spans="1:45" s="231" customFormat="1">
      <c r="A23" s="230"/>
      <c r="B23" s="230"/>
      <c r="C23" s="230"/>
      <c r="D23" s="230"/>
      <c r="E23" s="230"/>
      <c r="F23" s="230"/>
      <c r="G23" s="230"/>
      <c r="H23" s="230"/>
      <c r="I23" s="230"/>
      <c r="J23" s="230"/>
      <c r="K23" s="230"/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</row>
    <row r="24" spans="1:45" s="231" customFormat="1">
      <c r="A24" s="230"/>
      <c r="B24" s="230"/>
      <c r="C24" s="230"/>
      <c r="D24" s="230"/>
      <c r="E24" s="230"/>
      <c r="F24" s="230"/>
      <c r="G24" s="230"/>
      <c r="H24" s="230"/>
      <c r="I24" s="230"/>
      <c r="J24" s="230"/>
      <c r="K24" s="230"/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</row>
    <row r="25" spans="1:45" s="231" customFormat="1">
      <c r="A25" s="230"/>
      <c r="B25" s="230" t="s">
        <v>262</v>
      </c>
      <c r="C25" s="230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</row>
    <row r="26" spans="1:45" s="231" customFormat="1">
      <c r="A26" s="230"/>
      <c r="B26" s="230" t="s">
        <v>263</v>
      </c>
      <c r="C26" s="230"/>
      <c r="D26" s="230"/>
      <c r="E26" s="230"/>
      <c r="F26" s="230"/>
      <c r="G26" s="230"/>
      <c r="H26" s="230"/>
      <c r="I26" s="230"/>
      <c r="J26" s="230"/>
      <c r="K26" s="230"/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230"/>
      <c r="Z26" s="230"/>
      <c r="AA26" s="230"/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</row>
    <row r="27" spans="1:45" s="231" customFormat="1">
      <c r="A27" s="230"/>
      <c r="B27" s="230" t="s">
        <v>264</v>
      </c>
      <c r="C27" s="230"/>
      <c r="D27" s="230"/>
      <c r="E27" s="230"/>
      <c r="F27" s="230"/>
      <c r="G27" s="230"/>
      <c r="H27" s="230"/>
      <c r="I27" s="230"/>
      <c r="J27" s="230"/>
      <c r="K27" s="230"/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230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</row>
    <row r="28" spans="1:45" s="231" customFormat="1">
      <c r="A28" s="230"/>
      <c r="B28" s="230" t="s">
        <v>265</v>
      </c>
      <c r="C28" s="230"/>
      <c r="D28" s="230"/>
      <c r="E28" s="230"/>
      <c r="F28" s="230"/>
      <c r="G28" s="230"/>
      <c r="H28" s="230"/>
      <c r="I28" s="230"/>
      <c r="J28" s="230"/>
      <c r="K28" s="230"/>
      <c r="L28" s="230"/>
      <c r="M28" s="230"/>
      <c r="N28" s="230"/>
      <c r="O28" s="230"/>
      <c r="P28" s="230"/>
      <c r="Q28" s="230"/>
      <c r="R28" s="230"/>
      <c r="S28" s="230"/>
      <c r="T28" s="230"/>
      <c r="U28" s="230"/>
      <c r="V28" s="230"/>
      <c r="W28" s="230"/>
      <c r="X28" s="230"/>
      <c r="Y28" s="230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</row>
    <row r="29" spans="1:45" s="231" customFormat="1">
      <c r="A29" s="230"/>
      <c r="B29" s="230"/>
      <c r="C29" s="230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</row>
    <row r="30" spans="1:45" s="231" customFormat="1">
      <c r="A30" s="230"/>
      <c r="B30" s="230"/>
      <c r="C30" s="230"/>
      <c r="D30" s="230"/>
      <c r="E30" s="230"/>
      <c r="F30" s="230"/>
      <c r="G30" s="230"/>
      <c r="H30" s="230"/>
      <c r="I30" s="230"/>
      <c r="J30" s="230"/>
      <c r="K30" s="230"/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230"/>
      <c r="Z30" s="230"/>
      <c r="AA30" s="230"/>
      <c r="AB30" s="230"/>
      <c r="AC30" s="230"/>
      <c r="AD30" s="230"/>
      <c r="AE30" s="230"/>
      <c r="AF30" s="230"/>
      <c r="AG30" s="230"/>
      <c r="AH30" s="230"/>
      <c r="AI30" s="230"/>
      <c r="AJ30" s="230"/>
      <c r="AK30" s="230"/>
      <c r="AL30" s="230"/>
      <c r="AM30" s="230"/>
      <c r="AN30" s="230"/>
      <c r="AO30" s="230"/>
      <c r="AP30" s="230"/>
      <c r="AQ30" s="230"/>
      <c r="AR30" s="230"/>
      <c r="AS30" s="230"/>
    </row>
    <row r="31" spans="1:45" s="231" customFormat="1">
      <c r="A31" s="230"/>
      <c r="B31" s="230"/>
      <c r="C31" s="230"/>
      <c r="D31" s="230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0"/>
    </row>
    <row r="32" spans="1:45" s="231" customFormat="1">
      <c r="A32" s="230"/>
      <c r="B32" s="230"/>
      <c r="C32" s="230"/>
      <c r="D32" s="230"/>
      <c r="E32" s="230"/>
      <c r="F32" s="230"/>
      <c r="G32" s="230"/>
      <c r="H32" s="230"/>
      <c r="I32" s="230"/>
      <c r="J32" s="230"/>
      <c r="K32" s="230"/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</row>
    <row r="33" spans="1:45" s="231" customFormat="1">
      <c r="A33" s="230"/>
      <c r="B33" s="230"/>
      <c r="C33" s="230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0"/>
      <c r="AI33" s="230"/>
      <c r="AJ33" s="230"/>
      <c r="AK33" s="230"/>
      <c r="AL33" s="230"/>
      <c r="AM33" s="230"/>
      <c r="AN33" s="230"/>
      <c r="AO33" s="230"/>
      <c r="AP33" s="230"/>
      <c r="AQ33" s="230"/>
      <c r="AR33" s="230"/>
      <c r="AS33" s="230"/>
    </row>
    <row r="34" spans="1:45" s="231" customFormat="1">
      <c r="A34" s="230"/>
      <c r="B34" s="230"/>
      <c r="C34" s="230"/>
      <c r="D34" s="230"/>
      <c r="E34" s="230"/>
      <c r="F34" s="230"/>
      <c r="G34" s="230"/>
      <c r="H34" s="230"/>
      <c r="I34" s="230"/>
      <c r="J34" s="230"/>
      <c r="K34" s="230"/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230"/>
      <c r="Z34" s="230"/>
      <c r="AA34" s="230"/>
      <c r="AB34" s="230"/>
      <c r="AC34" s="230"/>
      <c r="AD34" s="230"/>
      <c r="AE34" s="230"/>
      <c r="AF34" s="230"/>
      <c r="AG34" s="230"/>
      <c r="AH34" s="230"/>
      <c r="AI34" s="230"/>
      <c r="AJ34" s="230"/>
      <c r="AK34" s="230"/>
      <c r="AL34" s="230"/>
      <c r="AM34" s="230"/>
      <c r="AN34" s="230"/>
      <c r="AO34" s="230"/>
      <c r="AP34" s="230"/>
      <c r="AQ34" s="230"/>
      <c r="AR34" s="230"/>
      <c r="AS34" s="230"/>
    </row>
    <row r="35" spans="1:45" s="231" customFormat="1">
      <c r="A35" s="230"/>
      <c r="B35" s="230"/>
      <c r="C35" s="230"/>
      <c r="D35" s="230"/>
      <c r="E35" s="230"/>
      <c r="F35" s="230"/>
      <c r="G35" s="230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230"/>
      <c r="Z35" s="230"/>
      <c r="AA35" s="230"/>
      <c r="AB35" s="230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230"/>
      <c r="AO35" s="230"/>
      <c r="AP35" s="230"/>
      <c r="AQ35" s="230"/>
      <c r="AR35" s="230"/>
      <c r="AS35" s="230"/>
    </row>
    <row r="36" spans="1:45" s="231" customFormat="1">
      <c r="A36" s="230"/>
      <c r="B36" s="230"/>
      <c r="C36" s="230"/>
      <c r="D36" s="230"/>
      <c r="E36" s="230"/>
      <c r="F36" s="230"/>
      <c r="G36" s="230"/>
      <c r="H36" s="230"/>
      <c r="I36" s="230"/>
      <c r="J36" s="230"/>
      <c r="K36" s="230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  <c r="X36" s="230"/>
      <c r="Y36" s="230"/>
      <c r="Z36" s="230"/>
      <c r="AA36" s="230"/>
      <c r="AB36" s="2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230"/>
      <c r="AO36" s="230"/>
      <c r="AP36" s="230"/>
      <c r="AQ36" s="230"/>
      <c r="AR36" s="230"/>
      <c r="AS36" s="230"/>
    </row>
    <row r="37" spans="1:45" s="231" customFormat="1">
      <c r="A37" s="230"/>
      <c r="B37" s="230"/>
      <c r="C37" s="230"/>
      <c r="D37" s="230"/>
      <c r="E37" s="230"/>
      <c r="F37" s="230"/>
      <c r="G37" s="230"/>
      <c r="H37" s="230"/>
      <c r="I37" s="230"/>
      <c r="J37" s="230"/>
      <c r="K37" s="230"/>
      <c r="L37" s="230"/>
      <c r="M37" s="230"/>
      <c r="N37" s="230"/>
      <c r="O37" s="230"/>
      <c r="P37" s="230"/>
      <c r="Q37" s="230"/>
      <c r="R37" s="1700"/>
      <c r="S37" s="3713" t="s">
        <v>1913</v>
      </c>
      <c r="T37" s="3713"/>
      <c r="U37" s="3713"/>
      <c r="V37" s="3713"/>
      <c r="W37" s="3713"/>
      <c r="X37" s="230"/>
      <c r="Y37" s="230"/>
      <c r="Z37" s="230"/>
      <c r="AA37" s="230"/>
      <c r="AB37" s="2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230"/>
      <c r="AO37" s="230"/>
      <c r="AP37" s="230"/>
      <c r="AQ37" s="230"/>
      <c r="AR37" s="230"/>
      <c r="AS37" s="230"/>
    </row>
    <row r="38" spans="1:45" s="231" customFormat="1">
      <c r="A38" s="230"/>
      <c r="B38" s="230"/>
      <c r="C38" s="230"/>
      <c r="D38" s="230"/>
      <c r="E38" s="230"/>
      <c r="F38" s="230"/>
      <c r="G38" s="230"/>
      <c r="H38" s="230"/>
      <c r="I38" s="230"/>
      <c r="J38" s="230"/>
      <c r="K38" s="230"/>
      <c r="L38" s="230"/>
      <c r="M38" s="230"/>
      <c r="N38" s="230"/>
      <c r="O38" s="230"/>
      <c r="P38" s="230"/>
      <c r="Q38" s="230"/>
      <c r="R38" s="3713" t="s">
        <v>17</v>
      </c>
      <c r="S38" s="3713"/>
      <c r="T38" s="3713"/>
      <c r="U38" s="3713"/>
      <c r="V38" s="3713"/>
      <c r="W38" s="3713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230"/>
      <c r="AP38" s="230"/>
      <c r="AQ38" s="230"/>
      <c r="AR38" s="230"/>
      <c r="AS38" s="230"/>
    </row>
    <row r="39" spans="1:45" s="231" customFormat="1">
      <c r="A39" s="230"/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1701"/>
      <c r="S39" s="1700"/>
      <c r="T39" s="3713">
        <v>2026</v>
      </c>
      <c r="U39" s="3713"/>
      <c r="V39" s="3713"/>
      <c r="W39" s="3713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O39" s="230"/>
      <c r="AP39" s="230"/>
      <c r="AQ39" s="230"/>
      <c r="AR39" s="230"/>
      <c r="AS39" s="230"/>
    </row>
    <row r="40" spans="1:45" s="231" customFormat="1">
      <c r="A40" s="230"/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230"/>
      <c r="AP40" s="230"/>
      <c r="AQ40" s="230"/>
      <c r="AR40" s="230"/>
      <c r="AS40" s="230"/>
    </row>
    <row r="41" spans="1:45" s="231" customFormat="1">
      <c r="A41" s="230"/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30"/>
      <c r="AS41" s="230"/>
    </row>
    <row r="42" spans="1:45" s="231" customFormat="1">
      <c r="A42" s="230"/>
      <c r="B42" s="230"/>
      <c r="C42" s="230"/>
      <c r="D42" s="230"/>
      <c r="E42" s="230"/>
      <c r="F42" s="230"/>
      <c r="G42" s="230"/>
      <c r="H42" s="230"/>
      <c r="I42" s="230"/>
      <c r="J42" s="230"/>
      <c r="K42" s="230"/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  <c r="AN42" s="230"/>
      <c r="AO42" s="230"/>
      <c r="AP42" s="230"/>
      <c r="AQ42" s="230"/>
      <c r="AR42" s="230"/>
      <c r="AS42" s="230"/>
    </row>
    <row r="43" spans="1:45" s="231" customFormat="1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230"/>
      <c r="Z43" s="230"/>
      <c r="AA43" s="230"/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230"/>
      <c r="AN43" s="230"/>
      <c r="AO43" s="230"/>
      <c r="AP43" s="230"/>
      <c r="AQ43" s="230"/>
      <c r="AR43" s="230"/>
      <c r="AS43" s="230"/>
    </row>
    <row r="44" spans="1:45" s="231" customFormat="1">
      <c r="A44" s="230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230"/>
      <c r="Z44" s="230"/>
      <c r="AA44" s="230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230"/>
      <c r="AN44" s="230"/>
      <c r="AO44" s="230"/>
      <c r="AP44" s="230"/>
      <c r="AQ44" s="230"/>
      <c r="AR44" s="230"/>
      <c r="AS44" s="230"/>
    </row>
    <row r="45" spans="1:45" s="231" customFormat="1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  <c r="AN45" s="230"/>
      <c r="AO45" s="230"/>
      <c r="AP45" s="230"/>
      <c r="AQ45" s="230"/>
      <c r="AR45" s="230"/>
      <c r="AS45" s="230"/>
    </row>
    <row r="46" spans="1:45" s="231" customFormat="1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  <c r="AN46" s="230"/>
      <c r="AO46" s="230"/>
      <c r="AP46" s="230"/>
      <c r="AQ46" s="230"/>
      <c r="AR46" s="230"/>
      <c r="AS46" s="230"/>
    </row>
    <row r="47" spans="1:45" s="231" customFormat="1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230"/>
      <c r="Z47" s="230"/>
      <c r="AA47" s="230"/>
      <c r="AB47" s="230"/>
      <c r="AC47" s="230"/>
      <c r="AD47" s="230"/>
      <c r="AE47" s="230"/>
      <c r="AF47" s="230"/>
      <c r="AG47" s="230"/>
      <c r="AH47" s="230"/>
      <c r="AI47" s="230"/>
      <c r="AJ47" s="230"/>
      <c r="AK47" s="230"/>
      <c r="AL47" s="230"/>
      <c r="AM47" s="230"/>
      <c r="AN47" s="230"/>
      <c r="AO47" s="230"/>
      <c r="AP47" s="230"/>
      <c r="AQ47" s="230"/>
      <c r="AR47" s="230"/>
      <c r="AS47" s="230"/>
    </row>
    <row r="48" spans="1:45" s="231" customFormat="1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230"/>
      <c r="AQ48" s="230"/>
      <c r="AR48" s="230"/>
      <c r="AS48" s="230"/>
    </row>
    <row r="49" spans="1:45" s="231" customFormat="1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230"/>
      <c r="Z49" s="230"/>
      <c r="AA49" s="230"/>
      <c r="AB49" s="230"/>
      <c r="AC49" s="230"/>
      <c r="AD49" s="230"/>
      <c r="AE49" s="230"/>
      <c r="AF49" s="230"/>
      <c r="AG49" s="230"/>
      <c r="AH49" s="230"/>
      <c r="AI49" s="230"/>
      <c r="AJ49" s="230"/>
      <c r="AK49" s="230"/>
      <c r="AL49" s="230"/>
      <c r="AM49" s="230"/>
      <c r="AN49" s="230"/>
      <c r="AO49" s="230"/>
      <c r="AP49" s="230"/>
      <c r="AQ49" s="230"/>
      <c r="AR49" s="230"/>
      <c r="AS49" s="230"/>
    </row>
    <row r="50" spans="1:45" s="231" customFormat="1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230"/>
      <c r="Z50" s="230"/>
      <c r="AA50" s="230"/>
      <c r="AB50" s="230"/>
      <c r="AC50" s="230"/>
      <c r="AD50" s="230"/>
      <c r="AE50" s="230"/>
      <c r="AF50" s="230"/>
      <c r="AG50" s="230"/>
      <c r="AH50" s="230"/>
      <c r="AI50" s="230"/>
      <c r="AJ50" s="230"/>
      <c r="AK50" s="230"/>
      <c r="AL50" s="230"/>
      <c r="AM50" s="230"/>
      <c r="AN50" s="230"/>
      <c r="AO50" s="230"/>
      <c r="AP50" s="230"/>
      <c r="AQ50" s="230"/>
      <c r="AR50" s="230"/>
      <c r="AS50" s="230"/>
    </row>
    <row r="51" spans="1:45" s="231" customFormat="1">
      <c r="A51" s="230"/>
      <c r="B51" s="230"/>
      <c r="C51" s="230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230"/>
      <c r="Z51" s="230"/>
      <c r="AA51" s="230"/>
      <c r="AB51" s="230"/>
      <c r="AC51" s="230"/>
      <c r="AD51" s="230"/>
      <c r="AE51" s="230"/>
      <c r="AF51" s="230"/>
      <c r="AG51" s="230"/>
      <c r="AH51" s="230"/>
      <c r="AI51" s="230"/>
      <c r="AJ51" s="230"/>
      <c r="AK51" s="230"/>
      <c r="AL51" s="230"/>
      <c r="AM51" s="230"/>
      <c r="AN51" s="230"/>
      <c r="AO51" s="230"/>
      <c r="AP51" s="230"/>
      <c r="AQ51" s="230"/>
      <c r="AR51" s="230"/>
      <c r="AS51" s="230"/>
    </row>
    <row r="52" spans="1:45" s="231" customFormat="1">
      <c r="A52" s="230"/>
      <c r="B52" s="230"/>
      <c r="C52" s="230"/>
      <c r="D52" s="230"/>
      <c r="E52" s="230"/>
      <c r="F52" s="230"/>
      <c r="G52" s="230"/>
      <c r="H52" s="230"/>
      <c r="I52" s="230"/>
      <c r="J52" s="230"/>
      <c r="K52" s="230"/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230"/>
      <c r="Z52" s="230"/>
      <c r="AA52" s="230"/>
      <c r="AB52" s="230"/>
      <c r="AC52" s="230"/>
      <c r="AD52" s="230"/>
      <c r="AE52" s="230"/>
      <c r="AF52" s="230"/>
      <c r="AG52" s="230"/>
      <c r="AH52" s="230"/>
      <c r="AI52" s="230"/>
      <c r="AJ52" s="230"/>
      <c r="AK52" s="230"/>
      <c r="AL52" s="230"/>
      <c r="AM52" s="230"/>
      <c r="AN52" s="230"/>
      <c r="AO52" s="230"/>
      <c r="AP52" s="230"/>
      <c r="AQ52" s="230"/>
      <c r="AR52" s="230"/>
      <c r="AS52" s="230"/>
    </row>
    <row r="53" spans="1:45" s="231" customFormat="1">
      <c r="A53" s="230"/>
      <c r="B53" s="230"/>
      <c r="C53" s="230"/>
      <c r="D53" s="230"/>
      <c r="E53" s="230"/>
      <c r="F53" s="230"/>
      <c r="G53" s="230"/>
      <c r="H53" s="230"/>
      <c r="I53" s="230"/>
      <c r="J53" s="230"/>
      <c r="K53" s="230"/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230"/>
      <c r="Z53" s="230"/>
      <c r="AA53" s="230"/>
      <c r="AB53" s="230"/>
      <c r="AC53" s="230"/>
      <c r="AD53" s="230"/>
      <c r="AE53" s="230"/>
      <c r="AF53" s="230"/>
      <c r="AG53" s="230"/>
      <c r="AH53" s="230"/>
      <c r="AI53" s="230"/>
      <c r="AJ53" s="230"/>
      <c r="AK53" s="230"/>
      <c r="AL53" s="230"/>
      <c r="AM53" s="230"/>
      <c r="AN53" s="230"/>
      <c r="AO53" s="230"/>
      <c r="AP53" s="230"/>
      <c r="AQ53" s="230"/>
      <c r="AR53" s="230"/>
      <c r="AS53" s="230"/>
    </row>
    <row r="54" spans="1:45" s="231" customFormat="1">
      <c r="A54" s="230"/>
      <c r="B54" s="230"/>
      <c r="C54" s="230"/>
      <c r="D54" s="230"/>
      <c r="E54" s="230"/>
      <c r="F54" s="230"/>
      <c r="G54" s="230"/>
      <c r="H54" s="230"/>
      <c r="I54" s="230"/>
      <c r="J54" s="230"/>
      <c r="K54" s="230"/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230"/>
      <c r="Z54" s="230"/>
      <c r="AA54" s="230"/>
      <c r="AB54" s="230"/>
      <c r="AC54" s="230"/>
      <c r="AD54" s="230"/>
      <c r="AE54" s="230"/>
      <c r="AF54" s="230"/>
      <c r="AG54" s="230"/>
      <c r="AH54" s="230"/>
      <c r="AI54" s="230"/>
      <c r="AJ54" s="230"/>
      <c r="AK54" s="230"/>
      <c r="AL54" s="230"/>
      <c r="AM54" s="230"/>
      <c r="AN54" s="230"/>
      <c r="AO54" s="230"/>
      <c r="AP54" s="230"/>
      <c r="AQ54" s="230"/>
      <c r="AR54" s="230"/>
      <c r="AS54" s="230"/>
    </row>
    <row r="55" spans="1:45" s="231" customFormat="1">
      <c r="A55" s="230"/>
      <c r="B55" s="230"/>
      <c r="C55" s="230"/>
      <c r="D55" s="230"/>
      <c r="E55" s="230"/>
      <c r="F55" s="230"/>
      <c r="G55" s="230"/>
      <c r="H55" s="230"/>
      <c r="I55" s="230"/>
      <c r="J55" s="230"/>
      <c r="K55" s="230"/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230"/>
      <c r="Z55" s="230"/>
      <c r="AA55" s="230"/>
      <c r="AB55" s="230"/>
      <c r="AC55" s="230"/>
      <c r="AD55" s="230"/>
      <c r="AE55" s="230"/>
      <c r="AF55" s="230"/>
      <c r="AG55" s="230"/>
      <c r="AH55" s="230"/>
      <c r="AI55" s="230"/>
      <c r="AJ55" s="230"/>
      <c r="AK55" s="230"/>
      <c r="AL55" s="230"/>
      <c r="AM55" s="230"/>
      <c r="AN55" s="230"/>
      <c r="AO55" s="230"/>
      <c r="AP55" s="230"/>
      <c r="AQ55" s="230"/>
      <c r="AR55" s="230"/>
      <c r="AS55" s="230"/>
    </row>
    <row r="56" spans="1:45" s="231" customFormat="1">
      <c r="A56" s="230"/>
      <c r="B56" s="230"/>
      <c r="C56" s="230"/>
      <c r="D56" s="230"/>
      <c r="E56" s="230"/>
      <c r="F56" s="230"/>
      <c r="G56" s="230"/>
      <c r="H56" s="230"/>
      <c r="I56" s="230"/>
      <c r="J56" s="230"/>
      <c r="K56" s="230"/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230"/>
      <c r="Z56" s="230"/>
      <c r="AA56" s="230"/>
      <c r="AB56" s="230"/>
      <c r="AC56" s="230"/>
      <c r="AD56" s="230"/>
      <c r="AE56" s="230"/>
      <c r="AF56" s="230"/>
      <c r="AG56" s="230"/>
      <c r="AH56" s="230"/>
      <c r="AI56" s="230"/>
      <c r="AJ56" s="230"/>
      <c r="AK56" s="230"/>
      <c r="AL56" s="230"/>
      <c r="AM56" s="230"/>
      <c r="AN56" s="230"/>
      <c r="AO56" s="230"/>
      <c r="AP56" s="230"/>
      <c r="AQ56" s="230"/>
      <c r="AR56" s="230"/>
      <c r="AS56" s="230"/>
    </row>
    <row r="57" spans="1:45" s="231" customFormat="1">
      <c r="A57" s="230"/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</row>
    <row r="58" spans="1:45" s="231" customFormat="1">
      <c r="A58" s="230"/>
      <c r="B58" s="230"/>
      <c r="C58" s="230"/>
      <c r="D58" s="230"/>
      <c r="E58" s="230"/>
      <c r="F58" s="230"/>
      <c r="G58" s="230"/>
      <c r="H58" s="230"/>
      <c r="I58" s="230"/>
      <c r="J58" s="230"/>
      <c r="K58" s="230"/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230"/>
      <c r="Z58" s="230"/>
      <c r="AA58" s="230"/>
      <c r="AB58" s="230"/>
      <c r="AC58" s="230"/>
      <c r="AD58" s="230"/>
      <c r="AE58" s="230"/>
      <c r="AF58" s="230"/>
      <c r="AG58" s="230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</row>
    <row r="59" spans="1:45" s="231" customFormat="1">
      <c r="A59" s="230"/>
      <c r="B59" s="230"/>
      <c r="C59" s="230"/>
      <c r="D59" s="230"/>
      <c r="E59" s="230"/>
      <c r="F59" s="230"/>
      <c r="G59" s="230"/>
      <c r="H59" s="230"/>
      <c r="I59" s="230"/>
      <c r="J59" s="230"/>
      <c r="K59" s="230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230"/>
      <c r="Z59" s="230"/>
      <c r="AA59" s="230"/>
      <c r="AB59" s="230"/>
      <c r="AC59" s="230"/>
      <c r="AD59" s="230"/>
      <c r="AE59" s="230"/>
      <c r="AF59" s="230"/>
      <c r="AG59" s="230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</row>
    <row r="60" spans="1:45" s="231" customFormat="1">
      <c r="A60" s="230"/>
      <c r="B60" s="230"/>
      <c r="C60" s="230"/>
      <c r="D60" s="230"/>
      <c r="E60" s="230"/>
      <c r="F60" s="230"/>
      <c r="G60" s="230"/>
      <c r="H60" s="230"/>
      <c r="I60" s="230"/>
      <c r="J60" s="230"/>
      <c r="K60" s="230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230"/>
      <c r="Z60" s="230"/>
      <c r="AA60" s="230"/>
      <c r="AB60" s="230"/>
      <c r="AC60" s="230"/>
      <c r="AD60" s="230"/>
      <c r="AE60" s="230"/>
      <c r="AF60" s="230"/>
      <c r="AG60" s="230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</row>
    <row r="61" spans="1:45" s="231" customFormat="1">
      <c r="A61" s="230"/>
      <c r="B61" s="230"/>
      <c r="C61" s="230"/>
      <c r="D61" s="230"/>
      <c r="E61" s="230"/>
      <c r="F61" s="230"/>
      <c r="G61" s="230"/>
      <c r="H61" s="230"/>
      <c r="I61" s="230"/>
      <c r="J61" s="230"/>
      <c r="K61" s="230"/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  <c r="AS61" s="230"/>
    </row>
    <row r="62" spans="1:45" s="231" customFormat="1">
      <c r="A62" s="230"/>
      <c r="B62" s="230"/>
      <c r="C62" s="230"/>
      <c r="D62" s="230"/>
      <c r="E62" s="230"/>
      <c r="F62" s="230"/>
      <c r="G62" s="230"/>
      <c r="H62" s="230"/>
      <c r="I62" s="230"/>
      <c r="J62" s="230"/>
      <c r="K62" s="230"/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230"/>
      <c r="Z62" s="230"/>
      <c r="AA62" s="230"/>
      <c r="AB62" s="230"/>
      <c r="AC62" s="230"/>
      <c r="AD62" s="230"/>
      <c r="AE62" s="230"/>
      <c r="AF62" s="230"/>
      <c r="AG62" s="230"/>
      <c r="AH62" s="230"/>
      <c r="AI62" s="230"/>
      <c r="AJ62" s="230"/>
      <c r="AK62" s="230"/>
      <c r="AL62" s="230"/>
      <c r="AM62" s="230"/>
      <c r="AN62" s="230"/>
      <c r="AO62" s="230"/>
      <c r="AP62" s="230"/>
      <c r="AQ62" s="230"/>
      <c r="AR62" s="230"/>
      <c r="AS62" s="230"/>
    </row>
    <row r="63" spans="1:45" s="231" customFormat="1">
      <c r="A63" s="230"/>
      <c r="B63" s="230"/>
      <c r="C63" s="230"/>
      <c r="D63" s="230"/>
      <c r="E63" s="230"/>
      <c r="F63" s="230"/>
      <c r="G63" s="230"/>
      <c r="H63" s="230"/>
      <c r="I63" s="230"/>
      <c r="J63" s="230"/>
      <c r="K63" s="230"/>
      <c r="L63" s="230"/>
      <c r="M63" s="230"/>
      <c r="N63" s="230"/>
      <c r="O63" s="230"/>
      <c r="P63" s="230"/>
      <c r="Q63" s="230"/>
      <c r="R63" s="230"/>
      <c r="S63" s="230"/>
      <c r="T63" s="230"/>
      <c r="U63" s="230"/>
      <c r="V63" s="230"/>
      <c r="W63" s="230"/>
      <c r="X63" s="230"/>
      <c r="Y63" s="230"/>
      <c r="Z63" s="230"/>
      <c r="AA63" s="230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230"/>
      <c r="AP63" s="230"/>
      <c r="AQ63" s="230"/>
      <c r="AR63" s="230"/>
      <c r="AS63" s="230"/>
    </row>
    <row r="64" spans="1:45" s="231" customFormat="1">
      <c r="A64" s="230"/>
      <c r="B64" s="230"/>
      <c r="C64" s="230"/>
      <c r="D64" s="230"/>
      <c r="E64" s="230"/>
      <c r="F64" s="230"/>
      <c r="G64" s="230"/>
      <c r="H64" s="230"/>
      <c r="I64" s="230"/>
      <c r="J64" s="230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230"/>
      <c r="Z64" s="230"/>
      <c r="AA64" s="230"/>
      <c r="AB64" s="230"/>
      <c r="AC64" s="230"/>
      <c r="AD64" s="230"/>
      <c r="AE64" s="230"/>
      <c r="AF64" s="230"/>
      <c r="AG64" s="230"/>
      <c r="AH64" s="230"/>
      <c r="AI64" s="230"/>
      <c r="AJ64" s="230"/>
      <c r="AK64" s="230"/>
      <c r="AL64" s="230"/>
      <c r="AM64" s="230"/>
      <c r="AN64" s="230"/>
      <c r="AO64" s="230"/>
      <c r="AP64" s="230"/>
      <c r="AQ64" s="230"/>
      <c r="AR64" s="230"/>
      <c r="AS64" s="230"/>
    </row>
    <row r="65" spans="1:45" s="231" customFormat="1">
      <c r="A65" s="230"/>
      <c r="B65" s="230"/>
      <c r="C65" s="230"/>
      <c r="D65" s="230"/>
      <c r="E65" s="230"/>
      <c r="F65" s="230"/>
      <c r="G65" s="230"/>
      <c r="H65" s="230"/>
      <c r="I65" s="230"/>
      <c r="J65" s="230"/>
      <c r="K65" s="230"/>
      <c r="L65" s="230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30"/>
      <c r="AR65" s="230"/>
      <c r="AS65" s="230"/>
    </row>
    <row r="66" spans="1:45" s="231" customFormat="1">
      <c r="A66" s="230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</row>
    <row r="67" spans="1:45" s="231" customFormat="1">
      <c r="A67" s="230"/>
      <c r="B67" s="230"/>
      <c r="C67" s="230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0"/>
      <c r="W67" s="230"/>
      <c r="X67" s="230"/>
      <c r="Y67" s="230"/>
      <c r="Z67" s="230"/>
      <c r="AA67" s="230"/>
      <c r="AB67" s="230"/>
      <c r="AC67" s="230"/>
      <c r="AD67" s="230"/>
      <c r="AE67" s="230"/>
      <c r="AF67" s="230"/>
      <c r="AG67" s="230"/>
      <c r="AH67" s="230"/>
      <c r="AI67" s="230"/>
      <c r="AJ67" s="230"/>
      <c r="AK67" s="230"/>
      <c r="AL67" s="230"/>
      <c r="AM67" s="230"/>
      <c r="AN67" s="230"/>
      <c r="AO67" s="230"/>
      <c r="AP67" s="230"/>
      <c r="AQ67" s="230"/>
      <c r="AR67" s="230"/>
      <c r="AS67" s="230"/>
    </row>
    <row r="68" spans="1:45" s="231" customFormat="1">
      <c r="A68" s="230"/>
      <c r="B68" s="230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0"/>
      <c r="AG68" s="230"/>
      <c r="AH68" s="230"/>
      <c r="AI68" s="230"/>
      <c r="AJ68" s="230"/>
      <c r="AK68" s="230"/>
      <c r="AL68" s="230"/>
      <c r="AM68" s="230"/>
      <c r="AN68" s="230"/>
      <c r="AO68" s="230"/>
      <c r="AP68" s="230"/>
      <c r="AQ68" s="230"/>
      <c r="AR68" s="230"/>
      <c r="AS68" s="230"/>
    </row>
    <row r="69" spans="1:45" s="231" customFormat="1">
      <c r="A69" s="230"/>
      <c r="B69" s="230"/>
      <c r="C69" s="230"/>
      <c r="D69" s="230"/>
      <c r="E69" s="230"/>
      <c r="F69" s="230"/>
      <c r="G69" s="230"/>
      <c r="H69" s="230"/>
      <c r="I69" s="230"/>
      <c r="J69" s="230"/>
      <c r="K69" s="230"/>
      <c r="L69" s="230"/>
      <c r="M69" s="230"/>
      <c r="N69" s="230"/>
      <c r="O69" s="230"/>
      <c r="P69" s="230"/>
      <c r="Q69" s="230"/>
      <c r="R69" s="230"/>
      <c r="S69" s="230"/>
      <c r="T69" s="230"/>
      <c r="U69" s="230"/>
      <c r="V69" s="230"/>
      <c r="W69" s="230"/>
      <c r="X69" s="230"/>
      <c r="Y69" s="230"/>
      <c r="Z69" s="230"/>
      <c r="AA69" s="230"/>
      <c r="AB69" s="230"/>
      <c r="AC69" s="230"/>
      <c r="AD69" s="230"/>
      <c r="AE69" s="230"/>
      <c r="AF69" s="230"/>
      <c r="AG69" s="230"/>
      <c r="AH69" s="230"/>
      <c r="AI69" s="230"/>
      <c r="AJ69" s="230"/>
      <c r="AK69" s="230"/>
      <c r="AL69" s="230"/>
      <c r="AM69" s="230"/>
      <c r="AN69" s="230"/>
      <c r="AO69" s="230"/>
      <c r="AP69" s="230"/>
      <c r="AQ69" s="230"/>
      <c r="AR69" s="230"/>
      <c r="AS69" s="230"/>
    </row>
    <row r="70" spans="1:45" s="231" customFormat="1">
      <c r="A70" s="230"/>
      <c r="B70" s="230"/>
      <c r="C70" s="230"/>
      <c r="D70" s="230"/>
      <c r="E70" s="230"/>
      <c r="F70" s="230"/>
      <c r="G70" s="230"/>
      <c r="H70" s="230"/>
      <c r="I70" s="230"/>
      <c r="J70" s="230"/>
      <c r="K70" s="230"/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230"/>
      <c r="Z70" s="230"/>
      <c r="AA70" s="230"/>
      <c r="AB70" s="230"/>
      <c r="AC70" s="230"/>
      <c r="AD70" s="230"/>
      <c r="AE70" s="230"/>
      <c r="AF70" s="230"/>
      <c r="AG70" s="230"/>
      <c r="AH70" s="230"/>
      <c r="AI70" s="230"/>
      <c r="AJ70" s="230"/>
      <c r="AK70" s="230"/>
      <c r="AL70" s="230"/>
      <c r="AM70" s="230"/>
      <c r="AN70" s="230"/>
      <c r="AO70" s="230"/>
      <c r="AP70" s="230"/>
      <c r="AQ70" s="230"/>
      <c r="AR70" s="230"/>
      <c r="AS70" s="230"/>
    </row>
    <row r="71" spans="1:45" s="231" customFormat="1">
      <c r="A71" s="230"/>
      <c r="B71" s="230"/>
      <c r="C71" s="230"/>
      <c r="D71" s="230"/>
      <c r="E71" s="230"/>
      <c r="F71" s="230"/>
      <c r="G71" s="230"/>
      <c r="H71" s="230"/>
      <c r="I71" s="230"/>
      <c r="J71" s="230"/>
      <c r="K71" s="230"/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230"/>
      <c r="Z71" s="230"/>
      <c r="AA71" s="230"/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230"/>
      <c r="AN71" s="230"/>
      <c r="AO71" s="230"/>
      <c r="AP71" s="230"/>
      <c r="AQ71" s="230"/>
      <c r="AR71" s="230"/>
      <c r="AS71" s="230"/>
    </row>
    <row r="72" spans="1:45" s="231" customFormat="1">
      <c r="A72" s="230"/>
      <c r="B72" s="230"/>
      <c r="C72" s="230"/>
      <c r="D72" s="230"/>
      <c r="E72" s="230"/>
      <c r="F72" s="230"/>
      <c r="G72" s="230"/>
      <c r="H72" s="230"/>
      <c r="I72" s="230"/>
      <c r="J72" s="230"/>
      <c r="K72" s="230"/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  <c r="AN72" s="230"/>
      <c r="AO72" s="230"/>
      <c r="AP72" s="230"/>
      <c r="AQ72" s="230"/>
      <c r="AR72" s="230"/>
      <c r="AS72" s="230"/>
    </row>
    <row r="73" spans="1:45" s="231" customFormat="1">
      <c r="A73" s="230"/>
      <c r="B73" s="230"/>
      <c r="C73" s="230"/>
      <c r="D73" s="230"/>
      <c r="E73" s="230"/>
      <c r="F73" s="230"/>
      <c r="G73" s="230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/>
      <c r="AO73" s="230"/>
      <c r="AP73" s="230"/>
      <c r="AQ73" s="230"/>
      <c r="AR73" s="230"/>
      <c r="AS73" s="230"/>
    </row>
    <row r="74" spans="1:45" s="231" customFormat="1">
      <c r="A74" s="230"/>
      <c r="B74" s="230"/>
      <c r="C74" s="230"/>
      <c r="D74" s="230"/>
      <c r="E74" s="230"/>
      <c r="F74" s="230"/>
      <c r="G74" s="230"/>
      <c r="H74" s="230"/>
      <c r="I74" s="230"/>
      <c r="J74" s="230"/>
      <c r="K74" s="230"/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230"/>
      <c r="AN74" s="230"/>
      <c r="AO74" s="230"/>
      <c r="AP74" s="230"/>
      <c r="AQ74" s="230"/>
      <c r="AR74" s="230"/>
      <c r="AS74" s="230"/>
    </row>
    <row r="75" spans="1:45" s="231" customFormat="1">
      <c r="A75" s="230"/>
      <c r="B75" s="230"/>
      <c r="C75" s="230"/>
      <c r="D75" s="230"/>
      <c r="E75" s="230"/>
      <c r="F75" s="230"/>
      <c r="G75" s="230"/>
      <c r="H75" s="230"/>
      <c r="I75" s="230"/>
      <c r="J75" s="230"/>
      <c r="K75" s="230"/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230"/>
      <c r="Z75" s="230"/>
      <c r="AA75" s="230"/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230"/>
      <c r="AN75" s="230"/>
      <c r="AO75" s="230"/>
      <c r="AP75" s="230"/>
      <c r="AQ75" s="230"/>
      <c r="AR75" s="230"/>
      <c r="AS75" s="230"/>
    </row>
    <row r="76" spans="1:45" s="231" customFormat="1">
      <c r="A76" s="230"/>
      <c r="B76" s="230"/>
      <c r="C76" s="230"/>
      <c r="D76" s="230"/>
      <c r="E76" s="230"/>
      <c r="F76" s="230"/>
      <c r="G76" s="230"/>
      <c r="H76" s="230"/>
      <c r="I76" s="230"/>
      <c r="J76" s="230"/>
      <c r="K76" s="230"/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230"/>
      <c r="Z76" s="230"/>
      <c r="AA76" s="230"/>
      <c r="AB76" s="230"/>
      <c r="AC76" s="230"/>
      <c r="AD76" s="230"/>
      <c r="AE76" s="230"/>
      <c r="AF76" s="230"/>
      <c r="AG76" s="230"/>
      <c r="AH76" s="230"/>
      <c r="AI76" s="230"/>
      <c r="AJ76" s="230"/>
      <c r="AK76" s="230"/>
      <c r="AL76" s="230"/>
      <c r="AM76" s="230"/>
      <c r="AN76" s="230"/>
      <c r="AO76" s="230"/>
      <c r="AP76" s="230"/>
      <c r="AQ76" s="230"/>
      <c r="AR76" s="230"/>
      <c r="AS76" s="230"/>
    </row>
    <row r="77" spans="1:45" s="231" customFormat="1">
      <c r="A77" s="230"/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  <c r="AS77" s="230"/>
    </row>
    <row r="78" spans="1:45" s="231" customFormat="1">
      <c r="A78" s="230"/>
      <c r="B78" s="230"/>
      <c r="C78" s="230"/>
      <c r="D78" s="230"/>
      <c r="E78" s="230"/>
      <c r="F78" s="230"/>
      <c r="G78" s="230"/>
      <c r="H78" s="230"/>
      <c r="I78" s="230"/>
      <c r="J78" s="230"/>
      <c r="K78" s="230"/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  <c r="AN78" s="230"/>
      <c r="AO78" s="230"/>
      <c r="AP78" s="230"/>
      <c r="AQ78" s="230"/>
      <c r="AR78" s="230"/>
      <c r="AS78" s="230"/>
    </row>
    <row r="79" spans="1:45" s="231" customFormat="1">
      <c r="A79" s="23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  <c r="AN79" s="230"/>
      <c r="AO79" s="230"/>
      <c r="AP79" s="230"/>
      <c r="AQ79" s="230"/>
      <c r="AR79" s="230"/>
      <c r="AS79" s="230"/>
    </row>
    <row r="80" spans="1:45" s="231" customFormat="1">
      <c r="A80" s="230"/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  <c r="AN80" s="230"/>
      <c r="AO80" s="230"/>
      <c r="AP80" s="230"/>
      <c r="AQ80" s="230"/>
      <c r="AR80" s="230"/>
      <c r="AS80" s="230"/>
    </row>
    <row r="81" spans="1:45" s="231" customFormat="1">
      <c r="A81" s="230"/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  <c r="AN81" s="230"/>
      <c r="AO81" s="230"/>
      <c r="AP81" s="230"/>
      <c r="AQ81" s="230"/>
      <c r="AR81" s="230"/>
      <c r="AS81" s="230"/>
    </row>
    <row r="82" spans="1:45" s="231" customFormat="1">
      <c r="A82" s="230"/>
      <c r="B82" s="230"/>
      <c r="C82" s="230"/>
      <c r="D82" s="230"/>
      <c r="E82" s="230"/>
      <c r="F82" s="230"/>
      <c r="G82" s="230"/>
      <c r="H82" s="230"/>
      <c r="I82" s="230"/>
      <c r="J82" s="230"/>
      <c r="K82" s="230"/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/>
      <c r="AB82" s="230"/>
      <c r="AC82" s="230"/>
      <c r="AD82" s="230"/>
      <c r="AE82" s="230"/>
      <c r="AF82" s="230"/>
      <c r="AG82" s="230"/>
      <c r="AH82" s="230"/>
      <c r="AI82" s="230"/>
      <c r="AJ82" s="230"/>
      <c r="AK82" s="230"/>
      <c r="AL82" s="230"/>
      <c r="AM82" s="230"/>
      <c r="AN82" s="230"/>
      <c r="AO82" s="230"/>
      <c r="AP82" s="230"/>
      <c r="AQ82" s="230"/>
      <c r="AR82" s="230"/>
      <c r="AS82" s="230"/>
    </row>
    <row r="83" spans="1:45" s="231" customFormat="1">
      <c r="A83" s="230"/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230"/>
      <c r="Z83" s="230"/>
      <c r="AA83" s="230"/>
      <c r="AB83" s="230"/>
      <c r="AC83" s="230"/>
      <c r="AD83" s="230"/>
      <c r="AE83" s="230"/>
      <c r="AF83" s="230"/>
      <c r="AG83" s="230"/>
      <c r="AH83" s="230"/>
      <c r="AI83" s="230"/>
      <c r="AJ83" s="230"/>
      <c r="AK83" s="230"/>
      <c r="AL83" s="230"/>
      <c r="AM83" s="230"/>
      <c r="AN83" s="230"/>
      <c r="AO83" s="230"/>
      <c r="AP83" s="230"/>
      <c r="AQ83" s="230"/>
      <c r="AR83" s="230"/>
      <c r="AS83" s="230"/>
    </row>
    <row r="84" spans="1:45" s="231" customFormat="1">
      <c r="A84" s="230"/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  <c r="AN84" s="230"/>
      <c r="AO84" s="230"/>
      <c r="AP84" s="230"/>
      <c r="AQ84" s="230"/>
      <c r="AR84" s="230"/>
      <c r="AS84" s="230"/>
    </row>
    <row r="85" spans="1:45" s="231" customFormat="1">
      <c r="A85" s="230"/>
      <c r="B85" s="230"/>
      <c r="C85" s="230"/>
      <c r="D85" s="230"/>
      <c r="E85" s="230"/>
      <c r="F85" s="230"/>
      <c r="G85" s="230"/>
      <c r="H85" s="230"/>
      <c r="I85" s="230"/>
      <c r="J85" s="230"/>
      <c r="K85" s="230"/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30"/>
      <c r="AP85" s="230"/>
      <c r="AQ85" s="230"/>
      <c r="AR85" s="230"/>
      <c r="AS85" s="230"/>
    </row>
    <row r="86" spans="1:45" s="231" customFormat="1">
      <c r="A86" s="230"/>
      <c r="B86" s="230"/>
      <c r="C86" s="230"/>
      <c r="D86" s="230"/>
      <c r="E86" s="230"/>
      <c r="F86" s="230"/>
      <c r="G86" s="230"/>
      <c r="H86" s="230"/>
      <c r="I86" s="230"/>
      <c r="J86" s="230"/>
      <c r="K86" s="230"/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230"/>
      <c r="Z86" s="230"/>
      <c r="AA86" s="230"/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30"/>
      <c r="AP86" s="230"/>
      <c r="AQ86" s="230"/>
      <c r="AR86" s="230"/>
      <c r="AS86" s="230"/>
    </row>
    <row r="87" spans="1:45" s="231" customFormat="1">
      <c r="A87" s="230"/>
      <c r="B87" s="230"/>
      <c r="C87" s="230"/>
      <c r="D87" s="230"/>
      <c r="E87" s="230"/>
      <c r="F87" s="230"/>
      <c r="G87" s="230"/>
      <c r="H87" s="230"/>
      <c r="I87" s="230"/>
      <c r="J87" s="230"/>
      <c r="K87" s="230"/>
      <c r="L87" s="230"/>
      <c r="M87" s="230"/>
      <c r="N87" s="230"/>
      <c r="O87" s="230"/>
      <c r="P87" s="230"/>
      <c r="Q87" s="230"/>
      <c r="R87" s="230"/>
      <c r="S87" s="230"/>
      <c r="T87" s="230"/>
      <c r="U87" s="230"/>
      <c r="V87" s="230"/>
      <c r="W87" s="230"/>
      <c r="X87" s="230"/>
      <c r="Y87" s="230"/>
      <c r="Z87" s="230"/>
      <c r="AA87" s="230"/>
      <c r="AB87" s="230"/>
      <c r="AC87" s="230"/>
      <c r="AD87" s="230"/>
      <c r="AE87" s="230"/>
      <c r="AF87" s="230"/>
      <c r="AG87" s="230"/>
      <c r="AH87" s="230"/>
      <c r="AI87" s="230"/>
      <c r="AJ87" s="230"/>
      <c r="AK87" s="230"/>
      <c r="AL87" s="230"/>
      <c r="AM87" s="230"/>
      <c r="AN87" s="230"/>
      <c r="AO87" s="230"/>
      <c r="AP87" s="230"/>
      <c r="AQ87" s="230"/>
      <c r="AR87" s="230"/>
      <c r="AS87" s="230"/>
    </row>
    <row r="88" spans="1:45" s="231" customFormat="1">
      <c r="A88" s="230"/>
      <c r="B88" s="230"/>
      <c r="C88" s="230"/>
      <c r="D88" s="230"/>
      <c r="E88" s="230"/>
      <c r="F88" s="230"/>
      <c r="G88" s="230"/>
      <c r="H88" s="230"/>
      <c r="I88" s="230"/>
      <c r="J88" s="230"/>
      <c r="K88" s="230"/>
      <c r="L88" s="230"/>
      <c r="M88" s="230"/>
      <c r="N88" s="230"/>
      <c r="O88" s="230"/>
      <c r="P88" s="230"/>
      <c r="Q88" s="230"/>
      <c r="R88" s="230"/>
      <c r="S88" s="230"/>
      <c r="T88" s="230"/>
      <c r="U88" s="230"/>
      <c r="V88" s="230"/>
      <c r="W88" s="230"/>
      <c r="X88" s="230"/>
      <c r="Y88" s="230"/>
      <c r="Z88" s="230"/>
      <c r="AA88" s="230"/>
      <c r="AB88" s="230"/>
      <c r="AC88" s="230"/>
      <c r="AD88" s="230"/>
      <c r="AE88" s="230"/>
      <c r="AF88" s="230"/>
      <c r="AG88" s="230"/>
      <c r="AH88" s="230"/>
      <c r="AI88" s="230"/>
      <c r="AJ88" s="230"/>
      <c r="AK88" s="230"/>
      <c r="AL88" s="230"/>
      <c r="AM88" s="230"/>
      <c r="AN88" s="230"/>
      <c r="AO88" s="230"/>
      <c r="AP88" s="230"/>
      <c r="AQ88" s="230"/>
      <c r="AR88" s="230"/>
      <c r="AS88" s="230"/>
    </row>
    <row r="89" spans="1:45" s="231" customFormat="1">
      <c r="A89" s="230"/>
      <c r="B89" s="230"/>
      <c r="C89" s="230"/>
      <c r="D89" s="230"/>
      <c r="E89" s="230"/>
      <c r="F89" s="230"/>
      <c r="G89" s="230"/>
      <c r="H89" s="230"/>
      <c r="I89" s="230"/>
      <c r="J89" s="230"/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230"/>
      <c r="AP89" s="230"/>
      <c r="AQ89" s="230"/>
      <c r="AR89" s="230"/>
      <c r="AS89" s="230"/>
    </row>
    <row r="90" spans="1:45" s="231" customFormat="1">
      <c r="A90" s="230"/>
      <c r="B90" s="230"/>
      <c r="C90" s="230"/>
      <c r="D90" s="230"/>
      <c r="E90" s="230"/>
      <c r="F90" s="230"/>
      <c r="G90" s="230"/>
      <c r="H90" s="230"/>
      <c r="I90" s="230"/>
      <c r="J90" s="230"/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  <c r="AN90" s="230"/>
      <c r="AO90" s="230"/>
      <c r="AP90" s="230"/>
      <c r="AQ90" s="230"/>
      <c r="AR90" s="230"/>
      <c r="AS90" s="230"/>
    </row>
    <row r="91" spans="1:45" s="231" customFormat="1">
      <c r="A91" s="230"/>
      <c r="B91" s="230"/>
      <c r="C91" s="230"/>
      <c r="D91" s="230"/>
      <c r="E91" s="230"/>
      <c r="F91" s="230"/>
      <c r="G91" s="230"/>
      <c r="H91" s="230"/>
      <c r="I91" s="230"/>
      <c r="J91" s="230"/>
      <c r="K91" s="230"/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230"/>
      <c r="Z91" s="230"/>
      <c r="AA91" s="230"/>
      <c r="AB91" s="230"/>
      <c r="AC91" s="230"/>
      <c r="AD91" s="230"/>
      <c r="AE91" s="230"/>
      <c r="AF91" s="230"/>
      <c r="AG91" s="230"/>
      <c r="AH91" s="230"/>
      <c r="AI91" s="230"/>
      <c r="AJ91" s="230"/>
      <c r="AK91" s="230"/>
      <c r="AL91" s="230"/>
      <c r="AM91" s="230"/>
      <c r="AN91" s="230"/>
      <c r="AO91" s="230"/>
      <c r="AP91" s="230"/>
      <c r="AQ91" s="230"/>
      <c r="AR91" s="230"/>
      <c r="AS91" s="230"/>
    </row>
    <row r="92" spans="1:45" s="231" customFormat="1">
      <c r="A92" s="230"/>
      <c r="B92" s="230"/>
      <c r="C92" s="230"/>
      <c r="D92" s="230"/>
      <c r="E92" s="230"/>
      <c r="F92" s="230"/>
      <c r="G92" s="230"/>
      <c r="H92" s="230"/>
      <c r="I92" s="230"/>
      <c r="J92" s="230"/>
      <c r="K92" s="230"/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230"/>
      <c r="Z92" s="230"/>
      <c r="AA92" s="230"/>
      <c r="AB92" s="230"/>
      <c r="AC92" s="230"/>
      <c r="AD92" s="230"/>
      <c r="AE92" s="230"/>
      <c r="AF92" s="230"/>
      <c r="AG92" s="230"/>
      <c r="AH92" s="230"/>
      <c r="AI92" s="230"/>
      <c r="AJ92" s="230"/>
      <c r="AK92" s="230"/>
      <c r="AL92" s="230"/>
      <c r="AM92" s="230"/>
      <c r="AN92" s="230"/>
      <c r="AO92" s="230"/>
      <c r="AP92" s="230"/>
      <c r="AQ92" s="230"/>
      <c r="AR92" s="230"/>
      <c r="AS92" s="230"/>
    </row>
    <row r="93" spans="1:45" s="231" customFormat="1">
      <c r="A93" s="230"/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  <c r="AN93" s="230"/>
      <c r="AO93" s="230"/>
      <c r="AP93" s="230"/>
      <c r="AQ93" s="230"/>
      <c r="AR93" s="230"/>
      <c r="AS93" s="230"/>
    </row>
    <row r="94" spans="1:45" s="231" customFormat="1">
      <c r="A94" s="230"/>
      <c r="B94" s="230"/>
      <c r="C94" s="230"/>
      <c r="D94" s="230"/>
      <c r="E94" s="230"/>
      <c r="F94" s="230"/>
      <c r="G94" s="230"/>
      <c r="H94" s="230"/>
      <c r="I94" s="230"/>
      <c r="J94" s="230"/>
      <c r="K94" s="230"/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230"/>
      <c r="Z94" s="230"/>
      <c r="AA94" s="230"/>
      <c r="AB94" s="230"/>
      <c r="AC94" s="230"/>
      <c r="AD94" s="230"/>
      <c r="AE94" s="230"/>
      <c r="AF94" s="230"/>
      <c r="AG94" s="230"/>
      <c r="AH94" s="230"/>
      <c r="AI94" s="230"/>
      <c r="AJ94" s="230"/>
      <c r="AK94" s="230"/>
      <c r="AL94" s="230"/>
      <c r="AM94" s="230"/>
      <c r="AN94" s="230"/>
      <c r="AO94" s="230"/>
      <c r="AP94" s="230"/>
      <c r="AQ94" s="230"/>
      <c r="AR94" s="230"/>
      <c r="AS94" s="230"/>
    </row>
    <row r="95" spans="1:45" s="231" customFormat="1">
      <c r="A95" s="230"/>
      <c r="B95" s="230"/>
      <c r="C95" s="230"/>
      <c r="D95" s="230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  <c r="AA95" s="230"/>
      <c r="AB95" s="230"/>
      <c r="AC95" s="230"/>
      <c r="AD95" s="230"/>
      <c r="AE95" s="230"/>
      <c r="AF95" s="230"/>
      <c r="AG95" s="230"/>
      <c r="AH95" s="230"/>
      <c r="AI95" s="230"/>
      <c r="AJ95" s="230"/>
      <c r="AK95" s="230"/>
      <c r="AL95" s="230"/>
      <c r="AM95" s="230"/>
      <c r="AN95" s="230"/>
      <c r="AO95" s="230"/>
      <c r="AP95" s="230"/>
      <c r="AQ95" s="230"/>
      <c r="AR95" s="230"/>
      <c r="AS95" s="230"/>
    </row>
    <row r="96" spans="1:45" s="231" customFormat="1">
      <c r="A96" s="230"/>
      <c r="B96" s="230"/>
      <c r="C96" s="230"/>
      <c r="D96" s="230"/>
      <c r="E96" s="230"/>
      <c r="F96" s="230"/>
      <c r="G96" s="230"/>
      <c r="H96" s="230"/>
      <c r="I96" s="230"/>
      <c r="J96" s="230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230"/>
      <c r="Z96" s="230"/>
      <c r="AA96" s="230"/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230"/>
      <c r="AP96" s="230"/>
      <c r="AQ96" s="230"/>
      <c r="AR96" s="230"/>
      <c r="AS96" s="230"/>
    </row>
    <row r="97" spans="1:45" s="231" customFormat="1">
      <c r="A97" s="230"/>
      <c r="B97" s="230"/>
      <c r="C97" s="230"/>
      <c r="D97" s="230"/>
      <c r="E97" s="230"/>
      <c r="F97" s="230"/>
      <c r="G97" s="230"/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230"/>
      <c r="AP97" s="230"/>
      <c r="AQ97" s="230"/>
      <c r="AR97" s="230"/>
      <c r="AS97" s="230"/>
    </row>
    <row r="98" spans="1:45" s="231" customFormat="1">
      <c r="A98" s="230"/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  <c r="AS98" s="230"/>
    </row>
    <row r="99" spans="1:45" s="231" customFormat="1">
      <c r="A99" s="230"/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</row>
    <row r="100" spans="1:45" s="231" customFormat="1">
      <c r="A100" s="230"/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H100" s="230"/>
      <c r="AI100" s="230"/>
      <c r="AJ100" s="230"/>
      <c r="AK100" s="230"/>
      <c r="AL100" s="230"/>
      <c r="AM100" s="230"/>
      <c r="AN100" s="230"/>
      <c r="AO100" s="230"/>
      <c r="AP100" s="230"/>
      <c r="AQ100" s="230"/>
      <c r="AR100" s="230"/>
      <c r="AS100" s="230"/>
    </row>
    <row r="101" spans="1:45" s="231" customFormat="1"/>
    <row r="102" spans="1:45" s="231" customFormat="1"/>
    <row r="103" spans="1:45" s="231" customFormat="1"/>
    <row r="104" spans="1:45" s="231" customFormat="1"/>
    <row r="105" spans="1:45" s="231" customFormat="1"/>
    <row r="106" spans="1:45" s="231" customFormat="1"/>
    <row r="107" spans="1:45" s="231" customFormat="1"/>
    <row r="108" spans="1:45" s="231" customFormat="1"/>
    <row r="109" spans="1:45" s="231" customFormat="1"/>
    <row r="110" spans="1:45" s="231" customFormat="1"/>
  </sheetData>
  <sheetProtection algorithmName="SHA-512" hashValue="zsfH8RAMkLXB/kNaqgls3uQn2nvnLi5Kagxq1Qy3fmXdR/btxanwN5aXk6up8XmkhYWk81691fYMH59ufamGbA==" saltValue="2LK4B5zy+pwxzndFwPgYnQ==" spinCount="100000" sheet="1" objects="1" selectLockedCells="1"/>
  <mergeCells count="18">
    <mergeCell ref="B12:C12"/>
    <mergeCell ref="B7:E7"/>
    <mergeCell ref="B8:C8"/>
    <mergeCell ref="B9:C9"/>
    <mergeCell ref="B10:C10"/>
    <mergeCell ref="B11:C11"/>
    <mergeCell ref="B18:C18"/>
    <mergeCell ref="B13:C13"/>
    <mergeCell ref="B14:C14"/>
    <mergeCell ref="B15:C15"/>
    <mergeCell ref="B16:C16"/>
    <mergeCell ref="B17:C17"/>
    <mergeCell ref="S37:W37"/>
    <mergeCell ref="R38:W38"/>
    <mergeCell ref="T39:W39"/>
    <mergeCell ref="S5:W5"/>
    <mergeCell ref="R6:W6"/>
    <mergeCell ref="T7:W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ayfa13"/>
  <dimension ref="S7:X63"/>
  <sheetViews>
    <sheetView showGridLines="0" showRowColHeaders="0" zoomScale="62" zoomScaleNormal="62" workbookViewId="0">
      <selection activeCell="T7" sqref="T7:X7"/>
    </sheetView>
  </sheetViews>
  <sheetFormatPr defaultColWidth="9.140625" defaultRowHeight="15"/>
  <cols>
    <col min="1" max="16384" width="9.140625" style="252"/>
  </cols>
  <sheetData>
    <row r="7" spans="19:24">
      <c r="T7" s="3729" t="s">
        <v>47</v>
      </c>
      <c r="U7" s="3729"/>
      <c r="V7" s="3729"/>
      <c r="W7" s="3729"/>
      <c r="X7" s="3729"/>
    </row>
    <row r="8" spans="19:24">
      <c r="S8" s="3729" t="s">
        <v>17</v>
      </c>
      <c r="T8" s="3729"/>
      <c r="U8" s="3729"/>
      <c r="V8" s="3729"/>
      <c r="W8" s="3729"/>
      <c r="X8" s="3729"/>
    </row>
    <row r="9" spans="19:24">
      <c r="T9" s="3729">
        <v>2026</v>
      </c>
      <c r="U9" s="3729"/>
      <c r="V9" s="3729"/>
      <c r="W9" s="3729"/>
      <c r="X9" s="3729"/>
    </row>
    <row r="57" ht="28.5" customHeight="1"/>
    <row r="58" ht="28.5" customHeight="1"/>
    <row r="59" ht="42" customHeight="1"/>
    <row r="60" ht="28.5" customHeight="1"/>
    <row r="61" ht="28.5" customHeight="1"/>
    <row r="62" ht="28.5" customHeight="1"/>
    <row r="63" ht="28.5" customHeight="1"/>
  </sheetData>
  <sheetProtection algorithmName="SHA-512" hashValue="lt2m4emTuQI1Gs5qEsrg+VNGL+L+S7SZYbcrbAHmCQLnZnF93UtysBvI9eSOlOtdqrGp9dUzIfPV4q82YleWtg==" saltValue="D1JBkV5KA5XR0aOpF2MoMg==" spinCount="100000" sheet="1" objects="1" selectLockedCells="1"/>
  <mergeCells count="3">
    <mergeCell ref="T7:X7"/>
    <mergeCell ref="S8:X8"/>
    <mergeCell ref="T9:X9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93</vt:i4>
      </vt:variant>
      <vt:variant>
        <vt:lpstr>Adlandırılmış Aralıklar</vt:lpstr>
      </vt:variant>
      <vt:variant>
        <vt:i4>1</vt:i4>
      </vt:variant>
    </vt:vector>
  </HeadingPairs>
  <TitlesOfParts>
    <vt:vector size="94" baseType="lpstr">
      <vt:lpstr>Lavabo Montaj Ölçüleri </vt:lpstr>
      <vt:lpstr>Banyo Montaj Ölçüleri </vt:lpstr>
      <vt:lpstr>Duş &amp; Küvet Montaj Ölçüleri</vt:lpstr>
      <vt:lpstr>Klozet Montaj Ölçüleri</vt:lpstr>
      <vt:lpstr>mimarlık</vt:lpstr>
      <vt:lpstr>YnS Ana Say</vt:lpstr>
      <vt:lpstr>peysaj ve sulama</vt:lpstr>
      <vt:lpstr>Soğutma</vt:lpstr>
      <vt:lpstr>Isı Pompası</vt:lpstr>
      <vt:lpstr>YAĞMUR</vt:lpstr>
      <vt:lpstr>İNŞAAT</vt:lpstr>
      <vt:lpstr>Doğalgaz</vt:lpstr>
      <vt:lpstr>Teknik Kütüphane</vt:lpstr>
      <vt:lpstr>Tesisat</vt:lpstr>
      <vt:lpstr>Havuz Eşanjör</vt:lpstr>
      <vt:lpstr>Havalandırma</vt:lpstr>
      <vt:lpstr>Yerden Isıtma</vt:lpstr>
      <vt:lpstr>ISITMA</vt:lpstr>
      <vt:lpstr>Yns ANA SAYFA</vt:lpstr>
      <vt:lpstr>Nem Alma Cihaz Hesabı</vt:lpstr>
      <vt:lpstr>Sarnıç Hesabı</vt:lpstr>
      <vt:lpstr>Islak Hacim İşçilik H</vt:lpstr>
      <vt:lpstr>Yerden Isıtma Hesabı</vt:lpstr>
      <vt:lpstr>pratik yerden ısıtma hesabı</vt:lpstr>
      <vt:lpstr>Modülasyon ve yerden ısıtma hes</vt:lpstr>
      <vt:lpstr>Yerden Isıtma Malzeme Rehau Hes</vt:lpstr>
      <vt:lpstr>Boru Çapı Hesabı</vt:lpstr>
      <vt:lpstr>boru çap hesabı(soğuk su tes.)</vt:lpstr>
      <vt:lpstr>Somunlu Kelepçe</vt:lpstr>
      <vt:lpstr>Buhar Odası Buh.Jenertör Hesabı</vt:lpstr>
      <vt:lpstr>AĞIR YÜK SOMUNLU KELEPÇE</vt:lpstr>
      <vt:lpstr>AĞIR YÜK KAFALI KELEPÇE</vt:lpstr>
      <vt:lpstr>KLASİK TİP SPRİNKLER KELEPÇE</vt:lpstr>
      <vt:lpstr>Rot ve Tij Ölçüleri</vt:lpstr>
      <vt:lpstr>U BOLT Ölçüleri</vt:lpstr>
      <vt:lpstr>UZUN TİP SPRİNKLER KELEPÇE</vt:lpstr>
      <vt:lpstr>KLASİK TRİFONLU KELEPÇE</vt:lpstr>
      <vt:lpstr>UZUN TRİFONLU KELEPÇE</vt:lpstr>
      <vt:lpstr>KOMBİ SOMUNLU KELEPÇE</vt:lpstr>
      <vt:lpstr>BORU TESİSAT YALITIM ÖLÇÜLERİ</vt:lpstr>
      <vt:lpstr>Kelepçeler</vt:lpstr>
      <vt:lpstr>Tesisat sembolleri</vt:lpstr>
      <vt:lpstr>Boyler genleşme Tankı Seçimi</vt:lpstr>
      <vt:lpstr>Rögar Akar Kod ve Künk</vt:lpstr>
      <vt:lpstr>İnşaat Hafriyat Hesabı</vt:lpstr>
      <vt:lpstr>Birim Dönüştür</vt:lpstr>
      <vt:lpstr>Kazan dairesi hesabı YNS-2023</vt:lpstr>
      <vt:lpstr>Kazan Dairesi Denge Kabı</vt:lpstr>
      <vt:lpstr>Kazan Dairesi Genleşme Tankı He</vt:lpstr>
      <vt:lpstr>Kazan Dairesi Boru Çapı Hesabı</vt:lpstr>
      <vt:lpstr>Sayfa1</vt:lpstr>
      <vt:lpstr>Isı Pompası Hesabı-2</vt:lpstr>
      <vt:lpstr>Radyatör Hesabı</vt:lpstr>
      <vt:lpstr>Boyler Hesabı  </vt:lpstr>
      <vt:lpstr>Havuz Denge Depo Hesabı</vt:lpstr>
      <vt:lpstr>Havuz Eşanjör Hesabı-1</vt:lpstr>
      <vt:lpstr>Havuz Eşanjör Kapasite Hesabı</vt:lpstr>
      <vt:lpstr>Merkezi Toz Emme Hesabı</vt:lpstr>
      <vt:lpstr>Davlumbaz Hesabı</vt:lpstr>
      <vt:lpstr>Isı Pompası Hesabı</vt:lpstr>
      <vt:lpstr>Kapalı Havuz Nem Alma Hesabı</vt:lpstr>
      <vt:lpstr>PomPa ve Genleşme Tk Hesbı</vt:lpstr>
      <vt:lpstr>hidrolik karıştırıcı-denge kabı</vt:lpstr>
      <vt:lpstr>Re-Sirkülasyon Pompa seçimi</vt:lpstr>
      <vt:lpstr>3 yollu karışım vana seçimi</vt:lpstr>
      <vt:lpstr>Isıtma Hattı Genleşme Tankı seç</vt:lpstr>
      <vt:lpstr>Temiz Su Genleşme Tankı Seçimi</vt:lpstr>
      <vt:lpstr>Güneş Kollektör Hesapı</vt:lpstr>
      <vt:lpstr>Güneş Pompa Ve Boru Çapı Seçimi</vt:lpstr>
      <vt:lpstr>Boru Çapı Hesabı-2</vt:lpstr>
      <vt:lpstr>Rehau ile vitrifiye temiz su</vt:lpstr>
      <vt:lpstr>Atık su kelepçe adet hesabı</vt:lpstr>
      <vt:lpstr>soğuk su- sıcak su-pis su hesap</vt:lpstr>
      <vt:lpstr>Doğalgaz Menfez Hesabı-Sayaç</vt:lpstr>
      <vt:lpstr>Doğlz.Regülatör Malzeme Hesabı</vt:lpstr>
      <vt:lpstr>Doğlz Regülatör Malzeme Listesi</vt:lpstr>
      <vt:lpstr>Kazan Baca Çapı Hesabı</vt:lpstr>
      <vt:lpstr>WC Fan basınç kaybı Hesabı</vt:lpstr>
      <vt:lpstr>kanal hesap</vt:lpstr>
      <vt:lpstr>ISI GERİ KAZANIM CİHAZI HESABI</vt:lpstr>
      <vt:lpstr>Kanal Kesit Hesabı</vt:lpstr>
      <vt:lpstr>Şönt Pompa seçimi</vt:lpstr>
      <vt:lpstr>HİDROFOR Hesabı</vt:lpstr>
      <vt:lpstr>Bahçe Sulama Hesabı</vt:lpstr>
      <vt:lpstr>Soğutma Katsayısı</vt:lpstr>
      <vt:lpstr>Drenaj Kanal Hesabı</vt:lpstr>
      <vt:lpstr>Klima Hesabı </vt:lpstr>
      <vt:lpstr>Klima Hesabı</vt:lpstr>
      <vt:lpstr>Yağmur suyu hesabı</vt:lpstr>
      <vt:lpstr>Yağmur Suyu Hesabı-2</vt:lpstr>
      <vt:lpstr>Balkon Ve Teras Süzgeç Hesabı</vt:lpstr>
      <vt:lpstr>C-kollektör Hesabı</vt:lpstr>
      <vt:lpstr>arıtma cihazı çalışma prensibi</vt:lpstr>
      <vt:lpstr>'PomPa ve Genleşme Tk Hesbı'!Yazdırma_Alanı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Yunus</dc:creator>
  <cp:lastModifiedBy>Proje Pc</cp:lastModifiedBy>
  <cp:lastPrinted>2022-05-27T08:30:02Z</cp:lastPrinted>
  <dcterms:created xsi:type="dcterms:W3CDTF">2014-04-24T05:11:16Z</dcterms:created>
  <dcterms:modified xsi:type="dcterms:W3CDTF">2025-12-27T11:49:55Z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false</vt:bool>
  </property>
</Properties>
</file>