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esktop\Uandes\11avo_semestre\Proyecto_civil\Entrega_3\"/>
    </mc:Choice>
  </mc:AlternateContent>
  <xr:revisionPtr revIDLastSave="0" documentId="13_ncr:1_{2D4E8C28-620D-40AF-BC72-02225936F29D}" xr6:coauthVersionLast="47" xr6:coauthVersionMax="47" xr10:uidLastSave="{00000000-0000-0000-0000-000000000000}"/>
  <bookViews>
    <workbookView xWindow="-108" yWindow="-108" windowWidth="23256" windowHeight="12576" activeTab="3" xr2:uid="{2653D79F-DE5A-4F93-BBBF-A43AA914CF88}"/>
  </bookViews>
  <sheets>
    <sheet name="Parámetros" sheetId="3" r:id="rId1"/>
    <sheet name="Estimacion_periodo" sheetId="4" r:id="rId2"/>
    <sheet name="Factor R" sheetId="1" r:id="rId3"/>
    <sheet name="Corte basal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5" i="2" l="1"/>
  <c r="K21" i="2"/>
  <c r="C32" i="1"/>
  <c r="K27" i="2" s="1"/>
  <c r="V43" i="1"/>
  <c r="U43" i="1"/>
  <c r="V42" i="1"/>
  <c r="U42" i="1"/>
  <c r="K8" i="2"/>
  <c r="C24" i="4"/>
  <c r="D17" i="4"/>
  <c r="C21" i="4"/>
  <c r="C20" i="4"/>
  <c r="C15" i="4"/>
  <c r="C13" i="4"/>
  <c r="C12" i="4"/>
  <c r="K15" i="2"/>
  <c r="K14" i="2"/>
  <c r="K7" i="2"/>
  <c r="K9" i="2"/>
  <c r="K10" i="2"/>
  <c r="B14" i="3"/>
  <c r="B13" i="3"/>
  <c r="B12" i="3"/>
  <c r="K6" i="2" s="1"/>
  <c r="B11" i="3"/>
  <c r="K5" i="2" s="1"/>
  <c r="B10" i="3"/>
  <c r="K4" i="2" s="1"/>
  <c r="B9" i="3"/>
  <c r="B8" i="3"/>
  <c r="K2" i="2" s="1"/>
  <c r="K30" i="2" l="1"/>
  <c r="K29" i="2"/>
  <c r="K36" i="2"/>
  <c r="K37" i="2"/>
  <c r="K32" i="2"/>
  <c r="K33" i="2"/>
  <c r="K3" i="2"/>
  <c r="C19" i="1"/>
  <c r="C22" i="4"/>
  <c r="M32" i="2" l="1"/>
  <c r="M33" i="2"/>
  <c r="C27" i="1"/>
  <c r="C26" i="1"/>
  <c r="K18" i="2" l="1"/>
  <c r="K45" i="2" s="1"/>
  <c r="E27" i="1"/>
  <c r="K17" i="2"/>
  <c r="E26" i="1"/>
  <c r="M18" i="2"/>
  <c r="K22" i="2"/>
  <c r="M17" i="2"/>
  <c r="K44" i="2" l="1"/>
  <c r="M45" i="2"/>
  <c r="M44" i="2" l="1"/>
</calcChain>
</file>

<file path=xl/sharedStrings.xml><?xml version="1.0" encoding="utf-8"?>
<sst xmlns="http://schemas.openxmlformats.org/spreadsheetml/2006/main" count="165" uniqueCount="99">
  <si>
    <t>MODO</t>
  </si>
  <si>
    <t>Periodo [s]</t>
  </si>
  <si>
    <t>Dirección</t>
  </si>
  <si>
    <t>UX</t>
  </si>
  <si>
    <t>UY</t>
  </si>
  <si>
    <t>Rx*</t>
  </si>
  <si>
    <t>Ry*</t>
  </si>
  <si>
    <t>1/Rx*</t>
  </si>
  <si>
    <t>1/Ry*</t>
  </si>
  <si>
    <t>R0</t>
  </si>
  <si>
    <t>T0</t>
  </si>
  <si>
    <t>Tabla 6.3 Valor de los parámetros que dependen del tipo de suelo</t>
  </si>
  <si>
    <t>Tipo suelo</t>
  </si>
  <si>
    <t>s</t>
  </si>
  <si>
    <t>T_0(s)</t>
  </si>
  <si>
    <t>T'(s)</t>
  </si>
  <si>
    <t>n</t>
  </si>
  <si>
    <t>p</t>
  </si>
  <si>
    <t>A</t>
  </si>
  <si>
    <t>B</t>
  </si>
  <si>
    <t>C</t>
  </si>
  <si>
    <t>D</t>
  </si>
  <si>
    <t>E</t>
  </si>
  <si>
    <t>Tipo de suelo</t>
  </si>
  <si>
    <t>P</t>
  </si>
  <si>
    <t>tonf</t>
  </si>
  <si>
    <t>ESPECTRO DE DISEÑIO ELÁSTICO (R*=1)</t>
  </si>
  <si>
    <t>Tabla 6.1 Valor del coeficiente I</t>
  </si>
  <si>
    <t>Tabla 6.2 Valor de acc eff (A0)</t>
  </si>
  <si>
    <t>Parámetros del suelo</t>
  </si>
  <si>
    <t>Categoría del edificio</t>
  </si>
  <si>
    <t>I</t>
  </si>
  <si>
    <t>Zona sísmica</t>
  </si>
  <si>
    <t>A0</t>
  </si>
  <si>
    <t>Categoría de edificio</t>
  </si>
  <si>
    <t>II</t>
  </si>
  <si>
    <t>III</t>
  </si>
  <si>
    <t>IV</t>
  </si>
  <si>
    <t>S</t>
  </si>
  <si>
    <t>-</t>
  </si>
  <si>
    <t>T'</t>
  </si>
  <si>
    <t>g</t>
  </si>
  <si>
    <t>R</t>
  </si>
  <si>
    <t>item</t>
  </si>
  <si>
    <t>valor</t>
  </si>
  <si>
    <t>C x(6.2.3.1)</t>
  </si>
  <si>
    <t>C y(6.2.3.1)</t>
  </si>
  <si>
    <t>CIP_x</t>
  </si>
  <si>
    <t>CIP_y</t>
  </si>
  <si>
    <t>norma</t>
  </si>
  <si>
    <t>primera iteración</t>
  </si>
  <si>
    <t>Qx_1</t>
  </si>
  <si>
    <t>Qy_1</t>
  </si>
  <si>
    <t>Q_xn</t>
  </si>
  <si>
    <t>Q_yn</t>
  </si>
  <si>
    <t>C_MAX (Tabla6.4)</t>
  </si>
  <si>
    <t>C_min</t>
  </si>
  <si>
    <t>Calculamos R**</t>
  </si>
  <si>
    <t>Rx**</t>
  </si>
  <si>
    <t>Ry**</t>
  </si>
  <si>
    <t>1/Ry**</t>
  </si>
  <si>
    <t>1/Rx**</t>
  </si>
  <si>
    <t>Q_x2</t>
  </si>
  <si>
    <t>Qy_2</t>
  </si>
  <si>
    <t>Segunda iteranción</t>
  </si>
  <si>
    <t>ton f</t>
  </si>
  <si>
    <t>Peso sísmcio promedio por piso tipo</t>
  </si>
  <si>
    <t>Peso sísmcio promedio por piso subterráneo</t>
  </si>
  <si>
    <t>T/m^2</t>
  </si>
  <si>
    <t>Número de pisos tipo</t>
  </si>
  <si>
    <t>Número de subterraneo</t>
  </si>
  <si>
    <t>Área subterráneo</t>
  </si>
  <si>
    <t>m^2</t>
  </si>
  <si>
    <t>Área piso tipo</t>
  </si>
  <si>
    <t>Peso sísmico por piso</t>
  </si>
  <si>
    <t>T</t>
  </si>
  <si>
    <t>Peso sísmico subterráneo</t>
  </si>
  <si>
    <t>Peso sísmico edificio</t>
  </si>
  <si>
    <t>Como se vio en el ramo, H/T = (50, 70)</t>
  </si>
  <si>
    <t>Altura de cada piso</t>
  </si>
  <si>
    <t>m</t>
  </si>
  <si>
    <t>Altura del edificio</t>
  </si>
  <si>
    <t>H/T</t>
  </si>
  <si>
    <t>Aplicando la fórmula de T=N/20</t>
  </si>
  <si>
    <t>Cumple</t>
  </si>
  <si>
    <t>Verificar si es desde el nivel del suelo o la parte más profunda del edificio ( pozo ascensor)</t>
  </si>
  <si>
    <t>Corte basal Q= CIP</t>
  </si>
  <si>
    <t>Tonf</t>
  </si>
  <si>
    <t>PP</t>
  </si>
  <si>
    <t>SC</t>
  </si>
  <si>
    <t>IA0 P/6</t>
  </si>
  <si>
    <t>0.35*SIA0P</t>
  </si>
  <si>
    <t>Máximo</t>
  </si>
  <si>
    <t>Mínimo</t>
  </si>
  <si>
    <t>Cum Mass X</t>
  </si>
  <si>
    <t>tonf-s²/m</t>
  </si>
  <si>
    <t>Cum Mass Y</t>
  </si>
  <si>
    <t>Peso sísmico</t>
  </si>
  <si>
    <t>Masa sísmica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</si>
</sst>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1" xfId="0" applyBorder="1"/>
    <xf numFmtId="0" fontId="0" fillId="2" borderId="1" xfId="0" applyFill="1" applyBorder="1"/>
    <xf numFmtId="164" fontId="0" fillId="0" borderId="1" xfId="0" applyNumberFormat="1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65" fontId="0" fillId="0" borderId="1" xfId="0" applyNumberFormat="1" applyBorder="1"/>
    <xf numFmtId="9" fontId="0" fillId="0" borderId="0" xfId="0" applyNumberFormat="1"/>
    <xf numFmtId="0" fontId="0" fillId="0" borderId="3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0" fillId="2" borderId="2" xfId="0" applyFill="1" applyBorder="1"/>
    <xf numFmtId="0" fontId="0" fillId="2" borderId="5" xfId="0" applyFill="1" applyBorder="1"/>
    <xf numFmtId="0" fontId="0" fillId="2" borderId="8" xfId="0" applyFill="1" applyBorder="1"/>
    <xf numFmtId="0" fontId="2" fillId="0" borderId="0" xfId="0" applyFont="1" applyAlignment="1">
      <alignment horizontal="center" vertical="center" wrapText="1"/>
    </xf>
    <xf numFmtId="0" fontId="0" fillId="0" borderId="15" xfId="0" applyBorder="1" applyAlignment="1">
      <alignment vertical="center" wrapText="1"/>
    </xf>
    <xf numFmtId="0" fontId="0" fillId="0" borderId="1" xfId="0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center" wrapText="1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6.png"/><Relationship Id="rId3" Type="http://schemas.openxmlformats.org/officeDocument/2006/relationships/image" Target="../media/image11.png"/><Relationship Id="rId7" Type="http://schemas.openxmlformats.org/officeDocument/2006/relationships/image" Target="../media/image15.png"/><Relationship Id="rId2" Type="http://schemas.openxmlformats.org/officeDocument/2006/relationships/image" Target="../media/image10.png"/><Relationship Id="rId1" Type="http://schemas.openxmlformats.org/officeDocument/2006/relationships/image" Target="../media/image9.png"/><Relationship Id="rId6" Type="http://schemas.openxmlformats.org/officeDocument/2006/relationships/image" Target="../media/image14.png"/><Relationship Id="rId5" Type="http://schemas.openxmlformats.org/officeDocument/2006/relationships/image" Target="../media/image13.png"/><Relationship Id="rId4" Type="http://schemas.openxmlformats.org/officeDocument/2006/relationships/image" Target="../media/image12.png"/><Relationship Id="rId9" Type="http://schemas.openxmlformats.org/officeDocument/2006/relationships/image" Target="../media/image1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399197</xdr:colOff>
      <xdr:row>14</xdr:row>
      <xdr:rowOff>131821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E450EDF-053C-D69B-74E1-11A562899D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535327" cy="2695951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1</xdr:row>
      <xdr:rowOff>0</xdr:rowOff>
    </xdr:from>
    <xdr:to>
      <xdr:col>17</xdr:col>
      <xdr:colOff>722759</xdr:colOff>
      <xdr:row>42</xdr:row>
      <xdr:rowOff>176337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5F10982-1752-2DC6-2946-5B290A3D03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717280" y="182880"/>
          <a:ext cx="5477639" cy="7716327"/>
        </a:xfrm>
        <a:prstGeom prst="rect">
          <a:avLst/>
        </a:prstGeom>
      </xdr:spPr>
    </xdr:pic>
    <xdr:clientData/>
  </xdr:twoCellAnchor>
  <xdr:twoCellAnchor editAs="oneCell">
    <xdr:from>
      <xdr:col>4</xdr:col>
      <xdr:colOff>594360</xdr:colOff>
      <xdr:row>14</xdr:row>
      <xdr:rowOff>1</xdr:rowOff>
    </xdr:from>
    <xdr:to>
      <xdr:col>10</xdr:col>
      <xdr:colOff>580811</xdr:colOff>
      <xdr:row>18</xdr:row>
      <xdr:rowOff>121921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A5FD47D5-D8F8-81AA-8AAC-A3DF14CB12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64280" y="2560321"/>
          <a:ext cx="4741331" cy="853440"/>
        </a:xfrm>
        <a:prstGeom prst="rect">
          <a:avLst/>
        </a:prstGeom>
      </xdr:spPr>
    </xdr:pic>
    <xdr:clientData/>
  </xdr:twoCellAnchor>
  <xdr:twoCellAnchor editAs="oneCell">
    <xdr:from>
      <xdr:col>5</xdr:col>
      <xdr:colOff>164441</xdr:colOff>
      <xdr:row>20</xdr:row>
      <xdr:rowOff>80246</xdr:rowOff>
    </xdr:from>
    <xdr:to>
      <xdr:col>10</xdr:col>
      <xdr:colOff>713081</xdr:colOff>
      <xdr:row>29</xdr:row>
      <xdr:rowOff>25642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6AC81A06-5C24-6EC6-BC4D-DA04284743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115552" y="3655061"/>
          <a:ext cx="4499751" cy="1563470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37</xdr:row>
      <xdr:rowOff>0</xdr:rowOff>
    </xdr:from>
    <xdr:to>
      <xdr:col>4</xdr:col>
      <xdr:colOff>708661</xdr:colOff>
      <xdr:row>59</xdr:row>
      <xdr:rowOff>103643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E6C8FFCD-04C9-2456-D7E6-C133EFF0EB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" y="6797040"/>
          <a:ext cx="3878580" cy="4134623"/>
        </a:xfrm>
        <a:prstGeom prst="rect">
          <a:avLst/>
        </a:prstGeom>
      </xdr:spPr>
    </xdr:pic>
    <xdr:clientData/>
  </xdr:twoCellAnchor>
  <xdr:twoCellAnchor editAs="oneCell">
    <xdr:from>
      <xdr:col>5</xdr:col>
      <xdr:colOff>1</xdr:colOff>
      <xdr:row>38</xdr:row>
      <xdr:rowOff>1</xdr:rowOff>
    </xdr:from>
    <xdr:to>
      <xdr:col>9</xdr:col>
      <xdr:colOff>609600</xdr:colOff>
      <xdr:row>60</xdr:row>
      <xdr:rowOff>40358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44E17AC1-2775-0146-FB80-316190E1E4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962401" y="6979921"/>
          <a:ext cx="3779519" cy="407133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45</xdr:row>
      <xdr:rowOff>0</xdr:rowOff>
    </xdr:from>
    <xdr:to>
      <xdr:col>21</xdr:col>
      <xdr:colOff>286896</xdr:colOff>
      <xdr:row>57</xdr:row>
      <xdr:rowOff>158443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8F9FDBED-7A68-1DF3-B1F8-60AFE4FD40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717280" y="8267700"/>
          <a:ext cx="8211696" cy="2353003"/>
        </a:xfrm>
        <a:prstGeom prst="rect">
          <a:avLst/>
        </a:prstGeom>
      </xdr:spPr>
    </xdr:pic>
    <xdr:clientData/>
  </xdr:twoCellAnchor>
  <xdr:twoCellAnchor editAs="oneCell">
    <xdr:from>
      <xdr:col>23</xdr:col>
      <xdr:colOff>0</xdr:colOff>
      <xdr:row>16</xdr:row>
      <xdr:rowOff>0</xdr:rowOff>
    </xdr:from>
    <xdr:to>
      <xdr:col>39</xdr:col>
      <xdr:colOff>428549</xdr:colOff>
      <xdr:row>66</xdr:row>
      <xdr:rowOff>67966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77DC3B8D-DF71-A2EC-D391-ADA097A791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8227040" y="2926080"/>
          <a:ext cx="13108229" cy="925006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60960</xdr:colOff>
      <xdr:row>6</xdr:row>
      <xdr:rowOff>60960</xdr:rowOff>
    </xdr:from>
    <xdr:to>
      <xdr:col>7</xdr:col>
      <xdr:colOff>591398</xdr:colOff>
      <xdr:row>38</xdr:row>
      <xdr:rowOff>96072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7F18678-1476-EEA7-2F16-13C1F6E0A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" y="1158240"/>
          <a:ext cx="6077798" cy="58872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</xdr:row>
      <xdr:rowOff>76200</xdr:rowOff>
    </xdr:from>
    <xdr:to>
      <xdr:col>7</xdr:col>
      <xdr:colOff>416121</xdr:colOff>
      <xdr:row>45</xdr:row>
      <xdr:rowOff>167728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FD273CB-C345-91F9-2C29-2F0BD4BC9A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7757160"/>
          <a:ext cx="5963481" cy="640168"/>
        </a:xfrm>
        <a:prstGeom prst="rect">
          <a:avLst/>
        </a:prstGeom>
      </xdr:spPr>
    </xdr:pic>
    <xdr:clientData/>
  </xdr:twoCellAnchor>
  <xdr:twoCellAnchor editAs="oneCell">
    <xdr:from>
      <xdr:col>0</xdr:col>
      <xdr:colOff>68580</xdr:colOff>
      <xdr:row>46</xdr:row>
      <xdr:rowOff>0</xdr:rowOff>
    </xdr:from>
    <xdr:to>
      <xdr:col>5</xdr:col>
      <xdr:colOff>585461</xdr:colOff>
      <xdr:row>58</xdr:row>
      <xdr:rowOff>110812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5657975-0F5E-C7B6-DC6D-94AD357399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8580" y="8412480"/>
          <a:ext cx="4479281" cy="2305372"/>
        </a:xfrm>
        <a:prstGeom prst="rect">
          <a:avLst/>
        </a:prstGeom>
      </xdr:spPr>
    </xdr:pic>
    <xdr:clientData/>
  </xdr:twoCellAnchor>
  <xdr:twoCellAnchor editAs="oneCell">
    <xdr:from>
      <xdr:col>0</xdr:col>
      <xdr:colOff>30480</xdr:colOff>
      <xdr:row>59</xdr:row>
      <xdr:rowOff>60960</xdr:rowOff>
    </xdr:from>
    <xdr:to>
      <xdr:col>7</xdr:col>
      <xdr:colOff>469465</xdr:colOff>
      <xdr:row>72</xdr:row>
      <xdr:rowOff>76532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5D34ADE-622A-8DF3-A1ED-C1B8D2C8A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80" y="10850880"/>
          <a:ext cx="5986345" cy="2393012"/>
        </a:xfrm>
        <a:prstGeom prst="rect">
          <a:avLst/>
        </a:prstGeom>
      </xdr:spPr>
    </xdr:pic>
    <xdr:clientData/>
  </xdr:twoCellAnchor>
  <xdr:twoCellAnchor editAs="oneCell">
    <xdr:from>
      <xdr:col>12</xdr:col>
      <xdr:colOff>93344</xdr:colOff>
      <xdr:row>0</xdr:row>
      <xdr:rowOff>173356</xdr:rowOff>
    </xdr:from>
    <xdr:to>
      <xdr:col>16</xdr:col>
      <xdr:colOff>761999</xdr:colOff>
      <xdr:row>8</xdr:row>
      <xdr:rowOff>34773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6A9EAB70-A724-29A6-51EE-9D0AE9CAB4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80244" y="173356"/>
          <a:ext cx="3830955" cy="130921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</xdr:rowOff>
    </xdr:from>
    <xdr:to>
      <xdr:col>8</xdr:col>
      <xdr:colOff>68580</xdr:colOff>
      <xdr:row>6</xdr:row>
      <xdr:rowOff>153145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E1460C3-4FEA-D06D-C970-56E1E61A3C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1"/>
          <a:ext cx="6408420" cy="125042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38</xdr:row>
      <xdr:rowOff>137160</xdr:rowOff>
    </xdr:from>
    <xdr:to>
      <xdr:col>7</xdr:col>
      <xdr:colOff>579120</xdr:colOff>
      <xdr:row>41</xdr:row>
      <xdr:rowOff>121257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BDEA419B-2294-1F28-65A8-C69AE1A69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7086600"/>
          <a:ext cx="6126480" cy="532737"/>
        </a:xfrm>
        <a:prstGeom prst="rect">
          <a:avLst/>
        </a:prstGeom>
      </xdr:spPr>
    </xdr:pic>
    <xdr:clientData/>
  </xdr:twoCellAnchor>
  <xdr:twoCellAnchor editAs="oneCell">
    <xdr:from>
      <xdr:col>12</xdr:col>
      <xdr:colOff>198121</xdr:colOff>
      <xdr:row>34</xdr:row>
      <xdr:rowOff>7620</xdr:rowOff>
    </xdr:from>
    <xdr:to>
      <xdr:col>17</xdr:col>
      <xdr:colOff>434341</xdr:colOff>
      <xdr:row>40</xdr:row>
      <xdr:rowOff>63029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523351C4-CCAD-8E60-72B0-F98761A8B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9707881" y="6225540"/>
          <a:ext cx="4198620" cy="1152689"/>
        </a:xfrm>
        <a:prstGeom prst="rect">
          <a:avLst/>
        </a:prstGeom>
      </xdr:spPr>
    </xdr:pic>
    <xdr:clientData/>
  </xdr:twoCellAnchor>
  <xdr:twoCellAnchor editAs="oneCell">
    <xdr:from>
      <xdr:col>12</xdr:col>
      <xdr:colOff>281941</xdr:colOff>
      <xdr:row>45</xdr:row>
      <xdr:rowOff>121920</xdr:rowOff>
    </xdr:from>
    <xdr:to>
      <xdr:col>17</xdr:col>
      <xdr:colOff>640081</xdr:colOff>
      <xdr:row>52</xdr:row>
      <xdr:rowOff>50718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8FCB211D-9356-AE3E-4EB2-FCA142561B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791701" y="8351520"/>
          <a:ext cx="4320540" cy="12089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E8A18-A70B-4145-878D-917620CBFF17}">
  <dimension ref="A1:K16"/>
  <sheetViews>
    <sheetView workbookViewId="0">
      <selection activeCell="F29" sqref="F29"/>
    </sheetView>
  </sheetViews>
  <sheetFormatPr baseColWidth="10" defaultRowHeight="14.4" x14ac:dyDescent="0.3"/>
  <sheetData>
    <row r="1" spans="1:11" x14ac:dyDescent="0.3">
      <c r="A1" s="28" t="s">
        <v>26</v>
      </c>
      <c r="B1" s="28"/>
      <c r="C1" s="28"/>
      <c r="D1" s="28"/>
    </row>
    <row r="2" spans="1:11" x14ac:dyDescent="0.3">
      <c r="E2" s="22" t="s">
        <v>27</v>
      </c>
      <c r="F2" s="22"/>
      <c r="G2" s="22"/>
      <c r="I2" s="22" t="s">
        <v>28</v>
      </c>
      <c r="J2" s="22"/>
      <c r="K2" s="22"/>
    </row>
    <row r="3" spans="1:11" x14ac:dyDescent="0.3">
      <c r="A3" s="29" t="s">
        <v>29</v>
      </c>
      <c r="B3" s="29"/>
      <c r="C3" s="29"/>
      <c r="E3" s="22" t="s">
        <v>30</v>
      </c>
      <c r="F3" s="22"/>
      <c r="G3" s="1" t="s">
        <v>31</v>
      </c>
      <c r="I3" s="22" t="s">
        <v>32</v>
      </c>
      <c r="J3" s="22"/>
      <c r="K3" s="1" t="s">
        <v>33</v>
      </c>
    </row>
    <row r="4" spans="1:11" x14ac:dyDescent="0.3">
      <c r="A4" s="22" t="s">
        <v>23</v>
      </c>
      <c r="B4" s="22"/>
      <c r="C4" s="4" t="s">
        <v>18</v>
      </c>
      <c r="E4" s="1" t="s">
        <v>31</v>
      </c>
      <c r="F4" s="1"/>
      <c r="G4" s="1">
        <v>0.6</v>
      </c>
      <c r="I4" s="1">
        <v>1</v>
      </c>
      <c r="J4" s="1"/>
      <c r="K4" s="1">
        <v>0.2</v>
      </c>
    </row>
    <row r="5" spans="1:11" x14ac:dyDescent="0.3">
      <c r="A5" s="22" t="s">
        <v>34</v>
      </c>
      <c r="B5" s="22"/>
      <c r="C5" s="4" t="s">
        <v>35</v>
      </c>
      <c r="E5" s="1" t="s">
        <v>35</v>
      </c>
      <c r="F5" s="1"/>
      <c r="G5" s="1">
        <v>1</v>
      </c>
      <c r="I5" s="1">
        <v>2</v>
      </c>
      <c r="J5" s="1"/>
      <c r="K5" s="1">
        <v>0.3</v>
      </c>
    </row>
    <row r="6" spans="1:11" x14ac:dyDescent="0.3">
      <c r="A6" s="22" t="s">
        <v>32</v>
      </c>
      <c r="B6" s="22"/>
      <c r="C6" s="4">
        <v>3</v>
      </c>
      <c r="E6" s="1" t="s">
        <v>36</v>
      </c>
      <c r="F6" s="1"/>
      <c r="G6" s="1">
        <v>1.2</v>
      </c>
      <c r="I6" s="1">
        <v>3</v>
      </c>
      <c r="J6" s="1"/>
      <c r="K6" s="1">
        <v>0.4</v>
      </c>
    </row>
    <row r="7" spans="1:11" x14ac:dyDescent="0.3">
      <c r="E7" s="1" t="s">
        <v>37</v>
      </c>
      <c r="F7" s="1"/>
      <c r="G7" s="1">
        <v>1.2</v>
      </c>
    </row>
    <row r="8" spans="1:11" x14ac:dyDescent="0.3">
      <c r="A8" s="1" t="s">
        <v>38</v>
      </c>
      <c r="B8" s="1">
        <f>INDEX($E$11:$J$15,MATCH($C$4,$E$11:$E$15,0),2)</f>
        <v>0.9</v>
      </c>
      <c r="C8" s="5" t="s">
        <v>39</v>
      </c>
    </row>
    <row r="9" spans="1:11" x14ac:dyDescent="0.3">
      <c r="A9" s="1" t="s">
        <v>10</v>
      </c>
      <c r="B9" s="1">
        <f>INDEX($E$11:$J$15,MATCH($C$4,$E$11:$E$15,0),3)</f>
        <v>0.15</v>
      </c>
      <c r="C9" s="6" t="s">
        <v>13</v>
      </c>
      <c r="E9" s="22" t="s">
        <v>11</v>
      </c>
      <c r="F9" s="22"/>
      <c r="G9" s="22"/>
      <c r="H9" s="22"/>
      <c r="I9" s="22"/>
      <c r="J9" s="22"/>
    </row>
    <row r="10" spans="1:11" x14ac:dyDescent="0.3">
      <c r="A10" s="1" t="s">
        <v>40</v>
      </c>
      <c r="B10" s="1">
        <f>INDEX($E$11:$J$15,MATCH($C$4,$E$11:$E$15,0),4)</f>
        <v>0.2</v>
      </c>
      <c r="C10" s="6" t="s">
        <v>13</v>
      </c>
      <c r="E10" s="1" t="s">
        <v>12</v>
      </c>
      <c r="F10" s="1" t="s">
        <v>13</v>
      </c>
      <c r="G10" s="1" t="s">
        <v>14</v>
      </c>
      <c r="H10" s="1" t="s">
        <v>15</v>
      </c>
      <c r="I10" s="1" t="s">
        <v>16</v>
      </c>
      <c r="J10" s="1" t="s">
        <v>17</v>
      </c>
    </row>
    <row r="11" spans="1:11" x14ac:dyDescent="0.3">
      <c r="A11" s="1" t="s">
        <v>16</v>
      </c>
      <c r="B11" s="1">
        <f>INDEX($E$11:$J$15,MATCH($C$4,$E$11:$E$15,0),5)</f>
        <v>1</v>
      </c>
      <c r="C11" s="6" t="s">
        <v>39</v>
      </c>
      <c r="E11" s="1" t="s">
        <v>18</v>
      </c>
      <c r="F11" s="1">
        <v>0.9</v>
      </c>
      <c r="G11" s="1">
        <v>0.15</v>
      </c>
      <c r="H11" s="1">
        <v>0.2</v>
      </c>
      <c r="I11" s="1">
        <v>1</v>
      </c>
      <c r="J11" s="1">
        <v>2</v>
      </c>
    </row>
    <row r="12" spans="1:11" x14ac:dyDescent="0.3">
      <c r="A12" s="1" t="s">
        <v>17</v>
      </c>
      <c r="B12" s="1">
        <f>INDEX($E$11:$J$15,MATCH($C$4,$E$11:$E$15,0),6)</f>
        <v>2</v>
      </c>
      <c r="C12" s="6" t="s">
        <v>39</v>
      </c>
      <c r="E12" s="1" t="s">
        <v>19</v>
      </c>
      <c r="F12" s="1">
        <v>1</v>
      </c>
      <c r="G12" s="1">
        <v>0.3</v>
      </c>
      <c r="H12" s="1">
        <v>0.35</v>
      </c>
      <c r="I12" s="1">
        <v>1.33</v>
      </c>
      <c r="J12" s="1">
        <v>1.5</v>
      </c>
    </row>
    <row r="13" spans="1:11" x14ac:dyDescent="0.3">
      <c r="A13" s="1" t="s">
        <v>33</v>
      </c>
      <c r="B13" s="1">
        <f>INDEX(I4:K6,MATCH(C6,I4:I6,0),3)</f>
        <v>0.4</v>
      </c>
      <c r="C13" s="6" t="s">
        <v>41</v>
      </c>
      <c r="E13" s="1" t="s">
        <v>20</v>
      </c>
      <c r="F13" s="1">
        <v>1.05</v>
      </c>
      <c r="G13" s="1">
        <v>0.4</v>
      </c>
      <c r="H13" s="1">
        <v>0.45</v>
      </c>
      <c r="I13" s="1">
        <v>1.4</v>
      </c>
      <c r="J13" s="1">
        <v>1.6</v>
      </c>
    </row>
    <row r="14" spans="1:11" x14ac:dyDescent="0.3">
      <c r="A14" s="1" t="s">
        <v>31</v>
      </c>
      <c r="B14" s="1">
        <f>INDEX(E4:G7,MATCH(C5,E4:E7,0),3)</f>
        <v>1</v>
      </c>
      <c r="C14" s="6" t="s">
        <v>39</v>
      </c>
      <c r="E14" s="1" t="s">
        <v>21</v>
      </c>
      <c r="F14" s="1">
        <v>1.2</v>
      </c>
      <c r="G14" s="1">
        <v>0.75</v>
      </c>
      <c r="H14" s="1">
        <v>0.85</v>
      </c>
      <c r="I14" s="1">
        <v>1.8</v>
      </c>
      <c r="J14" s="1">
        <v>1</v>
      </c>
    </row>
    <row r="15" spans="1:11" x14ac:dyDescent="0.3">
      <c r="A15" s="1" t="s">
        <v>42</v>
      </c>
      <c r="B15" s="1">
        <v>1</v>
      </c>
      <c r="C15" s="1" t="s">
        <v>39</v>
      </c>
      <c r="E15" s="1" t="s">
        <v>22</v>
      </c>
      <c r="F15" s="1">
        <v>1.3</v>
      </c>
      <c r="G15" s="1">
        <v>1.2</v>
      </c>
      <c r="H15" s="1">
        <v>1.35</v>
      </c>
      <c r="I15" s="1">
        <v>1.8</v>
      </c>
      <c r="J15" s="1">
        <v>1</v>
      </c>
    </row>
    <row r="16" spans="1:11" x14ac:dyDescent="0.3">
      <c r="A16" s="1" t="s">
        <v>41</v>
      </c>
      <c r="B16" s="1">
        <v>9.81</v>
      </c>
      <c r="C16" s="1"/>
    </row>
  </sheetData>
  <mergeCells count="10">
    <mergeCell ref="A4:B4"/>
    <mergeCell ref="A5:B5"/>
    <mergeCell ref="A6:B6"/>
    <mergeCell ref="E9:J9"/>
    <mergeCell ref="A1:D1"/>
    <mergeCell ref="E2:G2"/>
    <mergeCell ref="I2:K2"/>
    <mergeCell ref="A3:C3"/>
    <mergeCell ref="E3:F3"/>
    <mergeCell ref="I3:J3"/>
  </mergeCells>
  <dataValidations count="3">
    <dataValidation type="list" allowBlank="1" showInputMessage="1" showErrorMessage="1" sqref="C6" xr:uid="{CB2F3E4A-DF5A-4FE3-B73C-02EA6884CF24}">
      <formula1>$I$4:$I$6</formula1>
    </dataValidation>
    <dataValidation type="list" allowBlank="1" showInputMessage="1" showErrorMessage="1" sqref="C5" xr:uid="{EE5C0DF5-3992-45C5-8439-E92975EA4923}">
      <formula1>$E$4:$E$7</formula1>
    </dataValidation>
    <dataValidation type="list" allowBlank="1" showInputMessage="1" showErrorMessage="1" sqref="C4" xr:uid="{11E5F60C-1E8F-47E3-BEA1-C1713B0F04AB}">
      <formula1>$E$11:$E$15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32BEE-61BA-4854-90A1-EB66A4C6C51E}">
  <dimension ref="A2:G59"/>
  <sheetViews>
    <sheetView workbookViewId="0">
      <selection activeCell="B25" sqref="B25"/>
    </sheetView>
  </sheetViews>
  <sheetFormatPr baseColWidth="10" defaultRowHeight="14.4" x14ac:dyDescent="0.3"/>
  <sheetData>
    <row r="2" spans="1:6" x14ac:dyDescent="0.3">
      <c r="A2" s="30" t="s">
        <v>66</v>
      </c>
      <c r="B2" s="30"/>
      <c r="C2" s="30"/>
      <c r="D2" s="30"/>
      <c r="E2" s="9">
        <v>1</v>
      </c>
      <c r="F2" s="1" t="s">
        <v>68</v>
      </c>
    </row>
    <row r="3" spans="1:6" x14ac:dyDescent="0.3">
      <c r="A3" s="30" t="s">
        <v>67</v>
      </c>
      <c r="B3" s="30"/>
      <c r="C3" s="30"/>
      <c r="D3" s="30"/>
      <c r="E3" s="9">
        <v>1.2</v>
      </c>
      <c r="F3" s="1" t="s">
        <v>68</v>
      </c>
    </row>
    <row r="5" spans="1:6" x14ac:dyDescent="0.3">
      <c r="A5" s="22" t="s">
        <v>69</v>
      </c>
      <c r="B5" s="22"/>
      <c r="C5" s="1">
        <v>21</v>
      </c>
    </row>
    <row r="6" spans="1:6" x14ac:dyDescent="0.3">
      <c r="A6" s="22" t="s">
        <v>70</v>
      </c>
      <c r="B6" s="22"/>
      <c r="C6" s="1">
        <v>1</v>
      </c>
    </row>
    <row r="8" spans="1:6" x14ac:dyDescent="0.3">
      <c r="A8" s="22" t="s">
        <v>71</v>
      </c>
      <c r="B8" s="22"/>
      <c r="C8" s="1">
        <v>1141.4000000000001</v>
      </c>
      <c r="D8" s="1" t="s">
        <v>72</v>
      </c>
    </row>
    <row r="9" spans="1:6" x14ac:dyDescent="0.3">
      <c r="A9" s="22" t="s">
        <v>73</v>
      </c>
      <c r="B9" s="22"/>
      <c r="C9" s="1">
        <v>352.2</v>
      </c>
      <c r="D9" s="1" t="s">
        <v>72</v>
      </c>
    </row>
    <row r="12" spans="1:6" x14ac:dyDescent="0.3">
      <c r="A12" s="22" t="s">
        <v>74</v>
      </c>
      <c r="B12" s="22"/>
      <c r="C12" s="1">
        <f>E2*C9</f>
        <v>352.2</v>
      </c>
      <c r="D12" s="1" t="s">
        <v>75</v>
      </c>
    </row>
    <row r="13" spans="1:6" x14ac:dyDescent="0.3">
      <c r="A13" s="22" t="s">
        <v>76</v>
      </c>
      <c r="B13" s="22"/>
      <c r="C13" s="1">
        <f>E3*C8</f>
        <v>1369.68</v>
      </c>
      <c r="D13" s="1" t="s">
        <v>75</v>
      </c>
    </row>
    <row r="15" spans="1:6" x14ac:dyDescent="0.3">
      <c r="A15" s="22" t="s">
        <v>77</v>
      </c>
      <c r="B15" s="22"/>
      <c r="C15" s="1">
        <f>C8*C6+C5*C9</f>
        <v>8537.6</v>
      </c>
      <c r="D15" s="1" t="s">
        <v>75</v>
      </c>
    </row>
    <row r="17" spans="1:7" x14ac:dyDescent="0.3">
      <c r="A17" s="22" t="s">
        <v>83</v>
      </c>
      <c r="B17" s="22"/>
      <c r="C17" s="22"/>
      <c r="D17" s="1">
        <f>C5/20</f>
        <v>1.05</v>
      </c>
      <c r="E17" s="1" t="s">
        <v>13</v>
      </c>
    </row>
    <row r="19" spans="1:7" x14ac:dyDescent="0.3">
      <c r="A19" t="s">
        <v>78</v>
      </c>
    </row>
    <row r="20" spans="1:7" x14ac:dyDescent="0.3">
      <c r="A20" t="s">
        <v>79</v>
      </c>
      <c r="C20">
        <f>1.68+0.74</f>
        <v>2.42</v>
      </c>
      <c r="D20" t="s">
        <v>80</v>
      </c>
    </row>
    <row r="21" spans="1:7" x14ac:dyDescent="0.3">
      <c r="A21" s="28" t="s">
        <v>81</v>
      </c>
      <c r="B21" s="28"/>
      <c r="C21">
        <f>C20*(C5-2)+4.7+0.6+3.5</f>
        <v>54.78</v>
      </c>
      <c r="D21" t="s">
        <v>80</v>
      </c>
      <c r="E21" s="32" t="s">
        <v>85</v>
      </c>
      <c r="F21" s="32"/>
      <c r="G21" s="32"/>
    </row>
    <row r="22" spans="1:7" x14ac:dyDescent="0.3">
      <c r="A22" s="31" t="s">
        <v>82</v>
      </c>
      <c r="B22" s="31"/>
      <c r="C22">
        <f>C21/D17</f>
        <v>52.171428571428571</v>
      </c>
      <c r="D22" t="s">
        <v>84</v>
      </c>
    </row>
    <row r="24" spans="1:7" x14ac:dyDescent="0.3">
      <c r="A24" s="28" t="s">
        <v>86</v>
      </c>
      <c r="B24" s="28"/>
      <c r="C24">
        <f>0.1*C15*1</f>
        <v>853.7600000000001</v>
      </c>
      <c r="D24" t="s">
        <v>87</v>
      </c>
    </row>
    <row r="58" spans="1:1" x14ac:dyDescent="0.3">
      <c r="A58" s="10"/>
    </row>
    <row r="59" spans="1:1" x14ac:dyDescent="0.3">
      <c r="A59" s="10"/>
    </row>
  </sheetData>
  <mergeCells count="14">
    <mergeCell ref="E21:G21"/>
    <mergeCell ref="A13:B13"/>
    <mergeCell ref="A12:B12"/>
    <mergeCell ref="A15:B15"/>
    <mergeCell ref="A17:C17"/>
    <mergeCell ref="A21:B21"/>
    <mergeCell ref="A24:B24"/>
    <mergeCell ref="A2:D2"/>
    <mergeCell ref="A3:D3"/>
    <mergeCell ref="A5:B5"/>
    <mergeCell ref="A6:B6"/>
    <mergeCell ref="A9:B9"/>
    <mergeCell ref="A8:B8"/>
    <mergeCell ref="A22:B2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77094-68CD-4FC0-AFB3-1688A5DDC942}">
  <dimension ref="B2:Y43"/>
  <sheetViews>
    <sheetView topLeftCell="A16" zoomScale="81" zoomScaleNormal="81" workbookViewId="0">
      <selection activeCell="J66" sqref="J66"/>
    </sheetView>
  </sheetViews>
  <sheetFormatPr baseColWidth="10" defaultRowHeight="14.4" x14ac:dyDescent="0.3"/>
  <sheetData>
    <row r="2" spans="20:25" x14ac:dyDescent="0.3">
      <c r="T2" s="22" t="s">
        <v>11</v>
      </c>
      <c r="U2" s="22"/>
      <c r="V2" s="22"/>
      <c r="W2" s="22"/>
      <c r="X2" s="22"/>
      <c r="Y2" s="22"/>
    </row>
    <row r="3" spans="20:25" x14ac:dyDescent="0.3">
      <c r="T3" s="1" t="s">
        <v>12</v>
      </c>
      <c r="U3" s="1" t="s">
        <v>13</v>
      </c>
      <c r="V3" s="1" t="s">
        <v>14</v>
      </c>
      <c r="W3" s="1" t="s">
        <v>15</v>
      </c>
      <c r="X3" s="1" t="s">
        <v>16</v>
      </c>
      <c r="Y3" s="1" t="s">
        <v>17</v>
      </c>
    </row>
    <row r="4" spans="20:25" x14ac:dyDescent="0.3">
      <c r="T4" s="1" t="s">
        <v>18</v>
      </c>
      <c r="U4" s="1">
        <v>0.9</v>
      </c>
      <c r="V4" s="1">
        <v>0.15</v>
      </c>
      <c r="W4" s="1">
        <v>0.2</v>
      </c>
      <c r="X4" s="1">
        <v>1</v>
      </c>
      <c r="Y4" s="1">
        <v>2</v>
      </c>
    </row>
    <row r="5" spans="20:25" x14ac:dyDescent="0.3">
      <c r="T5" s="1" t="s">
        <v>19</v>
      </c>
      <c r="U5" s="1">
        <v>1</v>
      </c>
      <c r="V5" s="1">
        <v>0.3</v>
      </c>
      <c r="W5" s="1">
        <v>0.35</v>
      </c>
      <c r="X5" s="1">
        <v>1.33</v>
      </c>
      <c r="Y5" s="1">
        <v>1.5</v>
      </c>
    </row>
    <row r="6" spans="20:25" x14ac:dyDescent="0.3">
      <c r="T6" s="1" t="s">
        <v>20</v>
      </c>
      <c r="U6" s="1">
        <v>1.05</v>
      </c>
      <c r="V6" s="1">
        <v>0.4</v>
      </c>
      <c r="W6" s="1">
        <v>0.45</v>
      </c>
      <c r="X6" s="1">
        <v>1.4</v>
      </c>
      <c r="Y6" s="1">
        <v>1.6</v>
      </c>
    </row>
    <row r="7" spans="20:25" x14ac:dyDescent="0.3">
      <c r="T7" s="1" t="s">
        <v>21</v>
      </c>
      <c r="U7" s="1">
        <v>1.2</v>
      </c>
      <c r="V7" s="1">
        <v>0.75</v>
      </c>
      <c r="W7" s="1">
        <v>0.85</v>
      </c>
      <c r="X7" s="1">
        <v>1.8</v>
      </c>
      <c r="Y7" s="1">
        <v>1</v>
      </c>
    </row>
    <row r="8" spans="20:25" x14ac:dyDescent="0.3">
      <c r="T8" s="1" t="s">
        <v>22</v>
      </c>
      <c r="U8" s="1">
        <v>1.3</v>
      </c>
      <c r="V8" s="1">
        <v>1.2</v>
      </c>
      <c r="W8" s="1">
        <v>1.35</v>
      </c>
      <c r="X8" s="1">
        <v>1.8</v>
      </c>
      <c r="Y8" s="1">
        <v>1</v>
      </c>
    </row>
    <row r="17" spans="2:22" x14ac:dyDescent="0.3">
      <c r="B17" s="2" t="s">
        <v>43</v>
      </c>
      <c r="C17" s="2" t="s">
        <v>44</v>
      </c>
      <c r="U17" s="20" t="s">
        <v>94</v>
      </c>
      <c r="V17" s="20" t="s">
        <v>96</v>
      </c>
    </row>
    <row r="18" spans="2:22" x14ac:dyDescent="0.3">
      <c r="B18" s="1" t="s">
        <v>9</v>
      </c>
      <c r="C18" s="1">
        <v>11</v>
      </c>
      <c r="U18" s="20" t="s">
        <v>95</v>
      </c>
      <c r="V18" s="20" t="s">
        <v>95</v>
      </c>
    </row>
    <row r="19" spans="2:22" x14ac:dyDescent="0.3">
      <c r="B19" s="1" t="s">
        <v>10</v>
      </c>
      <c r="C19" s="1">
        <f>Parámetros!B9</f>
        <v>0.15</v>
      </c>
      <c r="U19" s="7">
        <v>10.374359999999999</v>
      </c>
      <c r="V19" s="7">
        <v>10.374359999999999</v>
      </c>
    </row>
    <row r="20" spans="2:22" x14ac:dyDescent="0.3">
      <c r="U20" s="7">
        <v>37.664589999999997</v>
      </c>
      <c r="V20" s="7">
        <v>37.664589999999997</v>
      </c>
    </row>
    <row r="21" spans="2:22" x14ac:dyDescent="0.3">
      <c r="U21" s="7">
        <v>37.71763</v>
      </c>
      <c r="V21" s="7">
        <v>37.71763</v>
      </c>
    </row>
    <row r="22" spans="2:22" x14ac:dyDescent="0.3">
      <c r="B22" s="2" t="s">
        <v>0</v>
      </c>
      <c r="C22" s="2" t="s">
        <v>1</v>
      </c>
      <c r="D22" s="2" t="s">
        <v>2</v>
      </c>
      <c r="U22" s="7">
        <v>39.854970000000002</v>
      </c>
      <c r="V22" s="7">
        <v>39.854970000000002</v>
      </c>
    </row>
    <row r="23" spans="2:22" x14ac:dyDescent="0.3">
      <c r="B23" s="1">
        <v>1</v>
      </c>
      <c r="C23" s="1">
        <v>1.1399999999999999</v>
      </c>
      <c r="D23" s="1" t="s">
        <v>3</v>
      </c>
      <c r="U23" s="7">
        <v>35.324379999999998</v>
      </c>
      <c r="V23" s="7">
        <v>35.324379999999998</v>
      </c>
    </row>
    <row r="24" spans="2:22" x14ac:dyDescent="0.3">
      <c r="B24" s="1">
        <v>2</v>
      </c>
      <c r="C24" s="1">
        <v>0.85299999999999998</v>
      </c>
      <c r="D24" s="1" t="s">
        <v>4</v>
      </c>
      <c r="U24" s="7">
        <v>34.334800000000001</v>
      </c>
      <c r="V24" s="7">
        <v>34.334800000000001</v>
      </c>
    </row>
    <row r="25" spans="2:22" x14ac:dyDescent="0.3">
      <c r="U25" s="7">
        <v>35.324370000000002</v>
      </c>
      <c r="V25" s="7">
        <v>35.324370000000002</v>
      </c>
    </row>
    <row r="26" spans="2:22" x14ac:dyDescent="0.3">
      <c r="B26" s="2" t="s">
        <v>5</v>
      </c>
      <c r="C26" s="3">
        <f>1+((C23)/(0.1*C19+(C23/C18)))</f>
        <v>10.60919540229885</v>
      </c>
      <c r="D26" s="2" t="s">
        <v>7</v>
      </c>
      <c r="E26" s="1">
        <f>1/C26</f>
        <v>9.425785482123511E-2</v>
      </c>
      <c r="U26" s="7">
        <v>34.334800000000001</v>
      </c>
      <c r="V26" s="7">
        <v>34.334800000000001</v>
      </c>
    </row>
    <row r="27" spans="2:22" x14ac:dyDescent="0.3">
      <c r="B27" s="2" t="s">
        <v>6</v>
      </c>
      <c r="C27" s="3">
        <f>1+((C24)/(0.1*C19+(C24/C18)))</f>
        <v>10.217092337917485</v>
      </c>
      <c r="D27" s="2" t="s">
        <v>8</v>
      </c>
      <c r="E27" s="1">
        <f>1/C27</f>
        <v>9.7875204307278141E-2</v>
      </c>
      <c r="U27" s="7">
        <v>35.324370000000002</v>
      </c>
      <c r="V27" s="7">
        <v>35.324370000000002</v>
      </c>
    </row>
    <row r="28" spans="2:22" ht="15" thickBot="1" x14ac:dyDescent="0.35">
      <c r="U28" s="7">
        <v>35.324370000000002</v>
      </c>
      <c r="V28" s="7">
        <v>35.324370000000002</v>
      </c>
    </row>
    <row r="29" spans="2:22" x14ac:dyDescent="0.3">
      <c r="B29" s="17" t="s">
        <v>88</v>
      </c>
      <c r="C29" s="11">
        <v>8218</v>
      </c>
      <c r="D29" s="12" t="s">
        <v>25</v>
      </c>
      <c r="U29" s="7">
        <v>35.324370000000002</v>
      </c>
      <c r="V29" s="7">
        <v>35.324370000000002</v>
      </c>
    </row>
    <row r="30" spans="2:22" ht="15" thickBot="1" x14ac:dyDescent="0.35">
      <c r="B30" s="18" t="s">
        <v>89</v>
      </c>
      <c r="C30" s="13">
        <v>2093</v>
      </c>
      <c r="D30" s="14" t="s">
        <v>25</v>
      </c>
      <c r="U30" s="7">
        <v>35.324370000000002</v>
      </c>
      <c r="V30" s="7">
        <v>35.324370000000002</v>
      </c>
    </row>
    <row r="31" spans="2:22" ht="15" thickBot="1" x14ac:dyDescent="0.35">
      <c r="U31" s="7">
        <v>35.324370000000002</v>
      </c>
      <c r="V31" s="7">
        <v>35.324370000000002</v>
      </c>
    </row>
    <row r="32" spans="2:22" ht="15" thickBot="1" x14ac:dyDescent="0.35">
      <c r="B32" s="19" t="s">
        <v>24</v>
      </c>
      <c r="C32" s="15">
        <f>U43</f>
        <v>7660.5357069000029</v>
      </c>
      <c r="D32" s="16" t="s">
        <v>25</v>
      </c>
      <c r="U32" s="7">
        <v>35.324370000000002</v>
      </c>
      <c r="V32" s="7">
        <v>35.324370000000002</v>
      </c>
    </row>
    <row r="33" spans="20:22" x14ac:dyDescent="0.3">
      <c r="U33" s="7">
        <v>35.324370000000002</v>
      </c>
      <c r="V33" s="7">
        <v>35.324370000000002</v>
      </c>
    </row>
    <row r="34" spans="20:22" x14ac:dyDescent="0.3">
      <c r="U34" s="7">
        <v>35.324370000000002</v>
      </c>
      <c r="V34" s="7">
        <v>35.324370000000002</v>
      </c>
    </row>
    <row r="35" spans="20:22" x14ac:dyDescent="0.3">
      <c r="U35" s="7">
        <v>35.324370000000002</v>
      </c>
      <c r="V35" s="7">
        <v>35.324370000000002</v>
      </c>
    </row>
    <row r="36" spans="20:22" x14ac:dyDescent="0.3">
      <c r="U36" s="7">
        <v>35.324370000000002</v>
      </c>
      <c r="V36" s="7">
        <v>35.324370000000002</v>
      </c>
    </row>
    <row r="37" spans="20:22" x14ac:dyDescent="0.3">
      <c r="U37" s="7">
        <v>35.324370000000002</v>
      </c>
      <c r="V37" s="7">
        <v>35.324370000000002</v>
      </c>
    </row>
    <row r="38" spans="20:22" x14ac:dyDescent="0.3">
      <c r="U38" s="7">
        <v>35.324370000000002</v>
      </c>
      <c r="V38" s="7">
        <v>35.324370000000002</v>
      </c>
    </row>
    <row r="39" spans="20:22" x14ac:dyDescent="0.3">
      <c r="U39" s="7">
        <v>35.324370000000002</v>
      </c>
      <c r="V39" s="7">
        <v>35.324370000000002</v>
      </c>
    </row>
    <row r="40" spans="20:22" x14ac:dyDescent="0.3">
      <c r="U40" s="7">
        <v>35.324379999999998</v>
      </c>
      <c r="V40" s="7">
        <v>35.324379999999998</v>
      </c>
    </row>
    <row r="41" spans="20:22" ht="15" thickBot="1" x14ac:dyDescent="0.35">
      <c r="U41" s="21">
        <v>21.4194</v>
      </c>
      <c r="V41" s="21">
        <v>21.4194</v>
      </c>
    </row>
    <row r="42" spans="20:22" x14ac:dyDescent="0.3">
      <c r="T42" t="s">
        <v>98</v>
      </c>
      <c r="U42">
        <f>SUM(U19:U41)</f>
        <v>780.89049000000023</v>
      </c>
      <c r="V42">
        <f>SUM(V19:V41)</f>
        <v>780.89049000000023</v>
      </c>
    </row>
    <row r="43" spans="20:22" x14ac:dyDescent="0.3">
      <c r="T43" t="s">
        <v>97</v>
      </c>
      <c r="U43">
        <f>U42*9.81</f>
        <v>7660.5357069000029</v>
      </c>
      <c r="V43">
        <f>V42*9.81</f>
        <v>7660.5357069000029</v>
      </c>
    </row>
  </sheetData>
  <mergeCells count="1">
    <mergeCell ref="T2:Y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5E766-FA54-4DA0-A4D3-BE534DD193D8}">
  <dimension ref="J2:P54"/>
  <sheetViews>
    <sheetView tabSelected="1" topLeftCell="G25" workbookViewId="0">
      <selection activeCell="U35" sqref="U35"/>
    </sheetView>
  </sheetViews>
  <sheetFormatPr baseColWidth="10" defaultRowHeight="14.4" x14ac:dyDescent="0.3"/>
  <sheetData>
    <row r="2" spans="10:12" x14ac:dyDescent="0.3">
      <c r="J2" s="1" t="s">
        <v>38</v>
      </c>
      <c r="K2" s="1">
        <f>Parámetros!B8</f>
        <v>0.9</v>
      </c>
    </row>
    <row r="3" spans="10:12" x14ac:dyDescent="0.3">
      <c r="J3" s="1" t="s">
        <v>10</v>
      </c>
      <c r="K3" s="1">
        <f>Parámetros!B9</f>
        <v>0.15</v>
      </c>
    </row>
    <row r="4" spans="10:12" x14ac:dyDescent="0.3">
      <c r="J4" s="1" t="s">
        <v>40</v>
      </c>
      <c r="K4" s="1">
        <f>Parámetros!B10</f>
        <v>0.2</v>
      </c>
    </row>
    <row r="5" spans="10:12" x14ac:dyDescent="0.3">
      <c r="J5" s="1" t="s">
        <v>16</v>
      </c>
      <c r="K5" s="1">
        <f>Parámetros!B11</f>
        <v>1</v>
      </c>
    </row>
    <row r="6" spans="10:12" x14ac:dyDescent="0.3">
      <c r="J6" s="1" t="s">
        <v>17</v>
      </c>
      <c r="K6" s="1">
        <f>Parámetros!B12</f>
        <v>2</v>
      </c>
    </row>
    <row r="7" spans="10:12" x14ac:dyDescent="0.3">
      <c r="J7" s="1" t="s">
        <v>33</v>
      </c>
      <c r="K7" s="1">
        <f>Parámetros!B13</f>
        <v>0.4</v>
      </c>
    </row>
    <row r="8" spans="10:12" x14ac:dyDescent="0.3">
      <c r="J8" s="1" t="s">
        <v>31</v>
      </c>
      <c r="K8" s="1">
        <f>Parámetros!B14</f>
        <v>1</v>
      </c>
    </row>
    <row r="9" spans="10:12" x14ac:dyDescent="0.3">
      <c r="J9" s="1" t="s">
        <v>42</v>
      </c>
      <c r="K9" s="1">
        <f>Parámetros!B15</f>
        <v>1</v>
      </c>
    </row>
    <row r="10" spans="10:12" x14ac:dyDescent="0.3">
      <c r="J10" s="1" t="s">
        <v>41</v>
      </c>
      <c r="K10" s="1">
        <f>Parámetros!B16</f>
        <v>9.81</v>
      </c>
    </row>
    <row r="13" spans="10:12" x14ac:dyDescent="0.3">
      <c r="J13" s="2" t="s">
        <v>0</v>
      </c>
      <c r="K13" s="2" t="s">
        <v>1</v>
      </c>
      <c r="L13" s="2" t="s">
        <v>2</v>
      </c>
    </row>
    <row r="14" spans="10:12" x14ac:dyDescent="0.3">
      <c r="J14" s="1">
        <v>1</v>
      </c>
      <c r="K14" s="1">
        <f>'Factor R'!C23</f>
        <v>1.1399999999999999</v>
      </c>
      <c r="L14" s="1" t="s">
        <v>3</v>
      </c>
    </row>
    <row r="15" spans="10:12" x14ac:dyDescent="0.3">
      <c r="J15" s="1">
        <v>2</v>
      </c>
      <c r="K15" s="1">
        <f>'Factor R'!C24</f>
        <v>0.85299999999999998</v>
      </c>
      <c r="L15" s="1" t="s">
        <v>4</v>
      </c>
    </row>
    <row r="17" spans="10:14" x14ac:dyDescent="0.3">
      <c r="J17" s="2" t="s">
        <v>5</v>
      </c>
      <c r="K17" s="3">
        <f>'Factor R'!C26</f>
        <v>10.60919540229885</v>
      </c>
      <c r="L17" s="2" t="s">
        <v>7</v>
      </c>
      <c r="M17" s="1">
        <f>1/K17</f>
        <v>9.425785482123511E-2</v>
      </c>
    </row>
    <row r="18" spans="10:14" x14ac:dyDescent="0.3">
      <c r="J18" s="2" t="s">
        <v>6</v>
      </c>
      <c r="K18" s="3">
        <f>'Factor R'!C27</f>
        <v>10.217092337917485</v>
      </c>
      <c r="L18" s="2" t="s">
        <v>8</v>
      </c>
      <c r="M18" s="1">
        <f>1/K18</f>
        <v>9.7875204307278141E-2</v>
      </c>
    </row>
    <row r="21" spans="10:14" x14ac:dyDescent="0.3">
      <c r="J21" s="1" t="s">
        <v>45</v>
      </c>
      <c r="K21" s="1">
        <f>((2.75*K2*K7)/(K17)*(K4/K14)^K5)</f>
        <v>1.6371101100530312E-2</v>
      </c>
    </row>
    <row r="22" spans="10:14" x14ac:dyDescent="0.3">
      <c r="J22" s="1" t="s">
        <v>46</v>
      </c>
      <c r="K22" s="1">
        <f>((2.75*K2*K7)/(K18)*(K4/K15)^K5)</f>
        <v>2.271898060122049E-2</v>
      </c>
    </row>
    <row r="24" spans="10:14" x14ac:dyDescent="0.3">
      <c r="J24" s="1" t="s">
        <v>55</v>
      </c>
      <c r="K24" s="1">
        <v>0.1</v>
      </c>
    </row>
    <row r="25" spans="10:14" x14ac:dyDescent="0.3">
      <c r="J25" s="1" t="s">
        <v>56</v>
      </c>
      <c r="K25" s="1">
        <f>K8*K2*K7/6</f>
        <v>6.0000000000000005E-2</v>
      </c>
    </row>
    <row r="27" spans="10:14" x14ac:dyDescent="0.3">
      <c r="J27" s="1" t="s">
        <v>24</v>
      </c>
      <c r="K27" s="1">
        <f>'Factor R'!C32</f>
        <v>7660.5357069000029</v>
      </c>
      <c r="L27" s="1" t="s">
        <v>25</v>
      </c>
    </row>
    <row r="29" spans="10:14" x14ac:dyDescent="0.3">
      <c r="J29" s="1" t="s">
        <v>90</v>
      </c>
      <c r="K29" s="1">
        <f>K8*K7*K27/6</f>
        <v>510.70238046000026</v>
      </c>
      <c r="L29" s="1" t="s">
        <v>25</v>
      </c>
      <c r="M29" s="23" t="s">
        <v>93</v>
      </c>
      <c r="N29" s="24"/>
    </row>
    <row r="30" spans="10:14" x14ac:dyDescent="0.3">
      <c r="J30" s="1" t="s">
        <v>91</v>
      </c>
      <c r="K30" s="1">
        <f>0.35*K2*K7*K8*K27</f>
        <v>965.22749906940032</v>
      </c>
      <c r="L30" s="1" t="s">
        <v>25</v>
      </c>
      <c r="M30" s="23" t="s">
        <v>92</v>
      </c>
      <c r="N30" s="24"/>
    </row>
    <row r="32" spans="10:14" x14ac:dyDescent="0.3">
      <c r="J32" s="1" t="s">
        <v>47</v>
      </c>
      <c r="K32" s="1">
        <f>K24*K8*K27</f>
        <v>766.05357069000036</v>
      </c>
      <c r="L32" s="1" t="s">
        <v>25</v>
      </c>
      <c r="M32" s="23" t="str">
        <f>IF(AND($K$29&lt;K32,$K$30&gt;K32),"Está dentro del rango","No cumple")</f>
        <v>Está dentro del rango</v>
      </c>
      <c r="N32" s="24"/>
    </row>
    <row r="33" spans="10:16" x14ac:dyDescent="0.3">
      <c r="J33" s="1" t="s">
        <v>48</v>
      </c>
      <c r="K33" s="1">
        <f>K24*K8*K27</f>
        <v>766.05357069000036</v>
      </c>
      <c r="L33" s="1" t="s">
        <v>25</v>
      </c>
      <c r="M33" s="23" t="str">
        <f>IF(AND($K$29&lt;K33,$K$30&gt;K33),"Está dentro del rango","No cumple")</f>
        <v>Está dentro del rango</v>
      </c>
      <c r="N33" s="24"/>
    </row>
    <row r="35" spans="10:16" x14ac:dyDescent="0.3">
      <c r="J35" s="25" t="s">
        <v>49</v>
      </c>
      <c r="K35" s="26"/>
      <c r="L35" s="27"/>
    </row>
    <row r="36" spans="10:16" x14ac:dyDescent="0.3">
      <c r="J36" s="1" t="s">
        <v>53</v>
      </c>
      <c r="K36" s="1">
        <f>K24*K8*K27</f>
        <v>766.05357069000036</v>
      </c>
      <c r="L36" s="1" t="s">
        <v>65</v>
      </c>
    </row>
    <row r="37" spans="10:16" x14ac:dyDescent="0.3">
      <c r="J37" s="1" t="s">
        <v>54</v>
      </c>
      <c r="K37" s="1">
        <f>K24*K8*K27</f>
        <v>766.05357069000036</v>
      </c>
      <c r="L37" s="1" t="s">
        <v>65</v>
      </c>
    </row>
    <row r="39" spans="10:16" x14ac:dyDescent="0.3">
      <c r="J39" s="22" t="s">
        <v>50</v>
      </c>
      <c r="K39" s="22"/>
      <c r="L39" s="22"/>
      <c r="P39" s="7"/>
    </row>
    <row r="40" spans="10:16" x14ac:dyDescent="0.3">
      <c r="J40" s="1" t="s">
        <v>51</v>
      </c>
      <c r="K40" s="8">
        <v>160.34100000000001</v>
      </c>
      <c r="L40" s="1" t="s">
        <v>65</v>
      </c>
      <c r="P40" s="7"/>
    </row>
    <row r="41" spans="10:16" x14ac:dyDescent="0.3">
      <c r="J41" s="1" t="s">
        <v>52</v>
      </c>
      <c r="K41" s="8">
        <v>201.91</v>
      </c>
      <c r="L41" s="1" t="s">
        <v>65</v>
      </c>
    </row>
    <row r="42" spans="10:16" x14ac:dyDescent="0.3">
      <c r="P42" s="7"/>
    </row>
    <row r="43" spans="10:16" x14ac:dyDescent="0.3">
      <c r="J43" s="22" t="s">
        <v>57</v>
      </c>
      <c r="K43" s="22"/>
      <c r="L43" s="22"/>
      <c r="M43" s="22"/>
      <c r="P43" s="7"/>
    </row>
    <row r="44" spans="10:16" x14ac:dyDescent="0.3">
      <c r="J44" s="1" t="s">
        <v>58</v>
      </c>
      <c r="K44" s="1">
        <f>(K40/K36)*K17</f>
        <v>2.2205875216635222</v>
      </c>
      <c r="L44" s="1" t="s">
        <v>61</v>
      </c>
      <c r="M44" s="1">
        <f>1/K44</f>
        <v>0.45033127055080624</v>
      </c>
    </row>
    <row r="45" spans="10:16" x14ac:dyDescent="0.3">
      <c r="J45" s="1" t="s">
        <v>59</v>
      </c>
      <c r="K45" s="1">
        <f>(K41/K37)*K18</f>
        <v>2.6929358374908334</v>
      </c>
      <c r="L45" s="1" t="s">
        <v>60</v>
      </c>
      <c r="M45" s="1">
        <f>1/K45</f>
        <v>0.37134193324552389</v>
      </c>
    </row>
    <row r="47" spans="10:16" x14ac:dyDescent="0.3">
      <c r="J47" s="22" t="s">
        <v>64</v>
      </c>
      <c r="K47" s="22"/>
      <c r="L47" s="22"/>
    </row>
    <row r="48" spans="10:16" x14ac:dyDescent="0.3">
      <c r="J48" s="1" t="s">
        <v>62</v>
      </c>
      <c r="K48" s="8">
        <v>766.05499999999995</v>
      </c>
      <c r="L48" s="1" t="s">
        <v>65</v>
      </c>
    </row>
    <row r="49" spans="10:16" x14ac:dyDescent="0.3">
      <c r="J49" s="8" t="s">
        <v>63</v>
      </c>
      <c r="K49" s="8">
        <v>765.98800000000006</v>
      </c>
      <c r="L49" s="1" t="s">
        <v>65</v>
      </c>
    </row>
    <row r="51" spans="10:16" x14ac:dyDescent="0.3">
      <c r="M51" s="7"/>
    </row>
    <row r="53" spans="10:16" x14ac:dyDescent="0.3">
      <c r="O53" s="7"/>
      <c r="P53" s="7"/>
    </row>
    <row r="54" spans="10:16" x14ac:dyDescent="0.3">
      <c r="O54" s="1"/>
      <c r="P54" s="7"/>
    </row>
  </sheetData>
  <mergeCells count="8">
    <mergeCell ref="J39:L39"/>
    <mergeCell ref="J47:L47"/>
    <mergeCell ref="J43:M43"/>
    <mergeCell ref="M29:N29"/>
    <mergeCell ref="M30:N30"/>
    <mergeCell ref="M32:N32"/>
    <mergeCell ref="M33:N33"/>
    <mergeCell ref="J35:L3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Parámetros</vt:lpstr>
      <vt:lpstr>Estimacion_periodo</vt:lpstr>
      <vt:lpstr>Factor R</vt:lpstr>
      <vt:lpstr>Corte basal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BERNARDO CAPRILE</dc:creator>
  <cp:lastModifiedBy>BERNARDO CAPRILE</cp:lastModifiedBy>
  <dcterms:created xsi:type="dcterms:W3CDTF">2025-11-07T18:54:16Z</dcterms:created>
  <dcterms:modified xsi:type="dcterms:W3CDTF">2026-05-06T18:40:48Z</dcterms:modified>
</cp:coreProperties>
</file>