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920" tabRatio="500" activeTab="5"/>
  </bookViews>
  <sheets>
    <sheet name="Таблиця_1" sheetId="2" r:id="rId1"/>
    <sheet name="Варіанти" sheetId="1" state="hidden" r:id="rId2"/>
    <sheet name="Таблиця_2" sheetId="3" r:id="rId3"/>
    <sheet name="Таблиця_3" sheetId="4" r:id="rId4"/>
    <sheet name="Таблиця_4" sheetId="5" r:id="rId5"/>
    <sheet name="Таблиця_5" sheetId="6" r:id="rId6"/>
    <sheet name="Звіт" sheetId="7" r:id="rId7"/>
  </sheets>
  <definedNames>
    <definedName name="Варіанти">Варіанти!$A$3:$Z$15</definedName>
    <definedName name="Номера_варіантів">Варіанти!$A$1:$Z$15</definedName>
    <definedName name="Таблица_3">Таблиця_3!$C$3:$G$9</definedName>
    <definedName name="_xlnm.Print_Area" localSheetId="6">Звіт!$A$1:$A$19</definedName>
    <definedName name="_xlnm.Print_Area" localSheetId="0">Таблиця_1!$B$6:$C$18</definedName>
    <definedName name="_xlnm.Print_Area" localSheetId="2">Таблиця_2!$A$1:$G$12</definedName>
    <definedName name="_xlnm.Print_Area" localSheetId="3">Таблиця_3!$A$1:$H$9</definedName>
    <definedName name="_xlnm.Print_Area" localSheetId="4">Таблиця_4!$A$1:$H$10</definedName>
    <definedName name="_xlnm.Print_Area" localSheetId="5">Таблиця_5!$A$1:$G$7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6" l="1"/>
  <c r="K34" i="6"/>
  <c r="K37" i="6"/>
  <c r="K40" i="6"/>
  <c r="A32" i="6"/>
  <c r="O27" i="5"/>
  <c r="P27" i="5"/>
  <c r="Q27" i="5"/>
  <c r="R27" i="5"/>
  <c r="S27" i="5"/>
  <c r="A19" i="5"/>
  <c r="O19" i="5"/>
  <c r="O20" i="5"/>
  <c r="O21" i="5"/>
  <c r="O22" i="5"/>
  <c r="O23" i="5"/>
  <c r="P17" i="5"/>
  <c r="Q17" i="5"/>
  <c r="R17" i="5"/>
  <c r="S17" i="5"/>
  <c r="O17" i="5"/>
  <c r="P18" i="5"/>
  <c r="Q18" i="5"/>
  <c r="R18" i="5"/>
  <c r="S18" i="5"/>
  <c r="P19" i="5"/>
  <c r="Q19" i="5"/>
  <c r="R19" i="5"/>
  <c r="S19" i="5"/>
  <c r="P20" i="5"/>
  <c r="Q20" i="5"/>
  <c r="R20" i="5"/>
  <c r="S20" i="5"/>
  <c r="P21" i="5"/>
  <c r="Q21" i="5"/>
  <c r="R21" i="5"/>
  <c r="S21" i="5"/>
  <c r="P22" i="5"/>
  <c r="Q22" i="5"/>
  <c r="R22" i="5"/>
  <c r="S22" i="5"/>
  <c r="P23" i="5"/>
  <c r="Q23" i="5"/>
  <c r="R23" i="5"/>
  <c r="S23" i="5"/>
  <c r="P24" i="5"/>
  <c r="Q24" i="5"/>
  <c r="R24" i="5"/>
  <c r="S24" i="5"/>
  <c r="O24" i="5"/>
  <c r="O18" i="5"/>
  <c r="C3" i="6"/>
  <c r="D3" i="6"/>
  <c r="C4" i="6"/>
  <c r="D4" i="6"/>
  <c r="C5" i="6"/>
  <c r="C6" i="6"/>
  <c r="D6" i="6"/>
  <c r="C2" i="6"/>
  <c r="C7" i="6"/>
  <c r="D7" i="6"/>
  <c r="D2" i="6"/>
  <c r="H4" i="5"/>
  <c r="D5" i="5"/>
  <c r="G5" i="5"/>
  <c r="D6" i="5"/>
  <c r="F6" i="5"/>
  <c r="G6" i="5"/>
  <c r="H6" i="5"/>
  <c r="D7" i="5"/>
  <c r="E7" i="5"/>
  <c r="G7" i="5"/>
  <c r="D8" i="5"/>
  <c r="E8" i="5"/>
  <c r="F8" i="5"/>
  <c r="D9" i="5"/>
  <c r="E9" i="5"/>
  <c r="G9" i="5"/>
  <c r="A7" i="2"/>
  <c r="C3" i="2" a="1"/>
  <c r="C3" i="2"/>
  <c r="C7" i="2"/>
  <c r="C11" i="3"/>
  <c r="A8" i="2"/>
  <c r="A9" i="2"/>
  <c r="A10" i="2"/>
  <c r="C10" i="2"/>
  <c r="F11" i="3"/>
  <c r="C8" i="2"/>
  <c r="D11" i="3"/>
  <c r="C9" i="2"/>
  <c r="E11" i="3"/>
  <c r="A11" i="2"/>
  <c r="A12" i="2"/>
  <c r="A13" i="2"/>
  <c r="C13" i="2"/>
  <c r="B2" i="6"/>
  <c r="A14" i="2"/>
  <c r="C14" i="2"/>
  <c r="B3" i="6"/>
  <c r="A15" i="2"/>
  <c r="C15" i="2"/>
  <c r="B4" i="6"/>
  <c r="A16" i="2"/>
  <c r="C16" i="2"/>
  <c r="B5" i="6"/>
  <c r="A17" i="2"/>
  <c r="C17" i="2"/>
  <c r="B6" i="6"/>
  <c r="B6" i="2" a="1"/>
  <c r="B14" i="2"/>
  <c r="A3" i="6"/>
  <c r="B15" i="2"/>
  <c r="A4" i="6"/>
  <c r="B16" i="2"/>
  <c r="A5" i="6"/>
  <c r="B17" i="2"/>
  <c r="A6" i="6"/>
  <c r="B13" i="2"/>
  <c r="A2" i="6"/>
  <c r="D2" i="4"/>
  <c r="E2" i="5"/>
  <c r="E2" i="4"/>
  <c r="F2" i="5"/>
  <c r="F2" i="4"/>
  <c r="G2" i="5"/>
  <c r="G2" i="4"/>
  <c r="H2" i="5"/>
  <c r="C2" i="4"/>
  <c r="D2" i="5"/>
  <c r="A4" i="5"/>
  <c r="A5" i="5"/>
  <c r="A6" i="5"/>
  <c r="A7" i="5"/>
  <c r="A8" i="5"/>
  <c r="A9" i="5"/>
  <c r="A3" i="5"/>
  <c r="A4" i="4"/>
  <c r="A5" i="4"/>
  <c r="A6" i="4"/>
  <c r="A7" i="4"/>
  <c r="A8" i="4"/>
  <c r="A9" i="4"/>
  <c r="A3" i="4"/>
  <c r="A18" i="7"/>
  <c r="A15" i="7"/>
  <c r="A12" i="7"/>
  <c r="A8" i="7"/>
  <c r="A5" i="7"/>
  <c r="A2" i="7"/>
  <c r="F2" i="6"/>
  <c r="F3" i="6"/>
  <c r="F4" i="6"/>
  <c r="F5" i="6"/>
  <c r="F6" i="6"/>
  <c r="H3" i="4"/>
  <c r="B7" i="6"/>
  <c r="H5" i="4"/>
  <c r="H4" i="4"/>
  <c r="H6" i="4"/>
  <c r="H7" i="4"/>
  <c r="H8" i="4"/>
  <c r="H9" i="4"/>
  <c r="F12" i="3"/>
  <c r="E12" i="3"/>
  <c r="D12" i="3"/>
  <c r="C12" i="3"/>
  <c r="C12" i="2"/>
  <c r="C11" i="2"/>
  <c r="A18" i="2"/>
  <c r="C18" i="2"/>
  <c r="C6" i="2"/>
  <c r="B6" i="2"/>
  <c r="B7" i="2"/>
  <c r="B8" i="2"/>
  <c r="B9" i="2"/>
  <c r="B10" i="2"/>
  <c r="B11" i="2"/>
  <c r="B12" i="2"/>
  <c r="B18" i="2"/>
  <c r="G4" i="3"/>
  <c r="B3" i="5"/>
  <c r="C3" i="5"/>
  <c r="D3" i="5"/>
  <c r="G5" i="3"/>
  <c r="B4" i="5"/>
  <c r="C4" i="5"/>
  <c r="D4" i="5"/>
  <c r="D10" i="5"/>
  <c r="K31" i="6"/>
  <c r="E3" i="5"/>
  <c r="E4" i="5"/>
  <c r="G6" i="3"/>
  <c r="B5" i="5"/>
  <c r="C5" i="5"/>
  <c r="E5" i="5"/>
  <c r="G7" i="3"/>
  <c r="B6" i="5"/>
  <c r="C6" i="5"/>
  <c r="E6" i="5"/>
  <c r="E10" i="5"/>
  <c r="K32" i="6"/>
  <c r="F3" i="5"/>
  <c r="F4" i="5"/>
  <c r="F5" i="5"/>
  <c r="G8" i="3"/>
  <c r="B7" i="5"/>
  <c r="C7" i="5"/>
  <c r="F7" i="5"/>
  <c r="G10" i="3"/>
  <c r="B9" i="5"/>
  <c r="C9" i="5"/>
  <c r="F9" i="5"/>
  <c r="F10" i="5"/>
  <c r="K33" i="6"/>
  <c r="G3" i="5"/>
  <c r="G4" i="5"/>
  <c r="G9" i="3"/>
  <c r="B8" i="5"/>
  <c r="C8" i="5"/>
  <c r="G8" i="5"/>
  <c r="G10" i="5"/>
  <c r="H3" i="5"/>
  <c r="H5" i="5"/>
  <c r="H7" i="5"/>
  <c r="H8" i="5"/>
  <c r="H9" i="5"/>
  <c r="H10" i="5"/>
  <c r="K35" i="6"/>
  <c r="A19" i="7"/>
  <c r="K22" i="6"/>
  <c r="K23" i="6"/>
  <c r="K24" i="6"/>
  <c r="K25" i="6"/>
  <c r="K26" i="6"/>
  <c r="K27" i="6"/>
  <c r="A22" i="6"/>
  <c r="A16" i="7"/>
  <c r="G2" i="6"/>
  <c r="K11" i="6"/>
  <c r="G3" i="6"/>
  <c r="K12" i="6"/>
  <c r="G4" i="6"/>
  <c r="K13" i="6"/>
  <c r="G5" i="6"/>
  <c r="K14" i="6"/>
  <c r="G6" i="6"/>
  <c r="K15" i="6"/>
  <c r="A11" i="6"/>
  <c r="A13" i="7"/>
  <c r="G11" i="3"/>
  <c r="A21" i="3"/>
  <c r="A22" i="3"/>
  <c r="A23" i="3"/>
  <c r="A24" i="3"/>
  <c r="A25" i="3"/>
  <c r="A26" i="3"/>
  <c r="A27" i="3"/>
  <c r="A17" i="3"/>
  <c r="A3" i="7"/>
  <c r="N9" i="5"/>
  <c r="N10" i="5"/>
  <c r="N11" i="5"/>
  <c r="N12" i="5"/>
  <c r="N13" i="5"/>
  <c r="N14" i="5"/>
  <c r="N15" i="5"/>
  <c r="A15" i="5"/>
  <c r="A6" i="7"/>
  <c r="A9" i="7"/>
</calcChain>
</file>

<file path=xl/sharedStrings.xml><?xml version="1.0" encoding="utf-8"?>
<sst xmlns="http://schemas.openxmlformats.org/spreadsheetml/2006/main" count="128" uniqueCount="90">
  <si>
    <t>Номер варіанта</t>
  </si>
  <si>
    <t>Центр витрат (ЦВ)</t>
  </si>
  <si>
    <t>Сума витрат за ЦВ, тис. грн</t>
  </si>
  <si>
    <t>В. Адміністративні витрати</t>
  </si>
  <si>
    <t>C. Інженерна служба</t>
  </si>
  <si>
    <t>D. Витрати на субпідрядні роботи</t>
  </si>
  <si>
    <t>Разом витрат у періоді</t>
  </si>
  <si>
    <t>Сервісна послуга</t>
  </si>
  <si>
    <t>СП_1_Дистанційне консультування клієнта</t>
  </si>
  <si>
    <t>СП_2_Консультування та відправлення замовнику запасних частин</t>
  </si>
  <si>
    <t>СП_3_Послуги інженера СЦ на території замовника</t>
  </si>
  <si>
    <t>СП_4_Послуги інженера третьої сторони на території замовника</t>
  </si>
  <si>
    <t>СП_5_Первинне встановлення корпоративної серверної системи</t>
  </si>
  <si>
    <t>Разом доходів у періоді</t>
  </si>
  <si>
    <t>       31        </t>
  </si>
  <si>
    <t>       32        </t>
  </si>
  <si>
    <t>       33        </t>
  </si>
  <si>
    <t>       34        </t>
  </si>
  <si>
    <t>       35        </t>
  </si>
  <si>
    <t>       36        </t>
  </si>
  <si>
    <t>       37        </t>
  </si>
  <si>
    <t>       38        </t>
  </si>
  <si>
    <t>       39        </t>
  </si>
  <si>
    <t>       40        </t>
  </si>
  <si>
    <t>       41        </t>
  </si>
  <si>
    <t>       42        </t>
  </si>
  <si>
    <t>       43        </t>
  </si>
  <si>
    <t>       44        </t>
  </si>
  <si>
    <t>       45        </t>
  </si>
  <si>
    <t>A. Приймання та ідентифікація категорії звернень</t>
  </si>
  <si>
    <t>Всі варіанти</t>
  </si>
  <si>
    <t>Номер столбца</t>
  </si>
  <si>
    <t xml:space="preserve">Види діяльності  </t>
  </si>
  <si>
    <t xml:space="preserve">A. </t>
  </si>
  <si>
    <t>Приймання та ідентифікація категорії звернень</t>
  </si>
  <si>
    <t xml:space="preserve">В. </t>
  </si>
  <si>
    <t xml:space="preserve">C. </t>
  </si>
  <si>
    <t>Інженерна служба</t>
  </si>
  <si>
    <t xml:space="preserve">D. </t>
  </si>
  <si>
    <t>ВД_1. Приймання та реєстрація звернень (телефонних дзвінків) клієнтів</t>
  </si>
  <si>
    <t>х</t>
  </si>
  <si>
    <t>ВД_2. Ідентифікація категорії звернення та проблеми</t>
  </si>
  <si>
    <t>ВД_3. Розподіл ресурсів для вирішення проблеми (персонал, запасні частини і т. ін.)</t>
  </si>
  <si>
    <t>ВД_4. Підготовка та відправлення замовнику запасних частин</t>
  </si>
  <si>
    <t>ВД_5. Виконання робіт інженерами СЦ</t>
  </si>
  <si>
    <t>ВД_7. Вирішення нестандартних проблем клієнтів</t>
  </si>
  <si>
    <t>у тис. грн</t>
  </si>
  <si>
    <t>у %</t>
  </si>
  <si>
    <t>Витрати на субпідрядні роботи</t>
  </si>
  <si>
    <t>Адміні-стративні витрати</t>
  </si>
  <si>
    <t>ВД_6. Виконання робіт інженерами третьої сторони (аутсорсинг)</t>
  </si>
  <si>
    <t>Мій варіант</t>
  </si>
  <si>
    <t>Витрати на вид діяльності, тис. грн</t>
  </si>
  <si>
    <t>Центри витрат</t>
  </si>
  <si>
    <t>Види діяльності</t>
  </si>
  <si>
    <t>Кількість одиниць фактора витрат, що віднесена до сервісної послуги</t>
  </si>
  <si>
    <t>Кількість зареєстрованих звернень (дзвінків)</t>
  </si>
  <si>
    <t xml:space="preserve">Кількість звернень </t>
  </si>
  <si>
    <t>Кількість операцій з розподілу ресурсів</t>
  </si>
  <si>
    <t>Кількість годин роботи інженера СЦ</t>
  </si>
  <si>
    <t>Кількість годин роботи інженера третьої сторони</t>
  </si>
  <si>
    <t>Кількість замовлень з нестандартними проблемами</t>
  </si>
  <si>
    <t>Загальна кількість одиниць фактора витрат діяльності</t>
  </si>
  <si>
    <t>Кількість звернень, за якими відправлено запасні частини</t>
  </si>
  <si>
    <t>Фактор витрат діяльності</t>
  </si>
  <si>
    <t>Разом витрат на сервісну послугу</t>
  </si>
  <si>
    <t>Ставка витрат на одиницю фактора витрат, грн</t>
  </si>
  <si>
    <r>
      <t>Витрати на сервісну послугу за видами діяльності та разом,</t>
    </r>
    <r>
      <rPr>
        <b/>
        <sz val="14"/>
        <color rgb="FF000000"/>
        <rFont val="Times New Roman"/>
      </rPr>
      <t xml:space="preserve"> тис. грн</t>
    </r>
  </si>
  <si>
    <t>Сервісні послуги</t>
  </si>
  <si>
    <t>Вимірник діяльності для розрахунку собівартості надання  однієї сервісної послуги, кількість одиниць</t>
  </si>
  <si>
    <t>Кількість звернень, за якими відправлено запасні частини при виконанні СП_2</t>
  </si>
  <si>
    <t>Кількість годин  роботи інженера третьої сторони при виконанні СП_4</t>
  </si>
  <si>
    <t>Сумарна кількість годин роботи інженерів СЦ та третьої сторони  при виконанні СП_5</t>
  </si>
  <si>
    <t>Разом</t>
  </si>
  <si>
    <t>Кількість звернень з ідентифікованою проблемою за СП_1</t>
  </si>
  <si>
    <t>Кількість годин роботи інженера СЦ  при виконанні СП_3</t>
  </si>
  <si>
    <t>Заготовка</t>
  </si>
  <si>
    <t>Завдання 4.1 - 4.5. Середня вартість надання однієї сервісної послуги</t>
  </si>
  <si>
    <t>Завдання 4.6. Операційний прибуток</t>
  </si>
  <si>
    <t>Завдання 1. Витрати на вид діяльності</t>
  </si>
  <si>
    <t>Завдання 2. Ставки витрат на одиницю фактора витрат</t>
  </si>
  <si>
    <t>Завдання 3. Види діяльності, які потребує кожна послуга</t>
  </si>
  <si>
    <r>
      <t xml:space="preserve">Дохід (виручка) від надання сервісних послуг у звітному періоді, </t>
    </r>
    <r>
      <rPr>
        <b/>
        <sz val="12"/>
        <color rgb="FF000000"/>
        <rFont val="Times New Roman"/>
      </rPr>
      <t>тис. грн</t>
    </r>
  </si>
  <si>
    <r>
      <t xml:space="preserve">Витрати на надання сервісних послуг у звітному періоді, </t>
    </r>
    <r>
      <rPr>
        <b/>
        <sz val="12"/>
        <color rgb="FF000000"/>
        <rFont val="Times New Roman"/>
      </rPr>
      <t>тис. грн</t>
    </r>
  </si>
  <si>
    <r>
      <t xml:space="preserve">Операційний прибуток (збиток), </t>
    </r>
    <r>
      <rPr>
        <b/>
        <sz val="12"/>
        <color rgb="FF000000"/>
        <rFont val="Times New Roman"/>
      </rPr>
      <t>тис. грн</t>
    </r>
  </si>
  <si>
    <r>
      <t xml:space="preserve">Середня вартість однієї СП в розрахунку  на одиницю  вимірника, </t>
    </r>
    <r>
      <rPr>
        <b/>
        <sz val="12"/>
        <color rgb="FF000000"/>
        <rFont val="Times New Roman"/>
      </rPr>
      <t>грн</t>
    </r>
  </si>
  <si>
    <t>Розрахунки</t>
  </si>
  <si>
    <t>Висновки</t>
  </si>
  <si>
    <t>Дохід від надання сервісних послуг СП_1-5, тис. грн</t>
  </si>
  <si>
    <t>За результатами операційної діяльності надання жодної з послуг не є збитковим. Коригувати структуру надання сервісних послуг немає необхідності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</si>
</sst>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\ _₴;\-#,##0.0\ _₴"/>
    <numFmt numFmtId="165" formatCode="0.0"/>
    <numFmt numFmtId="166" formatCode="0.00;[Red]0.00"/>
    <numFmt numFmtId="167" formatCode="0.0_ ;\-0.0\ "/>
  </numFmts>
  <fonts count="22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</font>
    <font>
      <b/>
      <sz val="14"/>
      <color theme="1"/>
      <name val="Times New Roman"/>
    </font>
    <font>
      <b/>
      <sz val="14"/>
      <color rgb="FF000000"/>
      <name val="Times New Roman"/>
    </font>
    <font>
      <sz val="14"/>
      <color theme="1"/>
      <name val="Times New Roman"/>
    </font>
    <font>
      <sz val="14"/>
      <color rgb="FF000000"/>
      <name val="Times New Roman"/>
    </font>
    <font>
      <b/>
      <i/>
      <sz val="14"/>
      <color theme="1"/>
      <name val="Times New Roman"/>
    </font>
    <font>
      <b/>
      <sz val="22"/>
      <color theme="1"/>
      <name val="Times New Roman"/>
    </font>
    <font>
      <b/>
      <i/>
      <sz val="20"/>
      <color theme="1"/>
      <name val="Times New Roman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26"/>
      <color rgb="FF000000"/>
      <name val="Times New Roman"/>
    </font>
    <font>
      <sz val="14"/>
      <color theme="1"/>
      <name val="Calibri"/>
      <family val="2"/>
      <charset val="204"/>
      <scheme val="minor"/>
    </font>
    <font>
      <b/>
      <sz val="18"/>
      <color theme="1"/>
      <name val="Times New Roman"/>
    </font>
    <font>
      <i/>
      <sz val="14"/>
      <color rgb="FF000000"/>
      <name val="Times New Roman"/>
    </font>
    <font>
      <b/>
      <sz val="16"/>
      <color theme="1"/>
      <name val="Times New Roman"/>
    </font>
    <font>
      <b/>
      <sz val="20"/>
      <color theme="1"/>
      <name val="Times New Roman"/>
    </font>
    <font>
      <b/>
      <sz val="24"/>
      <color theme="1"/>
      <name val="Times New Roman"/>
    </font>
    <font>
      <b/>
      <sz val="20"/>
      <color rgb="FF000000"/>
      <name val="Times New Roman"/>
    </font>
    <font>
      <sz val="8"/>
      <name val="Calibri"/>
      <family val="2"/>
      <charset val="204"/>
      <scheme val="minor"/>
    </font>
    <font>
      <sz val="12"/>
      <color rgb="FF000000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11" fillId="2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18" xfId="0" applyNumberFormat="1" applyFont="1" applyBorder="1" applyAlignment="1">
      <alignment horizontal="center" vertical="center"/>
    </xf>
    <xf numFmtId="9" fontId="4" fillId="0" borderId="7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9" fontId="4" fillId="0" borderId="11" xfId="0" applyNumberFormat="1" applyFont="1" applyBorder="1" applyAlignment="1">
      <alignment horizontal="center" vertical="center"/>
    </xf>
    <xf numFmtId="9" fontId="4" fillId="0" borderId="24" xfId="0" applyNumberFormat="1" applyFont="1" applyBorder="1" applyAlignment="1">
      <alignment horizontal="center" vertical="center"/>
    </xf>
    <xf numFmtId="9" fontId="4" fillId="0" borderId="25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9" fontId="4" fillId="0" borderId="34" xfId="0" applyNumberFormat="1" applyFont="1" applyBorder="1" applyAlignment="1">
      <alignment horizontal="center" vertical="center"/>
    </xf>
    <xf numFmtId="9" fontId="4" fillId="0" borderId="34" xfId="0" applyNumberFormat="1" applyFont="1" applyBorder="1" applyAlignment="1">
      <alignment horizontal="center" vertical="center" wrapText="1"/>
    </xf>
    <xf numFmtId="9" fontId="4" fillId="0" borderId="35" xfId="0" applyNumberFormat="1" applyFont="1" applyBorder="1" applyAlignment="1">
      <alignment horizontal="center" vertical="center"/>
    </xf>
    <xf numFmtId="9" fontId="4" fillId="0" borderId="36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9" fontId="4" fillId="0" borderId="37" xfId="0" applyNumberFormat="1" applyFont="1" applyBorder="1" applyAlignment="1">
      <alignment horizontal="center" vertical="center"/>
    </xf>
    <xf numFmtId="9" fontId="4" fillId="0" borderId="38" xfId="0" applyNumberFormat="1" applyFont="1" applyBorder="1" applyAlignment="1">
      <alignment horizontal="center" vertical="center"/>
    </xf>
    <xf numFmtId="9" fontId="4" fillId="0" borderId="39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2" fontId="4" fillId="0" borderId="0" xfId="0" applyNumberFormat="1" applyFont="1"/>
    <xf numFmtId="164" fontId="1" fillId="0" borderId="0" xfId="0" applyNumberFormat="1" applyFont="1"/>
    <xf numFmtId="0" fontId="4" fillId="0" borderId="0" xfId="0" applyFont="1" applyAlignment="1">
      <alignment vertical="top" wrapText="1"/>
    </xf>
    <xf numFmtId="0" fontId="1" fillId="0" borderId="1" xfId="0" applyFont="1" applyBorder="1"/>
    <xf numFmtId="0" fontId="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28" xfId="0" applyFont="1" applyBorder="1" applyAlignment="1">
      <alignment horizontal="left" vertical="center" wrapText="1"/>
    </xf>
    <xf numFmtId="165" fontId="4" fillId="0" borderId="28" xfId="0" applyNumberFormat="1" applyFont="1" applyBorder="1" applyAlignment="1">
      <alignment horizontal="center" vertical="center"/>
    </xf>
    <xf numFmtId="165" fontId="4" fillId="0" borderId="29" xfId="0" applyNumberFormat="1" applyFont="1" applyBorder="1" applyAlignment="1">
      <alignment horizontal="center" vertical="center"/>
    </xf>
    <xf numFmtId="165" fontId="4" fillId="0" borderId="30" xfId="0" applyNumberFormat="1" applyFont="1" applyBorder="1" applyAlignment="1">
      <alignment horizontal="center" vertical="center"/>
    </xf>
    <xf numFmtId="165" fontId="4" fillId="0" borderId="31" xfId="0" applyNumberFormat="1" applyFont="1" applyBorder="1" applyAlignment="1">
      <alignment horizontal="center" vertical="center"/>
    </xf>
    <xf numFmtId="165" fontId="4" fillId="0" borderId="33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165" fontId="4" fillId="0" borderId="23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" fontId="5" fillId="0" borderId="37" xfId="0" applyNumberFormat="1" applyFont="1" applyBorder="1" applyAlignment="1">
      <alignment horizontal="center" vertical="center" wrapText="1"/>
    </xf>
    <xf numFmtId="1" fontId="5" fillId="0" borderId="38" xfId="0" applyNumberFormat="1" applyFont="1" applyBorder="1" applyAlignment="1">
      <alignment horizontal="center" vertical="center" wrapText="1"/>
    </xf>
    <xf numFmtId="1" fontId="5" fillId="0" borderId="39" xfId="0" applyNumberFormat="1" applyFont="1" applyBorder="1" applyAlignment="1">
      <alignment horizontal="center" vertical="center" wrapText="1"/>
    </xf>
    <xf numFmtId="1" fontId="5" fillId="0" borderId="28" xfId="0" applyNumberFormat="1" applyFont="1" applyBorder="1" applyAlignment="1">
      <alignment horizontal="center" vertical="center" wrapText="1"/>
    </xf>
    <xf numFmtId="1" fontId="5" fillId="0" borderId="34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4" fillId="0" borderId="34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5" fillId="0" borderId="11" xfId="0" applyNumberFormat="1" applyFont="1" applyBorder="1" applyAlignment="1">
      <alignment horizontal="center" vertical="center" wrapText="1"/>
    </xf>
    <xf numFmtId="1" fontId="4" fillId="0" borderId="36" xfId="0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 wrapText="1"/>
    </xf>
    <xf numFmtId="1" fontId="5" fillId="0" borderId="25" xfId="0" applyNumberFormat="1" applyFont="1" applyBorder="1" applyAlignment="1">
      <alignment horizontal="center" vertical="center" wrapText="1"/>
    </xf>
    <xf numFmtId="1" fontId="5" fillId="0" borderId="40" xfId="0" applyNumberFormat="1" applyFont="1" applyBorder="1" applyAlignment="1">
      <alignment horizontal="center" vertical="center" wrapText="1"/>
    </xf>
    <xf numFmtId="166" fontId="5" fillId="0" borderId="37" xfId="0" applyNumberFormat="1" applyFont="1" applyBorder="1" applyAlignment="1">
      <alignment horizontal="center" vertical="center" wrapText="1"/>
    </xf>
    <xf numFmtId="166" fontId="5" fillId="0" borderId="39" xfId="0" applyNumberFormat="1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166" fontId="5" fillId="0" borderId="5" xfId="0" applyNumberFormat="1" applyFont="1" applyBorder="1" applyAlignment="1">
      <alignment horizontal="center" vertical="center" wrapText="1"/>
    </xf>
    <xf numFmtId="166" fontId="4" fillId="0" borderId="47" xfId="0" applyNumberFormat="1" applyFont="1" applyBorder="1" applyAlignment="1">
      <alignment horizontal="center" vertical="center" wrapText="1"/>
    </xf>
    <xf numFmtId="166" fontId="4" fillId="0" borderId="48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166" fontId="4" fillId="0" borderId="49" xfId="0" applyNumberFormat="1" applyFont="1" applyBorder="1" applyAlignment="1">
      <alignment horizontal="center" vertical="center" wrapText="1"/>
    </xf>
    <xf numFmtId="166" fontId="4" fillId="0" borderId="50" xfId="0" applyNumberFormat="1" applyFont="1" applyBorder="1" applyAlignment="1">
      <alignment horizontal="center" vertical="center" wrapText="1"/>
    </xf>
    <xf numFmtId="166" fontId="4" fillId="0" borderId="51" xfId="0" applyNumberFormat="1" applyFont="1" applyBorder="1" applyAlignment="1">
      <alignment horizontal="center" vertical="center" wrapText="1"/>
    </xf>
    <xf numFmtId="166" fontId="5" fillId="0" borderId="19" xfId="0" applyNumberFormat="1" applyFont="1" applyBorder="1" applyAlignment="1">
      <alignment horizontal="center" vertical="center" wrapText="1"/>
    </xf>
    <xf numFmtId="166" fontId="5" fillId="0" borderId="2" xfId="0" applyNumberFormat="1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 wrapText="1"/>
    </xf>
    <xf numFmtId="166" fontId="5" fillId="0" borderId="7" xfId="0" applyNumberFormat="1" applyFont="1" applyBorder="1" applyAlignment="1">
      <alignment horizontal="center" vertical="center" wrapText="1"/>
    </xf>
    <xf numFmtId="166" fontId="5" fillId="0" borderId="8" xfId="0" applyNumberFormat="1" applyFont="1" applyBorder="1" applyAlignment="1">
      <alignment horizontal="center" vertical="center" wrapText="1"/>
    </xf>
    <xf numFmtId="0" fontId="20" fillId="0" borderId="1" xfId="0" applyNumberFormat="1" applyFont="1" applyBorder="1" applyAlignment="1">
      <alignment horizontal="center" vertical="center" wrapText="1"/>
    </xf>
    <xf numFmtId="167" fontId="20" fillId="0" borderId="1" xfId="0" applyNumberFormat="1" applyFont="1" applyBorder="1" applyAlignment="1">
      <alignment horizontal="center" vertical="center" wrapText="1"/>
    </xf>
    <xf numFmtId="165" fontId="20" fillId="0" borderId="1" xfId="0" applyNumberFormat="1" applyFont="1" applyBorder="1" applyAlignment="1">
      <alignment horizontal="center" vertical="center" wrapText="1"/>
    </xf>
    <xf numFmtId="0" fontId="20" fillId="0" borderId="19" xfId="0" applyNumberFormat="1" applyFont="1" applyBorder="1" applyAlignment="1">
      <alignment horizontal="center" vertical="center" wrapText="1"/>
    </xf>
    <xf numFmtId="0" fontId="20" fillId="0" borderId="2" xfId="0" applyNumberFormat="1" applyFont="1" applyBorder="1" applyAlignment="1">
      <alignment horizontal="center" vertical="center" wrapText="1"/>
    </xf>
    <xf numFmtId="0" fontId="20" fillId="0" borderId="3" xfId="0" applyNumberFormat="1" applyFont="1" applyBorder="1" applyAlignment="1">
      <alignment horizontal="center" vertical="center" wrapText="1"/>
    </xf>
    <xf numFmtId="0" fontId="20" fillId="0" borderId="4" xfId="0" applyNumberFormat="1" applyFont="1" applyBorder="1" applyAlignment="1">
      <alignment horizontal="center" vertical="center" wrapText="1"/>
    </xf>
    <xf numFmtId="165" fontId="20" fillId="0" borderId="5" xfId="0" applyNumberFormat="1" applyFont="1" applyBorder="1" applyAlignment="1">
      <alignment horizontal="center" vertical="center" wrapText="1"/>
    </xf>
    <xf numFmtId="0" fontId="20" fillId="0" borderId="21" xfId="0" applyNumberFormat="1" applyFont="1" applyBorder="1" applyAlignment="1">
      <alignment horizontal="center" vertical="center" wrapText="1"/>
    </xf>
    <xf numFmtId="167" fontId="20" fillId="0" borderId="18" xfId="0" applyNumberFormat="1" applyFont="1" applyBorder="1" applyAlignment="1">
      <alignment horizontal="center" vertical="center" wrapText="1"/>
    </xf>
    <xf numFmtId="0" fontId="20" fillId="0" borderId="18" xfId="0" applyNumberFormat="1" applyFont="1" applyBorder="1" applyAlignment="1">
      <alignment horizontal="center" vertical="center" wrapText="1"/>
    </xf>
    <xf numFmtId="165" fontId="20" fillId="0" borderId="18" xfId="0" applyNumberFormat="1" applyFont="1" applyBorder="1" applyAlignment="1">
      <alignment horizontal="center" vertical="center" wrapText="1"/>
    </xf>
    <xf numFmtId="0" fontId="21" fillId="0" borderId="52" xfId="0" applyNumberFormat="1" applyFont="1" applyBorder="1" applyAlignment="1">
      <alignment horizontal="center" vertical="center" wrapText="1"/>
    </xf>
    <xf numFmtId="167" fontId="20" fillId="0" borderId="53" xfId="0" applyNumberFormat="1" applyFont="1" applyBorder="1" applyAlignment="1">
      <alignment horizontal="center" vertical="center" wrapText="1"/>
    </xf>
    <xf numFmtId="0" fontId="1" fillId="0" borderId="53" xfId="0" applyNumberFormat="1" applyFont="1" applyBorder="1" applyAlignment="1">
      <alignment horizontal="center" vertical="center" wrapText="1"/>
    </xf>
    <xf numFmtId="0" fontId="1" fillId="0" borderId="54" xfId="0" applyNumberFormat="1" applyFont="1" applyBorder="1" applyAlignment="1">
      <alignment horizontal="center" vertical="center" wrapText="1"/>
    </xf>
    <xf numFmtId="166" fontId="4" fillId="0" borderId="0" xfId="0" applyNumberFormat="1" applyFont="1"/>
    <xf numFmtId="0" fontId="5" fillId="0" borderId="30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165" fontId="20" fillId="0" borderId="22" xfId="0" applyNumberFormat="1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20" fillId="0" borderId="2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6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8"/>
  <sheetViews>
    <sheetView topLeftCell="B6" workbookViewId="0">
      <selection activeCell="B19" sqref="A19:XFD1048576"/>
    </sheetView>
  </sheetViews>
  <sheetFormatPr baseColWidth="10" defaultColWidth="0" defaultRowHeight="15" zeroHeight="1" x14ac:dyDescent="0"/>
  <cols>
    <col min="1" max="1" width="0" hidden="1" customWidth="1"/>
    <col min="2" max="2" width="45.5" customWidth="1"/>
    <col min="3" max="3" width="31.6640625" customWidth="1"/>
    <col min="4" max="4" width="3.33203125" customWidth="1"/>
    <col min="5" max="16384" width="10.83203125" hidden="1"/>
  </cols>
  <sheetData>
    <row r="1" spans="1:3" ht="46" hidden="1" customHeight="1" thickBot="1">
      <c r="A1" s="126" t="s">
        <v>51</v>
      </c>
      <c r="B1" s="127"/>
      <c r="C1" s="18">
        <v>23</v>
      </c>
    </row>
    <row r="2" spans="1:3" ht="23" hidden="1">
      <c r="A2" s="1"/>
      <c r="B2" s="13"/>
    </row>
    <row r="3" spans="1:3" ht="16" hidden="1">
      <c r="A3" s="1"/>
      <c r="B3" s="17" t="s">
        <v>31</v>
      </c>
      <c r="C3" s="16">
        <f t="array" ref="C3">MAX((IF(Номера_варіантів=C1,COLUMN(Номера_варіантів))))</f>
        <v>4</v>
      </c>
    </row>
    <row r="4" spans="1:3" ht="23" hidden="1">
      <c r="A4" s="1"/>
      <c r="B4" s="13"/>
      <c r="C4" s="1"/>
    </row>
    <row r="5" spans="1:3" ht="16" hidden="1">
      <c r="A5" s="1"/>
      <c r="B5" s="16"/>
      <c r="C5" s="1"/>
    </row>
    <row r="6" spans="1:3" ht="30" customHeight="1">
      <c r="A6" s="15">
        <v>1</v>
      </c>
      <c r="B6" s="19" t="str">
        <f t="array" ref="B6:B18">INDEX(Варіанти,A6:A18,1)</f>
        <v>Центр витрат (ЦВ)</v>
      </c>
      <c r="C6" s="19" t="str">
        <f>INDEX(Варіанти,A6:A18,2)</f>
        <v>Сума витрат за ЦВ, тис. грн</v>
      </c>
    </row>
    <row r="7" spans="1:3" ht="37" customHeight="1">
      <c r="A7" s="15">
        <f>A6+1</f>
        <v>2</v>
      </c>
      <c r="B7" s="20" t="str">
        <v>A. Приймання та ідентифікація категорії звернень</v>
      </c>
      <c r="C7" s="72">
        <f>INDEX(Варіанти,A7,$C$3)</f>
        <v>3444</v>
      </c>
    </row>
    <row r="8" spans="1:3" ht="30" customHeight="1">
      <c r="A8" s="15">
        <f t="shared" ref="A8:A18" si="0">A7+1</f>
        <v>3</v>
      </c>
      <c r="B8" s="20" t="str">
        <v>В. Адміністративні витрати</v>
      </c>
      <c r="C8" s="72">
        <f>INDEX(Варіанти,A8,$C$3)</f>
        <v>1778</v>
      </c>
    </row>
    <row r="9" spans="1:3" ht="30" customHeight="1">
      <c r="A9" s="15">
        <f t="shared" si="0"/>
        <v>4</v>
      </c>
      <c r="B9" s="20" t="str">
        <v>C. Інженерна служба</v>
      </c>
      <c r="C9" s="72">
        <f>INDEX(Варіанти,A9,$C$3)</f>
        <v>18333</v>
      </c>
    </row>
    <row r="10" spans="1:3" ht="30" customHeight="1">
      <c r="A10" s="15">
        <f t="shared" si="0"/>
        <v>5</v>
      </c>
      <c r="B10" s="20" t="str">
        <v>D. Витрати на субпідрядні роботи</v>
      </c>
      <c r="C10" s="72">
        <f>INDEX(Варіанти,A10,$C$3)</f>
        <v>7222</v>
      </c>
    </row>
    <row r="11" spans="1:3" ht="30" customHeight="1">
      <c r="A11" s="15">
        <f t="shared" si="0"/>
        <v>6</v>
      </c>
      <c r="B11" s="21" t="str">
        <v>Разом витрат у періоді</v>
      </c>
      <c r="C11" s="72">
        <f>INDEX(Варіанти,A11,$C$3)</f>
        <v>30777</v>
      </c>
    </row>
    <row r="12" spans="1:3" ht="50" customHeight="1">
      <c r="A12" s="15">
        <f t="shared" si="0"/>
        <v>7</v>
      </c>
      <c r="B12" s="19" t="str">
        <v>Сервісна послуга</v>
      </c>
      <c r="C12" s="73" t="str">
        <f>INDEX(Варіанти,A12:A24,2)</f>
        <v>Дохід від надання сервісних послуг СП_1-5, тис. грн</v>
      </c>
    </row>
    <row r="13" spans="1:3" ht="30" customHeight="1">
      <c r="A13" s="15">
        <f t="shared" si="0"/>
        <v>8</v>
      </c>
      <c r="B13" s="20" t="str">
        <v>СП_1_Дистанційне консультування клієнта</v>
      </c>
      <c r="C13" s="72">
        <f t="shared" ref="C13:C18" si="1">INDEX(Варіанти,A13,$C$3)</f>
        <v>1815</v>
      </c>
    </row>
    <row r="14" spans="1:3" ht="45" customHeight="1">
      <c r="A14" s="15">
        <f t="shared" si="0"/>
        <v>9</v>
      </c>
      <c r="B14" s="20" t="str">
        <v>СП_2_Консультування та відправлення замовнику запасних частин</v>
      </c>
      <c r="C14" s="72">
        <f t="shared" si="1"/>
        <v>4202</v>
      </c>
    </row>
    <row r="15" spans="1:3" ht="36" customHeight="1">
      <c r="A15" s="15">
        <f t="shared" si="0"/>
        <v>10</v>
      </c>
      <c r="B15" s="20" t="str">
        <v>СП_3_Послуги інженера СЦ на території замовника</v>
      </c>
      <c r="C15" s="72">
        <f t="shared" si="1"/>
        <v>24058</v>
      </c>
    </row>
    <row r="16" spans="1:3" ht="42" customHeight="1">
      <c r="A16" s="15">
        <f t="shared" si="0"/>
        <v>11</v>
      </c>
      <c r="B16" s="20" t="str">
        <v>СП_4_Послуги інженера третьої сторони на території замовника</v>
      </c>
      <c r="C16" s="72">
        <f t="shared" si="1"/>
        <v>3799</v>
      </c>
    </row>
    <row r="17" spans="1:3" ht="44" customHeight="1">
      <c r="A17" s="15">
        <f t="shared" si="0"/>
        <v>12</v>
      </c>
      <c r="B17" s="20" t="str">
        <v>СП_5_Первинне встановлення корпоративної серверної системи</v>
      </c>
      <c r="C17" s="72">
        <f t="shared" si="1"/>
        <v>3080</v>
      </c>
    </row>
    <row r="18" spans="1:3" ht="42" customHeight="1">
      <c r="A18" s="15">
        <f t="shared" si="0"/>
        <v>13</v>
      </c>
      <c r="B18" s="21" t="str">
        <v>Разом доходів у періоді</v>
      </c>
      <c r="C18" s="72">
        <f t="shared" si="1"/>
        <v>36955</v>
      </c>
    </row>
  </sheetData>
  <mergeCells count="1">
    <mergeCell ref="A1:B1"/>
  </mergeCells>
  <phoneticPr fontId="19" type="noConversion"/>
  <pageMargins left="0.75000000000000011" right="0.75000000000000011" top="1" bottom="1" header="0.5" footer="0.5"/>
  <pageSetup paperSize="9" orientation="portrait" horizontalDpi="4294967292" verticalDpi="4294967292"/>
  <headerFooter>
    <oddHeader>&amp;R&amp;"Times New Roman,Курсив"&amp;14&amp;K000000Таблиця 1</oddHeader>
  </headerFooter>
  <ignoredErrors>
    <ignoredError sqref="C12" formula="1"/>
  </ignoredError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C4" sqref="C4"/>
    </sheetView>
  </sheetViews>
  <sheetFormatPr baseColWidth="10" defaultRowHeight="25" customHeight="1" x14ac:dyDescent="0"/>
  <cols>
    <col min="1" max="1" width="69" style="14" customWidth="1"/>
    <col min="2" max="2" width="41.83203125" style="14" customWidth="1"/>
    <col min="3" max="3" width="13.1640625" style="14" bestFit="1" customWidth="1"/>
    <col min="4" max="4" width="17.83203125" style="14" bestFit="1" customWidth="1"/>
    <col min="5" max="26" width="13.1640625" style="14" bestFit="1" customWidth="1"/>
    <col min="27" max="16384" width="10.83203125" style="14"/>
  </cols>
  <sheetData>
    <row r="1" spans="1:26" s="1" customFormat="1" ht="26" customHeight="1">
      <c r="A1" s="128" t="s">
        <v>30</v>
      </c>
      <c r="B1" s="130" t="s">
        <v>0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1"/>
    </row>
    <row r="2" spans="1:26" s="1" customFormat="1" ht="26" customHeight="1">
      <c r="A2" s="129"/>
      <c r="B2" s="2">
        <v>21</v>
      </c>
      <c r="C2" s="2">
        <v>22</v>
      </c>
      <c r="D2" s="2">
        <v>23</v>
      </c>
      <c r="E2" s="2">
        <v>24</v>
      </c>
      <c r="F2" s="2">
        <v>25</v>
      </c>
      <c r="G2" s="2">
        <v>26</v>
      </c>
      <c r="H2" s="2">
        <v>27</v>
      </c>
      <c r="I2" s="2">
        <v>28</v>
      </c>
      <c r="J2" s="2">
        <v>29</v>
      </c>
      <c r="K2" s="2">
        <v>30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4" t="s">
        <v>28</v>
      </c>
    </row>
    <row r="3" spans="1:26" s="1" customFormat="1" ht="26" customHeight="1">
      <c r="A3" s="5" t="s">
        <v>1</v>
      </c>
      <c r="B3" s="134" t="s">
        <v>2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6"/>
    </row>
    <row r="4" spans="1:26" s="1" customFormat="1" ht="26" customHeight="1">
      <c r="A4" s="6" t="s">
        <v>29</v>
      </c>
      <c r="B4" s="3">
        <v>7355</v>
      </c>
      <c r="C4" s="3">
        <v>3410</v>
      </c>
      <c r="D4" s="3">
        <v>3444</v>
      </c>
      <c r="E4" s="3">
        <v>7025</v>
      </c>
      <c r="F4" s="3">
        <v>7100</v>
      </c>
      <c r="G4" s="3">
        <v>3450</v>
      </c>
      <c r="H4" s="3">
        <v>3483</v>
      </c>
      <c r="I4" s="3">
        <v>6630</v>
      </c>
      <c r="J4" s="3">
        <v>6981</v>
      </c>
      <c r="K4" s="3">
        <v>3490</v>
      </c>
      <c r="L4" s="3">
        <v>3712</v>
      </c>
      <c r="M4" s="3">
        <v>3716</v>
      </c>
      <c r="N4" s="3">
        <v>4610</v>
      </c>
      <c r="O4" s="3">
        <v>5120</v>
      </c>
      <c r="P4" s="3">
        <v>3827</v>
      </c>
      <c r="Q4" s="3">
        <v>3838</v>
      </c>
      <c r="R4" s="3">
        <v>3933</v>
      </c>
      <c r="S4" s="3">
        <v>3947</v>
      </c>
      <c r="T4" s="3">
        <v>4282</v>
      </c>
      <c r="U4" s="3">
        <v>4593</v>
      </c>
      <c r="V4" s="3">
        <v>3849</v>
      </c>
      <c r="W4" s="3">
        <v>3860</v>
      </c>
      <c r="X4" s="3">
        <v>3720</v>
      </c>
      <c r="Y4" s="3">
        <v>3724</v>
      </c>
      <c r="Z4" s="7">
        <v>4141</v>
      </c>
    </row>
    <row r="5" spans="1:26" s="1" customFormat="1" ht="26" customHeight="1">
      <c r="A5" s="6" t="s">
        <v>3</v>
      </c>
      <c r="B5" s="3">
        <v>3805</v>
      </c>
      <c r="C5" s="3">
        <v>1760</v>
      </c>
      <c r="D5" s="3">
        <v>1778</v>
      </c>
      <c r="E5" s="3">
        <v>3560</v>
      </c>
      <c r="F5" s="3">
        <v>3650</v>
      </c>
      <c r="G5" s="3">
        <v>1810</v>
      </c>
      <c r="H5" s="3">
        <v>1735</v>
      </c>
      <c r="I5" s="3">
        <v>3356</v>
      </c>
      <c r="J5" s="3">
        <v>3603</v>
      </c>
      <c r="K5" s="3">
        <v>1801</v>
      </c>
      <c r="L5" s="3">
        <v>1811</v>
      </c>
      <c r="M5" s="3">
        <v>1822</v>
      </c>
      <c r="N5" s="3">
        <v>2470</v>
      </c>
      <c r="O5" s="3">
        <v>2593</v>
      </c>
      <c r="P5" s="3">
        <v>1964</v>
      </c>
      <c r="Q5" s="3">
        <v>1978</v>
      </c>
      <c r="R5" s="3">
        <v>2106</v>
      </c>
      <c r="S5" s="3">
        <v>2117</v>
      </c>
      <c r="T5" s="3">
        <v>2210</v>
      </c>
      <c r="U5" s="3">
        <v>2370</v>
      </c>
      <c r="V5" s="3">
        <v>1992</v>
      </c>
      <c r="W5" s="3">
        <v>2006</v>
      </c>
      <c r="X5" s="3">
        <v>1833</v>
      </c>
      <c r="Y5" s="3">
        <v>1844</v>
      </c>
      <c r="Z5" s="7">
        <v>2110</v>
      </c>
    </row>
    <row r="6" spans="1:26" s="1" customFormat="1" ht="26" customHeight="1">
      <c r="A6" s="6" t="s">
        <v>4</v>
      </c>
      <c r="B6" s="3">
        <v>39500</v>
      </c>
      <c r="C6" s="3">
        <v>18150</v>
      </c>
      <c r="D6" s="3">
        <v>18333</v>
      </c>
      <c r="E6" s="3">
        <v>36210</v>
      </c>
      <c r="F6" s="3">
        <v>35100</v>
      </c>
      <c r="G6" s="3">
        <v>18400</v>
      </c>
      <c r="H6" s="3">
        <v>16660</v>
      </c>
      <c r="I6" s="3">
        <v>38021</v>
      </c>
      <c r="J6" s="3">
        <v>37156</v>
      </c>
      <c r="K6" s="3">
        <v>18578</v>
      </c>
      <c r="L6" s="3">
        <v>16756</v>
      </c>
      <c r="M6" s="3">
        <v>16780</v>
      </c>
      <c r="N6" s="3">
        <v>25000</v>
      </c>
      <c r="O6" s="3">
        <v>25280</v>
      </c>
      <c r="P6" s="3">
        <v>17000</v>
      </c>
      <c r="Q6" s="3">
        <v>17021</v>
      </c>
      <c r="R6" s="3">
        <v>17189</v>
      </c>
      <c r="S6" s="3">
        <v>17204</v>
      </c>
      <c r="T6" s="3">
        <v>22789</v>
      </c>
      <c r="U6" s="3">
        <v>24444</v>
      </c>
      <c r="V6" s="3">
        <v>17042</v>
      </c>
      <c r="W6" s="3">
        <v>17063</v>
      </c>
      <c r="X6" s="3">
        <v>16804</v>
      </c>
      <c r="Y6" s="3">
        <v>16820</v>
      </c>
      <c r="Z6" s="7">
        <v>21000</v>
      </c>
    </row>
    <row r="7" spans="1:26" s="1" customFormat="1" ht="26" customHeight="1">
      <c r="A7" s="6" t="s">
        <v>5</v>
      </c>
      <c r="B7" s="3">
        <v>15800</v>
      </c>
      <c r="C7" s="3">
        <v>7150</v>
      </c>
      <c r="D7" s="3">
        <v>7222</v>
      </c>
      <c r="E7" s="3">
        <v>14650</v>
      </c>
      <c r="F7" s="3">
        <v>14700</v>
      </c>
      <c r="G7" s="3">
        <v>7225</v>
      </c>
      <c r="H7" s="3">
        <v>6725</v>
      </c>
      <c r="I7" s="3">
        <v>14543</v>
      </c>
      <c r="J7" s="3">
        <v>14637</v>
      </c>
      <c r="K7" s="3">
        <v>7319</v>
      </c>
      <c r="L7" s="3">
        <v>6797</v>
      </c>
      <c r="M7" s="3">
        <v>6815</v>
      </c>
      <c r="N7" s="3">
        <v>9780</v>
      </c>
      <c r="O7" s="3">
        <v>10107</v>
      </c>
      <c r="P7" s="3">
        <v>7130</v>
      </c>
      <c r="Q7" s="3">
        <v>7148</v>
      </c>
      <c r="R7" s="3">
        <v>7328</v>
      </c>
      <c r="S7" s="3">
        <v>7350</v>
      </c>
      <c r="T7" s="3">
        <v>8977</v>
      </c>
      <c r="U7" s="3">
        <v>9630</v>
      </c>
      <c r="V7" s="3">
        <v>7166</v>
      </c>
      <c r="W7" s="3">
        <v>7184</v>
      </c>
      <c r="X7" s="3">
        <v>6833</v>
      </c>
      <c r="Y7" s="3">
        <v>6851</v>
      </c>
      <c r="Z7" s="7">
        <v>8700</v>
      </c>
    </row>
    <row r="8" spans="1:26" s="1" customFormat="1" ht="26" customHeight="1">
      <c r="A8" s="8" t="s">
        <v>6</v>
      </c>
      <c r="B8" s="3">
        <v>66460</v>
      </c>
      <c r="C8" s="3">
        <v>30470</v>
      </c>
      <c r="D8" s="3">
        <v>30777</v>
      </c>
      <c r="E8" s="3">
        <v>61445</v>
      </c>
      <c r="F8" s="3">
        <v>60550</v>
      </c>
      <c r="G8" s="3">
        <v>30885</v>
      </c>
      <c r="H8" s="3">
        <v>28603</v>
      </c>
      <c r="I8" s="3">
        <v>62550</v>
      </c>
      <c r="J8" s="3">
        <v>62377</v>
      </c>
      <c r="K8" s="3">
        <v>31188</v>
      </c>
      <c r="L8" s="3">
        <v>29076</v>
      </c>
      <c r="M8" s="3">
        <v>29133</v>
      </c>
      <c r="N8" s="3">
        <v>41860</v>
      </c>
      <c r="O8" s="3">
        <v>43100</v>
      </c>
      <c r="P8" s="3">
        <v>29921</v>
      </c>
      <c r="Q8" s="3">
        <v>29985</v>
      </c>
      <c r="R8" s="3">
        <v>30556</v>
      </c>
      <c r="S8" s="3">
        <v>30618</v>
      </c>
      <c r="T8" s="3">
        <v>38258</v>
      </c>
      <c r="U8" s="3">
        <v>41037</v>
      </c>
      <c r="V8" s="3">
        <v>30049</v>
      </c>
      <c r="W8" s="3">
        <v>30113</v>
      </c>
      <c r="X8" s="3">
        <v>29190</v>
      </c>
      <c r="Y8" s="3">
        <v>29239</v>
      </c>
      <c r="Z8" s="7">
        <v>35951</v>
      </c>
    </row>
    <row r="9" spans="1:26" s="1" customFormat="1" ht="26" customHeight="1">
      <c r="A9" s="9" t="s">
        <v>7</v>
      </c>
      <c r="B9" s="132" t="s">
        <v>88</v>
      </c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3"/>
    </row>
    <row r="10" spans="1:26" s="1" customFormat="1" ht="26" customHeight="1">
      <c r="A10" s="6" t="s">
        <v>8</v>
      </c>
      <c r="B10" s="3">
        <v>3936</v>
      </c>
      <c r="C10" s="3">
        <v>1715</v>
      </c>
      <c r="D10" s="3">
        <v>1815</v>
      </c>
      <c r="E10" s="3">
        <v>5031</v>
      </c>
      <c r="F10" s="3">
        <v>3206</v>
      </c>
      <c r="G10" s="3">
        <v>1817</v>
      </c>
      <c r="H10" s="3">
        <v>1665</v>
      </c>
      <c r="I10" s="3">
        <v>3596</v>
      </c>
      <c r="J10" s="3">
        <v>5017</v>
      </c>
      <c r="K10" s="3">
        <v>1839</v>
      </c>
      <c r="L10" s="3">
        <v>1761</v>
      </c>
      <c r="M10" s="3">
        <v>2934</v>
      </c>
      <c r="N10" s="3">
        <v>3549</v>
      </c>
      <c r="O10" s="3">
        <v>2402</v>
      </c>
      <c r="P10" s="3">
        <v>1814</v>
      </c>
      <c r="Q10" s="3">
        <v>3098</v>
      </c>
      <c r="R10" s="3">
        <v>3145</v>
      </c>
      <c r="S10" s="3">
        <v>1617</v>
      </c>
      <c r="T10" s="3">
        <v>1672</v>
      </c>
      <c r="U10" s="3">
        <v>2862</v>
      </c>
      <c r="V10" s="3">
        <v>4144</v>
      </c>
      <c r="W10" s="3">
        <v>1764</v>
      </c>
      <c r="X10" s="3">
        <v>1552</v>
      </c>
      <c r="Y10" s="3">
        <v>2764</v>
      </c>
      <c r="Z10" s="7">
        <v>2772</v>
      </c>
    </row>
    <row r="11" spans="1:26" s="1" customFormat="1" ht="26" customHeight="1">
      <c r="A11" s="6" t="s">
        <v>9</v>
      </c>
      <c r="B11" s="3">
        <v>6788</v>
      </c>
      <c r="C11" s="3">
        <v>4333</v>
      </c>
      <c r="D11" s="3">
        <v>4202</v>
      </c>
      <c r="E11" s="3">
        <v>5563</v>
      </c>
      <c r="F11" s="3">
        <v>9530</v>
      </c>
      <c r="G11" s="3">
        <v>3165</v>
      </c>
      <c r="H11" s="3">
        <v>4043</v>
      </c>
      <c r="I11" s="3">
        <v>8593</v>
      </c>
      <c r="J11" s="3">
        <v>5678</v>
      </c>
      <c r="K11" s="3">
        <v>3194</v>
      </c>
      <c r="L11" s="3">
        <v>4446</v>
      </c>
      <c r="M11" s="3">
        <v>9960</v>
      </c>
      <c r="N11" s="3">
        <v>8405</v>
      </c>
      <c r="O11" s="3">
        <v>2599</v>
      </c>
      <c r="P11" s="3">
        <v>6277</v>
      </c>
      <c r="Q11" s="3">
        <v>5379</v>
      </c>
      <c r="R11" s="3">
        <v>8066</v>
      </c>
      <c r="S11" s="3">
        <v>5221</v>
      </c>
      <c r="T11" s="3">
        <v>5229</v>
      </c>
      <c r="U11" s="3">
        <v>5950</v>
      </c>
      <c r="V11" s="3">
        <v>4721</v>
      </c>
      <c r="W11" s="3">
        <v>5632</v>
      </c>
      <c r="X11" s="3">
        <v>4585</v>
      </c>
      <c r="Y11" s="3">
        <v>3926</v>
      </c>
      <c r="Z11" s="7">
        <v>7003</v>
      </c>
    </row>
    <row r="12" spans="1:26" s="1" customFormat="1" ht="26" customHeight="1">
      <c r="A12" s="6" t="s">
        <v>10</v>
      </c>
      <c r="B12" s="3">
        <v>55820</v>
      </c>
      <c r="C12" s="3">
        <v>29315</v>
      </c>
      <c r="D12" s="3">
        <v>24058</v>
      </c>
      <c r="E12" s="3">
        <v>33077</v>
      </c>
      <c r="F12" s="3">
        <v>28763</v>
      </c>
      <c r="G12" s="3">
        <v>26011</v>
      </c>
      <c r="H12" s="3">
        <v>27322</v>
      </c>
      <c r="I12" s="3">
        <v>49257</v>
      </c>
      <c r="J12" s="3">
        <v>33757</v>
      </c>
      <c r="K12" s="3">
        <v>26255</v>
      </c>
      <c r="L12" s="3">
        <v>30070</v>
      </c>
      <c r="M12" s="3">
        <v>26321</v>
      </c>
      <c r="N12" s="3">
        <v>48149</v>
      </c>
      <c r="O12" s="3">
        <v>15433</v>
      </c>
      <c r="P12" s="3">
        <v>16592</v>
      </c>
      <c r="Q12" s="3">
        <v>44219</v>
      </c>
      <c r="R12" s="3">
        <v>54586</v>
      </c>
      <c r="S12" s="3">
        <v>13776</v>
      </c>
      <c r="T12" s="3">
        <v>15793</v>
      </c>
      <c r="U12" s="3">
        <v>34021</v>
      </c>
      <c r="V12" s="3">
        <v>28074</v>
      </c>
      <c r="W12" s="3">
        <v>14868</v>
      </c>
      <c r="X12" s="3">
        <v>13827</v>
      </c>
      <c r="Y12" s="3">
        <v>32267</v>
      </c>
      <c r="Z12" s="7">
        <v>47376</v>
      </c>
    </row>
    <row r="13" spans="1:26" s="1" customFormat="1" ht="26" customHeight="1">
      <c r="A13" s="6" t="s">
        <v>11</v>
      </c>
      <c r="B13" s="3">
        <v>9386</v>
      </c>
      <c r="C13" s="3">
        <v>5065</v>
      </c>
      <c r="D13" s="3">
        <v>3799</v>
      </c>
      <c r="E13" s="3">
        <v>14372</v>
      </c>
      <c r="F13" s="3">
        <v>12393</v>
      </c>
      <c r="G13" s="3">
        <v>4315</v>
      </c>
      <c r="H13" s="3">
        <v>4812</v>
      </c>
      <c r="I13" s="3">
        <v>7583</v>
      </c>
      <c r="J13" s="3">
        <v>14373</v>
      </c>
      <c r="K13" s="3">
        <v>4363</v>
      </c>
      <c r="L13" s="3">
        <v>5196</v>
      </c>
      <c r="M13" s="3">
        <v>10537</v>
      </c>
      <c r="N13" s="3">
        <v>7549</v>
      </c>
      <c r="O13" s="3">
        <v>6704</v>
      </c>
      <c r="P13" s="3">
        <v>6645</v>
      </c>
      <c r="Q13" s="3">
        <v>7349</v>
      </c>
      <c r="R13" s="3">
        <v>9396</v>
      </c>
      <c r="S13" s="3">
        <v>5632</v>
      </c>
      <c r="T13" s="3">
        <v>6484</v>
      </c>
      <c r="U13" s="3">
        <v>5917</v>
      </c>
      <c r="V13" s="3">
        <v>11955</v>
      </c>
      <c r="W13" s="3">
        <v>6353</v>
      </c>
      <c r="X13" s="3">
        <v>5801</v>
      </c>
      <c r="Y13" s="3">
        <v>6484</v>
      </c>
      <c r="Z13" s="7">
        <v>8186</v>
      </c>
    </row>
    <row r="14" spans="1:26" s="1" customFormat="1" ht="26" customHeight="1">
      <c r="A14" s="6" t="s">
        <v>12</v>
      </c>
      <c r="B14" s="3">
        <v>7523</v>
      </c>
      <c r="C14" s="3">
        <v>1931</v>
      </c>
      <c r="D14" s="3">
        <v>3080</v>
      </c>
      <c r="E14" s="3">
        <v>7002</v>
      </c>
      <c r="F14" s="3">
        <v>3882</v>
      </c>
      <c r="G14" s="3">
        <v>3503</v>
      </c>
      <c r="H14" s="3">
        <v>1846</v>
      </c>
      <c r="I14" s="3">
        <v>6180</v>
      </c>
      <c r="J14" s="3">
        <v>7075</v>
      </c>
      <c r="K14" s="3">
        <v>3537</v>
      </c>
      <c r="L14" s="3">
        <v>1984</v>
      </c>
      <c r="M14" s="3">
        <v>4381</v>
      </c>
      <c r="N14" s="3">
        <v>6070</v>
      </c>
      <c r="O14" s="3">
        <v>3332</v>
      </c>
      <c r="P14" s="3">
        <v>2725</v>
      </c>
      <c r="Q14" s="3">
        <v>5958</v>
      </c>
      <c r="R14" s="3">
        <v>3559</v>
      </c>
      <c r="S14" s="3">
        <v>2372</v>
      </c>
      <c r="T14" s="3">
        <v>2081</v>
      </c>
      <c r="U14" s="3">
        <v>4592</v>
      </c>
      <c r="V14" s="3">
        <v>5856</v>
      </c>
      <c r="W14" s="3">
        <v>2548</v>
      </c>
      <c r="X14" s="3">
        <v>1893</v>
      </c>
      <c r="Y14" s="3">
        <v>4743</v>
      </c>
      <c r="Z14" s="7">
        <v>3121</v>
      </c>
    </row>
    <row r="15" spans="1:26" s="1" customFormat="1" ht="26" customHeight="1" thickBot="1">
      <c r="A15" s="10" t="s">
        <v>13</v>
      </c>
      <c r="B15" s="11">
        <v>83454</v>
      </c>
      <c r="C15" s="11">
        <v>42360</v>
      </c>
      <c r="D15" s="11">
        <v>36955</v>
      </c>
      <c r="E15" s="11">
        <v>65046</v>
      </c>
      <c r="F15" s="11">
        <v>57774</v>
      </c>
      <c r="G15" s="11">
        <v>38811</v>
      </c>
      <c r="H15" s="11">
        <v>39687</v>
      </c>
      <c r="I15" s="11">
        <v>75209</v>
      </c>
      <c r="J15" s="11">
        <v>65899</v>
      </c>
      <c r="K15" s="11">
        <v>39188</v>
      </c>
      <c r="L15" s="11">
        <v>43456</v>
      </c>
      <c r="M15" s="11">
        <v>54132</v>
      </c>
      <c r="N15" s="11">
        <v>73722</v>
      </c>
      <c r="O15" s="11">
        <v>30471</v>
      </c>
      <c r="P15" s="11">
        <v>34052</v>
      </c>
      <c r="Q15" s="11">
        <v>66002</v>
      </c>
      <c r="R15" s="11">
        <v>78750</v>
      </c>
      <c r="S15" s="11">
        <v>28618</v>
      </c>
      <c r="T15" s="11">
        <v>31259</v>
      </c>
      <c r="U15" s="11">
        <v>53341</v>
      </c>
      <c r="V15" s="11">
        <v>54751</v>
      </c>
      <c r="W15" s="11">
        <v>31165</v>
      </c>
      <c r="X15" s="11">
        <v>27658</v>
      </c>
      <c r="Y15" s="11">
        <v>50183</v>
      </c>
      <c r="Z15" s="12">
        <v>68460</v>
      </c>
    </row>
    <row r="16" spans="1:26" s="1" customFormat="1" ht="15"/>
  </sheetData>
  <mergeCells count="4">
    <mergeCell ref="A1:A2"/>
    <mergeCell ref="B1:Z1"/>
    <mergeCell ref="B9:Z9"/>
    <mergeCell ref="B3:Z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09"/>
  <sheetViews>
    <sheetView topLeftCell="A6" workbookViewId="0">
      <selection activeCell="C11" sqref="C11"/>
    </sheetView>
  </sheetViews>
  <sheetFormatPr baseColWidth="10" defaultColWidth="0" defaultRowHeight="18" zeroHeight="1" x14ac:dyDescent="0"/>
  <cols>
    <col min="1" max="1" width="28" style="23" customWidth="1"/>
    <col min="2" max="2" width="23.83203125" style="23" customWidth="1"/>
    <col min="3" max="3" width="15.1640625" style="22" customWidth="1"/>
    <col min="4" max="4" width="11.5" style="22" customWidth="1"/>
    <col min="5" max="5" width="12.33203125" style="22" customWidth="1"/>
    <col min="6" max="6" width="12.83203125" style="22" customWidth="1"/>
    <col min="7" max="7" width="18.33203125" style="22" customWidth="1"/>
    <col min="8" max="8" width="2.1640625" style="22" customWidth="1"/>
    <col min="9" max="16384" width="10.83203125" style="22" hidden="1"/>
  </cols>
  <sheetData>
    <row r="1" spans="1:7" ht="24" customHeight="1">
      <c r="A1" s="143" t="s">
        <v>32</v>
      </c>
      <c r="B1" s="144"/>
      <c r="C1" s="156" t="s">
        <v>53</v>
      </c>
      <c r="D1" s="157"/>
      <c r="E1" s="157"/>
      <c r="F1" s="158"/>
      <c r="G1" s="151" t="s">
        <v>52</v>
      </c>
    </row>
    <row r="2" spans="1:7" ht="19" customHeight="1">
      <c r="A2" s="145"/>
      <c r="B2" s="146"/>
      <c r="C2" s="33" t="s">
        <v>33</v>
      </c>
      <c r="D2" s="24" t="s">
        <v>35</v>
      </c>
      <c r="E2" s="24" t="s">
        <v>36</v>
      </c>
      <c r="F2" s="28" t="s">
        <v>38</v>
      </c>
      <c r="G2" s="152"/>
    </row>
    <row r="3" spans="1:7" ht="71" customHeight="1" thickBot="1">
      <c r="A3" s="147"/>
      <c r="B3" s="148"/>
      <c r="C3" s="43" t="s">
        <v>34</v>
      </c>
      <c r="D3" s="44" t="s">
        <v>49</v>
      </c>
      <c r="E3" s="44" t="s">
        <v>37</v>
      </c>
      <c r="F3" s="45" t="s">
        <v>48</v>
      </c>
      <c r="G3" s="153"/>
    </row>
    <row r="4" spans="1:7" ht="40" customHeight="1">
      <c r="A4" s="159" t="s">
        <v>39</v>
      </c>
      <c r="B4" s="160"/>
      <c r="C4" s="40">
        <v>0.3</v>
      </c>
      <c r="D4" s="41" t="s">
        <v>40</v>
      </c>
      <c r="E4" s="41" t="s">
        <v>40</v>
      </c>
      <c r="F4" s="42">
        <v>0.2</v>
      </c>
      <c r="G4" s="65">
        <f>SUMPRODUCT(C4:F4,$C$11:$F$11)</f>
        <v>2477.6000000000004</v>
      </c>
    </row>
    <row r="5" spans="1:7" ht="36" customHeight="1">
      <c r="A5" s="137" t="s">
        <v>41</v>
      </c>
      <c r="B5" s="138"/>
      <c r="C5" s="34">
        <v>0.2</v>
      </c>
      <c r="D5" s="25" t="s">
        <v>40</v>
      </c>
      <c r="E5" s="25" t="s">
        <v>40</v>
      </c>
      <c r="F5" s="29">
        <v>0.2</v>
      </c>
      <c r="G5" s="66">
        <f t="shared" ref="G5:G10" si="0">SUMPRODUCT(C5:F5,$C$11:$F$11)</f>
        <v>2133.2000000000003</v>
      </c>
    </row>
    <row r="6" spans="1:7" ht="48" customHeight="1">
      <c r="A6" s="137" t="s">
        <v>42</v>
      </c>
      <c r="B6" s="138"/>
      <c r="C6" s="34">
        <v>0.5</v>
      </c>
      <c r="D6" s="25">
        <v>0.2</v>
      </c>
      <c r="E6" s="25" t="s">
        <v>40</v>
      </c>
      <c r="F6" s="29" t="s">
        <v>40</v>
      </c>
      <c r="G6" s="66">
        <f t="shared" si="0"/>
        <v>2077.6</v>
      </c>
    </row>
    <row r="7" spans="1:7" ht="45" customHeight="1">
      <c r="A7" s="137" t="s">
        <v>43</v>
      </c>
      <c r="B7" s="138"/>
      <c r="C7" s="35" t="s">
        <v>40</v>
      </c>
      <c r="D7" s="25">
        <v>0.1</v>
      </c>
      <c r="E7" s="25">
        <v>0.15</v>
      </c>
      <c r="F7" s="29" t="s">
        <v>40</v>
      </c>
      <c r="G7" s="66">
        <f t="shared" si="0"/>
        <v>2927.75</v>
      </c>
    </row>
    <row r="8" spans="1:7" ht="28" customHeight="1">
      <c r="A8" s="137" t="s">
        <v>44</v>
      </c>
      <c r="B8" s="138"/>
      <c r="C8" s="34" t="s">
        <v>40</v>
      </c>
      <c r="D8" s="25">
        <v>0.4</v>
      </c>
      <c r="E8" s="25">
        <v>0.65</v>
      </c>
      <c r="F8" s="29" t="s">
        <v>40</v>
      </c>
      <c r="G8" s="66">
        <f t="shared" si="0"/>
        <v>12627.650000000001</v>
      </c>
    </row>
    <row r="9" spans="1:7" ht="45" customHeight="1">
      <c r="A9" s="137" t="s">
        <v>50</v>
      </c>
      <c r="B9" s="138"/>
      <c r="C9" s="35" t="s">
        <v>40</v>
      </c>
      <c r="D9" s="25">
        <v>0.3</v>
      </c>
      <c r="E9" s="25" t="s">
        <v>40</v>
      </c>
      <c r="F9" s="29">
        <v>0.55000000000000004</v>
      </c>
      <c r="G9" s="66">
        <f t="shared" si="0"/>
        <v>4505.5</v>
      </c>
    </row>
    <row r="10" spans="1:7" ht="29" customHeight="1" thickBot="1">
      <c r="A10" s="139" t="s">
        <v>45</v>
      </c>
      <c r="B10" s="140"/>
      <c r="C10" s="36" t="s">
        <v>40</v>
      </c>
      <c r="D10" s="26" t="s">
        <v>40</v>
      </c>
      <c r="E10" s="26">
        <v>0.2</v>
      </c>
      <c r="F10" s="30">
        <v>0.05</v>
      </c>
      <c r="G10" s="67">
        <f t="shared" si="0"/>
        <v>4027.7000000000003</v>
      </c>
    </row>
    <row r="11" spans="1:7" ht="30" customHeight="1">
      <c r="A11" s="141" t="s">
        <v>6</v>
      </c>
      <c r="B11" s="38" t="s">
        <v>46</v>
      </c>
      <c r="C11" s="69">
        <f>Таблиця_1!C7</f>
        <v>3444</v>
      </c>
      <c r="D11" s="70">
        <f>Таблиця_1!C8</f>
        <v>1778</v>
      </c>
      <c r="E11" s="70">
        <f>Таблиця_1!C9</f>
        <v>18333</v>
      </c>
      <c r="F11" s="71">
        <f>Таблиця_1!C10</f>
        <v>7222</v>
      </c>
      <c r="G11" s="68">
        <f>SUM(G4:G10)</f>
        <v>30777.000000000004</v>
      </c>
    </row>
    <row r="12" spans="1:7" ht="25" customHeight="1" thickBot="1">
      <c r="A12" s="142"/>
      <c r="B12" s="39" t="s">
        <v>47</v>
      </c>
      <c r="C12" s="37">
        <f>SUM(C4:C10)</f>
        <v>1</v>
      </c>
      <c r="D12" s="27">
        <f>SUM(D4:D10)</f>
        <v>1</v>
      </c>
      <c r="E12" s="27">
        <f>SUM(E4:E10)</f>
        <v>1</v>
      </c>
      <c r="F12" s="31">
        <f>SUM(F4:F10)</f>
        <v>1</v>
      </c>
      <c r="G12" s="32" t="s">
        <v>40</v>
      </c>
    </row>
    <row r="13" spans="1:7" hidden="1"/>
    <row r="14" spans="1:7" hidden="1"/>
    <row r="15" spans="1:7" s="14" customFormat="1" ht="59" hidden="1" customHeight="1">
      <c r="A15" s="149" t="s">
        <v>79</v>
      </c>
      <c r="B15" s="149"/>
      <c r="C15" s="149"/>
      <c r="D15" s="149"/>
      <c r="E15" s="149"/>
      <c r="F15" s="149"/>
      <c r="G15" s="149"/>
    </row>
    <row r="16" spans="1:7" s="14" customFormat="1" ht="59" hidden="1" customHeight="1">
      <c r="A16" s="52"/>
      <c r="B16" s="52"/>
      <c r="C16" s="52"/>
      <c r="D16" s="52"/>
      <c r="E16" s="52"/>
      <c r="F16" s="52"/>
      <c r="G16" s="52"/>
    </row>
    <row r="17" spans="1:7" s="14" customFormat="1" ht="339" hidden="1" customHeight="1">
      <c r="A17" s="154" t="str">
        <f xml:space="preserve"> A21 &amp; "
" &amp; A22 &amp; "
" &amp; A23 &amp; "
" &amp; A24 &amp; "
" &amp; A25 &amp; "
" &amp; A26 &amp; "
" &amp; A27</f>
        <v>ВД_1. Приймання та реєстрація звернень (телефонних дзвінків) клієнтів:_x000D_3444 х 30% + 7222 х 20% = 2477,6 тис. грн._x000D__x000D_ВД_2. Ідентифікація категорії звернення та проблеми:_x000D_3444 х 20% + 7222 х 20% = 2133,2 тис. грн._x000D__x000D_ВД_3. Розподіл ресурсів для вирішення проблеми (персонал, запасні частини і т. ін.):_x000D_3444 х 50% + 1778 х 20% = 2077,6 тис. грн._x000D__x000D_ВД_4. Підготовка та відправлення замовнику запасних частин:_x000D_1778 х 10% + 18333 х 15% = 2927,75 тис. грн._x000D__x000D_ВД_5. Виконання робіт інженерами СЦ:_x000D_1778 х 40% + 18333 х 65% = 12627,65 тис. грн._x000D__x000D_ВД_6. Виконання робіт інженерами третьої сторони (аутсорсинг):_x000D_1778 х 30% + 7222 х 55% = 4505,5 тис. грн._x000D__x000D_ВД_7. Вирішення нестандартних проблем клієнтів:_x000D_18333 х 20% + 7222 х 5% = 4027,7 тис. грн.</v>
      </c>
      <c r="B17" s="154"/>
      <c r="C17" s="154"/>
      <c r="D17" s="154"/>
      <c r="E17" s="154"/>
      <c r="F17" s="154"/>
      <c r="G17" s="154"/>
    </row>
    <row r="18" spans="1:7" s="14" customFormat="1" ht="217" hidden="1" customHeight="1">
      <c r="A18" s="55"/>
      <c r="B18" s="55"/>
      <c r="C18" s="55"/>
      <c r="D18" s="55"/>
      <c r="E18" s="55"/>
      <c r="F18" s="55"/>
      <c r="G18" s="55"/>
    </row>
    <row r="19" spans="1:7" s="14" customFormat="1" ht="36" hidden="1" customHeight="1">
      <c r="A19" s="55"/>
      <c r="B19" s="55"/>
      <c r="C19" s="55"/>
      <c r="D19" s="55"/>
      <c r="E19" s="55"/>
      <c r="F19" s="55"/>
      <c r="G19" s="55"/>
    </row>
    <row r="20" spans="1:7" s="14" customFormat="1" ht="37" hidden="1" customHeight="1">
      <c r="A20" s="155" t="s">
        <v>76</v>
      </c>
      <c r="B20" s="155"/>
      <c r="C20" s="155"/>
      <c r="D20" s="155"/>
      <c r="E20" s="155"/>
      <c r="F20" s="155"/>
      <c r="G20" s="155"/>
    </row>
    <row r="21" spans="1:7" s="14" customFormat="1" ht="43" hidden="1" customHeight="1">
      <c r="A21" s="150" t="str">
        <f xml:space="preserve"> A4 &amp; ":
" &amp;
  SUBSTITUTE(
  ( IF(ISNUMBER(C4), $C$11 &amp;  " х " &amp;  C4*100 &amp;  "% + ", "" )
&amp; IF(ISNUMBER(D4), $D$11 &amp;  " х " &amp;  D4*100 &amp;  "% + ", "" )
&amp; IF(ISNUMBER(E4), $E$11 &amp;  " х " &amp;  E4*100 &amp;  "% + ", "" )
&amp; IF(ISNUMBER(F4), $F$11 &amp;  " х " &amp;  F4*100 &amp;  "% + ", "" )
&amp; "= " &amp; G4 &amp;  " тис. грн." ),
  "+ =", "="
  )</f>
        <v>ВД_1. Приймання та реєстрація звернень (телефонних дзвінків) клієнтів:_x000D_3444 х 30% + 7222 х 20% = 2477,6 тис. грн.</v>
      </c>
      <c r="B21" s="150"/>
      <c r="C21" s="150"/>
      <c r="D21" s="150"/>
      <c r="E21" s="150"/>
      <c r="F21" s="150"/>
      <c r="G21" s="150"/>
    </row>
    <row r="22" spans="1:7" s="14" customFormat="1" ht="43" hidden="1" customHeight="1">
      <c r="A22" s="150" t="str">
        <f t="shared" ref="A22:A27" si="1" xml:space="preserve"> A5 &amp; ":
" &amp;
  SUBSTITUTE(
  ( IF(ISNUMBER(C5), $C$11 &amp;  " х " &amp;  C5*100 &amp;  "% + ", "" )
&amp; IF(ISNUMBER(D5), $D$11 &amp;  " х " &amp;  D5*100 &amp;  "% + ", "" )
&amp; IF(ISNUMBER(E5), $E$11 &amp;  " х " &amp;  E5*100 &amp;  "% + ", "" )
&amp; IF(ISNUMBER(F5), $F$11 &amp;  " х " &amp;  F5*100 &amp;  "% + ", "" )
&amp; "= " &amp; G5 &amp;  " тис. грн." ),
  "+ =", "="
  )</f>
        <v>ВД_2. Ідентифікація категорії звернення та проблеми:_x000D_3444 х 20% + 7222 х 20% = 2133,2 тис. грн.</v>
      </c>
      <c r="B22" s="150"/>
      <c r="C22" s="150"/>
      <c r="D22" s="150"/>
      <c r="E22" s="150"/>
      <c r="F22" s="150"/>
      <c r="G22" s="150"/>
    </row>
    <row r="23" spans="1:7" s="14" customFormat="1" ht="43" hidden="1" customHeight="1">
      <c r="A23" s="150" t="str">
        <f t="shared" si="1"/>
        <v>ВД_3. Розподіл ресурсів для вирішення проблеми (персонал, запасні частини і т. ін.):_x000D_3444 х 50% + 1778 х 20% = 2077,6 тис. грн.</v>
      </c>
      <c r="B23" s="150"/>
      <c r="C23" s="150"/>
      <c r="D23" s="150"/>
      <c r="E23" s="150"/>
      <c r="F23" s="150"/>
      <c r="G23" s="150"/>
    </row>
    <row r="24" spans="1:7" s="14" customFormat="1" ht="43" hidden="1" customHeight="1">
      <c r="A24" s="150" t="str">
        <f t="shared" si="1"/>
        <v>ВД_4. Підготовка та відправлення замовнику запасних частин:_x000D_1778 х 10% + 18333 х 15% = 2927,75 тис. грн.</v>
      </c>
      <c r="B24" s="150"/>
      <c r="C24" s="150"/>
      <c r="D24" s="150"/>
      <c r="E24" s="150"/>
      <c r="F24" s="150"/>
      <c r="G24" s="150"/>
    </row>
    <row r="25" spans="1:7" s="14" customFormat="1" ht="43" hidden="1" customHeight="1">
      <c r="A25" s="150" t="str">
        <f t="shared" si="1"/>
        <v>ВД_5. Виконання робіт інженерами СЦ:_x000D_1778 х 40% + 18333 х 65% = 12627,65 тис. грн.</v>
      </c>
      <c r="B25" s="150"/>
      <c r="C25" s="150"/>
      <c r="D25" s="150"/>
      <c r="E25" s="150"/>
      <c r="F25" s="150"/>
      <c r="G25" s="150"/>
    </row>
    <row r="26" spans="1:7" s="14" customFormat="1" ht="43" hidden="1" customHeight="1">
      <c r="A26" s="150" t="str">
        <f t="shared" si="1"/>
        <v>ВД_6. Виконання робіт інженерами третьої сторони (аутсорсинг):_x000D_1778 х 30% + 7222 х 55% = 4505,5 тис. грн.</v>
      </c>
      <c r="B26" s="150"/>
      <c r="C26" s="150"/>
      <c r="D26" s="150"/>
      <c r="E26" s="150"/>
      <c r="F26" s="150"/>
      <c r="G26" s="150"/>
    </row>
    <row r="27" spans="1:7" s="14" customFormat="1" ht="43" hidden="1" customHeight="1">
      <c r="A27" s="150" t="str">
        <f t="shared" si="1"/>
        <v>ВД_7. Вирішення нестандартних проблем клієнтів:_x000D_18333 х 20% + 7222 х 5% = 4027,7 тис. грн.</v>
      </c>
      <c r="B27" s="150"/>
      <c r="C27" s="150"/>
      <c r="D27" s="150"/>
      <c r="E27" s="150"/>
      <c r="F27" s="150"/>
      <c r="G27" s="150"/>
    </row>
    <row r="28" spans="1:7" s="14" customFormat="1" ht="43" hidden="1" customHeight="1">
      <c r="A28" s="53"/>
      <c r="B28" s="53"/>
    </row>
    <row r="29" spans="1:7" s="14" customFormat="1" ht="108" hidden="1" customHeight="1">
      <c r="A29" s="53"/>
      <c r="B29" s="53"/>
    </row>
    <row r="30" spans="1:7" s="14" customFormat="1" ht="43" hidden="1" customHeight="1">
      <c r="A30" s="53"/>
      <c r="B30" s="53"/>
    </row>
    <row r="31" spans="1:7" s="14" customFormat="1" ht="43" hidden="1" customHeight="1">
      <c r="A31" s="53"/>
      <c r="B31" s="53"/>
    </row>
    <row r="32" spans="1:7" s="14" customFormat="1" ht="43" hidden="1" customHeight="1">
      <c r="A32" s="53"/>
      <c r="B32" s="53"/>
    </row>
    <row r="33" spans="1:2" s="14" customFormat="1" ht="43" hidden="1" customHeight="1">
      <c r="A33" s="53"/>
      <c r="B33" s="53"/>
    </row>
    <row r="34" spans="1:2" s="14" customFormat="1" ht="43" hidden="1" customHeight="1">
      <c r="A34" s="53"/>
      <c r="B34" s="53"/>
    </row>
    <row r="35" spans="1:2" s="14" customFormat="1" ht="43" hidden="1" customHeight="1">
      <c r="A35" s="53"/>
      <c r="B35" s="53"/>
    </row>
    <row r="36" spans="1:2" s="14" customFormat="1" ht="16" hidden="1">
      <c r="A36" s="53"/>
      <c r="B36" s="53"/>
    </row>
    <row r="37" spans="1:2" s="14" customFormat="1" ht="16" hidden="1">
      <c r="A37" s="53"/>
      <c r="B37" s="53"/>
    </row>
    <row r="38" spans="1:2" s="14" customFormat="1" ht="16" hidden="1">
      <c r="A38" s="53"/>
      <c r="B38" s="53"/>
    </row>
    <row r="39" spans="1:2" s="14" customFormat="1" ht="16" hidden="1">
      <c r="A39" s="53"/>
      <c r="B39" s="53"/>
    </row>
    <row r="40" spans="1:2" s="14" customFormat="1" ht="16" hidden="1">
      <c r="A40" s="53"/>
      <c r="B40" s="53"/>
    </row>
    <row r="41" spans="1:2" s="14" customFormat="1" ht="16" hidden="1">
      <c r="A41" s="53"/>
      <c r="B41" s="53"/>
    </row>
    <row r="42" spans="1:2" s="14" customFormat="1" ht="16" hidden="1">
      <c r="A42" s="53"/>
      <c r="B42" s="53"/>
    </row>
    <row r="43" spans="1:2" s="14" customFormat="1" ht="16" hidden="1">
      <c r="A43" s="53"/>
      <c r="B43" s="53"/>
    </row>
    <row r="44" spans="1:2" s="14" customFormat="1" ht="16" hidden="1">
      <c r="A44" s="53"/>
      <c r="B44" s="53"/>
    </row>
    <row r="45" spans="1:2" s="14" customFormat="1" ht="16" hidden="1">
      <c r="A45" s="53"/>
      <c r="B45" s="53"/>
    </row>
    <row r="46" spans="1:2" s="14" customFormat="1" ht="16" hidden="1">
      <c r="A46" s="53"/>
      <c r="B46" s="53"/>
    </row>
    <row r="47" spans="1:2" s="14" customFormat="1" ht="16" hidden="1">
      <c r="A47" s="53"/>
      <c r="B47" s="53"/>
    </row>
    <row r="48" spans="1:2" s="14" customFormat="1" ht="16" hidden="1">
      <c r="A48" s="53"/>
      <c r="B48" s="53"/>
    </row>
    <row r="49" spans="1:2" s="14" customFormat="1" ht="16" hidden="1">
      <c r="A49" s="53"/>
      <c r="B49" s="53"/>
    </row>
    <row r="50" spans="1:2" s="14" customFormat="1" ht="16" hidden="1">
      <c r="A50" s="53"/>
      <c r="B50" s="53"/>
    </row>
    <row r="51" spans="1:2" s="14" customFormat="1" ht="16" hidden="1">
      <c r="A51" s="53"/>
      <c r="B51" s="53"/>
    </row>
    <row r="52" spans="1:2" s="14" customFormat="1" ht="16" hidden="1">
      <c r="A52" s="53"/>
      <c r="B52" s="53"/>
    </row>
    <row r="53" spans="1:2" s="14" customFormat="1" ht="16" hidden="1">
      <c r="A53" s="53"/>
      <c r="B53" s="53"/>
    </row>
    <row r="54" spans="1:2" s="14" customFormat="1" ht="16" hidden="1">
      <c r="A54" s="53"/>
      <c r="B54" s="53"/>
    </row>
    <row r="55" spans="1:2" s="14" customFormat="1" ht="16" hidden="1">
      <c r="A55" s="53"/>
      <c r="B55" s="53"/>
    </row>
    <row r="56" spans="1:2" s="14" customFormat="1" ht="16" hidden="1">
      <c r="A56" s="53"/>
      <c r="B56" s="53"/>
    </row>
    <row r="57" spans="1:2" s="14" customFormat="1" ht="16" hidden="1">
      <c r="A57" s="53"/>
      <c r="B57" s="53"/>
    </row>
    <row r="58" spans="1:2" s="14" customFormat="1" ht="16" hidden="1">
      <c r="A58" s="53"/>
      <c r="B58" s="53"/>
    </row>
    <row r="59" spans="1:2" s="14" customFormat="1" ht="16" hidden="1">
      <c r="A59" s="53"/>
      <c r="B59" s="53"/>
    </row>
    <row r="60" spans="1:2" s="14" customFormat="1" ht="16" hidden="1">
      <c r="A60" s="53"/>
      <c r="B60" s="53"/>
    </row>
    <row r="61" spans="1:2" s="14" customFormat="1" ht="16" hidden="1">
      <c r="A61" s="53"/>
      <c r="B61" s="53"/>
    </row>
    <row r="62" spans="1:2" s="14" customFormat="1" ht="16" hidden="1">
      <c r="A62" s="53"/>
      <c r="B62" s="53"/>
    </row>
    <row r="63" spans="1:2" s="14" customFormat="1" ht="16" hidden="1">
      <c r="A63" s="53"/>
      <c r="B63" s="53"/>
    </row>
    <row r="64" spans="1:2" s="14" customFormat="1" ht="16" hidden="1">
      <c r="A64" s="53"/>
      <c r="B64" s="53"/>
    </row>
    <row r="65" spans="1:2" s="14" customFormat="1" ht="16" hidden="1">
      <c r="A65" s="53"/>
      <c r="B65" s="53"/>
    </row>
    <row r="66" spans="1:2" s="14" customFormat="1" ht="16" hidden="1">
      <c r="A66" s="53"/>
      <c r="B66" s="53"/>
    </row>
    <row r="67" spans="1:2" s="14" customFormat="1" ht="16" hidden="1">
      <c r="A67" s="53"/>
      <c r="B67" s="53"/>
    </row>
    <row r="68" spans="1:2" s="14" customFormat="1" ht="16" hidden="1">
      <c r="A68" s="53"/>
      <c r="B68" s="53"/>
    </row>
    <row r="69" spans="1:2" s="14" customFormat="1" ht="16" hidden="1">
      <c r="A69" s="53"/>
      <c r="B69" s="53"/>
    </row>
    <row r="70" spans="1:2" s="14" customFormat="1" ht="16" hidden="1">
      <c r="A70" s="53"/>
      <c r="B70" s="53"/>
    </row>
    <row r="71" spans="1:2" s="14" customFormat="1" ht="16" hidden="1">
      <c r="A71" s="53"/>
      <c r="B71" s="53"/>
    </row>
    <row r="72" spans="1:2" s="14" customFormat="1" ht="16" hidden="1">
      <c r="A72" s="53"/>
      <c r="B72" s="53"/>
    </row>
    <row r="73" spans="1:2" s="14" customFormat="1" ht="16" hidden="1">
      <c r="A73" s="53"/>
      <c r="B73" s="53"/>
    </row>
    <row r="74" spans="1:2" s="14" customFormat="1" ht="16" hidden="1">
      <c r="A74" s="53"/>
      <c r="B74" s="53"/>
    </row>
    <row r="75" spans="1:2" s="14" customFormat="1" ht="16" hidden="1">
      <c r="A75" s="53"/>
      <c r="B75" s="53"/>
    </row>
    <row r="76" spans="1:2" s="14" customFormat="1" ht="16" hidden="1">
      <c r="A76" s="53"/>
      <c r="B76" s="53"/>
    </row>
    <row r="77" spans="1:2" s="14" customFormat="1" ht="16" hidden="1">
      <c r="A77" s="53"/>
      <c r="B77" s="53"/>
    </row>
    <row r="78" spans="1:2" s="14" customFormat="1" ht="16" hidden="1">
      <c r="A78" s="53"/>
      <c r="B78" s="53"/>
    </row>
    <row r="79" spans="1:2" s="14" customFormat="1" ht="16" hidden="1">
      <c r="A79" s="53"/>
      <c r="B79" s="53"/>
    </row>
    <row r="80" spans="1:2" s="14" customFormat="1" ht="16" hidden="1">
      <c r="A80" s="53"/>
      <c r="B80" s="53"/>
    </row>
    <row r="81" spans="1:2" s="14" customFormat="1" ht="16" hidden="1">
      <c r="A81" s="53"/>
      <c r="B81" s="53"/>
    </row>
    <row r="82" spans="1:2" s="14" customFormat="1" ht="16" hidden="1">
      <c r="A82" s="53"/>
      <c r="B82" s="53"/>
    </row>
    <row r="83" spans="1:2" s="14" customFormat="1" ht="16" hidden="1">
      <c r="A83" s="53"/>
      <c r="B83" s="53"/>
    </row>
    <row r="84" spans="1:2" s="14" customFormat="1" ht="16" hidden="1">
      <c r="A84" s="53"/>
      <c r="B84" s="53"/>
    </row>
    <row r="85" spans="1:2" s="14" customFormat="1" ht="16" hidden="1">
      <c r="A85" s="53"/>
      <c r="B85" s="53"/>
    </row>
    <row r="86" spans="1:2" s="14" customFormat="1" ht="16" hidden="1">
      <c r="A86" s="53"/>
      <c r="B86" s="53"/>
    </row>
    <row r="87" spans="1:2" s="14" customFormat="1" ht="16" hidden="1">
      <c r="A87" s="53"/>
      <c r="B87" s="53"/>
    </row>
    <row r="88" spans="1:2" s="14" customFormat="1" ht="16" hidden="1">
      <c r="A88" s="53"/>
      <c r="B88" s="53"/>
    </row>
    <row r="89" spans="1:2" s="14" customFormat="1" ht="16" hidden="1">
      <c r="A89" s="53"/>
      <c r="B89" s="53"/>
    </row>
    <row r="90" spans="1:2" s="14" customFormat="1" ht="16" hidden="1">
      <c r="A90" s="53"/>
      <c r="B90" s="53"/>
    </row>
    <row r="91" spans="1:2" s="14" customFormat="1" ht="16" hidden="1">
      <c r="A91" s="53"/>
      <c r="B91" s="53"/>
    </row>
    <row r="92" spans="1:2" s="14" customFormat="1" ht="16" hidden="1">
      <c r="A92" s="53"/>
      <c r="B92" s="53"/>
    </row>
    <row r="93" spans="1:2" s="14" customFormat="1" ht="16" hidden="1">
      <c r="A93" s="53"/>
      <c r="B93" s="53"/>
    </row>
    <row r="94" spans="1:2" s="14" customFormat="1" ht="16" hidden="1">
      <c r="A94" s="53"/>
      <c r="B94" s="53"/>
    </row>
    <row r="95" spans="1:2" s="14" customFormat="1" ht="16" hidden="1">
      <c r="A95" s="53"/>
      <c r="B95" s="53"/>
    </row>
    <row r="96" spans="1:2" s="14" customFormat="1" ht="16" hidden="1">
      <c r="A96" s="53"/>
      <c r="B96" s="53"/>
    </row>
    <row r="97" spans="1:2" s="14" customFormat="1" ht="16" hidden="1">
      <c r="A97" s="53"/>
      <c r="B97" s="53"/>
    </row>
    <row r="98" spans="1:2" s="14" customFormat="1" ht="16" hidden="1">
      <c r="A98" s="53"/>
      <c r="B98" s="53"/>
    </row>
    <row r="99" spans="1:2" s="14" customFormat="1" ht="16" hidden="1">
      <c r="A99" s="53"/>
      <c r="B99" s="53"/>
    </row>
    <row r="100" spans="1:2" s="14" customFormat="1" ht="16" hidden="1">
      <c r="A100" s="53"/>
      <c r="B100" s="53"/>
    </row>
    <row r="101" spans="1:2" s="14" customFormat="1" ht="16" hidden="1">
      <c r="A101" s="53"/>
      <c r="B101" s="53"/>
    </row>
    <row r="102" spans="1:2" s="14" customFormat="1" ht="16" hidden="1">
      <c r="A102" s="53"/>
      <c r="B102" s="53"/>
    </row>
    <row r="103" spans="1:2" s="14" customFormat="1" ht="16" hidden="1">
      <c r="A103" s="53"/>
      <c r="B103" s="53"/>
    </row>
    <row r="104" spans="1:2" s="14" customFormat="1" ht="16" hidden="1">
      <c r="A104" s="53"/>
      <c r="B104" s="53"/>
    </row>
    <row r="105" spans="1:2" s="14" customFormat="1" ht="16" hidden="1">
      <c r="A105" s="53"/>
      <c r="B105" s="53"/>
    </row>
    <row r="106" spans="1:2" s="14" customFormat="1" ht="16" hidden="1">
      <c r="A106" s="53"/>
      <c r="B106" s="53"/>
    </row>
    <row r="107" spans="1:2" s="14" customFormat="1" ht="16" hidden="1">
      <c r="A107" s="53"/>
      <c r="B107" s="53"/>
    </row>
    <row r="108" spans="1:2" s="14" customFormat="1" ht="16" hidden="1">
      <c r="A108" s="53"/>
      <c r="B108" s="53"/>
    </row>
    <row r="109" spans="1:2" s="14" customFormat="1" ht="16" hidden="1">
      <c r="A109" s="53"/>
      <c r="B109" s="53"/>
    </row>
  </sheetData>
  <mergeCells count="21">
    <mergeCell ref="A1:B3"/>
    <mergeCell ref="A15:G15"/>
    <mergeCell ref="A25:G25"/>
    <mergeCell ref="A26:G26"/>
    <mergeCell ref="A27:G27"/>
    <mergeCell ref="G1:G3"/>
    <mergeCell ref="A21:G21"/>
    <mergeCell ref="A22:G22"/>
    <mergeCell ref="A23:G23"/>
    <mergeCell ref="A24:G24"/>
    <mergeCell ref="A17:G17"/>
    <mergeCell ref="A20:G20"/>
    <mergeCell ref="C1:F1"/>
    <mergeCell ref="A4:B4"/>
    <mergeCell ref="A5:B5"/>
    <mergeCell ref="A6:B6"/>
    <mergeCell ref="A7:B7"/>
    <mergeCell ref="A10:B10"/>
    <mergeCell ref="A11:A12"/>
    <mergeCell ref="A8:B8"/>
    <mergeCell ref="A9:B9"/>
  </mergeCells>
  <phoneticPr fontId="19" type="noConversion"/>
  <printOptions horizontalCentered="1" verticalCentered="1"/>
  <pageMargins left="0.75000000000000011" right="0.75000000000000011" top="1" bottom="1" header="0.5" footer="0.5"/>
  <pageSetup paperSize="9" orientation="landscape" horizontalDpi="4294967292" verticalDpi="4294967292"/>
  <headerFooter>
    <oddHeader>&amp;R&amp;"Times New Roman,Курсив"&amp;14&amp;K000000Таблиця 2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9"/>
  <sheetViews>
    <sheetView workbookViewId="0">
      <selection activeCell="J4" sqref="J1:XFD1048576"/>
    </sheetView>
  </sheetViews>
  <sheetFormatPr baseColWidth="10" defaultColWidth="0" defaultRowHeight="18" zeroHeight="1" x14ac:dyDescent="0"/>
  <cols>
    <col min="1" max="1" width="26.33203125" style="22" customWidth="1"/>
    <col min="2" max="2" width="29.33203125" style="22" customWidth="1"/>
    <col min="3" max="3" width="19.1640625" style="22" customWidth="1"/>
    <col min="4" max="4" width="25.33203125" style="22" customWidth="1"/>
    <col min="5" max="5" width="21.33203125" style="22" customWidth="1"/>
    <col min="6" max="6" width="23.6640625" style="22" customWidth="1"/>
    <col min="7" max="7" width="19.83203125" style="22" customWidth="1"/>
    <col min="8" max="8" width="21.33203125" style="22" customWidth="1"/>
    <col min="9" max="9" width="4.5" style="22" customWidth="1"/>
    <col min="10" max="16384" width="10.83203125" style="22" hidden="1"/>
  </cols>
  <sheetData>
    <row r="1" spans="1:8" ht="30" customHeight="1">
      <c r="A1" s="165" t="s">
        <v>54</v>
      </c>
      <c r="B1" s="163" t="s">
        <v>64</v>
      </c>
      <c r="C1" s="167" t="s">
        <v>55</v>
      </c>
      <c r="D1" s="168"/>
      <c r="E1" s="168"/>
      <c r="F1" s="168"/>
      <c r="G1" s="169"/>
      <c r="H1" s="161" t="s">
        <v>62</v>
      </c>
    </row>
    <row r="2" spans="1:8" ht="69" customHeight="1" thickBot="1">
      <c r="A2" s="166"/>
      <c r="B2" s="164"/>
      <c r="C2" s="46" t="str">
        <f>Таблиця_1!$B13</f>
        <v>СП_1_Дистанційне консультування клієнта</v>
      </c>
      <c r="D2" s="46" t="str">
        <f>Таблиця_1!$B14</f>
        <v>СП_2_Консультування та відправлення замовнику запасних частин</v>
      </c>
      <c r="E2" s="46" t="str">
        <f>Таблиця_1!$B15</f>
        <v>СП_3_Послуги інженера СЦ на території замовника</v>
      </c>
      <c r="F2" s="46" t="str">
        <f>Таблиця_1!$B16</f>
        <v>СП_4_Послуги інженера третьої сторони на території замовника</v>
      </c>
      <c r="G2" s="46" t="str">
        <f>Таблиця_1!$B17</f>
        <v>СП_5_Первинне встановлення корпоративної серверної системи</v>
      </c>
      <c r="H2" s="162"/>
    </row>
    <row r="3" spans="1:8" ht="70" customHeight="1">
      <c r="A3" s="47" t="str">
        <f>Таблиця_2!A4</f>
        <v>ВД_1. Приймання та реєстрація звернень (телефонних дзвінків) клієнтів</v>
      </c>
      <c r="B3" s="48" t="s">
        <v>56</v>
      </c>
      <c r="C3" s="74">
        <v>26400</v>
      </c>
      <c r="D3" s="75">
        <v>5500</v>
      </c>
      <c r="E3" s="75">
        <v>24200</v>
      </c>
      <c r="F3" s="75">
        <v>13200</v>
      </c>
      <c r="G3" s="76">
        <v>8800</v>
      </c>
      <c r="H3" s="77">
        <f>SUM(C3:G3)</f>
        <v>78100</v>
      </c>
    </row>
    <row r="4" spans="1:8" ht="55" customHeight="1">
      <c r="A4" s="47" t="str">
        <f>Таблиця_2!A5</f>
        <v>ВД_2. Ідентифікація категорії звернення та проблеми</v>
      </c>
      <c r="B4" s="49" t="s">
        <v>57</v>
      </c>
      <c r="C4" s="78">
        <v>19800</v>
      </c>
      <c r="D4" s="79">
        <v>4125</v>
      </c>
      <c r="E4" s="79">
        <v>18150</v>
      </c>
      <c r="F4" s="79">
        <v>9900</v>
      </c>
      <c r="G4" s="80" t="s">
        <v>40</v>
      </c>
      <c r="H4" s="77">
        <f t="shared" ref="H4:H9" si="0">SUM(C4:G4)</f>
        <v>51975</v>
      </c>
    </row>
    <row r="5" spans="1:8" ht="67" customHeight="1">
      <c r="A5" s="47" t="str">
        <f>Таблиця_2!A6</f>
        <v>ВД_3. Розподіл ресурсів для вирішення проблеми (персонал, запасні частини і т. ін.)</v>
      </c>
      <c r="B5" s="49" t="s">
        <v>58</v>
      </c>
      <c r="C5" s="81" t="s">
        <v>40</v>
      </c>
      <c r="D5" s="79">
        <v>3500</v>
      </c>
      <c r="E5" s="79">
        <v>20000</v>
      </c>
      <c r="F5" s="82" t="s">
        <v>40</v>
      </c>
      <c r="G5" s="83">
        <v>8100</v>
      </c>
      <c r="H5" s="77">
        <f t="shared" si="0"/>
        <v>31600</v>
      </c>
    </row>
    <row r="6" spans="1:8" ht="54" customHeight="1">
      <c r="A6" s="47" t="str">
        <f>Таблиця_2!A7</f>
        <v>ВД_4. Підготовка та відправлення замовнику запасних частин</v>
      </c>
      <c r="B6" s="49" t="s">
        <v>63</v>
      </c>
      <c r="C6" s="81" t="s">
        <v>40</v>
      </c>
      <c r="D6" s="79">
        <v>3000</v>
      </c>
      <c r="E6" s="82" t="s">
        <v>40</v>
      </c>
      <c r="F6" s="82" t="s">
        <v>40</v>
      </c>
      <c r="G6" s="80" t="s">
        <v>40</v>
      </c>
      <c r="H6" s="77">
        <f t="shared" si="0"/>
        <v>3000</v>
      </c>
    </row>
    <row r="7" spans="1:8" ht="42" customHeight="1">
      <c r="A7" s="47" t="str">
        <f>Таблиця_2!A8</f>
        <v>ВД_5. Виконання робіт інженерами СЦ</v>
      </c>
      <c r="B7" s="49" t="s">
        <v>59</v>
      </c>
      <c r="C7" s="81" t="s">
        <v>40</v>
      </c>
      <c r="D7" s="82" t="s">
        <v>40</v>
      </c>
      <c r="E7" s="79">
        <v>38000</v>
      </c>
      <c r="F7" s="82" t="s">
        <v>40</v>
      </c>
      <c r="G7" s="83">
        <v>2000</v>
      </c>
      <c r="H7" s="77">
        <f t="shared" si="0"/>
        <v>40000</v>
      </c>
    </row>
    <row r="8" spans="1:8" ht="58" customHeight="1">
      <c r="A8" s="47" t="str">
        <f>Таблиця_2!A9</f>
        <v>ВД_6. Виконання робіт інженерами третьої сторони (аутсорсинг)</v>
      </c>
      <c r="B8" s="49" t="s">
        <v>60</v>
      </c>
      <c r="C8" s="81" t="s">
        <v>40</v>
      </c>
      <c r="D8" s="82" t="s">
        <v>40</v>
      </c>
      <c r="E8" s="82" t="s">
        <v>40</v>
      </c>
      <c r="F8" s="79">
        <v>8000</v>
      </c>
      <c r="G8" s="83">
        <v>500</v>
      </c>
      <c r="H8" s="77">
        <f t="shared" si="0"/>
        <v>8500</v>
      </c>
    </row>
    <row r="9" spans="1:8" ht="59" customHeight="1" thickBot="1">
      <c r="A9" s="124" t="str">
        <f>Таблиця_2!A10</f>
        <v>ВД_7. Вирішення нестандартних проблем клієнтів</v>
      </c>
      <c r="B9" s="50" t="s">
        <v>61</v>
      </c>
      <c r="C9" s="84" t="s">
        <v>40</v>
      </c>
      <c r="D9" s="85" t="s">
        <v>40</v>
      </c>
      <c r="E9" s="86">
        <v>640</v>
      </c>
      <c r="F9" s="85" t="s">
        <v>40</v>
      </c>
      <c r="G9" s="87">
        <v>60</v>
      </c>
      <c r="H9" s="88">
        <f t="shared" si="0"/>
        <v>700</v>
      </c>
    </row>
  </sheetData>
  <mergeCells count="4">
    <mergeCell ref="H1:H2"/>
    <mergeCell ref="B1:B2"/>
    <mergeCell ref="A1:A2"/>
    <mergeCell ref="C1:G1"/>
  </mergeCells>
  <phoneticPr fontId="19" type="noConversion"/>
  <printOptions horizontalCentered="1" verticalCentered="1"/>
  <pageMargins left="0.75000000000000011" right="0.36000000000000004" top="0.8" bottom="0.41000000000000009" header="0.5" footer="0.30000000000000004"/>
  <pageSetup paperSize="9" scale="66" orientation="landscape" horizontalDpi="4294967292" verticalDpi="4294967292"/>
  <headerFooter>
    <oddHeader>&amp;R&amp;"Times New Roman,Курсив"&amp;14&amp;K000000Таблиця 3</oddHeader>
  </headerFooter>
  <ignoredErrors>
    <ignoredError sqref="D2" formula="1"/>
  </ignoredErrors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27"/>
  <sheetViews>
    <sheetView workbookViewId="0">
      <selection activeCell="H10" sqref="A1:H10"/>
    </sheetView>
  </sheetViews>
  <sheetFormatPr baseColWidth="10" defaultColWidth="0" defaultRowHeight="16" zeroHeight="1" x14ac:dyDescent="0"/>
  <cols>
    <col min="1" max="1" width="35.33203125" style="56" customWidth="1"/>
    <col min="2" max="2" width="14.6640625" style="56" customWidth="1"/>
    <col min="3" max="3" width="13.1640625" style="56" customWidth="1"/>
    <col min="4" max="4" width="20.83203125" style="56" customWidth="1"/>
    <col min="5" max="5" width="26" style="56" customWidth="1"/>
    <col min="6" max="6" width="18.6640625" style="56" customWidth="1"/>
    <col min="7" max="7" width="22.83203125" style="56" customWidth="1"/>
    <col min="8" max="8" width="20.1640625" style="56" customWidth="1"/>
    <col min="9" max="9" width="3.1640625" style="56" customWidth="1"/>
    <col min="10" max="10" width="64" style="56" hidden="1" customWidth="1"/>
    <col min="11" max="11" width="28" style="56" hidden="1" customWidth="1"/>
    <col min="12" max="12" width="90.5" style="56" hidden="1" customWidth="1"/>
    <col min="13" max="13" width="10.83203125" style="56" hidden="1" customWidth="1"/>
    <col min="14" max="14" width="34" style="56" hidden="1" customWidth="1"/>
    <col min="15" max="15" width="52.83203125" style="56" hidden="1" customWidth="1"/>
    <col min="16" max="16" width="32.83203125" style="56" hidden="1" customWidth="1"/>
    <col min="17" max="17" width="15.1640625" style="56" hidden="1" customWidth="1"/>
    <col min="18" max="19" width="0" style="56" hidden="1" customWidth="1"/>
    <col min="20" max="16384" width="10.83203125" style="56" hidden="1"/>
  </cols>
  <sheetData>
    <row r="1" spans="1:14" ht="30" customHeight="1">
      <c r="A1" s="161" t="s">
        <v>54</v>
      </c>
      <c r="B1" s="174" t="s">
        <v>52</v>
      </c>
      <c r="C1" s="172" t="s">
        <v>66</v>
      </c>
      <c r="D1" s="165" t="s">
        <v>67</v>
      </c>
      <c r="E1" s="168"/>
      <c r="F1" s="168"/>
      <c r="G1" s="168"/>
      <c r="H1" s="176"/>
    </row>
    <row r="2" spans="1:14" ht="80" customHeight="1" thickBot="1">
      <c r="A2" s="162"/>
      <c r="B2" s="175"/>
      <c r="C2" s="173"/>
      <c r="D2" s="96" t="str">
        <f>Таблиця_3!C2</f>
        <v>СП_1_Дистанційне консультування клієнта</v>
      </c>
      <c r="E2" s="96" t="str">
        <f>Таблиця_3!D2</f>
        <v>СП_2_Консультування та відправлення замовнику запасних частин</v>
      </c>
      <c r="F2" s="96" t="str">
        <f>Таблиця_3!E2</f>
        <v>СП_3_Послуги інженера СЦ на території замовника</v>
      </c>
      <c r="G2" s="96" t="str">
        <f>Таблиця_3!F2</f>
        <v>СП_4_Послуги інженера третьої сторони на території замовника</v>
      </c>
      <c r="H2" s="123" t="str">
        <f>Таблиця_3!G2</f>
        <v>СП_5_Первинне встановлення корпоративної серверної системи</v>
      </c>
    </row>
    <row r="3" spans="1:14" ht="59" customHeight="1">
      <c r="A3" s="64" t="str">
        <f>Таблиця_2!A4</f>
        <v>ВД_1. Приймання та реєстрація звернень (телефонних дзвінків) клієнтів</v>
      </c>
      <c r="B3" s="89">
        <f>Таблиця_2!G4</f>
        <v>2477.6000000000004</v>
      </c>
      <c r="C3" s="90">
        <f>B3/Таблиця_3!H3*1000</f>
        <v>31.723431498079385</v>
      </c>
      <c r="D3" s="100">
        <f>IF(ISNUMBER(Таблиця_3!C3),Таблиця_3!C3*$C3/1000,Таблиця_3!C3)</f>
        <v>837.49859154929584</v>
      </c>
      <c r="E3" s="101">
        <f>IF(ISNUMBER(Таблиця_3!D3),Таблиця_3!D3*$C3/1000,Таблиця_3!D3)</f>
        <v>174.47887323943661</v>
      </c>
      <c r="F3" s="101">
        <f>IF(ISNUMBER(Таблиця_3!E3),Таблиця_3!E3*$C3/1000,Таблиця_3!E3)</f>
        <v>767.70704225352119</v>
      </c>
      <c r="G3" s="101">
        <f>IF(ISNUMBER(Таблиця_3!F3),Таблиця_3!F3*$C3/1000,Таблиця_3!F3)</f>
        <v>418.74929577464792</v>
      </c>
      <c r="H3" s="102">
        <f>IF(ISNUMBER(Таблиця_3!G3),Таблиця_3!G3*$C3/1000,Таблиця_3!G3)</f>
        <v>279.16619718309857</v>
      </c>
    </row>
    <row r="4" spans="1:14" ht="40" customHeight="1">
      <c r="A4" s="64" t="str">
        <f>Таблиця_2!A5</f>
        <v>ВД_2. Ідентифікація категорії звернення та проблеми</v>
      </c>
      <c r="B4" s="89">
        <f>Таблиця_2!G5</f>
        <v>2133.2000000000003</v>
      </c>
      <c r="C4" s="90">
        <f>B4/Таблиця_3!H4*1000</f>
        <v>41.042809042809047</v>
      </c>
      <c r="D4" s="91">
        <f>IF(ISNUMBER(Таблиця_3!C4),Таблиця_3!C4*$C4/1000,Таблиця_3!C4)</f>
        <v>812.64761904761917</v>
      </c>
      <c r="E4" s="92">
        <f>IF(ISNUMBER(Таблиця_3!D4),Таблиця_3!D4*$C4/1000,Таблиця_3!D4)</f>
        <v>169.30158730158732</v>
      </c>
      <c r="F4" s="92">
        <f>IF(ISNUMBER(Таблиця_3!E4),Таблиця_3!E4*$C4/1000,Таблиця_3!E4)</f>
        <v>744.92698412698428</v>
      </c>
      <c r="G4" s="92">
        <f>IF(ISNUMBER(Таблиця_3!F4),Таблиця_3!F4*$C4/1000,Таблиця_3!F4)</f>
        <v>406.32380952380959</v>
      </c>
      <c r="H4" s="93" t="str">
        <f>IF(ISNUMBER(Таблиця_3!G4),Таблиця_3!G4*$C4/1000,Таблиця_3!G4)</f>
        <v>х</v>
      </c>
    </row>
    <row r="5" spans="1:14" ht="54" customHeight="1">
      <c r="A5" s="64" t="str">
        <f>Таблиця_2!A6</f>
        <v>ВД_3. Розподіл ресурсів для вирішення проблеми (персонал, запасні частини і т. ін.)</v>
      </c>
      <c r="B5" s="89">
        <f>Таблиця_2!G6</f>
        <v>2077.6</v>
      </c>
      <c r="C5" s="90">
        <f>B5/Таблиця_3!H5*1000</f>
        <v>65.746835443037966</v>
      </c>
      <c r="D5" s="91" t="str">
        <f>IF(ISNUMBER(Таблиця_3!C5),Таблиця_3!C5*$C5/1000,Таблиця_3!C5)</f>
        <v>х</v>
      </c>
      <c r="E5" s="92">
        <f>IF(ISNUMBER(Таблиця_3!D5),Таблиця_3!D5*$C5/1000,Таблиця_3!D5)</f>
        <v>230.1139240506329</v>
      </c>
      <c r="F5" s="92">
        <f>IF(ISNUMBER(Таблиця_3!E5),Таблиця_3!E5*$C5/1000,Таблиця_3!E5)</f>
        <v>1314.9367088607594</v>
      </c>
      <c r="G5" s="92" t="str">
        <f>IF(ISNUMBER(Таблиця_3!F5),Таблиця_3!F5*$C5/1000,Таблиця_3!F5)</f>
        <v>х</v>
      </c>
      <c r="H5" s="93">
        <f>IF(ISNUMBER(Таблиця_3!G5),Таблиця_3!G5*$C5/1000,Таблиця_3!G5)</f>
        <v>532.54936708860748</v>
      </c>
    </row>
    <row r="6" spans="1:14" ht="42" customHeight="1">
      <c r="A6" s="64" t="str">
        <f>Таблиця_2!A7</f>
        <v>ВД_4. Підготовка та відправлення замовнику запасних частин</v>
      </c>
      <c r="B6" s="89">
        <f>Таблиця_2!G7</f>
        <v>2927.75</v>
      </c>
      <c r="C6" s="90">
        <f>B6/Таблиця_3!H6*1000</f>
        <v>975.91666666666663</v>
      </c>
      <c r="D6" s="91" t="str">
        <f>IF(ISNUMBER(Таблиця_3!C6),Таблиця_3!C6*$C6/1000,Таблиця_3!C6)</f>
        <v>х</v>
      </c>
      <c r="E6" s="92">
        <f>IF(ISNUMBER(Таблиця_3!D6),Таблиця_3!D6*$C6/1000,Таблиця_3!D6)</f>
        <v>2927.75</v>
      </c>
      <c r="F6" s="92" t="str">
        <f>IF(ISNUMBER(Таблиця_3!E6),Таблиця_3!E6*$C6/1000,Таблиця_3!E6)</f>
        <v>х</v>
      </c>
      <c r="G6" s="92" t="str">
        <f>IF(ISNUMBER(Таблиця_3!F6),Таблиця_3!F6*$C6/1000,Таблиця_3!F6)</f>
        <v>х</v>
      </c>
      <c r="H6" s="93" t="str">
        <f>IF(ISNUMBER(Таблиця_3!G6),Таблиця_3!G6*$C6/1000,Таблиця_3!G6)</f>
        <v>х</v>
      </c>
      <c r="J6" s="57"/>
    </row>
    <row r="7" spans="1:14" ht="40" customHeight="1">
      <c r="A7" s="64" t="str">
        <f>Таблиця_2!A8</f>
        <v>ВД_5. Виконання робіт інженерами СЦ</v>
      </c>
      <c r="B7" s="89">
        <f>Таблиця_2!G8</f>
        <v>12627.650000000001</v>
      </c>
      <c r="C7" s="90">
        <f>B7/Таблиця_3!H7*1000</f>
        <v>315.69125000000003</v>
      </c>
      <c r="D7" s="91" t="str">
        <f>IF(ISNUMBER(Таблиця_3!C7),Таблиця_3!C7*$C7/1000,Таблиця_3!C7)</f>
        <v>х</v>
      </c>
      <c r="E7" s="92" t="str">
        <f>IF(ISNUMBER(Таблиця_3!D7),Таблиця_3!D7*$C7/1000,Таблиця_3!D7)</f>
        <v>х</v>
      </c>
      <c r="F7" s="92">
        <f>IF(ISNUMBER(Таблиця_3!E7),Таблиця_3!E7*$C7/1000,Таблиця_3!E7)</f>
        <v>11996.267500000002</v>
      </c>
      <c r="G7" s="92" t="str">
        <f>IF(ISNUMBER(Таблиця_3!F7),Таблиця_3!F7*$C7/1000,Таблиця_3!F7)</f>
        <v>х</v>
      </c>
      <c r="H7" s="93">
        <f>IF(ISNUMBER(Таблиця_3!G7),Таблиця_3!G7*$C7/1000,Таблиця_3!G7)</f>
        <v>631.38250000000005</v>
      </c>
    </row>
    <row r="8" spans="1:14" ht="49" customHeight="1">
      <c r="A8" s="64" t="str">
        <f>Таблиця_2!A9</f>
        <v>ВД_6. Виконання робіт інженерами третьої сторони (аутсорсинг)</v>
      </c>
      <c r="B8" s="89">
        <f>Таблиця_2!G9</f>
        <v>4505.5</v>
      </c>
      <c r="C8" s="90">
        <f>B8/Таблиця_3!H8*1000</f>
        <v>530.05882352941182</v>
      </c>
      <c r="D8" s="91" t="str">
        <f>IF(ISNUMBER(Таблиця_3!C8),Таблиця_3!C8*$C8/1000,Таблиця_3!C8)</f>
        <v>х</v>
      </c>
      <c r="E8" s="92" t="str">
        <f>IF(ISNUMBER(Таблиця_3!D8),Таблиця_3!D8*$C8/1000,Таблиця_3!D8)</f>
        <v>х</v>
      </c>
      <c r="F8" s="92" t="str">
        <f>IF(ISNUMBER(Таблиця_3!E8),Таблиця_3!E8*$C8/1000,Таблиця_3!E8)</f>
        <v>х</v>
      </c>
      <c r="G8" s="92">
        <f>IF(ISNUMBER(Таблиця_3!F8),Таблиця_3!F8*$C8/1000,Таблиця_3!F8)</f>
        <v>4240.4705882352946</v>
      </c>
      <c r="H8" s="93">
        <f>IF(ISNUMBER(Таблиця_3!G8),Таблиця_3!G8*$C8/1000,Таблиця_3!G8)</f>
        <v>265.02941176470591</v>
      </c>
    </row>
    <row r="9" spans="1:14" ht="38" customHeight="1" thickBot="1">
      <c r="A9" s="64" t="str">
        <f>Таблиця_2!A10</f>
        <v>ВД_7. Вирішення нестандартних проблем клієнтів</v>
      </c>
      <c r="B9" s="89">
        <f>Таблиця_2!G10</f>
        <v>4027.7000000000003</v>
      </c>
      <c r="C9" s="90">
        <f>B9/Таблиця_3!H9*1000</f>
        <v>5753.8571428571431</v>
      </c>
      <c r="D9" s="103" t="str">
        <f>IF(ISNUMBER(Таблиця_3!C9),Таблиця_3!C9*$C9/1000,Таблиця_3!C9)</f>
        <v>х</v>
      </c>
      <c r="E9" s="104" t="str">
        <f>IF(ISNUMBER(Таблиця_3!D9),Таблиця_3!D9*$C9/1000,Таблиця_3!D9)</f>
        <v>х</v>
      </c>
      <c r="F9" s="104">
        <f>IF(ISNUMBER(Таблиця_3!E9),Таблиця_3!E9*$C9/1000,Таблиця_3!E9)</f>
        <v>3682.468571428572</v>
      </c>
      <c r="G9" s="104" t="str">
        <f>IF(ISNUMBER(Таблиця_3!F9),Таблиця_3!F9*$C9/1000,Таблиця_3!F9)</f>
        <v>х</v>
      </c>
      <c r="H9" s="105">
        <f>IF(ISNUMBER(Таблиця_3!G9),Таблиця_3!G9*$C9/1000,Таблиця_3!G9)</f>
        <v>345.23142857142858</v>
      </c>
      <c r="N9" s="56" t="str">
        <f>B3 &amp; " тис. грн. / " &amp; Таблиця_3!H3 &amp; " x 1000 = " &amp; ROUND(Таблиця_4!C3,1) &amp; " грн."</f>
        <v>2477,6 тис. грн. / 78100 x 1000 = 31,7 грн.</v>
      </c>
    </row>
    <row r="10" spans="1:14" ht="51" customHeight="1" thickBot="1">
      <c r="A10" s="51" t="s">
        <v>65</v>
      </c>
      <c r="B10" s="94" t="s">
        <v>40</v>
      </c>
      <c r="C10" s="95" t="s">
        <v>40</v>
      </c>
      <c r="D10" s="97">
        <f>SUM(D3:D9)</f>
        <v>1650.1462105969149</v>
      </c>
      <c r="E10" s="98">
        <f t="shared" ref="E10:H10" si="0">SUM(E3:E9)</f>
        <v>3501.6443845916569</v>
      </c>
      <c r="F10" s="98">
        <f t="shared" si="0"/>
        <v>18506.30680666984</v>
      </c>
      <c r="G10" s="98">
        <f t="shared" si="0"/>
        <v>5065.543693533752</v>
      </c>
      <c r="H10" s="99">
        <f t="shared" si="0"/>
        <v>2053.3589046078405</v>
      </c>
      <c r="I10" s="122"/>
      <c r="N10" s="56" t="str">
        <f>B4 &amp; " тис. грн. / " &amp; Таблиця_3!H4 &amp; " x 1000 = " &amp; ROUND(Таблиця_4!C4,1) &amp; " грн."</f>
        <v>2133,2 тис. грн. / 51975 x 1000 = 41 грн.</v>
      </c>
    </row>
    <row r="11" spans="1:14" hidden="1">
      <c r="N11" s="56" t="str">
        <f>B5 &amp; " тис. грн. / " &amp; Таблиця_3!H5 &amp; " x 1000 = " &amp; ROUND(Таблиця_4!C5,1) &amp; " грн."</f>
        <v>2077,6 тис. грн. / 31600 x 1000 = 65,7 грн.</v>
      </c>
    </row>
    <row r="12" spans="1:14" hidden="1">
      <c r="N12" s="56" t="str">
        <f>B6 &amp; " тис. грн. / " &amp; Таблиця_3!H6 &amp; " x 1000 = " &amp; ROUND(Таблиця_4!C6,1) &amp; " грн."</f>
        <v>2927,75 тис. грн. / 3000 x 1000 = 975,9 грн.</v>
      </c>
    </row>
    <row r="13" spans="1:14" ht="45" hidden="1" customHeight="1">
      <c r="A13" s="171" t="s">
        <v>80</v>
      </c>
      <c r="B13" s="171"/>
      <c r="C13" s="171"/>
      <c r="D13" s="171"/>
      <c r="E13" s="171"/>
      <c r="F13" s="171"/>
      <c r="G13" s="171"/>
      <c r="H13" s="171"/>
      <c r="N13" s="56" t="str">
        <f>B7 &amp; " тис. грн. / " &amp; Таблиця_3!H7 &amp; " x 1000 = " &amp; ROUND(Таблиця_4!C7,1) &amp; " грн."</f>
        <v>12627,65 тис. грн. / 40000 x 1000 = 315,7 грн.</v>
      </c>
    </row>
    <row r="14" spans="1:14" hidden="1">
      <c r="N14" s="56" t="str">
        <f>B8 &amp; " тис. грн. / " &amp; Таблиця_3!H8 &amp; " x 1000 = " &amp; ROUND(Таблиця_4!C8,1) &amp; " грн."</f>
        <v>4505,5 тис. грн. / 8500 x 1000 = 530,1 грн.</v>
      </c>
    </row>
    <row r="15" spans="1:14" ht="397" hidden="1" customHeight="1">
      <c r="A15" s="170" t="str">
        <f xml:space="preserve">    A3 &amp; ":
 " &amp; N9 &amp; "
" &amp; A4 &amp; ":
 " &amp; N10 &amp; "
" &amp; A5 &amp; ":
 " &amp; N11 &amp; "
" &amp; A6 &amp; ":
 " &amp; N12 &amp; "
" &amp; A7 &amp; ":
 " &amp; N13 &amp; "
" &amp; A8 &amp; ":
 " &amp; N14 &amp; "
" &amp; A9 &amp; ":
 " &amp; N15</f>
        <v>ВД_1. Приймання та реєстрація звернень (телефонних дзвінків) клієнтів:_x000D_ 2477,6 тис. грн. / 78100 x 1000 = 31,7 грн._x000D__x000D_ВД_2. Ідентифікація категорії звернення та проблеми:_x000D_ 2133,2 тис. грн. / 51975 x 1000 = 41 грн._x000D__x000D_ВД_3. Розподіл ресурсів для вирішення проблеми (персонал, запасні частини і т. ін.):_x000D_ 2077,6 тис. грн. / 31600 x 1000 = 65,7 грн._x000D__x000D_ВД_4. Підготовка та відправлення замовнику запасних частин:_x000D_ 2927,75 тис. грн. / 3000 x 1000 = 975,9 грн._x000D__x000D_ВД_5. Виконання робіт інженерами СЦ:_x000D_ 12627,65 тис. грн. / 40000 x 1000 = 315,7 грн._x000D__x000D_ВД_6. Виконання робіт інженерами третьої сторони (аутсорсинг):_x000D_ 4505,5 тис. грн. / 8500 x 1000 = 530,1 грн._x000D__x000D_ВД_7. Вирішення нестандартних проблем клієнтів:_x000D_ 4027,7 тис. грн. / 700 x 1000 = 5753,9 грн.</v>
      </c>
      <c r="B15" s="170"/>
      <c r="C15" s="170"/>
      <c r="D15" s="170"/>
      <c r="E15" s="170"/>
      <c r="F15" s="170"/>
      <c r="G15" s="170"/>
      <c r="H15" s="170"/>
      <c r="N15" s="56" t="str">
        <f>B9 &amp; " тис. грн. / " &amp; Таблиця_3!H9 &amp; " x 1000 = " &amp; ROUND(Таблиця_4!C9,1) &amp; " грн."</f>
        <v>4027,7 тис. грн. / 700 x 1000 = 5753,9 грн.</v>
      </c>
    </row>
    <row r="16" spans="1:14" hidden="1"/>
    <row r="17" spans="1:19" ht="45" hidden="1" customHeight="1">
      <c r="A17" s="171" t="s">
        <v>81</v>
      </c>
      <c r="B17" s="171"/>
      <c r="C17" s="171"/>
      <c r="D17" s="171"/>
      <c r="E17" s="171"/>
      <c r="F17" s="171"/>
      <c r="G17" s="171"/>
      <c r="H17" s="171"/>
      <c r="O17" s="56" t="str">
        <f>D2</f>
        <v>СП_1_Дистанційне консультування клієнта</v>
      </c>
      <c r="P17" s="56" t="str">
        <f t="shared" ref="P17:S17" si="1">E2</f>
        <v>СП_2_Консультування та відправлення замовнику запасних частин</v>
      </c>
      <c r="Q17" s="56" t="str">
        <f t="shared" si="1"/>
        <v>СП_3_Послуги інженера СЦ на території замовника</v>
      </c>
      <c r="R17" s="56" t="str">
        <f t="shared" si="1"/>
        <v>СП_4_Послуги інженера третьої сторони на території замовника</v>
      </c>
      <c r="S17" s="56" t="str">
        <f t="shared" si="1"/>
        <v>СП_5_Первинне встановлення корпоративної серверної системи</v>
      </c>
    </row>
    <row r="18" spans="1:19" hidden="1">
      <c r="O18" s="56" t="str">
        <f>IF(ISNUMBER(D3), "     " &amp; $A3 &amp; ",
", "")</f>
        <v xml:space="preserve">     ВД_1. Приймання та реєстрація звернень (телефонних дзвінків) клієнтів,_x000D_</v>
      </c>
      <c r="P18" s="56" t="str">
        <f t="shared" ref="P18:S24" si="2">IF(ISNUMBER(E3), "     " &amp; $A3 &amp; ",
", "")</f>
        <v xml:space="preserve">     ВД_1. Приймання та реєстрація звернень (телефонних дзвінків) клієнтів,_x000D_</v>
      </c>
      <c r="Q18" s="56" t="str">
        <f t="shared" si="2"/>
        <v xml:space="preserve">     ВД_1. Приймання та реєстрація звернень (телефонних дзвінків) клієнтів,_x000D_</v>
      </c>
      <c r="R18" s="56" t="str">
        <f t="shared" si="2"/>
        <v xml:space="preserve">     ВД_1. Приймання та реєстрація звернень (телефонних дзвінків) клієнтів,_x000D_</v>
      </c>
      <c r="S18" s="56" t="str">
        <f t="shared" si="2"/>
        <v xml:space="preserve">     ВД_1. Приймання та реєстрація звернень (телефонних дзвінків) клієнтів,_x000D_</v>
      </c>
    </row>
    <row r="19" spans="1:19" hidden="1">
      <c r="A19" s="170" t="str">
        <f xml:space="preserve">   LEFT(O27, LEN(O27)-2) &amp; ";
" &amp; LEFT(P27, LEN(P27)-2) &amp; ";
" &amp; LEFT(Q27, LEN(Q27)-2) &amp; ";
" &amp; LEFT(R27, LEN(R27)-2) &amp; ";
" &amp; LEFT(S27, LEN(S27)-2)</f>
        <v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проблеми;_x000D__x000D_СП_2_Консультування та відправлення замовнику запасних частин: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ВД_4. Підготовка та відправлення замовнику запасних частин;_x000D__x000D_СП_3_Послуги інженера СЦ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ВД_5. Виконання робіт інженерами СЦ,_x000D_     ВД_7. Вирішення нестандартних проблем клієнтів;_x000D__x000D_СП_4_Послуги інженера третьої сторони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ВД_6. Виконання робіт інженерами третьої сторони (аутсорсинг);_x000D__x000D_СП_5_Первинне встановлення корпоративної серверної системи:
     ВД_1. Приймання та реєстрація звернень (телефонних дзвінків) клієнтів,_x000D_     ВД_3. Розподіл ресурсів для вирішення проблеми (персонал, запасні частини і т. ін.),_x000D_     ВД_5. Виконання робіт інженерами СЦ,_x000D_     ВД_6. Виконання робіт інженерами третьої сторони (аутсорсинг),_x000D_     ВД_7. Вирішення нестандартних проблем клієнтів</v>
      </c>
      <c r="B19" s="170"/>
      <c r="C19" s="170"/>
      <c r="D19" s="170"/>
      <c r="E19" s="170"/>
      <c r="F19" s="170"/>
      <c r="G19" s="170"/>
      <c r="H19" s="170"/>
      <c r="O19" s="56" t="str">
        <f t="shared" ref="O19:O23" si="3">IF(ISNUMBER(D4), "     " &amp; $A4 &amp; ",
", "")</f>
        <v xml:space="preserve">     ВД_2. Ідентифікація категорії звернення та проблеми,_x000D_</v>
      </c>
      <c r="P19" s="56" t="str">
        <f t="shared" si="2"/>
        <v xml:space="preserve">     ВД_2. Ідентифікація категорії звернення та проблеми,_x000D_</v>
      </c>
      <c r="Q19" s="56" t="str">
        <f t="shared" si="2"/>
        <v xml:space="preserve">     ВД_2. Ідентифікація категорії звернення та проблеми,_x000D_</v>
      </c>
      <c r="R19" s="56" t="str">
        <f t="shared" si="2"/>
        <v xml:space="preserve">     ВД_2. Ідентифікація категорії звернення та проблеми,_x000D_</v>
      </c>
      <c r="S19" s="56" t="str">
        <f t="shared" si="2"/>
        <v/>
      </c>
    </row>
    <row r="20" spans="1:19" hidden="1">
      <c r="A20" s="170"/>
      <c r="B20" s="170"/>
      <c r="C20" s="170"/>
      <c r="D20" s="170"/>
      <c r="E20" s="170"/>
      <c r="F20" s="170"/>
      <c r="G20" s="170"/>
      <c r="H20" s="170"/>
      <c r="O20" s="56" t="str">
        <f t="shared" si="3"/>
        <v/>
      </c>
      <c r="P20" s="56" t="str">
        <f t="shared" si="2"/>
        <v xml:space="preserve">     ВД_3. Розподіл ресурсів для вирішення проблеми (персонал, запасні частини і т. ін.),_x000D_</v>
      </c>
      <c r="Q20" s="56" t="str">
        <f t="shared" si="2"/>
        <v xml:space="preserve">     ВД_3. Розподіл ресурсів для вирішення проблеми (персонал, запасні частини і т. ін.),_x000D_</v>
      </c>
      <c r="R20" s="56" t="str">
        <f t="shared" si="2"/>
        <v/>
      </c>
      <c r="S20" s="56" t="str">
        <f t="shared" si="2"/>
        <v xml:space="preserve">     ВД_3. Розподіл ресурсів для вирішення проблеми (персонал, запасні частини і т. ін.),_x000D_</v>
      </c>
    </row>
    <row r="21" spans="1:19" ht="62" hidden="1" customHeight="1">
      <c r="A21" s="170"/>
      <c r="B21" s="170"/>
      <c r="C21" s="170"/>
      <c r="D21" s="170"/>
      <c r="E21" s="170"/>
      <c r="F21" s="170"/>
      <c r="G21" s="170"/>
      <c r="H21" s="170"/>
      <c r="O21" s="56" t="str">
        <f t="shared" si="3"/>
        <v/>
      </c>
      <c r="P21" s="56" t="str">
        <f t="shared" si="2"/>
        <v xml:space="preserve">     ВД_4. Підготовка та відправлення замовнику запасних частин,_x000D_</v>
      </c>
      <c r="Q21" s="56" t="str">
        <f t="shared" si="2"/>
        <v/>
      </c>
      <c r="R21" s="56" t="str">
        <f t="shared" si="2"/>
        <v/>
      </c>
      <c r="S21" s="56" t="str">
        <f t="shared" si="2"/>
        <v/>
      </c>
    </row>
    <row r="22" spans="1:19" hidden="1">
      <c r="A22" s="170"/>
      <c r="B22" s="170"/>
      <c r="C22" s="170"/>
      <c r="D22" s="170"/>
      <c r="E22" s="170"/>
      <c r="F22" s="170"/>
      <c r="G22" s="170"/>
      <c r="H22" s="170"/>
      <c r="O22" s="56" t="str">
        <f t="shared" si="3"/>
        <v/>
      </c>
      <c r="P22" s="56" t="str">
        <f t="shared" si="2"/>
        <v/>
      </c>
      <c r="Q22" s="56" t="str">
        <f t="shared" si="2"/>
        <v xml:space="preserve">     ВД_5. Виконання робіт інженерами СЦ,_x000D_</v>
      </c>
      <c r="R22" s="56" t="str">
        <f t="shared" si="2"/>
        <v/>
      </c>
      <c r="S22" s="56" t="str">
        <f t="shared" si="2"/>
        <v xml:space="preserve">     ВД_5. Виконання робіт інженерами СЦ,_x000D_</v>
      </c>
    </row>
    <row r="23" spans="1:19" hidden="1">
      <c r="A23" s="170"/>
      <c r="B23" s="170"/>
      <c r="C23" s="170"/>
      <c r="D23" s="170"/>
      <c r="E23" s="170"/>
      <c r="F23" s="170"/>
      <c r="G23" s="170"/>
      <c r="H23" s="170"/>
      <c r="O23" s="56" t="str">
        <f t="shared" si="3"/>
        <v/>
      </c>
      <c r="P23" s="56" t="str">
        <f t="shared" si="2"/>
        <v/>
      </c>
      <c r="Q23" s="56" t="str">
        <f t="shared" si="2"/>
        <v/>
      </c>
      <c r="R23" s="56" t="str">
        <f t="shared" si="2"/>
        <v xml:space="preserve">     ВД_6. Виконання робіт інженерами третьої сторони (аутсорсинг),_x000D_</v>
      </c>
      <c r="S23" s="56" t="str">
        <f t="shared" si="2"/>
        <v xml:space="preserve">     ВД_6. Виконання робіт інженерами третьої сторони (аутсорсинг),_x000D_</v>
      </c>
    </row>
    <row r="24" spans="1:19" ht="409" hidden="1" customHeight="1">
      <c r="A24" s="170"/>
      <c r="B24" s="170"/>
      <c r="C24" s="170"/>
      <c r="D24" s="170"/>
      <c r="E24" s="170"/>
      <c r="F24" s="170"/>
      <c r="G24" s="170"/>
      <c r="H24" s="170"/>
      <c r="O24" s="56" t="str">
        <f t="shared" ref="O24" si="4">IF(ISNUMBER(D9), "     " &amp; $A9 &amp; ",
", "")</f>
        <v/>
      </c>
      <c r="P24" s="56" t="str">
        <f t="shared" si="2"/>
        <v/>
      </c>
      <c r="Q24" s="56" t="str">
        <f t="shared" si="2"/>
        <v xml:space="preserve">     ВД_7. Вирішення нестандартних проблем клієнтів,_x000D_</v>
      </c>
      <c r="R24" s="56" t="str">
        <f t="shared" si="2"/>
        <v/>
      </c>
      <c r="S24" s="56" t="str">
        <f t="shared" si="2"/>
        <v xml:space="preserve">     ВД_7. Вирішення нестандартних проблем клієнтів,_x000D_</v>
      </c>
    </row>
    <row r="25" spans="1:19" hidden="1"/>
    <row r="26" spans="1:19" hidden="1"/>
    <row r="27" spans="1:19" hidden="1">
      <c r="O27" s="56" t="str">
        <f xml:space="preserve"> O17 &amp; ":
" &amp; O18 &amp; O19 &amp; O20 &amp; O21 &amp; O22 &amp; O23 &amp; O24</f>
        <v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проблеми,_x000D_</v>
      </c>
      <c r="P27" s="56" t="str">
        <f t="shared" ref="P27:S27" si="5" xml:space="preserve"> P17 &amp; ":
" &amp; P18 &amp; P19 &amp; P20 &amp; P21 &amp; P22 &amp; P23 &amp; P24</f>
        <v>СП_2_Консультування та відправлення замовнику запасних частин: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ВД_4. Підготовка та відправлення замовнику запасних частин,_x000D_</v>
      </c>
      <c r="Q27" s="56" t="str">
        <f t="shared" si="5"/>
        <v>СП_3_Послуги інженера СЦ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ВД_5. Виконання робіт інженерами СЦ,_x000D_     ВД_7. Вирішення нестандартних проблем клієнтів,_x000D_</v>
      </c>
      <c r="R27" s="56" t="str">
        <f t="shared" si="5"/>
        <v>СП_4_Послуги інженера третьої сторони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ВД_6. Виконання робіт інженерами третьої сторони (аутсорсинг),_x000D_</v>
      </c>
      <c r="S27" s="56" t="str">
        <f t="shared" si="5"/>
        <v>СП_5_Первинне встановлення корпоративної серверної системи:
     ВД_1. Приймання та реєстрація звернень (телефонних дзвінків) клієнтів,_x000D_     ВД_3. Розподіл ресурсів для вирішення проблеми (персонал, запасні частини і т. ін.),_x000D_     ВД_5. Виконання робіт інженерами СЦ,_x000D_     ВД_6. Виконання робіт інженерами третьої сторони (аутсорсинг),_x000D_     ВД_7. Вирішення нестандартних проблем клієнтів,_x000D_</v>
      </c>
    </row>
  </sheetData>
  <mergeCells count="8">
    <mergeCell ref="A15:H15"/>
    <mergeCell ref="A17:H17"/>
    <mergeCell ref="A19:H24"/>
    <mergeCell ref="C1:C2"/>
    <mergeCell ref="B1:B2"/>
    <mergeCell ref="A1:A2"/>
    <mergeCell ref="D1:H1"/>
    <mergeCell ref="A13:H13"/>
  </mergeCells>
  <phoneticPr fontId="19" type="noConversion"/>
  <printOptions horizontalCentered="1" verticalCentered="1"/>
  <pageMargins left="0.75000000000000011" right="0.36000000000000004" top="0.8" bottom="0.8" header="0.5" footer="0.2"/>
  <pageSetup paperSize="9" scale="72" orientation="landscape" horizontalDpi="4294967292" verticalDpi="4294967292"/>
  <headerFooter>
    <oddHeader>&amp;R&amp;"Times New Roman,Курсив"&amp;14&amp;K000000Таблиця 4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1"/>
  <sheetViews>
    <sheetView tabSelected="1" zoomScale="150" zoomScaleNormal="150" zoomScalePageLayoutView="150" workbookViewId="0"/>
  </sheetViews>
  <sheetFormatPr baseColWidth="10" defaultColWidth="0" defaultRowHeight="15" zeroHeight="1" x14ac:dyDescent="0"/>
  <cols>
    <col min="1" max="1" width="26.6640625" style="1" customWidth="1"/>
    <col min="2" max="2" width="17.83203125" style="1" customWidth="1"/>
    <col min="3" max="3" width="17" style="1" customWidth="1"/>
    <col min="4" max="4" width="11.5" style="1" customWidth="1"/>
    <col min="5" max="5" width="37.1640625" style="1" customWidth="1"/>
    <col min="6" max="6" width="8.83203125" style="1" customWidth="1"/>
    <col min="7" max="7" width="20.5" style="1" customWidth="1"/>
    <col min="8" max="8" width="2.33203125" style="1" customWidth="1"/>
    <col min="9" max="10" width="10.83203125" style="1" hidden="1"/>
    <col min="11" max="11" width="62.33203125" style="1" hidden="1"/>
    <col min="12" max="16384" width="10.83203125" style="1" hidden="1"/>
  </cols>
  <sheetData>
    <row r="1" spans="1:11" ht="73" customHeight="1">
      <c r="A1" s="109" t="s">
        <v>68</v>
      </c>
      <c r="B1" s="110" t="s">
        <v>82</v>
      </c>
      <c r="C1" s="110" t="s">
        <v>83</v>
      </c>
      <c r="D1" s="110" t="s">
        <v>84</v>
      </c>
      <c r="E1" s="179" t="s">
        <v>69</v>
      </c>
      <c r="F1" s="179"/>
      <c r="G1" s="111" t="s">
        <v>85</v>
      </c>
    </row>
    <row r="2" spans="1:11" ht="32" customHeight="1">
      <c r="A2" s="112" t="str">
        <f>Таблиця_1!B13</f>
        <v>СП_1_Дистанційне консультування клієнта</v>
      </c>
      <c r="B2" s="107">
        <f>Таблиця_1!C13</f>
        <v>1815</v>
      </c>
      <c r="C2" s="107">
        <f>Таблиця_4!D$10</f>
        <v>1650.1462105969149</v>
      </c>
      <c r="D2" s="107">
        <f>ROUND(B2-C2,1)</f>
        <v>164.9</v>
      </c>
      <c r="E2" s="106" t="s">
        <v>74</v>
      </c>
      <c r="F2" s="108">
        <f>Таблиця_3!C4</f>
        <v>19800</v>
      </c>
      <c r="G2" s="113">
        <f>C2/F2*1000</f>
        <v>83.340717706914901</v>
      </c>
    </row>
    <row r="3" spans="1:11" ht="46" customHeight="1">
      <c r="A3" s="112" t="str">
        <f>Таблиця_1!B14</f>
        <v>СП_2_Консультування та відправлення замовнику запасних частин</v>
      </c>
      <c r="B3" s="107">
        <f>Таблиця_1!C14</f>
        <v>4202</v>
      </c>
      <c r="C3" s="107">
        <f>Таблиця_4!E$10</f>
        <v>3501.6443845916569</v>
      </c>
      <c r="D3" s="107">
        <f t="shared" ref="D3:D7" si="0">ROUND(B3-C3,1)</f>
        <v>700.4</v>
      </c>
      <c r="E3" s="106" t="s">
        <v>70</v>
      </c>
      <c r="F3" s="108">
        <f>Таблиця_3!D6</f>
        <v>3000</v>
      </c>
      <c r="G3" s="113">
        <f t="shared" ref="G3:G6" si="1">C3/F3*1000</f>
        <v>1167.2147948638856</v>
      </c>
    </row>
    <row r="4" spans="1:11" ht="30" customHeight="1">
      <c r="A4" s="112" t="str">
        <f>Таблиця_1!B15</f>
        <v>СП_3_Послуги інженера СЦ на території замовника</v>
      </c>
      <c r="B4" s="107">
        <f>Таблиця_1!C15</f>
        <v>24058</v>
      </c>
      <c r="C4" s="107">
        <f>Таблиця_4!F$10</f>
        <v>18506.30680666984</v>
      </c>
      <c r="D4" s="107">
        <f t="shared" si="0"/>
        <v>5551.7</v>
      </c>
      <c r="E4" s="106" t="s">
        <v>75</v>
      </c>
      <c r="F4" s="108">
        <f>Таблиця_3!E7</f>
        <v>38000</v>
      </c>
      <c r="G4" s="113">
        <f t="shared" si="1"/>
        <v>487.00807385973258</v>
      </c>
    </row>
    <row r="5" spans="1:11" ht="48" customHeight="1">
      <c r="A5" s="112" t="str">
        <f>Таблиця_1!B16</f>
        <v>СП_4_Послуги інженера третьої сторони на території замовника</v>
      </c>
      <c r="B5" s="107">
        <f>Таблиця_1!C16</f>
        <v>3799</v>
      </c>
      <c r="C5" s="107">
        <f>Таблиця_4!G$10</f>
        <v>5065.543693533752</v>
      </c>
      <c r="D5" s="107">
        <f t="shared" si="0"/>
        <v>-1266.5</v>
      </c>
      <c r="E5" s="106" t="s">
        <v>71</v>
      </c>
      <c r="F5" s="108">
        <f>Таблиця_3!F8</f>
        <v>8000</v>
      </c>
      <c r="G5" s="113">
        <f t="shared" si="1"/>
        <v>633.19296169171901</v>
      </c>
    </row>
    <row r="6" spans="1:11" ht="43" customHeight="1" thickBot="1">
      <c r="A6" s="114" t="str">
        <f>Таблиця_1!B17</f>
        <v>СП_5_Первинне встановлення корпоративної серверної системи</v>
      </c>
      <c r="B6" s="115">
        <f>Таблиця_1!C17</f>
        <v>3080</v>
      </c>
      <c r="C6" s="115">
        <f>Таблиця_4!H$10</f>
        <v>2053.3589046078405</v>
      </c>
      <c r="D6" s="115">
        <f t="shared" si="0"/>
        <v>1026.5999999999999</v>
      </c>
      <c r="E6" s="116" t="s">
        <v>72</v>
      </c>
      <c r="F6" s="117">
        <f>Таблиця_3!G7+Таблиця_3!G8</f>
        <v>2500</v>
      </c>
      <c r="G6" s="125">
        <f t="shared" si="1"/>
        <v>821.34356184313617</v>
      </c>
    </row>
    <row r="7" spans="1:11" ht="29" customHeight="1" thickBot="1">
      <c r="A7" s="118" t="s">
        <v>73</v>
      </c>
      <c r="B7" s="119">
        <f>SUM(B2:B6)</f>
        <v>36954</v>
      </c>
      <c r="C7" s="119">
        <f t="shared" ref="C7" si="2">SUM(C2:C6)</f>
        <v>30777.000000000004</v>
      </c>
      <c r="D7" s="119">
        <f t="shared" si="0"/>
        <v>6177</v>
      </c>
      <c r="E7" s="120" t="s">
        <v>40</v>
      </c>
      <c r="F7" s="120" t="s">
        <v>40</v>
      </c>
      <c r="G7" s="121" t="s">
        <v>40</v>
      </c>
    </row>
    <row r="8" spans="1:11" hidden="1"/>
    <row r="9" spans="1:11" ht="81" hidden="1" customHeight="1">
      <c r="A9" s="180" t="s">
        <v>77</v>
      </c>
      <c r="B9" s="180"/>
      <c r="C9" s="180"/>
      <c r="D9" s="180"/>
      <c r="E9" s="180"/>
      <c r="F9" s="180"/>
      <c r="G9" s="180"/>
    </row>
    <row r="10" spans="1:11" hidden="1"/>
    <row r="11" spans="1:11" hidden="1">
      <c r="A11" s="154" t="str">
        <f xml:space="preserve">  A2 &amp; ":
" &amp; K11
  &amp; "
" &amp; A3 &amp; ":
" &amp; K12
  &amp; "
" &amp; A4 &amp; ":
" &amp; K13
  &amp; "
" &amp; A5 &amp; ":
" &amp; K14
  &amp; "
" &amp; A6 &amp; ":
" &amp; K15</f>
        <v>СП_1_Дистанційне консультування клієнта:_x000D_1650,1 тис. грн. / 19800 x 1000 = 83,3 грн._x000D__x000D_СП_2_Консультування та відправлення замовнику запасних частин:_x000D_3501,6 тис. грн. / 3000 x 1000 = 1167,2 грн._x000D__x000D_СП_3_Послуги інженера СЦ на території замовника:_x000D_18506,3 тис. грн. / 38000 x 1000 = 487 грн._x000D__x000D_СП_4_Послуги інженера третьої сторони на території замовника:_x000D_5065,5 тис. грн. / 8000 x 1000 = 633,2 грн._x000D__x000D_СП_5_Первинне встановлення корпоративної серверної системи:_x000D_2053,4 тис. грн. / 2500 x 1000 = 821,3 грн.</v>
      </c>
      <c r="B11" s="154"/>
      <c r="C11" s="154"/>
      <c r="D11" s="154"/>
      <c r="E11" s="154"/>
      <c r="F11" s="154"/>
      <c r="G11" s="154"/>
      <c r="K11" s="58" t="str">
        <f xml:space="preserve"> ROUND(C2,1) &amp; " тис. грн. / " &amp; F2 &amp; " x 1000 = " &amp; ROUND(G2,1) &amp; " грн."</f>
        <v>1650,1 тис. грн. / 19800 x 1000 = 83,3 грн.</v>
      </c>
    </row>
    <row r="12" spans="1:11" hidden="1">
      <c r="A12" s="154"/>
      <c r="B12" s="154"/>
      <c r="C12" s="154"/>
      <c r="D12" s="154"/>
      <c r="E12" s="154"/>
      <c r="F12" s="154"/>
      <c r="G12" s="154"/>
      <c r="K12" s="58" t="str">
        <f t="shared" ref="K12:K15" si="3" xml:space="preserve"> ROUND(C3,1) &amp; " тис. грн. / " &amp; F3 &amp; " x 1000 = " &amp; ROUND(G3,1) &amp; " грн."</f>
        <v>3501,6 тис. грн. / 3000 x 1000 = 1167,2 грн.</v>
      </c>
    </row>
    <row r="13" spans="1:11" hidden="1">
      <c r="A13" s="154"/>
      <c r="B13" s="154"/>
      <c r="C13" s="154"/>
      <c r="D13" s="154"/>
      <c r="E13" s="154"/>
      <c r="F13" s="154"/>
      <c r="G13" s="154"/>
      <c r="K13" s="58" t="str">
        <f t="shared" si="3"/>
        <v>18506,3 тис. грн. / 38000 x 1000 = 487 грн.</v>
      </c>
    </row>
    <row r="14" spans="1:11" hidden="1">
      <c r="A14" s="154"/>
      <c r="B14" s="154"/>
      <c r="C14" s="154"/>
      <c r="D14" s="154"/>
      <c r="E14" s="154"/>
      <c r="F14" s="154"/>
      <c r="G14" s="154"/>
      <c r="K14" s="58" t="str">
        <f t="shared" si="3"/>
        <v>5065,5 тис. грн. / 8000 x 1000 = 633,2 грн.</v>
      </c>
    </row>
    <row r="15" spans="1:11" hidden="1">
      <c r="A15" s="154"/>
      <c r="B15" s="154"/>
      <c r="C15" s="154"/>
      <c r="D15" s="154"/>
      <c r="E15" s="154"/>
      <c r="F15" s="154"/>
      <c r="G15" s="154"/>
      <c r="K15" s="58" t="str">
        <f t="shared" si="3"/>
        <v>2053,4 тис. грн. / 2500 x 1000 = 821,3 грн.</v>
      </c>
    </row>
    <row r="16" spans="1:11" ht="226" hidden="1" customHeight="1">
      <c r="A16" s="154"/>
      <c r="B16" s="154"/>
      <c r="C16" s="154"/>
      <c r="D16" s="154"/>
      <c r="E16" s="154"/>
      <c r="F16" s="154"/>
      <c r="G16" s="154"/>
      <c r="K16" s="58"/>
    </row>
    <row r="17" spans="1:11" hidden="1"/>
    <row r="18" spans="1:11" hidden="1"/>
    <row r="19" spans="1:11" ht="23" hidden="1">
      <c r="A19" s="180" t="s">
        <v>78</v>
      </c>
      <c r="B19" s="180"/>
      <c r="C19" s="180"/>
      <c r="D19" s="180"/>
      <c r="E19" s="180"/>
      <c r="F19" s="180"/>
      <c r="G19" s="180"/>
    </row>
    <row r="20" spans="1:11" hidden="1"/>
    <row r="21" spans="1:11" hidden="1"/>
    <row r="22" spans="1:11" ht="15" hidden="1" customHeight="1">
      <c r="A22" s="170" t="str">
        <f xml:space="preserve">  A2 &amp; ":
" &amp; K22
  &amp; "
" &amp; A3 &amp; ":
" &amp; K23
  &amp; "
" &amp; A4 &amp; ":
" &amp; K24
  &amp; "
" &amp; A5 &amp; ":
" &amp; K25
  &amp; "
" &amp; A6 &amp; ":
" &amp; K26
  &amp; "
" &amp; A7 &amp; ":
" &amp; K27</f>
        <v>СП_1_Дистанційне консультування клієнта:_x000D_1815 - 1650,1 = 164,9 тис. грн._x000D__x000D_СП_2_Консультування та відправлення замовнику запасних частин:_x000D_4202 - 3501,6 = 700,4 тис. грн._x000D__x000D_СП_3_Послуги інженера СЦ на території замовника:_x000D_24058 - 18506,3 = 5551,7 тис. грн._x000D__x000D_СП_4_Послуги інженера третьої сторони на території замовника:_x000D_3799 - 5065,5 = -1266,5 тис. грн._x000D__x000D_СП_5_Первинне встановлення корпоративної серверної системи:_x000D_3080 - 2053,4 = 1026,6 тис. грн._x000D__x000D_Разом:_x000D_(164,9) + (700,4) + (5551,7) + (-1266,5) + (1026,6) = 6177 тис. грн.</v>
      </c>
      <c r="B22" s="170"/>
      <c r="C22" s="170"/>
      <c r="D22" s="170"/>
      <c r="E22" s="170"/>
      <c r="F22" s="170"/>
      <c r="G22" s="170"/>
      <c r="K22" s="58" t="str">
        <f xml:space="preserve"> ROUND(B2,1) &amp; " - " &amp; ROUND(C2,1) &amp; " = " &amp; ROUND(D2,1) &amp; " тис. грн."</f>
        <v>1815 - 1650,1 = 164,9 тис. грн.</v>
      </c>
    </row>
    <row r="23" spans="1:11" ht="15" hidden="1" customHeight="1">
      <c r="A23" s="170"/>
      <c r="B23" s="170"/>
      <c r="C23" s="170"/>
      <c r="D23" s="170"/>
      <c r="E23" s="170"/>
      <c r="F23" s="170"/>
      <c r="G23" s="170"/>
      <c r="K23" s="58" t="str">
        <f t="shared" ref="K23:K26" si="4" xml:space="preserve"> ROUND(B3,1) &amp; " - " &amp; ROUND(C3,1) &amp; " = " &amp; ROUND(D3,1) &amp; " тис. грн."</f>
        <v>4202 - 3501,6 = 700,4 тис. грн.</v>
      </c>
    </row>
    <row r="24" spans="1:11" ht="15" hidden="1" customHeight="1">
      <c r="A24" s="170"/>
      <c r="B24" s="170"/>
      <c r="C24" s="170"/>
      <c r="D24" s="170"/>
      <c r="E24" s="170"/>
      <c r="F24" s="170"/>
      <c r="G24" s="170"/>
      <c r="K24" s="58" t="str">
        <f t="shared" si="4"/>
        <v>24058 - 18506,3 = 5551,7 тис. грн.</v>
      </c>
    </row>
    <row r="25" spans="1:11" ht="15" hidden="1" customHeight="1">
      <c r="A25" s="170"/>
      <c r="B25" s="170"/>
      <c r="C25" s="170"/>
      <c r="D25" s="170"/>
      <c r="E25" s="170"/>
      <c r="F25" s="170"/>
      <c r="G25" s="170"/>
      <c r="K25" s="58" t="str">
        <f t="shared" si="4"/>
        <v>3799 - 5065,5 = -1266,5 тис. грн.</v>
      </c>
    </row>
    <row r="26" spans="1:11" ht="15" hidden="1" customHeight="1">
      <c r="A26" s="170"/>
      <c r="B26" s="170"/>
      <c r="C26" s="170"/>
      <c r="D26" s="170"/>
      <c r="E26" s="170"/>
      <c r="F26" s="170"/>
      <c r="G26" s="170"/>
      <c r="K26" s="58" t="str">
        <f t="shared" si="4"/>
        <v>3080 - 2053,4 = 1026,6 тис. грн.</v>
      </c>
    </row>
    <row r="27" spans="1:11" ht="18" hidden="1" customHeight="1">
      <c r="A27" s="170"/>
      <c r="B27" s="170"/>
      <c r="C27" s="170"/>
      <c r="D27" s="170"/>
      <c r="E27" s="170"/>
      <c r="F27" s="170"/>
      <c r="G27" s="170"/>
      <c r="K27" s="58" t="str">
        <f xml:space="preserve"> "(" &amp; ROUND(D2, 1) &amp; ") + (" &amp; ROUND(D3, 1) &amp; ") + (" &amp; ROUND(D4, 1) &amp; ") + (" &amp; ROUND(D5, 1) &amp; ") + (" &amp; ROUND(D6, 1) &amp; ") = " &amp; ROUND(D7, 1) &amp; " тис. грн."</f>
        <v>(164,9) + (700,4) + (5551,7) + (-1266,5) + (1026,6) = 6177 тис. грн.</v>
      </c>
    </row>
    <row r="28" spans="1:11" ht="195" hidden="1" customHeight="1">
      <c r="A28" s="170"/>
      <c r="B28" s="170"/>
      <c r="C28" s="170"/>
      <c r="D28" s="170"/>
      <c r="E28" s="170"/>
      <c r="F28" s="170"/>
      <c r="G28" s="170"/>
      <c r="K28" s="58"/>
    </row>
    <row r="29" spans="1:11" hidden="1">
      <c r="K29" s="58"/>
    </row>
    <row r="30" spans="1:11" ht="23" hidden="1">
      <c r="A30" s="177" t="s">
        <v>87</v>
      </c>
      <c r="B30" s="177"/>
      <c r="C30" s="177"/>
      <c r="D30" s="177"/>
      <c r="E30" s="177"/>
      <c r="F30" s="177"/>
      <c r="G30" s="177"/>
      <c r="K30" s="58"/>
    </row>
    <row r="31" spans="1:11" hidden="1">
      <c r="K31" s="60" t="str">
        <f>IF(D2&lt;0,A2 &amp; ", ", "")</f>
        <v/>
      </c>
    </row>
    <row r="32" spans="1:11" hidden="1">
      <c r="A32" s="178" t="str">
        <f xml:space="preserve"> IF(LEN(K37) &lt; 2, K41, K40)</f>
        <v>Для того, щоб запобігти операційним збиткам, необхідно коригувати вартість надання СП_4_Послуги інженера третьої сторони на території замовника.</v>
      </c>
      <c r="B32" s="178"/>
      <c r="C32" s="178"/>
      <c r="D32" s="178"/>
      <c r="E32" s="178"/>
      <c r="F32" s="178"/>
      <c r="G32" s="178"/>
      <c r="K32" s="60" t="str">
        <f t="shared" ref="K32:K35" si="5">IF(D3&lt;0,A3 &amp; ", ", "")</f>
        <v/>
      </c>
    </row>
    <row r="33" spans="1:11" hidden="1">
      <c r="A33" s="178"/>
      <c r="B33" s="178"/>
      <c r="C33" s="178"/>
      <c r="D33" s="178"/>
      <c r="E33" s="178"/>
      <c r="F33" s="178"/>
      <c r="G33" s="178"/>
      <c r="K33" s="60" t="str">
        <f t="shared" si="5"/>
        <v/>
      </c>
    </row>
    <row r="34" spans="1:11" hidden="1">
      <c r="A34" s="178"/>
      <c r="B34" s="178"/>
      <c r="C34" s="178"/>
      <c r="D34" s="178"/>
      <c r="E34" s="178"/>
      <c r="F34" s="178"/>
      <c r="G34" s="178"/>
      <c r="K34" s="60" t="str">
        <f t="shared" si="5"/>
        <v xml:space="preserve">СП_4_Послуги інженера третьої сторони на території замовника, </v>
      </c>
    </row>
    <row r="35" spans="1:11" hidden="1">
      <c r="A35" s="178"/>
      <c r="B35" s="178"/>
      <c r="C35" s="178"/>
      <c r="D35" s="178"/>
      <c r="E35" s="178"/>
      <c r="F35" s="178"/>
      <c r="G35" s="178"/>
      <c r="K35" s="60" t="str">
        <f t="shared" si="5"/>
        <v/>
      </c>
    </row>
    <row r="36" spans="1:11" ht="36" hidden="1" customHeight="1">
      <c r="A36" s="178"/>
      <c r="B36" s="178"/>
      <c r="C36" s="178"/>
      <c r="D36" s="178"/>
      <c r="E36" s="178"/>
      <c r="F36" s="178"/>
      <c r="G36" s="178"/>
    </row>
    <row r="37" spans="1:11" hidden="1">
      <c r="K37" s="1" t="str">
        <f>K31 &amp; K32 &amp; K33 &amp;  K34 &amp; K35</f>
        <v xml:space="preserve">СП_4_Послуги інженера третьої сторони на території замовника, </v>
      </c>
    </row>
    <row r="38" spans="1:11" hidden="1"/>
    <row r="39" spans="1:11" hidden="1"/>
    <row r="40" spans="1:11" hidden="1">
      <c r="K40" s="1" t="str">
        <f xml:space="preserve"> "Для того, щоб запобігти операційним збиткам, необхідно коригувати вартість надання " &amp; LEFT(K37, LEN(K37) -2) &amp; "."</f>
        <v>Для того, щоб запобігти операційним збиткам, необхідно коригувати вартість надання СП_4_Послуги інженера третьої сторони на території замовника.</v>
      </c>
    </row>
    <row r="41" spans="1:11" hidden="1">
      <c r="K41" s="1" t="s">
        <v>89</v>
      </c>
    </row>
  </sheetData>
  <mergeCells count="7">
    <mergeCell ref="A30:G30"/>
    <mergeCell ref="A32:G36"/>
    <mergeCell ref="E1:F1"/>
    <mergeCell ref="A9:G9"/>
    <mergeCell ref="A11:G16"/>
    <mergeCell ref="A19:G19"/>
    <mergeCell ref="A22:G28"/>
  </mergeCells>
  <phoneticPr fontId="19" type="noConversion"/>
  <conditionalFormatting sqref="D2:D7">
    <cfRule type="cellIs" dxfId="1" priority="1" operator="lessThan">
      <formula>0</formula>
    </cfRule>
  </conditionalFormatting>
  <printOptions horizontalCentered="1" verticalCentered="1"/>
  <pageMargins left="0.75000000000000011" right="0.36000000000000004" top="0.8037007874015748" bottom="0.8" header="0.50314960629921268" footer="0.10999999999999999"/>
  <pageSetup paperSize="9" scale="89" orientation="landscape" horizontalDpi="4294967292" verticalDpi="4294967292"/>
  <headerFooter>
    <oddHeader>&amp;R&amp;"Times New Roman,Курсив"&amp;14&amp;K000000Таблиця 5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1" workbookViewId="0">
      <selection activeCell="A20" sqref="A20:XFD1048576"/>
    </sheetView>
  </sheetViews>
  <sheetFormatPr baseColWidth="10" defaultColWidth="0" defaultRowHeight="16" zeroHeight="1" x14ac:dyDescent="0"/>
  <cols>
    <col min="1" max="1" width="98.83203125" style="54" customWidth="1"/>
    <col min="2" max="9" width="0" style="54" hidden="1" customWidth="1"/>
    <col min="10" max="16384" width="10.83203125" style="54" hidden="1"/>
  </cols>
  <sheetData>
    <row r="1" spans="1:9" ht="25" customHeight="1">
      <c r="A1" s="62" t="s">
        <v>86</v>
      </c>
      <c r="B1" s="61"/>
      <c r="C1" s="61"/>
      <c r="D1" s="61"/>
      <c r="E1" s="61"/>
      <c r="F1" s="61"/>
      <c r="G1" s="61"/>
      <c r="H1" s="61"/>
      <c r="I1" s="61"/>
    </row>
    <row r="2" spans="1:9" ht="24" customHeight="1">
      <c r="A2" s="63" t="str">
        <f>Таблиця_2!A15</f>
        <v>Завдання 1. Витрати на вид діяльності</v>
      </c>
    </row>
    <row r="3" spans="1:9" ht="338" customHeight="1">
      <c r="A3" s="170" t="str">
        <f>Таблиця_2!A17</f>
        <v>ВД_1. Приймання та реєстрація звернень (телефонних дзвінків) клієнтів:_x000D_3444 х 30% + 7222 х 20% = 2477,6 тис. грн._x000D__x000D_ВД_2. Ідентифікація категорії звернення та проблеми:_x000D_3444 х 20% + 7222 х 20% = 2133,2 тис. грн._x000D__x000D_ВД_3. Розподіл ресурсів для вирішення проблеми (персонал, запасні частини і т. ін.):_x000D_3444 х 50% + 1778 х 20% = 2077,6 тис. грн._x000D__x000D_ВД_4. Підготовка та відправлення замовнику запасних частин:_x000D_1778 х 10% + 18333 х 15% = 2927,75 тис. грн._x000D__x000D_ВД_5. Виконання робіт інженерами СЦ:_x000D_1778 х 40% + 18333 х 65% = 12627,65 тис. грн._x000D__x000D_ВД_6. Виконання робіт інженерами третьої сторони (аутсорсинг):_x000D_1778 х 30% + 7222 х 55% = 4505,5 тис. грн._x000D__x000D_ВД_7. Вирішення нестандартних проблем клієнтів:_x000D_18333 х 20% + 7222 х 5% = 4027,7 тис. грн.</v>
      </c>
    </row>
    <row r="4" spans="1:9" ht="192" customHeight="1">
      <c r="A4" s="170"/>
    </row>
    <row r="5" spans="1:9" ht="26" customHeight="1">
      <c r="A5" s="63" t="str">
        <f>Таблиця_4!A13</f>
        <v>Завдання 2. Ставки витрат на одиницю фактора витрат</v>
      </c>
    </row>
    <row r="6" spans="1:9" ht="333" customHeight="1">
      <c r="A6" s="170" t="str">
        <f>Таблиця_4!A15</f>
        <v>ВД_1. Приймання та реєстрація звернень (телефонних дзвінків) клієнтів:_x000D_ 2477,6 тис. грн. / 78100 x 1000 = 31,7 грн._x000D__x000D_ВД_2. Ідентифікація категорії звернення та проблеми:_x000D_ 2133,2 тис. грн. / 51975 x 1000 = 41 грн._x000D__x000D_ВД_3. Розподіл ресурсів для вирішення проблеми (персонал, запасні частини і т. ін.):_x000D_ 2077,6 тис. грн. / 31600 x 1000 = 65,7 грн._x000D__x000D_ВД_4. Підготовка та відправлення замовнику запасних частин:_x000D_ 2927,75 тис. грн. / 3000 x 1000 = 975,9 грн._x000D__x000D_ВД_5. Виконання робіт інженерами СЦ:_x000D_ 12627,65 тис. грн. / 40000 x 1000 = 315,7 грн._x000D__x000D_ВД_6. Виконання робіт інженерами третьої сторони (аутсорсинг):_x000D_ 4505,5 тис. грн. / 8500 x 1000 = 530,1 грн._x000D__x000D_ВД_7. Вирішення нестандартних проблем клієнтів:_x000D_ 4027,7 тис. грн. / 700 x 1000 = 5753,9 грн.</v>
      </c>
    </row>
    <row r="7" spans="1:9" ht="271" customHeight="1">
      <c r="A7" s="170"/>
    </row>
    <row r="8" spans="1:9" ht="34" customHeight="1">
      <c r="A8" s="63" t="str">
        <f>Таблиця_4!A17</f>
        <v>Завдання 3. Види діяльності, які потребує кожна послуга</v>
      </c>
    </row>
    <row r="9" spans="1:9" ht="409" customHeight="1">
      <c r="A9" s="170" t="str">
        <f>Таблиця_4!A19</f>
        <v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проблеми;_x000D__x000D_СП_2_Консультування та відправлення замовнику запасних частин: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ВД_4. Підготовка та відправлення замовнику запасних частин;_x000D__x000D_СП_3_Послуги інженера СЦ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ВД_5. Виконання робіт інженерами СЦ,_x000D_     ВД_7. Вирішення нестандартних проблем клієнтів;_x000D__x000D_СП_4_Послуги інженера третьої сторони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ВД_6. Виконання робіт інженерами третьої сторони (аутсорсинг);_x000D__x000D_СП_5_Первинне встановлення корпоративної серверної системи:
     ВД_1. Приймання та реєстрація звернень (телефонних дзвінків) клієнтів,_x000D_     ВД_3. Розподіл ресурсів для вирішення проблеми (персонал, запасні частини і т. ін.),_x000D_     ВД_5. Виконання робіт інженерами СЦ,_x000D_     ВД_6. Виконання робіт інженерами третьої сторони (аутсорсинг),_x000D_     ВД_7. Вирішення нестандартних проблем клієнтів</v>
      </c>
    </row>
    <row r="10" spans="1:9" ht="149" customHeight="1">
      <c r="A10" s="170"/>
    </row>
    <row r="11" spans="1:9"/>
    <row r="12" spans="1:9" ht="27" customHeight="1">
      <c r="A12" s="63" t="str">
        <f>Таблиця_5!A9</f>
        <v>Завдання 4.1 - 4.5. Середня вартість надання однієї сервісної послуги</v>
      </c>
    </row>
    <row r="13" spans="1:9" s="59" customFormat="1" ht="263" customHeight="1">
      <c r="A13" s="59" t="str">
        <f>Таблиця_5!A11</f>
        <v>СП_1_Дистанційне консультування клієнта:_x000D_1650,1 тис. грн. / 19800 x 1000 = 83,3 грн._x000D__x000D_СП_2_Консультування та відправлення замовнику запасних частин:_x000D_3501,6 тис. грн. / 3000 x 1000 = 1167,2 грн._x000D__x000D_СП_3_Послуги інженера СЦ на території замовника:_x000D_18506,3 тис. грн. / 38000 x 1000 = 487 грн._x000D__x000D_СП_4_Послуги інженера третьої сторони на території замовника:_x000D_5065,5 тис. грн. / 8000 x 1000 = 633,2 грн._x000D__x000D_СП_5_Первинне встановлення корпоративної серверної системи:_x000D_2053,4 тис. грн. / 2500 x 1000 = 821,3 грн.</v>
      </c>
    </row>
    <row r="14" spans="1:9"/>
    <row r="15" spans="1:9" ht="29" customHeight="1">
      <c r="A15" s="63" t="str">
        <f>Таблиця_5!A19</f>
        <v>Завдання 4.6. Операційний прибуток</v>
      </c>
    </row>
    <row r="16" spans="1:9" s="59" customFormat="1" ht="302" customHeight="1">
      <c r="A16" s="59" t="str">
        <f>Таблиця_5!A22</f>
        <v>СП_1_Дистанційне консультування клієнта:_x000D_1815 - 1650,1 = 164,9 тис. грн._x000D__x000D_СП_2_Консультування та відправлення замовнику запасних частин:_x000D_4202 - 3501,6 = 700,4 тис. грн._x000D__x000D_СП_3_Послуги інженера СЦ на території замовника:_x000D_24058 - 18506,3 = 5551,7 тис. грн._x000D__x000D_СП_4_Послуги інженера третьої сторони на території замовника:_x000D_3799 - 5065,5 = -1266,5 тис. грн._x000D__x000D_СП_5_Первинне встановлення корпоративної серверної системи:_x000D_3080 - 2053,4 = 1026,6 тис. грн._x000D__x000D_Разом:_x000D_(164,9) + (700,4) + (5551,7) + (-1266,5) + (1026,6) = 6177 тис. грн.</v>
      </c>
    </row>
    <row r="17" spans="1:1"/>
    <row r="18" spans="1:1" ht="24" customHeight="1">
      <c r="A18" s="63" t="str">
        <f>Таблиця_5!A30</f>
        <v>Висновки</v>
      </c>
    </row>
    <row r="19" spans="1:1" ht="56" customHeight="1">
      <c r="A19" s="59" t="str">
        <f>Таблиця_5!A32</f>
        <v>Для того, щоб запобігти операційним збиткам, необхідно коригувати вартість надання СП_4_Послуги інженера третьої сторони на території замовника.</v>
      </c>
    </row>
  </sheetData>
  <mergeCells count="3">
    <mergeCell ref="A9:A10"/>
    <mergeCell ref="A6:A7"/>
    <mergeCell ref="A3:A4"/>
  </mergeCells>
  <phoneticPr fontId="19" type="noConversion"/>
  <pageMargins left="0.75000000000000011" right="0.36000000000000004" top="0.60370078740157485" bottom="0.21" header="0.10999999999999999" footer="0.10999999999999999"/>
  <pageSetup paperSize="9" scale="97" orientation="portrait" horizontalDpi="4294967292" verticalDpi="4294967292"/>
  <rowBreaks count="4" manualBreakCount="4">
    <brk id="4" man="1"/>
    <brk id="7" man="1"/>
    <brk id="11" man="1"/>
    <brk id="17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Таблиця_1</vt:lpstr>
      <vt:lpstr>Варіанти</vt:lpstr>
      <vt:lpstr>Таблиця_2</vt:lpstr>
      <vt:lpstr>Таблиця_3</vt:lpstr>
      <vt:lpstr>Таблиця_4</vt:lpstr>
      <vt:lpstr>Таблиця_5</vt:lpstr>
      <vt:lpstr>Звіт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Berezhnoj</dc:creator>
  <cp:lastModifiedBy>Anton Berezhnoj</cp:lastModifiedBy>
  <cp:lastPrinted>2015-11-30T23:49:21Z</cp:lastPrinted>
  <dcterms:created xsi:type="dcterms:W3CDTF">2015-11-30T16:48:44Z</dcterms:created>
  <dcterms:modified xsi:type="dcterms:W3CDTF">2015-12-01T12:30:58Z</dcterms:modified>
</cp:coreProperties>
</file>