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ownloads\"/>
    </mc:Choice>
  </mc:AlternateContent>
  <xr:revisionPtr revIDLastSave="0" documentId="8_{ED135920-3535-4F3A-AFDB-3D2D3817A452}" xr6:coauthVersionLast="47" xr6:coauthVersionMax="47" xr10:uidLastSave="{00000000-0000-0000-0000-000000000000}"/>
  <bookViews>
    <workbookView xWindow="1522" yWindow="1250" windowWidth="24561" windowHeight="12702" xr2:uid="{5B142256-5719-4C30-A5D3-1703D4D9E3F4}"/>
  </bookViews>
  <sheets>
    <sheet name="calc" sheetId="1" r:id="rId1"/>
    <sheet name="calcHelp" sheetId="8" state="hidden" r:id="rId2"/>
    <sheet name="tabellen" sheetId="4" state="hidden" r:id="rId3"/>
    <sheet name="Tabel 1 CPI" sheetId="2" state="hidden" r:id="rId4"/>
    <sheet name="CPI" sheetId="7" state="hidden" r:id="rId5"/>
    <sheet name="CPI-Gec" sheetId="5" state="hidden" r:id="rId6"/>
  </sheets>
  <definedNames>
    <definedName name="_xlnm.Print_Area" localSheetId="0">calc!$B$2:$K$34</definedName>
    <definedName name="ee">#REF!</definedName>
    <definedName name="Eerstegetal">#REF!</definedName>
    <definedName name="Eerstegetal1">#REF!</definedName>
    <definedName name="Eerstegetal2">#REF!</definedName>
    <definedName name="Namen">#REF!</definedName>
    <definedName name="Namen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C15" i="8"/>
  <c r="C14" i="8"/>
  <c r="C13" i="8"/>
  <c r="N24" i="8" s="1"/>
  <c r="C71" i="8"/>
  <c r="F18" i="8"/>
  <c r="C10" i="8"/>
  <c r="N10" i="8" s="1"/>
  <c r="C9" i="8"/>
  <c r="N9" i="8" s="1"/>
  <c r="C8" i="8"/>
  <c r="N8" i="8" s="1"/>
  <c r="B9" i="1"/>
  <c r="D32" i="1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H35" i="5"/>
  <c r="I38" i="5"/>
  <c r="I43" i="5"/>
  <c r="Q37" i="2"/>
  <c r="Q44" i="2"/>
  <c r="I58" i="5"/>
  <c r="Q53" i="2"/>
  <c r="H36" i="5"/>
  <c r="H51" i="5"/>
  <c r="H59" i="5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I46" i="7" s="1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P21" i="2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18" i="7"/>
  <c r="D18" i="7"/>
  <c r="I32" i="7"/>
  <c r="I33" i="7"/>
  <c r="I36" i="7"/>
  <c r="I37" i="7"/>
  <c r="I40" i="7"/>
  <c r="I41" i="7"/>
  <c r="I44" i="7"/>
  <c r="I45" i="7"/>
  <c r="I48" i="7"/>
  <c r="I49" i="7"/>
  <c r="I50" i="7"/>
  <c r="I52" i="7"/>
  <c r="I53" i="7"/>
  <c r="I54" i="7"/>
  <c r="I56" i="7"/>
  <c r="I57" i="7"/>
  <c r="I58" i="7"/>
  <c r="I60" i="7"/>
  <c r="I61" i="7"/>
  <c r="I62" i="7"/>
  <c r="I64" i="7"/>
  <c r="I65" i="7"/>
  <c r="P44" i="2"/>
  <c r="P45" i="2"/>
  <c r="P46" i="2"/>
  <c r="P47" i="2"/>
  <c r="P48" i="2"/>
  <c r="P49" i="2"/>
  <c r="P50" i="2"/>
  <c r="P51" i="2"/>
  <c r="P52" i="2"/>
  <c r="P53" i="2"/>
  <c r="P54" i="2"/>
  <c r="P55" i="2"/>
  <c r="Q33" i="2"/>
  <c r="P13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L51" i="2"/>
  <c r="B32" i="1"/>
  <c r="K9" i="1"/>
  <c r="K27" i="1" s="1"/>
  <c r="H8" i="8" l="1"/>
  <c r="H9" i="8"/>
  <c r="H10" i="8"/>
  <c r="V10" i="8"/>
  <c r="V8" i="8"/>
  <c r="V9" i="8"/>
  <c r="F6" i="8"/>
  <c r="B8" i="8"/>
  <c r="B9" i="8"/>
  <c r="B10" i="8"/>
  <c r="I18" i="7"/>
  <c r="L9" i="2"/>
  <c r="I63" i="7"/>
  <c r="I59" i="7"/>
  <c r="L53" i="2"/>
  <c r="H63" i="7"/>
  <c r="I55" i="7"/>
  <c r="L48" i="2"/>
  <c r="H59" i="7"/>
  <c r="L45" i="2"/>
  <c r="H55" i="7"/>
  <c r="I47" i="7"/>
  <c r="L41" i="2"/>
  <c r="H51" i="7"/>
  <c r="I42" i="7"/>
  <c r="L37" i="2"/>
  <c r="H47" i="7"/>
  <c r="I38" i="7"/>
  <c r="L33" i="2"/>
  <c r="H43" i="7"/>
  <c r="I35" i="7"/>
  <c r="L29" i="2"/>
  <c r="H39" i="7"/>
  <c r="I34" i="7"/>
  <c r="L25" i="2"/>
  <c r="H35" i="7"/>
  <c r="I31" i="7"/>
  <c r="L20" i="2"/>
  <c r="H32" i="7"/>
  <c r="I64" i="5"/>
  <c r="M55" i="2"/>
  <c r="H61" i="5"/>
  <c r="I62" i="5"/>
  <c r="I59" i="5"/>
  <c r="H55" i="5"/>
  <c r="Q45" i="2"/>
  <c r="I52" i="5"/>
  <c r="H53" i="5"/>
  <c r="H52" i="5"/>
  <c r="Q40" i="2"/>
  <c r="W9" i="8" s="1"/>
  <c r="H47" i="5"/>
  <c r="Q36" i="2"/>
  <c r="M35" i="2"/>
  <c r="M31" i="2"/>
  <c r="I40" i="5"/>
  <c r="M27" i="2"/>
  <c r="I35" i="5"/>
  <c r="I34" i="5"/>
  <c r="H33" i="5"/>
  <c r="M21" i="2"/>
  <c r="I30" i="5"/>
  <c r="H44" i="5"/>
  <c r="M54" i="2"/>
  <c r="H43" i="5"/>
  <c r="H45" i="5"/>
  <c r="Q49" i="2"/>
  <c r="Q32" i="2"/>
  <c r="I39" i="5"/>
  <c r="Q20" i="2"/>
  <c r="H39" i="5"/>
  <c r="M45" i="2"/>
  <c r="I32" i="5"/>
  <c r="I31" i="5"/>
  <c r="Q52" i="2"/>
  <c r="W10" i="8" s="1"/>
  <c r="I51" i="5"/>
  <c r="Q28" i="2"/>
  <c r="W8" i="8" s="1"/>
  <c r="I56" i="5"/>
  <c r="M51" i="2"/>
  <c r="Q48" i="2"/>
  <c r="Q25" i="2"/>
  <c r="I50" i="5"/>
  <c r="H63" i="5"/>
  <c r="M47" i="2"/>
  <c r="M38" i="2"/>
  <c r="Q27" i="2"/>
  <c r="I54" i="5"/>
  <c r="M50" i="2"/>
  <c r="Q24" i="2"/>
  <c r="I46" i="5"/>
  <c r="H60" i="5"/>
  <c r="I48" i="5"/>
  <c r="H37" i="5"/>
  <c r="I44" i="5"/>
  <c r="M43" i="2"/>
  <c r="Q41" i="2"/>
  <c r="I42" i="5"/>
  <c r="I60" i="5"/>
  <c r="M39" i="2"/>
  <c r="M32" i="2"/>
  <c r="M46" i="2"/>
  <c r="M30" i="2"/>
  <c r="H64" i="5"/>
  <c r="H56" i="5"/>
  <c r="H48" i="5"/>
  <c r="H40" i="5"/>
  <c r="M53" i="2"/>
  <c r="M37" i="2"/>
  <c r="M29" i="2"/>
  <c r="Q51" i="2"/>
  <c r="Q43" i="2"/>
  <c r="Q35" i="2"/>
  <c r="I63" i="5"/>
  <c r="I55" i="5"/>
  <c r="I47" i="5"/>
  <c r="M52" i="2"/>
  <c r="U10" i="8" s="1"/>
  <c r="R10" i="8" s="1"/>
  <c r="M44" i="2"/>
  <c r="M36" i="2"/>
  <c r="M28" i="2"/>
  <c r="U8" i="8" s="1"/>
  <c r="R8" i="8" s="1"/>
  <c r="M20" i="2"/>
  <c r="Q50" i="2"/>
  <c r="Q42" i="2"/>
  <c r="Q34" i="2"/>
  <c r="Q26" i="2"/>
  <c r="H31" i="5"/>
  <c r="H58" i="5"/>
  <c r="H50" i="5"/>
  <c r="H42" i="5"/>
  <c r="H34" i="5"/>
  <c r="Q39" i="2"/>
  <c r="I65" i="5"/>
  <c r="I49" i="5"/>
  <c r="M34" i="2"/>
  <c r="H46" i="5"/>
  <c r="M41" i="2"/>
  <c r="M25" i="2"/>
  <c r="Q55" i="2"/>
  <c r="Q31" i="2"/>
  <c r="I57" i="5"/>
  <c r="I33" i="5"/>
  <c r="M48" i="2"/>
  <c r="M40" i="2"/>
  <c r="U9" i="8" s="1"/>
  <c r="R9" i="8" s="1"/>
  <c r="M24" i="2"/>
  <c r="Q54" i="2"/>
  <c r="Q46" i="2"/>
  <c r="Q38" i="2"/>
  <c r="Q30" i="2"/>
  <c r="Q22" i="2"/>
  <c r="H65" i="5"/>
  <c r="H57" i="5"/>
  <c r="H49" i="5"/>
  <c r="H41" i="5"/>
  <c r="M42" i="2"/>
  <c r="M26" i="2"/>
  <c r="H62" i="5"/>
  <c r="H54" i="5"/>
  <c r="H38" i="5"/>
  <c r="H30" i="5"/>
  <c r="M49" i="2"/>
  <c r="M33" i="2"/>
  <c r="Q47" i="2"/>
  <c r="Q23" i="2"/>
  <c r="I61" i="5"/>
  <c r="I53" i="5"/>
  <c r="I45" i="5"/>
  <c r="I41" i="5"/>
  <c r="I37" i="5"/>
  <c r="M23" i="2"/>
  <c r="Q29" i="2"/>
  <c r="Q21" i="2"/>
  <c r="I36" i="5"/>
  <c r="M22" i="2"/>
  <c r="H32" i="5"/>
  <c r="L52" i="2"/>
  <c r="T10" i="8" s="1"/>
  <c r="L44" i="2"/>
  <c r="L40" i="2"/>
  <c r="T9" i="8" s="1"/>
  <c r="L36" i="2"/>
  <c r="L32" i="2"/>
  <c r="L28" i="2"/>
  <c r="T8" i="8" s="1"/>
  <c r="L24" i="2"/>
  <c r="H62" i="7"/>
  <c r="H58" i="7"/>
  <c r="H54" i="7"/>
  <c r="H50" i="7"/>
  <c r="H46" i="7"/>
  <c r="H42" i="7"/>
  <c r="H38" i="7"/>
  <c r="H34" i="7"/>
  <c r="H30" i="7"/>
  <c r="L50" i="2"/>
  <c r="L43" i="2"/>
  <c r="L39" i="2"/>
  <c r="L35" i="2"/>
  <c r="L31" i="2"/>
  <c r="L27" i="2"/>
  <c r="L23" i="2"/>
  <c r="H65" i="7"/>
  <c r="H61" i="7"/>
  <c r="H57" i="7"/>
  <c r="H53" i="7"/>
  <c r="H49" i="7"/>
  <c r="H45" i="7"/>
  <c r="H41" i="7"/>
  <c r="H37" i="7"/>
  <c r="H33" i="7"/>
  <c r="L49" i="2"/>
  <c r="L42" i="2"/>
  <c r="L38" i="2"/>
  <c r="L34" i="2"/>
  <c r="L30" i="2"/>
  <c r="L26" i="2"/>
  <c r="L22" i="2"/>
  <c r="H64" i="7"/>
  <c r="H60" i="7"/>
  <c r="H56" i="7"/>
  <c r="H52" i="7"/>
  <c r="H48" i="7"/>
  <c r="H44" i="7"/>
  <c r="H40" i="7"/>
  <c r="H36" i="7"/>
  <c r="L55" i="2"/>
  <c r="L47" i="2"/>
  <c r="L21" i="2"/>
  <c r="I51" i="7"/>
  <c r="I43" i="7"/>
  <c r="I39" i="7"/>
  <c r="L54" i="2"/>
  <c r="L46" i="2"/>
  <c r="L17" i="2"/>
  <c r="H31" i="7"/>
  <c r="L13" i="2"/>
  <c r="I25" i="7"/>
  <c r="I21" i="7"/>
  <c r="P11" i="2"/>
  <c r="I22" i="7"/>
  <c r="P16" i="2"/>
  <c r="I29" i="7"/>
  <c r="P20" i="2"/>
  <c r="P19" i="2"/>
  <c r="P18" i="2"/>
  <c r="I19" i="7"/>
  <c r="I30" i="7"/>
  <c r="P17" i="2"/>
  <c r="P14" i="2"/>
  <c r="P12" i="2"/>
  <c r="I26" i="7"/>
  <c r="H21" i="7"/>
  <c r="P8" i="2"/>
  <c r="P10" i="2"/>
  <c r="P9" i="2"/>
  <c r="P15" i="2"/>
  <c r="I28" i="7"/>
  <c r="I24" i="7"/>
  <c r="I20" i="7"/>
  <c r="H24" i="7"/>
  <c r="L8" i="2"/>
  <c r="I27" i="7"/>
  <c r="I23" i="7"/>
  <c r="H28" i="7"/>
  <c r="H20" i="7"/>
  <c r="L16" i="2"/>
  <c r="L12" i="2"/>
  <c r="H18" i="7"/>
  <c r="H27" i="7"/>
  <c r="H23" i="7"/>
  <c r="H19" i="7"/>
  <c r="L19" i="2"/>
  <c r="L15" i="2"/>
  <c r="L11" i="2"/>
  <c r="H26" i="7"/>
  <c r="H22" i="7"/>
  <c r="L18" i="2"/>
  <c r="L14" i="2"/>
  <c r="L10" i="2"/>
  <c r="H29" i="7"/>
  <c r="H25" i="7"/>
  <c r="K15" i="1"/>
  <c r="J15" i="1" s="1"/>
  <c r="J9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M8" i="8" s="1"/>
  <c r="I29" i="2"/>
  <c r="I30" i="2"/>
  <c r="I31" i="2"/>
  <c r="I32" i="2"/>
  <c r="I33" i="2"/>
  <c r="I34" i="2"/>
  <c r="I35" i="2"/>
  <c r="I36" i="2"/>
  <c r="I37" i="2"/>
  <c r="I38" i="2"/>
  <c r="I39" i="2"/>
  <c r="I40" i="2"/>
  <c r="M9" i="8" s="1"/>
  <c r="I41" i="2"/>
  <c r="I42" i="2"/>
  <c r="I43" i="2"/>
  <c r="I44" i="2"/>
  <c r="I45" i="2"/>
  <c r="I46" i="2"/>
  <c r="I47" i="2"/>
  <c r="I48" i="2"/>
  <c r="I49" i="2"/>
  <c r="I50" i="2"/>
  <c r="I51" i="2"/>
  <c r="I52" i="2"/>
  <c r="M10" i="8" s="1"/>
  <c r="I53" i="2"/>
  <c r="I54" i="2"/>
  <c r="I55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L8" i="8" s="1"/>
  <c r="H29" i="2"/>
  <c r="H30" i="2"/>
  <c r="H31" i="2"/>
  <c r="H32" i="2"/>
  <c r="H33" i="2"/>
  <c r="H34" i="2"/>
  <c r="H35" i="2"/>
  <c r="H36" i="2"/>
  <c r="H37" i="2"/>
  <c r="H38" i="2"/>
  <c r="H39" i="2"/>
  <c r="H40" i="2"/>
  <c r="L9" i="8" s="1"/>
  <c r="H41" i="2"/>
  <c r="H42" i="2"/>
  <c r="H43" i="2"/>
  <c r="H44" i="2"/>
  <c r="H45" i="2"/>
  <c r="H46" i="2"/>
  <c r="H47" i="2"/>
  <c r="H48" i="2"/>
  <c r="H49" i="2"/>
  <c r="H50" i="2"/>
  <c r="H51" i="2"/>
  <c r="H52" i="2"/>
  <c r="L10" i="8" s="1"/>
  <c r="H53" i="2"/>
  <c r="H54" i="2"/>
  <c r="H55" i="2"/>
  <c r="H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K8" i="8" s="1"/>
  <c r="E29" i="2"/>
  <c r="E30" i="2"/>
  <c r="E31" i="2"/>
  <c r="E32" i="2"/>
  <c r="E33" i="2"/>
  <c r="E34" i="2"/>
  <c r="E35" i="2"/>
  <c r="E36" i="2"/>
  <c r="E37" i="2"/>
  <c r="E38" i="2"/>
  <c r="E39" i="2"/>
  <c r="E40" i="2"/>
  <c r="K9" i="8" s="1"/>
  <c r="E41" i="2"/>
  <c r="E42" i="2"/>
  <c r="E43" i="2"/>
  <c r="E44" i="2"/>
  <c r="E45" i="2"/>
  <c r="E46" i="2"/>
  <c r="E47" i="2"/>
  <c r="E48" i="2"/>
  <c r="E49" i="2"/>
  <c r="E50" i="2"/>
  <c r="E51" i="2"/>
  <c r="E52" i="2"/>
  <c r="K10" i="8" s="1"/>
  <c r="E53" i="2"/>
  <c r="E54" i="2"/>
  <c r="E55" i="2"/>
  <c r="E8" i="2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F54" i="5"/>
  <c r="G54" i="5"/>
  <c r="F55" i="5"/>
  <c r="G55" i="5"/>
  <c r="F56" i="5"/>
  <c r="G56" i="5"/>
  <c r="F57" i="5"/>
  <c r="G57" i="5"/>
  <c r="F58" i="5"/>
  <c r="G58" i="5"/>
  <c r="G65" i="7"/>
  <c r="G64" i="7"/>
  <c r="F65" i="7"/>
  <c r="F64" i="7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J8" i="8" s="1"/>
  <c r="F8" i="8" s="1"/>
  <c r="C57" i="8" s="1"/>
  <c r="D29" i="2"/>
  <c r="D30" i="2"/>
  <c r="D31" i="2"/>
  <c r="D32" i="2"/>
  <c r="D33" i="2"/>
  <c r="D34" i="2"/>
  <c r="D35" i="2"/>
  <c r="D36" i="2"/>
  <c r="D37" i="2"/>
  <c r="D38" i="2"/>
  <c r="D39" i="2"/>
  <c r="D40" i="2"/>
  <c r="J9" i="8" s="1"/>
  <c r="F9" i="8" s="1"/>
  <c r="D41" i="2"/>
  <c r="D42" i="2"/>
  <c r="D43" i="2"/>
  <c r="D44" i="2"/>
  <c r="D45" i="2"/>
  <c r="D46" i="2"/>
  <c r="D47" i="2"/>
  <c r="D48" i="2"/>
  <c r="D49" i="2"/>
  <c r="D50" i="2"/>
  <c r="D51" i="2"/>
  <c r="D52" i="2"/>
  <c r="J10" i="8" s="1"/>
  <c r="F10" i="8" s="1"/>
  <c r="D53" i="2"/>
  <c r="D54" i="2"/>
  <c r="D55" i="2"/>
  <c r="D8" i="2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E18" i="5"/>
  <c r="D18" i="5"/>
  <c r="G10" i="8" l="1"/>
  <c r="C48" i="8" s="1"/>
  <c r="G9" i="8"/>
  <c r="G8" i="8"/>
  <c r="C47" i="8" s="1"/>
  <c r="Q9" i="8"/>
  <c r="O35" i="8" s="1"/>
  <c r="P35" i="8" s="1"/>
  <c r="Q8" i="8"/>
  <c r="Q10" i="8"/>
  <c r="R41" i="8" s="1"/>
  <c r="R42" i="8" s="1"/>
  <c r="S42" i="8" s="1"/>
  <c r="E60" i="8"/>
  <c r="Q6" i="8"/>
  <c r="C58" i="8"/>
  <c r="N35" i="8" s="1"/>
  <c r="C64" i="8"/>
  <c r="B48" i="8"/>
  <c r="B65" i="8"/>
  <c r="C65" i="8"/>
  <c r="N41" i="8"/>
  <c r="B58" i="8"/>
  <c r="B64" i="8"/>
  <c r="O34" i="8"/>
  <c r="Q34" i="8"/>
  <c r="B57" i="8"/>
  <c r="B47" i="8"/>
  <c r="M8" i="2"/>
  <c r="M19" i="2"/>
  <c r="H18" i="5"/>
  <c r="H19" i="5"/>
  <c r="H29" i="5"/>
  <c r="H26" i="5"/>
  <c r="H27" i="5"/>
  <c r="M14" i="2"/>
  <c r="H22" i="5"/>
  <c r="M13" i="2"/>
  <c r="H25" i="5"/>
  <c r="H21" i="5"/>
  <c r="M12" i="2"/>
  <c r="H24" i="5"/>
  <c r="M18" i="2"/>
  <c r="M10" i="2"/>
  <c r="M11" i="2"/>
  <c r="H28" i="5"/>
  <c r="H20" i="5"/>
  <c r="M17" i="2"/>
  <c r="M9" i="2"/>
  <c r="H23" i="5"/>
  <c r="M16" i="2"/>
  <c r="M15" i="2"/>
  <c r="Q8" i="2"/>
  <c r="I18" i="5"/>
  <c r="I21" i="5"/>
  <c r="Q9" i="2"/>
  <c r="Q16" i="2"/>
  <c r="Q19" i="2"/>
  <c r="Q15" i="2"/>
  <c r="I24" i="5"/>
  <c r="I29" i="5"/>
  <c r="Q10" i="2"/>
  <c r="Q18" i="2"/>
  <c r="Q17" i="2"/>
  <c r="I23" i="5"/>
  <c r="Q11" i="2"/>
  <c r="Q12" i="2"/>
  <c r="I28" i="5"/>
  <c r="I20" i="5"/>
  <c r="I27" i="5"/>
  <c r="I19" i="5"/>
  <c r="I25" i="5"/>
  <c r="Q14" i="2"/>
  <c r="I22" i="5"/>
  <c r="Q13" i="2"/>
  <c r="I26" i="5"/>
  <c r="C11" i="1"/>
  <c r="J27" i="1"/>
  <c r="N34" i="8" l="1"/>
  <c r="Q30" i="8" s="1"/>
  <c r="E54" i="8"/>
  <c r="S41" i="8"/>
  <c r="E66" i="8"/>
  <c r="Q38" i="8"/>
  <c r="E61" i="8"/>
  <c r="N42" i="8"/>
  <c r="Q42" i="8" s="1"/>
  <c r="Q41" i="8"/>
  <c r="E68" i="8" s="1"/>
  <c r="M43" i="8"/>
  <c r="T28" i="8"/>
  <c r="T29" i="8" s="1"/>
  <c r="U29" i="8" s="1"/>
  <c r="P34" i="8"/>
  <c r="E55" i="8"/>
  <c r="N26" i="8"/>
  <c r="N28" i="8" s="1"/>
  <c r="C17" i="1"/>
  <c r="J11" i="1"/>
  <c r="J17" i="1"/>
  <c r="J28" i="1" s="1"/>
  <c r="B11" i="1"/>
  <c r="N29" i="8" l="1"/>
  <c r="Q29" i="8" s="1"/>
  <c r="R28" i="8"/>
  <c r="Q28" i="8"/>
  <c r="C28" i="1"/>
  <c r="B10" i="1" l="1"/>
  <c r="B16" i="1"/>
  <c r="B25" i="1" l="1"/>
  <c r="C16" i="1" l="1"/>
  <c r="D10" i="1"/>
  <c r="C22" i="1"/>
  <c r="C24" i="1"/>
  <c r="C30" i="1" s="1"/>
  <c r="D16" i="1"/>
  <c r="D22" i="1"/>
  <c r="D17" i="1"/>
  <c r="K16" i="1"/>
  <c r="K19" i="1" s="1"/>
  <c r="K22" i="1" s="1"/>
  <c r="N37" i="8" l="1"/>
  <c r="R38" i="8"/>
  <c r="N38" i="8" s="1"/>
  <c r="B19" i="1" s="1"/>
  <c r="D11" i="1"/>
  <c r="C10" i="1"/>
  <c r="R30" i="8" s="1"/>
  <c r="N30" i="8" s="1"/>
  <c r="B13" i="1" s="1"/>
  <c r="D23" i="1"/>
  <c r="J12" i="1"/>
  <c r="D18" i="1"/>
  <c r="K25" i="1"/>
  <c r="Q37" i="8" l="1"/>
  <c r="C18" i="1" s="1"/>
  <c r="N44" i="8"/>
  <c r="Q44" i="8" s="1"/>
  <c r="C32" i="1"/>
  <c r="K32" i="1" s="1"/>
  <c r="K33" i="1" s="1"/>
  <c r="D12" i="1"/>
  <c r="C12" i="1"/>
  <c r="K10" i="1"/>
  <c r="K13" i="1" s="1"/>
  <c r="C31" i="1"/>
  <c r="E51" i="8" s="1"/>
  <c r="J18" i="1"/>
  <c r="D51" i="8" l="1"/>
  <c r="D34" i="1" s="1"/>
  <c r="C34" i="1"/>
  <c r="J13" i="1"/>
  <c r="J19" i="1"/>
  <c r="J24" i="1" s="1"/>
  <c r="J29" i="1"/>
  <c r="C29" i="1"/>
  <c r="D31" i="1" s="1"/>
  <c r="J25" i="1" l="1"/>
  <c r="J30" i="1" l="1"/>
  <c r="J31" i="1" s="1"/>
  <c r="J33" i="1" l="1"/>
  <c r="B34" i="1" s="1"/>
  <c r="J34" i="1" l="1"/>
</calcChain>
</file>

<file path=xl/sharedStrings.xml><?xml version="1.0" encoding="utf-8"?>
<sst xmlns="http://schemas.openxmlformats.org/spreadsheetml/2006/main" count="379" uniqueCount="156">
  <si>
    <t>Rekenmodule Vaststelling Indexatie 2023</t>
  </si>
  <si>
    <t xml:space="preserve"> Referentiemaand indexatie</t>
  </si>
  <si>
    <t>september</t>
  </si>
  <si>
    <t xml:space="preserve"> Pensioenfonds</t>
  </si>
  <si>
    <t>PFXX</t>
  </si>
  <si>
    <t>Pensioenvoorbeeld</t>
  </si>
  <si>
    <t xml:space="preserve"> Soort prijs inflatie</t>
  </si>
  <si>
    <t>CPI</t>
  </si>
  <si>
    <t xml:space="preserve"> Toelichting</t>
  </si>
  <si>
    <t>Ja</t>
  </si>
  <si>
    <t>Indexatie</t>
  </si>
  <si>
    <t>Inflatie</t>
  </si>
  <si>
    <t xml:space="preserve"> Methode vaststelling inflatie</t>
  </si>
  <si>
    <t>Jaarmutatie CPI</t>
  </si>
  <si>
    <t xml:space="preserve"> Aantal decimalen</t>
  </si>
  <si>
    <t xml:space="preserve"> Verleende Indexatie over 2022</t>
  </si>
  <si>
    <t xml:space="preserve"> Pensioenuitkering</t>
  </si>
  <si>
    <t xml:space="preserve"> Benodigde indexatie ruimte 2023</t>
  </si>
  <si>
    <t xml:space="preserve"> Vaststelling mogelijke na-indexatie ruimte 2022 bij maximaal gebruik van Indexatie-AMvB</t>
  </si>
  <si>
    <t xml:space="preserve"> Na-indexatie ruimte over 2022</t>
  </si>
  <si>
    <t xml:space="preserve"> Vaststelling indexatie ruimte 2023 </t>
  </si>
  <si>
    <t xml:space="preserve"> Berekende Prijsinflatie 2023</t>
  </si>
  <si>
    <t xml:space="preserve"> Indexatie ruimte 2023</t>
  </si>
  <si>
    <t xml:space="preserve"> Samenvatting</t>
  </si>
  <si>
    <t xml:space="preserve"> Verleende indexatie over 2022</t>
  </si>
  <si>
    <t xml:space="preserve"> Te verlenen na-indexatie over 2022</t>
  </si>
  <si>
    <t xml:space="preserve"> Te geven indexatie over 2023</t>
  </si>
  <si>
    <t xml:space="preserve"> Totale indexatie over 2022 en 2023</t>
  </si>
  <si>
    <t xml:space="preserve"> Totaal pensioen (indexatie, inflatie)</t>
  </si>
  <si>
    <t>Jaarmutatie</t>
  </si>
  <si>
    <t>12-maands gemiddelde</t>
  </si>
  <si>
    <t>CPI-A</t>
  </si>
  <si>
    <t>Index</t>
  </si>
  <si>
    <t>12mnd. CPI</t>
  </si>
  <si>
    <t>12 mnd. CPI-A</t>
  </si>
  <si>
    <t>P</t>
  </si>
  <si>
    <t>O</t>
  </si>
  <si>
    <t>Achterloopspaties</t>
  </si>
  <si>
    <t>"    "</t>
  </si>
  <si>
    <t>Afronden-format % kolom</t>
  </si>
  <si>
    <t>Afronden-format % in tekst</t>
  </si>
  <si>
    <t>Afronden-format prijsindexen</t>
  </si>
  <si>
    <t>Afronden-format prijsindexen in tekst</t>
  </si>
  <si>
    <t>CPI/CPI-A Switch</t>
  </si>
  <si>
    <t>Gepubliceerd</t>
  </si>
  <si>
    <t>Onderzoeksreeks (= gecorrigeerd)</t>
  </si>
  <si>
    <t>geindexeerd</t>
  </si>
  <si>
    <t>12mnds</t>
  </si>
  <si>
    <t>Nog te index. 2023</t>
  </si>
  <si>
    <t>Jaarmut</t>
  </si>
  <si>
    <t>12 mnds</t>
  </si>
  <si>
    <t>Herzien</t>
  </si>
  <si>
    <t>2-jrs index. Ruimte</t>
  </si>
  <si>
    <t>Niet herzien</t>
  </si>
  <si>
    <t>1-jrs index. Ruimte 2022 CPI-Gecor.</t>
  </si>
  <si>
    <t>rest. indexatieruimte over 2022</t>
  </si>
  <si>
    <t>tekst bij tev veel ind</t>
  </si>
  <si>
    <t>1-jrs index. Ruimte 2023 CP</t>
  </si>
  <si>
    <t>Index ruimte 2023</t>
  </si>
  <si>
    <t>Totaal resterend</t>
  </si>
  <si>
    <t>Indexatie overschot of tekeort</t>
  </si>
  <si>
    <t>niet herzien</t>
  </si>
  <si>
    <t>Jaarmutatie CPI?</t>
  </si>
  <si>
    <t>https://onedrive.live.com/edit.aspx?resid=324C1E38712A118F!15025&amp;ithint=file%2cxlsx&amp;wdo=2&amp;authkey=!AFGoC6Gb27WMEeI</t>
  </si>
  <si>
    <t>juli</t>
  </si>
  <si>
    <t>augustus</t>
  </si>
  <si>
    <t>oktober</t>
  </si>
  <si>
    <t>november</t>
  </si>
  <si>
    <t>december</t>
  </si>
  <si>
    <t>Tabel 1</t>
  </si>
  <si>
    <t>Uitkomsten onderzoeksreeks met nieuwe waarneming energieprijzen: Consumentenprijsindex en inflatie, januari 2020 - mei 2023</t>
  </si>
  <si>
    <t>12 maands gemiddelden</t>
  </si>
  <si>
    <t>CPI afgeleid</t>
  </si>
  <si>
    <t>Gepubliceerde reguliere waarde</t>
  </si>
  <si>
    <t>Waarde onderzoeksreeks</t>
  </si>
  <si>
    <t>index (2015 =100)</t>
  </si>
  <si>
    <t>2020 januari</t>
  </si>
  <si>
    <t>2020 februari</t>
  </si>
  <si>
    <t>2020 maart</t>
  </si>
  <si>
    <t>2020 april</t>
  </si>
  <si>
    <t>2020 mei</t>
  </si>
  <si>
    <t>2020 juni</t>
  </si>
  <si>
    <t>2020 juli</t>
  </si>
  <si>
    <t>2020 augustus</t>
  </si>
  <si>
    <t>2020 september</t>
  </si>
  <si>
    <t>2020 oktober</t>
  </si>
  <si>
    <t>2020 november</t>
  </si>
  <si>
    <t>2020 december</t>
  </si>
  <si>
    <t>2021 januari</t>
  </si>
  <si>
    <t>2021 februari</t>
  </si>
  <si>
    <t>2021 maart</t>
  </si>
  <si>
    <t>2021 april</t>
  </si>
  <si>
    <t>2021 mei</t>
  </si>
  <si>
    <t>2021 juni</t>
  </si>
  <si>
    <t>2021 juli</t>
  </si>
  <si>
    <t>2021 augustus</t>
  </si>
  <si>
    <t>2021 september</t>
  </si>
  <si>
    <t>2021 oktober</t>
  </si>
  <si>
    <t>2021 november</t>
  </si>
  <si>
    <t>2021 december</t>
  </si>
  <si>
    <t>2022 januari</t>
  </si>
  <si>
    <t>2022 februari</t>
  </si>
  <si>
    <t>2022 maart</t>
  </si>
  <si>
    <t>2022 april</t>
  </si>
  <si>
    <t>2022 mei</t>
  </si>
  <si>
    <t>2022 juni</t>
  </si>
  <si>
    <t>2022 juli</t>
  </si>
  <si>
    <t>2022 augustus</t>
  </si>
  <si>
    <t>2022 september</t>
  </si>
  <si>
    <t>2022 oktober</t>
  </si>
  <si>
    <t>2022 november</t>
  </si>
  <si>
    <t>2022 december</t>
  </si>
  <si>
    <t>2023 januari</t>
  </si>
  <si>
    <t>2023 februari</t>
  </si>
  <si>
    <t>2023 maart</t>
  </si>
  <si>
    <t>2023 april</t>
  </si>
  <si>
    <t>2023 mei</t>
  </si>
  <si>
    <t>2023 juni</t>
  </si>
  <si>
    <t>2023 juli</t>
  </si>
  <si>
    <t>2023 augustus</t>
  </si>
  <si>
    <t>2023 september</t>
  </si>
  <si>
    <t>2023 oktober</t>
  </si>
  <si>
    <t>2023 november</t>
  </si>
  <si>
    <t>2023 december</t>
  </si>
  <si>
    <t>Bron: CBS.</t>
  </si>
  <si>
    <t>https://opendata.cbs.nl/statline/#/CBS/nl/dataset/83131NED/table?dl=974CE</t>
  </si>
  <si>
    <t>Maandmutatie CPI</t>
  </si>
  <si>
    <t>Maandmutatie CPI afgeleid</t>
  </si>
  <si>
    <t>Perioden</t>
  </si>
  <si>
    <t>2015 = 100</t>
  </si>
  <si>
    <t>%</t>
  </si>
  <si>
    <t>2019 januari</t>
  </si>
  <si>
    <t>2019 februari</t>
  </si>
  <si>
    <t>2019 maart</t>
  </si>
  <si>
    <t>2019 april</t>
  </si>
  <si>
    <t>2019 mei</t>
  </si>
  <si>
    <t>2019 juni</t>
  </si>
  <si>
    <t>2019 juli</t>
  </si>
  <si>
    <t>2019 augustus</t>
  </si>
  <si>
    <t>2019 september</t>
  </si>
  <si>
    <t>2019 oktober</t>
  </si>
  <si>
    <t>2019 november</t>
  </si>
  <si>
    <t>2019 december</t>
  </si>
  <si>
    <t>2023 september*</t>
  </si>
  <si>
    <t>Bron: CBS</t>
  </si>
  <si>
    <t>Consumentenprijzen; prijsindex 2015=100</t>
  </si>
  <si>
    <t>Bestedingscategorieën: 000000 Alle bestedingen</t>
  </si>
  <si>
    <t>Onderwerp</t>
  </si>
  <si>
    <t>Jaarmutatie CPI afgeleid</t>
  </si>
  <si>
    <t>12-mnd gem CPI</t>
  </si>
  <si>
    <t>12-mnd gem CPI-A</t>
  </si>
  <si>
    <t>2023 oktober *</t>
  </si>
  <si>
    <t>2023 november *</t>
  </si>
  <si>
    <t>2023 december *</t>
  </si>
  <si>
    <r>
      <t xml:space="preserve">Consumentenprijzen </t>
    </r>
    <r>
      <rPr>
        <b/>
        <sz val="11"/>
        <color rgb="FFC00000"/>
        <rFont val="Calibri"/>
        <family val="2"/>
      </rPr>
      <t>Gecorrigeerd</t>
    </r>
    <r>
      <rPr>
        <sz val="11"/>
        <color theme="1"/>
        <rFont val="Calibri"/>
        <family val="2"/>
      </rPr>
      <t>; prijsindex 2015=100</t>
    </r>
  </si>
  <si>
    <t>https://www.cbs.nl/-/media/_excel/2023/26/onderzoeksreeks-consumentenprijsindex-elektriciteit-en-gas.xlsx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</si>
</sst>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#\ ##0"/>
    <numFmt numFmtId="165" formatCode="0.0"/>
    <numFmt numFmtId="166" formatCode="_ * #,##0.0_ ;_ * \-#,##0.0_ ;_ * &quot;-&quot;??_ ;_ @_ "/>
    <numFmt numFmtId="167" formatCode="0.000%"/>
    <numFmt numFmtId="168" formatCode="0.00000%"/>
    <numFmt numFmtId="169" formatCode="0.000%&quot;   &quot;"/>
    <numFmt numFmtId="170" formatCode="0&quot;   &quot;"/>
    <numFmt numFmtId="171" formatCode="General\ &quot;   &quot;"/>
    <numFmt numFmtId="172" formatCode="#,##0&quot;  &quot;"/>
    <numFmt numFmtId="173" formatCode="#,##0&quot; &quot;"/>
    <numFmt numFmtId="174" formatCode="0.0%"/>
    <numFmt numFmtId="175" formatCode="#,##0.00&quot; &quot;"/>
    <numFmt numFmtId="176" formatCode="#,##0.00000&quot;  &quot;"/>
  </numFmts>
  <fonts count="2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color rgb="FFC00000"/>
      <name val="Arial"/>
      <family val="2"/>
    </font>
    <font>
      <sz val="11"/>
      <color rgb="FF3F3F76"/>
      <name val="Calibri"/>
      <family val="2"/>
    </font>
    <font>
      <b/>
      <sz val="11"/>
      <color rgb="FFC00000"/>
      <name val="Calibri"/>
      <family val="2"/>
    </font>
    <font>
      <b/>
      <sz val="11"/>
      <color theme="4" tint="-0.499984740745262"/>
      <name val="Calibri"/>
      <family val="2"/>
    </font>
    <font>
      <sz val="11"/>
      <color rgb="FFC00000"/>
      <name val="Calibri"/>
      <family val="2"/>
    </font>
    <font>
      <sz val="12"/>
      <color theme="1"/>
      <name val="Calibri"/>
      <family val="2"/>
    </font>
    <font>
      <sz val="11"/>
      <color theme="1"/>
      <name val="Arial Nova"/>
      <family val="2"/>
    </font>
    <font>
      <sz val="16"/>
      <color theme="1"/>
      <name val="Arial Nova"/>
      <family val="2"/>
    </font>
    <font>
      <sz val="10"/>
      <color theme="1"/>
      <name val="Arial Nova"/>
      <family val="2"/>
    </font>
    <font>
      <sz val="10"/>
      <color theme="1"/>
      <name val="Calibri"/>
      <family val="2"/>
    </font>
    <font>
      <sz val="10.5"/>
      <color theme="1"/>
      <name val="Arial Nova"/>
      <family val="2"/>
    </font>
    <font>
      <sz val="10.5"/>
      <color theme="1"/>
      <name val="Calibri"/>
      <family val="2"/>
    </font>
    <font>
      <b/>
      <sz val="10"/>
      <color theme="1"/>
      <name val="Arial Nova"/>
      <family val="2"/>
    </font>
    <font>
      <b/>
      <sz val="8"/>
      <color rgb="FFC00000"/>
      <name val="Arial"/>
      <family val="2"/>
    </font>
    <font>
      <sz val="11"/>
      <color rgb="FF7030A0"/>
      <name val="Calibri"/>
      <family val="2"/>
    </font>
    <font>
      <sz val="10"/>
      <color rgb="FF3F3F76"/>
      <name val="Arial Nov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F5F0F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4" borderId="12" applyNumberFormat="0" applyAlignment="0" applyProtection="0"/>
    <xf numFmtId="43" fontId="8" fillId="0" borderId="0" applyFont="0" applyFill="0" applyBorder="0" applyAlignment="0" applyProtection="0"/>
  </cellStyleXfs>
  <cellXfs count="181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3" fillId="2" borderId="1" xfId="1" applyFont="1" applyFill="1" applyBorder="1"/>
    <xf numFmtId="0" fontId="3" fillId="2" borderId="2" xfId="1" applyFont="1" applyFill="1" applyBorder="1" applyAlignment="1">
      <alignment vertical="top" wrapText="1"/>
    </xf>
    <xf numFmtId="0" fontId="3" fillId="2" borderId="1" xfId="1" applyFont="1" applyFill="1" applyBorder="1" applyAlignment="1">
      <alignment wrapText="1"/>
    </xf>
    <xf numFmtId="0" fontId="5" fillId="2" borderId="0" xfId="2" applyFont="1" applyFill="1"/>
    <xf numFmtId="0" fontId="3" fillId="2" borderId="0" xfId="1" applyFont="1" applyFill="1" applyAlignment="1">
      <alignment wrapText="1"/>
    </xf>
    <xf numFmtId="0" fontId="6" fillId="2" borderId="3" xfId="2" applyFont="1" applyFill="1" applyBorder="1"/>
    <xf numFmtId="0" fontId="4" fillId="2" borderId="3" xfId="2" applyFill="1" applyBorder="1"/>
    <xf numFmtId="0" fontId="4" fillId="2" borderId="0" xfId="2" applyFill="1" applyAlignment="1">
      <alignment horizontal="left"/>
    </xf>
    <xf numFmtId="164" fontId="5" fillId="2" borderId="0" xfId="3" quotePrefix="1" applyNumberFormat="1" applyFont="1" applyFill="1" applyAlignment="1">
      <alignment horizontal="right" vertical="top"/>
    </xf>
    <xf numFmtId="17" fontId="3" fillId="2" borderId="0" xfId="1" applyNumberFormat="1" applyFont="1" applyFill="1"/>
    <xf numFmtId="165" fontId="3" fillId="2" borderId="0" xfId="1" applyNumberFormat="1" applyFont="1" applyFill="1"/>
    <xf numFmtId="2" fontId="3" fillId="2" borderId="0" xfId="1" applyNumberFormat="1" applyFont="1" applyFill="1"/>
    <xf numFmtId="0" fontId="4" fillId="2" borderId="0" xfId="2" applyFill="1"/>
    <xf numFmtId="0" fontId="7" fillId="2" borderId="0" xfId="4" applyFill="1"/>
    <xf numFmtId="10" fontId="0" fillId="0" borderId="0" xfId="0" applyNumberFormat="1"/>
    <xf numFmtId="0" fontId="0" fillId="0" borderId="11" xfId="0" applyBorder="1"/>
    <xf numFmtId="17" fontId="9" fillId="2" borderId="0" xfId="1" applyNumberFormat="1" applyFont="1" applyFill="1"/>
    <xf numFmtId="165" fontId="9" fillId="2" borderId="0" xfId="1" applyNumberFormat="1" applyFont="1" applyFill="1"/>
    <xf numFmtId="2" fontId="9" fillId="2" borderId="0" xfId="1" applyNumberFormat="1" applyFont="1" applyFill="1"/>
    <xf numFmtId="0" fontId="7" fillId="0" borderId="0" xfId="4"/>
    <xf numFmtId="43" fontId="0" fillId="0" borderId="0" xfId="8" applyFont="1"/>
    <xf numFmtId="43" fontId="0" fillId="0" borderId="0" xfId="8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8" applyNumberFormat="1" applyFont="1"/>
    <xf numFmtId="43" fontId="12" fillId="0" borderId="0" xfId="8" applyFont="1"/>
    <xf numFmtId="43" fontId="13" fillId="0" borderId="0" xfId="8" applyFont="1"/>
    <xf numFmtId="43" fontId="3" fillId="2" borderId="0" xfId="1" applyNumberFormat="1" applyFont="1" applyFill="1"/>
    <xf numFmtId="166" fontId="13" fillId="0" borderId="0" xfId="6" applyNumberFormat="1" applyFont="1"/>
    <xf numFmtId="43" fontId="9" fillId="2" borderId="0" xfId="1" applyNumberFormat="1" applyFont="1" applyFill="1"/>
    <xf numFmtId="167" fontId="0" fillId="0" borderId="0" xfId="0" applyNumberFormat="1"/>
    <xf numFmtId="168" fontId="0" fillId="0" borderId="0" xfId="5" applyNumberFormat="1" applyFont="1"/>
    <xf numFmtId="168" fontId="0" fillId="0" borderId="0" xfId="0" applyNumberFormat="1"/>
    <xf numFmtId="3" fontId="0" fillId="0" borderId="0" xfId="0" applyNumberFormat="1"/>
    <xf numFmtId="0" fontId="0" fillId="5" borderId="11" xfId="0" applyFill="1" applyBorder="1"/>
    <xf numFmtId="167" fontId="0" fillId="3" borderId="11" xfId="0" applyNumberFormat="1" applyFill="1" applyBorder="1"/>
    <xf numFmtId="0" fontId="14" fillId="0" borderId="0" xfId="0" applyFont="1"/>
    <xf numFmtId="0" fontId="15" fillId="0" borderId="0" xfId="0" applyFont="1"/>
    <xf numFmtId="167" fontId="0" fillId="3" borderId="0" xfId="0" applyNumberFormat="1" applyFill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7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7" borderId="1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11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17" fillId="7" borderId="13" xfId="0" applyFont="1" applyFill="1" applyBorder="1" applyAlignment="1">
      <alignment vertical="center"/>
    </xf>
    <xf numFmtId="167" fontId="17" fillId="0" borderId="0" xfId="0" applyNumberFormat="1" applyFont="1" applyAlignment="1">
      <alignment horizontal="left" vertical="center"/>
    </xf>
    <xf numFmtId="10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left" vertical="center"/>
    </xf>
    <xf numFmtId="10" fontId="17" fillId="0" borderId="0" xfId="5" applyNumberFormat="1" applyFont="1" applyAlignment="1">
      <alignment horizontal="center" vertical="center"/>
    </xf>
    <xf numFmtId="0" fontId="17" fillId="0" borderId="13" xfId="0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0" fontId="17" fillId="7" borderId="9" xfId="0" applyFont="1" applyFill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right" vertical="center"/>
    </xf>
    <xf numFmtId="168" fontId="17" fillId="0" borderId="0" xfId="0" applyNumberFormat="1" applyFont="1" applyAlignment="1">
      <alignment horizontal="right" vertical="center"/>
    </xf>
    <xf numFmtId="0" fontId="17" fillId="9" borderId="4" xfId="0" applyFont="1" applyFill="1" applyBorder="1" applyAlignment="1">
      <alignment vertical="center"/>
    </xf>
    <xf numFmtId="0" fontId="17" fillId="9" borderId="9" xfId="0" applyFont="1" applyFill="1" applyBorder="1" applyAlignment="1">
      <alignment vertical="center"/>
    </xf>
    <xf numFmtId="0" fontId="17" fillId="10" borderId="4" xfId="0" applyFont="1" applyFill="1" applyBorder="1" applyAlignment="1">
      <alignment vertical="center"/>
    </xf>
    <xf numFmtId="172" fontId="0" fillId="0" borderId="0" xfId="0" applyNumberFormat="1"/>
    <xf numFmtId="172" fontId="15" fillId="0" borderId="0" xfId="0" applyNumberFormat="1" applyFont="1"/>
    <xf numFmtId="172" fontId="17" fillId="0" borderId="0" xfId="0" applyNumberFormat="1" applyFont="1" applyAlignment="1">
      <alignment vertical="center"/>
    </xf>
    <xf numFmtId="172" fontId="17" fillId="0" borderId="0" xfId="6" applyNumberFormat="1" applyFont="1" applyAlignment="1">
      <alignment vertical="center"/>
    </xf>
    <xf numFmtId="172" fontId="17" fillId="0" borderId="6" xfId="6" applyNumberFormat="1" applyFont="1" applyBorder="1" applyAlignment="1">
      <alignment vertical="center"/>
    </xf>
    <xf numFmtId="172" fontId="17" fillId="0" borderId="6" xfId="0" applyNumberFormat="1" applyFont="1" applyBorder="1" applyAlignment="1">
      <alignment vertical="center"/>
    </xf>
    <xf numFmtId="173" fontId="0" fillId="0" borderId="0" xfId="0" applyNumberFormat="1"/>
    <xf numFmtId="173" fontId="15" fillId="0" borderId="0" xfId="0" applyNumberFormat="1" applyFont="1"/>
    <xf numFmtId="173" fontId="17" fillId="0" borderId="13" xfId="0" applyNumberFormat="1" applyFont="1" applyBorder="1" applyAlignment="1">
      <alignment vertical="center"/>
    </xf>
    <xf numFmtId="173" fontId="17" fillId="0" borderId="13" xfId="6" applyNumberFormat="1" applyFont="1" applyBorder="1" applyAlignment="1">
      <alignment vertical="center"/>
    </xf>
    <xf numFmtId="173" fontId="17" fillId="0" borderId="15" xfId="6" applyNumberFormat="1" applyFont="1" applyBorder="1" applyAlignment="1">
      <alignment vertical="center"/>
    </xf>
    <xf numFmtId="173" fontId="17" fillId="0" borderId="15" xfId="0" applyNumberFormat="1" applyFont="1" applyBorder="1" applyAlignment="1">
      <alignment vertical="center"/>
    </xf>
    <xf numFmtId="173" fontId="14" fillId="0" borderId="0" xfId="0" applyNumberFormat="1" applyFont="1"/>
    <xf numFmtId="172" fontId="17" fillId="11" borderId="4" xfId="6" applyNumberFormat="1" applyFont="1" applyFill="1" applyBorder="1" applyAlignment="1">
      <alignment vertical="center"/>
    </xf>
    <xf numFmtId="173" fontId="17" fillId="11" borderId="11" xfId="6" applyNumberFormat="1" applyFont="1" applyFill="1" applyBorder="1" applyAlignment="1">
      <alignment vertical="center"/>
    </xf>
    <xf numFmtId="172" fontId="17" fillId="7" borderId="4" xfId="0" applyNumberFormat="1" applyFont="1" applyFill="1" applyBorder="1" applyAlignment="1">
      <alignment horizontal="center" vertical="center"/>
    </xf>
    <xf numFmtId="173" fontId="17" fillId="7" borderId="11" xfId="0" applyNumberFormat="1" applyFont="1" applyFill="1" applyBorder="1" applyAlignment="1">
      <alignment horizontal="center" vertical="center"/>
    </xf>
    <xf numFmtId="172" fontId="17" fillId="0" borderId="16" xfId="0" applyNumberFormat="1" applyFont="1" applyBorder="1" applyAlignment="1">
      <alignment vertical="center"/>
    </xf>
    <xf numFmtId="172" fontId="17" fillId="10" borderId="4" xfId="0" applyNumberFormat="1" applyFont="1" applyFill="1" applyBorder="1" applyAlignment="1">
      <alignment vertical="center"/>
    </xf>
    <xf numFmtId="173" fontId="17" fillId="10" borderId="11" xfId="0" applyNumberFormat="1" applyFont="1" applyFill="1" applyBorder="1" applyAlignment="1">
      <alignment vertical="center"/>
    </xf>
    <xf numFmtId="43" fontId="0" fillId="0" borderId="0" xfId="0" applyNumberFormat="1"/>
    <xf numFmtId="43" fontId="3" fillId="2" borderId="0" xfId="6" applyFont="1" applyFill="1"/>
    <xf numFmtId="0" fontId="22" fillId="2" borderId="0" xfId="1" applyFont="1" applyFill="1"/>
    <xf numFmtId="0" fontId="23" fillId="0" borderId="0" xfId="0" applyFont="1"/>
    <xf numFmtId="43" fontId="0" fillId="0" borderId="0" xfId="6" applyFont="1"/>
    <xf numFmtId="175" fontId="0" fillId="0" borderId="0" xfId="0" applyNumberFormat="1"/>
    <xf numFmtId="10" fontId="0" fillId="12" borderId="0" xfId="0" applyNumberFormat="1" applyFill="1"/>
    <xf numFmtId="176" fontId="0" fillId="0" borderId="0" xfId="0" applyNumberFormat="1"/>
    <xf numFmtId="174" fontId="0" fillId="0" borderId="0" xfId="5" applyNumberFormat="1" applyFont="1"/>
    <xf numFmtId="10" fontId="0" fillId="0" borderId="0" xfId="5" applyNumberFormat="1" applyFont="1"/>
    <xf numFmtId="0" fontId="0" fillId="0" borderId="5" xfId="0" applyBorder="1"/>
    <xf numFmtId="167" fontId="20" fillId="0" borderId="0" xfId="0" applyNumberFormat="1" applyFont="1" applyAlignment="1">
      <alignment vertical="center"/>
    </xf>
    <xf numFmtId="0" fontId="24" fillId="6" borderId="11" xfId="7" applyFont="1" applyFill="1" applyBorder="1" applyAlignment="1" applyProtection="1">
      <alignment horizontal="center" vertical="center"/>
      <protection locked="0"/>
    </xf>
    <xf numFmtId="170" fontId="24" fillId="6" borderId="11" xfId="7" applyNumberFormat="1" applyFont="1" applyFill="1" applyBorder="1" applyAlignment="1" applyProtection="1">
      <alignment horizontal="center" vertical="center"/>
      <protection locked="0"/>
    </xf>
    <xf numFmtId="3" fontId="24" fillId="6" borderId="11" xfId="7" applyNumberFormat="1" applyFont="1" applyFill="1" applyBorder="1" applyAlignment="1" applyProtection="1">
      <alignment horizontal="center" vertical="center"/>
      <protection locked="0"/>
    </xf>
    <xf numFmtId="173" fontId="17" fillId="0" borderId="0" xfId="0" applyNumberFormat="1" applyFont="1" applyAlignment="1">
      <alignment vertical="center"/>
    </xf>
    <xf numFmtId="174" fontId="0" fillId="0" borderId="0" xfId="0" applyNumberFormat="1"/>
    <xf numFmtId="10" fontId="17" fillId="7" borderId="1" xfId="0" applyNumberFormat="1" applyFont="1" applyFill="1" applyBorder="1" applyAlignment="1">
      <alignment horizontal="right" vertical="center" indent="1"/>
    </xf>
    <xf numFmtId="167" fontId="17" fillId="7" borderId="3" xfId="0" applyNumberFormat="1" applyFont="1" applyFill="1" applyBorder="1" applyAlignment="1">
      <alignment horizontal="right" vertical="center" indent="1"/>
    </xf>
    <xf numFmtId="10" fontId="17" fillId="9" borderId="2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10" fontId="17" fillId="7" borderId="8" xfId="0" applyNumberFormat="1" applyFont="1" applyFill="1" applyBorder="1" applyAlignment="1">
      <alignment horizontal="right" vertical="center" indent="1"/>
    </xf>
    <xf numFmtId="167" fontId="17" fillId="7" borderId="10" xfId="0" applyNumberFormat="1" applyFont="1" applyFill="1" applyBorder="1" applyAlignment="1">
      <alignment horizontal="right" vertical="center" indent="1"/>
    </xf>
    <xf numFmtId="10" fontId="17" fillId="9" borderId="3" xfId="0" applyNumberFormat="1" applyFont="1" applyFill="1" applyBorder="1" applyAlignment="1">
      <alignment horizontal="right" vertical="center" indent="1"/>
    </xf>
    <xf numFmtId="167" fontId="17" fillId="7" borderId="1" xfId="0" applyNumberFormat="1" applyFont="1" applyFill="1" applyBorder="1" applyAlignment="1">
      <alignment horizontal="right" vertical="center" indent="1"/>
    </xf>
    <xf numFmtId="0" fontId="17" fillId="7" borderId="0" xfId="0" applyFont="1" applyFill="1" applyAlignment="1">
      <alignment horizontal="right" vertical="center" indent="1"/>
    </xf>
    <xf numFmtId="10" fontId="17" fillId="7" borderId="0" xfId="0" applyNumberFormat="1" applyFont="1" applyFill="1" applyAlignment="1">
      <alignment horizontal="right" vertical="center" indent="1"/>
    </xf>
    <xf numFmtId="168" fontId="17" fillId="9" borderId="2" xfId="0" applyNumberFormat="1" applyFont="1" applyFill="1" applyBorder="1" applyAlignment="1">
      <alignment horizontal="right" vertical="center" indent="1"/>
    </xf>
    <xf numFmtId="10" fontId="17" fillId="7" borderId="2" xfId="0" applyNumberFormat="1" applyFont="1" applyFill="1" applyBorder="1" applyAlignment="1">
      <alignment horizontal="right" vertical="center" indent="1"/>
    </xf>
    <xf numFmtId="168" fontId="17" fillId="10" borderId="2" xfId="0" applyNumberFormat="1" applyFont="1" applyFill="1" applyBorder="1" applyAlignment="1">
      <alignment horizontal="right" vertical="center" indent="1"/>
    </xf>
    <xf numFmtId="169" fontId="24" fillId="6" borderId="4" xfId="7" applyNumberFormat="1" applyFont="1" applyFill="1" applyBorder="1" applyAlignment="1" applyProtection="1">
      <alignment horizontal="center" vertical="center"/>
      <protection locked="0"/>
    </xf>
    <xf numFmtId="169" fontId="24" fillId="6" borderId="5" xfId="7" applyNumberFormat="1" applyFont="1" applyFill="1" applyBorder="1" applyAlignment="1" applyProtection="1">
      <alignment horizontal="center" vertical="center"/>
      <protection locked="0"/>
    </xf>
    <xf numFmtId="0" fontId="17" fillId="7" borderId="4" xfId="0" applyFont="1" applyFill="1" applyBorder="1" applyAlignment="1">
      <alignment horizontal="left" vertical="center"/>
    </xf>
    <xf numFmtId="0" fontId="17" fillId="7" borderId="5" xfId="0" applyFont="1" applyFill="1" applyBorder="1" applyAlignment="1">
      <alignment horizontal="left" vertical="center"/>
    </xf>
    <xf numFmtId="10" fontId="17" fillId="7" borderId="7" xfId="0" applyNumberFormat="1" applyFont="1" applyFill="1" applyBorder="1" applyAlignment="1">
      <alignment horizontal="center" vertical="center"/>
    </xf>
    <xf numFmtId="10" fontId="17" fillId="7" borderId="1" xfId="0" applyNumberFormat="1" applyFont="1" applyFill="1" applyBorder="1" applyAlignment="1">
      <alignment horizontal="center" vertical="center"/>
    </xf>
    <xf numFmtId="10" fontId="17" fillId="7" borderId="8" xfId="0" applyNumberFormat="1" applyFont="1" applyFill="1" applyBorder="1" applyAlignment="1">
      <alignment horizontal="center" vertical="center"/>
    </xf>
    <xf numFmtId="167" fontId="17" fillId="7" borderId="9" xfId="0" applyNumberFormat="1" applyFont="1" applyFill="1" applyBorder="1" applyAlignment="1">
      <alignment horizontal="center" vertical="center"/>
    </xf>
    <xf numFmtId="167" fontId="17" fillId="7" borderId="3" xfId="0" applyNumberFormat="1" applyFont="1" applyFill="1" applyBorder="1" applyAlignment="1">
      <alignment horizontal="center" vertical="center"/>
    </xf>
    <xf numFmtId="167" fontId="17" fillId="7" borderId="10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171" fontId="24" fillId="6" borderId="4" xfId="7" applyNumberFormat="1" applyFont="1" applyFill="1" applyBorder="1" applyAlignment="1" applyProtection="1">
      <alignment horizontal="center" vertical="center"/>
      <protection locked="0"/>
    </xf>
    <xf numFmtId="171" fontId="24" fillId="6" borderId="5" xfId="7" applyNumberFormat="1" applyFont="1" applyFill="1" applyBorder="1" applyAlignment="1" applyProtection="1">
      <alignment horizontal="center" vertical="center"/>
      <protection locked="0"/>
    </xf>
    <xf numFmtId="0" fontId="24" fillId="6" borderId="4" xfId="7" applyFont="1" applyFill="1" applyBorder="1" applyAlignment="1" applyProtection="1">
      <alignment horizontal="center" vertical="center"/>
      <protection locked="0"/>
    </xf>
    <xf numFmtId="0" fontId="24" fillId="6" borderId="5" xfId="7" applyFont="1" applyFill="1" applyBorder="1" applyAlignment="1" applyProtection="1">
      <alignment horizontal="center" vertical="center"/>
      <protection locked="0"/>
    </xf>
    <xf numFmtId="167" fontId="17" fillId="7" borderId="4" xfId="0" applyNumberFormat="1" applyFont="1" applyFill="1" applyBorder="1" applyAlignment="1">
      <alignment horizontal="left" vertical="center"/>
    </xf>
    <xf numFmtId="167" fontId="17" fillId="7" borderId="2" xfId="0" applyNumberFormat="1" applyFont="1" applyFill="1" applyBorder="1" applyAlignment="1">
      <alignment horizontal="left" vertical="center"/>
    </xf>
    <xf numFmtId="167" fontId="17" fillId="7" borderId="5" xfId="0" applyNumberFormat="1" applyFont="1" applyFill="1" applyBorder="1" applyAlignment="1">
      <alignment horizontal="left" vertical="center"/>
    </xf>
    <xf numFmtId="0" fontId="17" fillId="8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left" vertical="center"/>
    </xf>
    <xf numFmtId="0" fontId="17" fillId="8" borderId="5" xfId="0" applyFont="1" applyFill="1" applyBorder="1" applyAlignment="1">
      <alignment horizontal="left" vertical="center"/>
    </xf>
    <xf numFmtId="0" fontId="21" fillId="8" borderId="4" xfId="0" applyFont="1" applyFill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5" xfId="0" applyFont="1" applyFill="1" applyBorder="1" applyAlignment="1">
      <alignment horizontal="left" vertical="center"/>
    </xf>
    <xf numFmtId="0" fontId="17" fillId="7" borderId="2" xfId="0" applyFont="1" applyFill="1" applyBorder="1" applyAlignment="1">
      <alignment horizontal="left" vertical="center"/>
    </xf>
    <xf numFmtId="10" fontId="17" fillId="9" borderId="2" xfId="0" applyNumberFormat="1" applyFont="1" applyFill="1" applyBorder="1" applyAlignment="1">
      <alignment horizontal="left" vertical="center"/>
    </xf>
    <xf numFmtId="10" fontId="17" fillId="9" borderId="5" xfId="0" applyNumberFormat="1" applyFont="1" applyFill="1" applyBorder="1" applyAlignment="1">
      <alignment horizontal="left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9" xfId="0" applyFont="1" applyFill="1" applyBorder="1" applyAlignment="1">
      <alignment horizontal="left" vertical="center"/>
    </xf>
    <xf numFmtId="0" fontId="17" fillId="7" borderId="8" xfId="0" applyFont="1" applyFill="1" applyBorder="1" applyAlignment="1">
      <alignment horizontal="right" vertical="center" indent="1"/>
    </xf>
    <xf numFmtId="0" fontId="17" fillId="7" borderId="10" xfId="0" applyFont="1" applyFill="1" applyBorder="1" applyAlignment="1">
      <alignment horizontal="right" vertical="center" indent="1"/>
    </xf>
    <xf numFmtId="0" fontId="17" fillId="10" borderId="2" xfId="0" applyFont="1" applyFill="1" applyBorder="1" applyAlignment="1">
      <alignment horizontal="left" vertical="center"/>
    </xf>
    <xf numFmtId="0" fontId="17" fillId="10" borderId="5" xfId="0" applyFont="1" applyFill="1" applyBorder="1" applyAlignment="1">
      <alignment horizontal="left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173" fontId="17" fillId="0" borderId="13" xfId="0" applyNumberFormat="1" applyFont="1" applyBorder="1" applyAlignment="1">
      <alignment horizontal="right" vertical="center"/>
    </xf>
    <xf numFmtId="0" fontId="17" fillId="7" borderId="0" xfId="0" applyFont="1" applyFill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9" fillId="7" borderId="11" xfId="0" applyFont="1" applyFill="1" applyBorder="1" applyAlignment="1">
      <alignment horizontal="right" vertical="center"/>
    </xf>
    <xf numFmtId="173" fontId="18" fillId="0" borderId="4" xfId="0" applyNumberFormat="1" applyFont="1" applyBorder="1" applyAlignment="1">
      <alignment horizontal="center" vertical="center"/>
    </xf>
    <xf numFmtId="173" fontId="18" fillId="0" borderId="2" xfId="0" applyNumberFormat="1" applyFont="1" applyBorder="1" applyAlignment="1">
      <alignment horizontal="center" vertical="center"/>
    </xf>
    <xf numFmtId="173" fontId="18" fillId="0" borderId="5" xfId="0" applyNumberFormat="1" applyFont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7" fillId="7" borderId="2" xfId="0" applyFont="1" applyFill="1" applyBorder="1" applyAlignment="1">
      <alignment horizontal="right" vertical="center"/>
    </xf>
    <xf numFmtId="0" fontId="17" fillId="7" borderId="5" xfId="0" applyFont="1" applyFill="1" applyBorder="1" applyAlignment="1">
      <alignment horizontal="right" vertical="center"/>
    </xf>
    <xf numFmtId="0" fontId="17" fillId="7" borderId="11" xfId="0" applyFont="1" applyFill="1" applyBorder="1" applyAlignment="1">
      <alignment horizontal="right" vertical="center"/>
    </xf>
  </cellXfs>
  <cellStyles count="9">
    <cellStyle name="Hyperlink" xfId="4" builtinId="8"/>
    <cellStyle name="Invoer" xfId="7" builtinId="20"/>
    <cellStyle name="Komma" xfId="6" builtinId="3"/>
    <cellStyle name="Komma 2" xfId="8" xr:uid="{C662C26F-0B94-4DE7-B2B0-4EE694C84A3E}"/>
    <cellStyle name="Procent" xfId="5" builtinId="5"/>
    <cellStyle name="Standaard" xfId="0" builtinId="0"/>
    <cellStyle name="Standaard 2" xfId="1" xr:uid="{43DBBAB1-9BB5-400A-8FCE-2D1C7455A568}"/>
    <cellStyle name="Standaard 4" xfId="2" xr:uid="{10519E94-75B4-490C-AB37-1EE8AD8C8108}"/>
    <cellStyle name="Standaard_Tabellen_A_leeg" xfId="3" xr:uid="{CF5DA8F4-97A5-40BB-84C2-D9A37146DAE9}"/>
  </cellStyles>
  <dxfs count="0"/>
  <tableStyles count="0" defaultTableStyle="TableStyleMedium2" defaultPivotStyle="PivotStyleLight16"/>
  <colors>
    <mruColors>
      <color rgb="FFF9F9F9"/>
      <color rgb="FFF5F0FA"/>
      <color rgb="FFE2EFDA"/>
      <color rgb="FFFEF2EC"/>
      <color rgb="FFEFF6FB"/>
      <color rgb="FFEDE2F6"/>
      <color rgb="FFFFF9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86" row="5">
    <wetp:webextensionref xmlns:r="http://schemas.openxmlformats.org/officeDocument/2006/relationships" r:id="rId1"/>
  </wetp:taskpane>
  <wetp:taskpane dockstate="right" visibility="0" width="386" row="4">
    <wetp:webextensionref xmlns:r="http://schemas.openxmlformats.org/officeDocument/2006/relationships" r:id="rId2"/>
  </wetp:taskpane>
  <wetp:taskpane dockstate="right" visibility="0" width="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A60EDB3-A8D5-48FF-A504-42DD0E7D1569}">
  <we:reference id="wa200000142" version="1.0.0.0" store="nl-NL" storeType="OMEX"/>
  <we:alternateReferences>
    <we:reference id="WA200000142" version="1.0.0.0" store="WA200000142" storeType="OMEX"/>
  </we:alternateReferences>
  <we:properties>
    <we:property name="worksheetIds" value="&quot;{\&quot;{2CF9F116-0281-4446-AAA6-07C830C153FD}\&quot;:\&quot;08de9af8-7f42-4a4b-ab69-02499d1893b9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D1CD7E4-5DF9-469B-A40F-0A028669239D}">
  <we:reference id="wa200003784" version="1.2.0.1" store="nl-NL" storeType="OMEX"/>
  <we:alternateReferences>
    <we:reference id="wa200003784" version="1.2.0.1" store="wa20000378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C30C06A8-D661-42E9-AFDE-19043F895B12}">
  <we:reference id="wa104379640" version="3.4.8.1" store="nl-NL" storeType="OMEX"/>
  <we:alternateReferences>
    <we:reference id="WA104379640" version="3.4.8.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data.cbs.nl/statlin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bs.nl/-/media/_excel/2023/26/onderzoeksreeks-consumentenprijsindex-elektriciteit-en-g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F116-0281-4446-AAA6-07C830C153FD}">
  <sheetPr>
    <pageSetUpPr fitToPage="1"/>
  </sheetPr>
  <dimension ref="A1:V79"/>
  <sheetViews>
    <sheetView showGridLines="0" showRowColHeaders="0" tabSelected="1" zoomScaleNormal="100" workbookViewId="0">
      <selection activeCell="H7" sqref="H7"/>
    </sheetView>
  </sheetViews>
  <sheetFormatPr defaultRowHeight="14.3" x14ac:dyDescent="0.25"/>
  <cols>
    <col min="1" max="1" width="0.75" customWidth="1"/>
    <col min="2" max="2" width="34.75" customWidth="1"/>
    <col min="3" max="3" width="9.625" style="107" customWidth="1"/>
    <col min="4" max="4" width="10.375" customWidth="1"/>
    <col min="5" max="5" width="1.875" customWidth="1"/>
    <col min="6" max="6" width="9.375" customWidth="1"/>
    <col min="7" max="7" width="8.625" customWidth="1"/>
    <col min="8" max="8" width="13.25" customWidth="1"/>
    <col min="9" max="9" width="1" customWidth="1"/>
    <col min="10" max="10" width="9.125" style="67" customWidth="1"/>
    <col min="11" max="11" width="10" style="73" customWidth="1"/>
    <col min="12" max="12" width="2.625" customWidth="1"/>
    <col min="13" max="13" width="26.125" customWidth="1"/>
    <col min="14" max="14" width="14.625" customWidth="1"/>
    <col min="15" max="15" width="9.375" bestFit="1" customWidth="1"/>
  </cols>
  <sheetData>
    <row r="1" spans="1:18" ht="4.0999999999999996" customHeight="1" x14ac:dyDescent="0.25"/>
    <row r="2" spans="1:18" ht="18" customHeight="1" x14ac:dyDescent="0.3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2"/>
      <c r="L2" s="39"/>
    </row>
    <row r="3" spans="1:18" ht="7.5" customHeight="1" x14ac:dyDescent="0.25">
      <c r="B3" s="39"/>
      <c r="C3" s="108"/>
      <c r="D3" s="39"/>
      <c r="E3" s="39"/>
      <c r="F3" s="39"/>
      <c r="G3" s="39"/>
      <c r="H3" s="39"/>
      <c r="I3" s="39"/>
      <c r="J3" s="68"/>
      <c r="K3" s="74"/>
      <c r="L3" s="39"/>
    </row>
    <row r="4" spans="1:18" s="48" customFormat="1" ht="17.149999999999999" customHeight="1" x14ac:dyDescent="0.25">
      <c r="A4" s="47"/>
      <c r="B4" s="50" t="s">
        <v>1</v>
      </c>
      <c r="C4" s="133" t="s">
        <v>2</v>
      </c>
      <c r="D4" s="134" t="s">
        <v>2</v>
      </c>
      <c r="E4" s="43"/>
      <c r="F4" s="122" t="s">
        <v>3</v>
      </c>
      <c r="G4" s="123"/>
      <c r="H4" s="99" t="s">
        <v>4</v>
      </c>
      <c r="I4" s="44"/>
      <c r="J4" s="163" t="s">
        <v>5</v>
      </c>
      <c r="K4" s="164"/>
      <c r="L4" s="43"/>
      <c r="P4"/>
      <c r="Q4"/>
      <c r="R4"/>
    </row>
    <row r="5" spans="1:18" s="48" customFormat="1" ht="17.149999999999999" customHeight="1" x14ac:dyDescent="0.25">
      <c r="A5" s="47"/>
      <c r="B5" s="50" t="s">
        <v>6</v>
      </c>
      <c r="C5" s="135" t="s">
        <v>7</v>
      </c>
      <c r="D5" s="136"/>
      <c r="E5" s="43"/>
      <c r="F5" s="122" t="s">
        <v>8</v>
      </c>
      <c r="G5" s="123"/>
      <c r="H5" s="99" t="s">
        <v>9</v>
      </c>
      <c r="I5" s="44"/>
      <c r="J5" s="82" t="s">
        <v>10</v>
      </c>
      <c r="K5" s="83" t="s">
        <v>11</v>
      </c>
      <c r="L5" s="43"/>
      <c r="P5"/>
      <c r="Q5"/>
      <c r="R5"/>
    </row>
    <row r="6" spans="1:18" s="48" customFormat="1" ht="17.149999999999999" customHeight="1" x14ac:dyDescent="0.25">
      <c r="A6" s="47"/>
      <c r="B6" s="50" t="s">
        <v>12</v>
      </c>
      <c r="C6" s="135" t="s">
        <v>13</v>
      </c>
      <c r="D6" s="136"/>
      <c r="E6" s="43"/>
      <c r="F6" s="122" t="s">
        <v>14</v>
      </c>
      <c r="G6" s="123"/>
      <c r="H6" s="100">
        <v>1</v>
      </c>
      <c r="I6" s="43"/>
      <c r="J6" s="69"/>
      <c r="K6" s="75"/>
      <c r="L6" s="43"/>
    </row>
    <row r="7" spans="1:18" s="48" customFormat="1" ht="17.149999999999999" customHeight="1" x14ac:dyDescent="0.25">
      <c r="A7" s="47"/>
      <c r="B7" s="50" t="s">
        <v>15</v>
      </c>
      <c r="C7" s="120">
        <v>0.06</v>
      </c>
      <c r="D7" s="121"/>
      <c r="E7" s="43"/>
      <c r="F7" s="122" t="s">
        <v>16</v>
      </c>
      <c r="G7" s="123"/>
      <c r="H7" s="101">
        <v>10000</v>
      </c>
      <c r="I7" s="43"/>
      <c r="J7" s="43"/>
      <c r="K7" s="57"/>
      <c r="L7" s="43"/>
    </row>
    <row r="8" spans="1:18" s="48" customFormat="1" ht="17.149999999999999" customHeight="1" x14ac:dyDescent="0.25">
      <c r="A8" s="47"/>
      <c r="B8" s="43"/>
      <c r="C8" s="60"/>
      <c r="D8" s="43"/>
      <c r="E8" s="43"/>
      <c r="F8" s="43"/>
      <c r="G8" s="43"/>
      <c r="H8" s="43"/>
      <c r="I8" s="43"/>
      <c r="J8" s="69"/>
      <c r="K8" s="75"/>
      <c r="L8" s="43"/>
    </row>
    <row r="9" spans="1:18" s="48" customFormat="1" ht="17.149999999999999" customHeight="1" x14ac:dyDescent="0.25">
      <c r="A9" s="47"/>
      <c r="B9" s="140" t="str">
        <f>" Bepaling benodigde indexatie ruimte 2023 o.b.v. herziene CPI"</f>
        <v xml:space="preserve"> Bepaling benodigde indexatie ruimte 2023 o.b.v. herziene CPI</v>
      </c>
      <c r="C9" s="141"/>
      <c r="D9" s="141"/>
      <c r="E9" s="141"/>
      <c r="F9" s="141"/>
      <c r="G9" s="141"/>
      <c r="H9" s="142"/>
      <c r="I9" s="43"/>
      <c r="J9" s="80">
        <f>K9</f>
        <v>10000</v>
      </c>
      <c r="K9" s="81">
        <f>H7</f>
        <v>10000</v>
      </c>
      <c r="L9" s="43"/>
    </row>
    <row r="10" spans="1:18" s="48" customFormat="1" ht="17.149999999999999" customHeight="1" x14ac:dyDescent="0.25">
      <c r="A10" s="47"/>
      <c r="B10" s="51" t="str">
        <f>" 2-jaars Prijsinflatie o.b.v. herziene "&amp;calcHelp!$F$6</f>
        <v xml:space="preserve"> 2-jaars Prijsinflatie o.b.v. herziene CPI</v>
      </c>
      <c r="C10" s="104" t="str">
        <f>IF(calcHelp!$C$71, calcHelp!N34,calcHelp!P34)</f>
        <v>15,3%</v>
      </c>
      <c r="D10" s="152" t="str">
        <f>IF($H$5="Ja",IF(calcHelp!$C$71,calcHelp!E54,calcHelp!Q34),"")</f>
        <v>Herz. CPI: sep. 2021 :110,26; sep. 2023 :127,16</v>
      </c>
      <c r="E10" s="153"/>
      <c r="F10" s="153"/>
      <c r="G10" s="153"/>
      <c r="H10" s="154"/>
      <c r="I10" s="43"/>
      <c r="J10" s="70"/>
      <c r="K10" s="76">
        <f>K9*C10</f>
        <v>1530</v>
      </c>
      <c r="L10" s="43"/>
    </row>
    <row r="11" spans="1:18" s="48" customFormat="1" ht="17.149999999999999" customHeight="1" x14ac:dyDescent="0.25">
      <c r="A11" s="47"/>
      <c r="B11" s="52" t="str">
        <f>B7</f>
        <v xml:space="preserve"> Verleende Indexatie over 2022</v>
      </c>
      <c r="C11" s="105" t="str">
        <f>calcHelp!N24</f>
        <v>6,0%</v>
      </c>
      <c r="D11" s="127" t="str">
        <f>IF($H$5="Ja",IF(calcHelp!$C$71,calcHelp!E55,"o.b.v. 12-mnds gem. inflatie "&amp;calcHelp!H9&amp;"&amp; "&amp;calcHelp!H10),"""")</f>
        <v xml:space="preserve"> 15,3%  = 127,16 / 110,26 - 1 </v>
      </c>
      <c r="E11" s="128"/>
      <c r="F11" s="128"/>
      <c r="G11" s="128"/>
      <c r="H11" s="129"/>
      <c r="I11" s="53"/>
      <c r="J11" s="70">
        <f>K9*calcHelp!N24</f>
        <v>600</v>
      </c>
      <c r="K11" s="76"/>
      <c r="L11" s="43"/>
    </row>
    <row r="12" spans="1:18" s="48" customFormat="1" ht="17.149999999999999" customHeight="1" thickBot="1" x14ac:dyDescent="0.3">
      <c r="A12" s="47"/>
      <c r="B12" s="64" t="s">
        <v>17</v>
      </c>
      <c r="C12" s="106" t="str">
        <f>IF(calcHelp!$C$71,IF(calcHelp!Q30,calcHelp!Q29,calcHelp!Q28),TEXT(-1+(1+C10)/(1+C11),calcHelp!C13))</f>
        <v>8,8%</v>
      </c>
      <c r="D12" s="147" t="str">
        <f>IF(calcHelp!Q30,"",IF($H$5="Ja","    =   ( 1 + "&amp;TEXT(1*C10,calcHelp!$C$14)&amp;" ) / ( 1 + "&amp;TEXT(1*C11,calcHelp!$C$14)&amp;" ) - 1 ","" ))</f>
        <v xml:space="preserve">    =   ( 1 + 15,3% ) / ( 1 + 6,0% ) - 1 </v>
      </c>
      <c r="E12" s="147"/>
      <c r="F12" s="147"/>
      <c r="G12" s="147"/>
      <c r="H12" s="148"/>
      <c r="I12" s="54"/>
      <c r="J12" s="71">
        <f>(J9+J11)*IF(calcHelp!$C$71, calcHelp!N26,calcHelp!T28)</f>
        <v>930.00000000000034</v>
      </c>
      <c r="K12" s="77"/>
      <c r="L12" s="43"/>
      <c r="M12" s="98"/>
    </row>
    <row r="13" spans="1:18" s="48" customFormat="1" ht="17.149999999999999" customHeight="1" thickTop="1" x14ac:dyDescent="0.25">
      <c r="A13" s="47"/>
      <c r="B13" s="122" t="str">
        <f>IF(calcHelp!Q30,IF($H$5="Ja",""&amp;calcHelp!N30,""),"")</f>
        <v/>
      </c>
      <c r="C13" s="146"/>
      <c r="D13" s="146"/>
      <c r="E13" s="146"/>
      <c r="F13" s="146"/>
      <c r="G13" s="146"/>
      <c r="H13" s="123"/>
      <c r="I13" s="55"/>
      <c r="J13" s="70">
        <f>SUM(J8:J12)</f>
        <v>11530</v>
      </c>
      <c r="K13" s="76">
        <f>SUM(K8:K12)</f>
        <v>11530</v>
      </c>
      <c r="L13" s="43"/>
    </row>
    <row r="14" spans="1:18" s="48" customFormat="1" ht="17.149999999999999" customHeight="1" x14ac:dyDescent="0.25">
      <c r="A14" s="47"/>
      <c r="B14" s="43"/>
      <c r="C14" s="60"/>
      <c r="D14" s="43"/>
      <c r="E14" s="43"/>
      <c r="F14" s="43"/>
      <c r="G14" s="43"/>
      <c r="H14" s="43"/>
      <c r="I14" s="43"/>
      <c r="J14" s="69"/>
      <c r="K14" s="75"/>
      <c r="L14" s="43"/>
    </row>
    <row r="15" spans="1:18" s="48" customFormat="1" ht="17.149999999999999" customHeight="1" x14ac:dyDescent="0.25">
      <c r="A15" s="47"/>
      <c r="B15" s="140" t="s">
        <v>18</v>
      </c>
      <c r="C15" s="141"/>
      <c r="D15" s="141"/>
      <c r="E15" s="141"/>
      <c r="F15" s="141"/>
      <c r="G15" s="141"/>
      <c r="H15" s="142"/>
      <c r="I15" s="43"/>
      <c r="J15" s="80">
        <f>K15</f>
        <v>10000</v>
      </c>
      <c r="K15" s="81">
        <f>K9</f>
        <v>10000</v>
      </c>
      <c r="L15" s="43"/>
    </row>
    <row r="16" spans="1:18" s="48" customFormat="1" ht="17.149999999999999" customHeight="1" x14ac:dyDescent="0.25">
      <c r="A16" s="47"/>
      <c r="B16" s="51" t="str">
        <f>" 1-jaars Prijsinflatie o.b.v. "&amp;calcHelp!$F$6</f>
        <v xml:space="preserve"> 1-jaars Prijsinflatie o.b.v. CPI</v>
      </c>
      <c r="C16" s="111" t="str">
        <f>IF(calcHelp!$C$71,calcHelp!N35,calcHelp!P35)</f>
        <v>14,5%</v>
      </c>
      <c r="D16" s="124" t="str">
        <f>IF($H$5="Ja",IF(calcHelp!$C$71,calcHelp!E60,"o.b.v. 12-mnds gem. inflatie van "),"")</f>
        <v>CPI: sep. 2021 :110,79; sep. 2022 :126,89</v>
      </c>
      <c r="E16" s="125"/>
      <c r="F16" s="125"/>
      <c r="G16" s="125"/>
      <c r="H16" s="126"/>
      <c r="I16" s="43"/>
      <c r="J16" s="69"/>
      <c r="K16" s="75">
        <f>K9*calcHelp!N35</f>
        <v>1450</v>
      </c>
      <c r="L16" s="43"/>
    </row>
    <row r="17" spans="1:13" s="48" customFormat="1" ht="17.149999999999999" customHeight="1" x14ac:dyDescent="0.25">
      <c r="A17" s="47"/>
      <c r="B17" s="59" t="s">
        <v>15</v>
      </c>
      <c r="C17" s="112" t="str">
        <f>calcHelp!N24</f>
        <v>6,0%</v>
      </c>
      <c r="D17" s="127" t="str">
        <f>IF($H$5="Ja",IF(calcHelp!$C$71,calcHelp!E61,calcHelp!H9),"")</f>
        <v xml:space="preserve">14,5%    =   126,89 / 110,79 - 1 </v>
      </c>
      <c r="E17" s="128"/>
      <c r="F17" s="128"/>
      <c r="G17" s="128"/>
      <c r="H17" s="129"/>
      <c r="I17" s="58"/>
      <c r="J17" s="69">
        <f>J15*calcHelp!N24</f>
        <v>600</v>
      </c>
      <c r="K17" s="75"/>
      <c r="L17" s="43"/>
    </row>
    <row r="18" spans="1:13" s="48" customFormat="1" ht="17.149999999999999" customHeight="1" thickBot="1" x14ac:dyDescent="0.3">
      <c r="A18" s="47"/>
      <c r="B18" s="64" t="s">
        <v>19</v>
      </c>
      <c r="C18" s="106" t="str">
        <f>IF(calcHelp!$C$71,calcHelp!Q37,calcHelp!Q37)</f>
        <v>8,5%</v>
      </c>
      <c r="D18" s="147" t="str">
        <f>IF(calcHelp!Q30,"",IF($H$5="Ja","    =   "&amp;TEXT(1*C16,calcHelp!$C$14)&amp;" - "&amp;TEXT(1*C17,calcHelp!$C$14)&amp;"","" ))</f>
        <v xml:space="preserve">    =   14,5% - 6,0%</v>
      </c>
      <c r="E18" s="147"/>
      <c r="F18" s="147"/>
      <c r="G18" s="147"/>
      <c r="H18" s="148"/>
      <c r="I18" s="43"/>
      <c r="J18" s="72">
        <f>(J15)*calcHelp!N37</f>
        <v>850.00000000000011</v>
      </c>
      <c r="K18" s="78"/>
      <c r="L18" s="43"/>
      <c r="M18" s="98"/>
    </row>
    <row r="19" spans="1:13" s="48" customFormat="1" ht="17.149999999999999" customHeight="1" thickTop="1" x14ac:dyDescent="0.25">
      <c r="A19" s="47"/>
      <c r="B19" s="137" t="str">
        <f>IF($H$5="Ja",IF(calcHelp!Q38,""&amp;calcHelp!N38,""),"")</f>
        <v/>
      </c>
      <c r="C19" s="138"/>
      <c r="D19" s="138"/>
      <c r="E19" s="138"/>
      <c r="F19" s="138"/>
      <c r="G19" s="138"/>
      <c r="H19" s="139"/>
      <c r="I19" s="53"/>
      <c r="J19" s="69">
        <f>SUM(J15:J18)</f>
        <v>11450</v>
      </c>
      <c r="K19" s="75">
        <f>SUM(K15:K18)</f>
        <v>11450</v>
      </c>
      <c r="L19" s="43"/>
    </row>
    <row r="20" spans="1:13" s="48" customFormat="1" ht="17.149999999999999" customHeight="1" x14ac:dyDescent="0.25">
      <c r="A20" s="47"/>
      <c r="B20" s="43"/>
      <c r="C20" s="60"/>
      <c r="D20" s="43"/>
      <c r="E20" s="43"/>
      <c r="F20" s="43"/>
      <c r="G20" s="43"/>
      <c r="H20" s="43"/>
      <c r="I20" s="43"/>
      <c r="J20" s="69"/>
      <c r="K20" s="75"/>
      <c r="L20" s="43"/>
    </row>
    <row r="21" spans="1:13" s="48" customFormat="1" ht="17.149999999999999" customHeight="1" x14ac:dyDescent="0.25">
      <c r="A21" s="47"/>
      <c r="B21" s="140" t="s">
        <v>20</v>
      </c>
      <c r="C21" s="141"/>
      <c r="D21" s="141"/>
      <c r="E21" s="141"/>
      <c r="F21" s="141"/>
      <c r="G21" s="141"/>
      <c r="H21" s="142"/>
      <c r="I21" s="43"/>
      <c r="J21" s="69"/>
      <c r="K21" s="75"/>
      <c r="L21" s="43"/>
    </row>
    <row r="22" spans="1:13" s="48" customFormat="1" ht="17.149999999999999" customHeight="1" x14ac:dyDescent="0.25">
      <c r="A22" s="47"/>
      <c r="B22" s="157" t="s">
        <v>21</v>
      </c>
      <c r="C22" s="159" t="str">
        <f>IF(calcHelp!$C$71,calcHelp!Q41,calcHelp!S41)</f>
        <v>0,2%</v>
      </c>
      <c r="D22" s="152" t="str">
        <f>IF($H$5="Ja",IF(calcHelp!$C$71,calcHelp!E66,"o.b.v. 12-mnds gem. inflatie van "),"")</f>
        <v>CPI: sep. 2022 :126,89; sep. 2023 :127,16</v>
      </c>
      <c r="E22" s="153"/>
      <c r="F22" s="153"/>
      <c r="G22" s="153"/>
      <c r="H22" s="154"/>
      <c r="I22" s="56"/>
      <c r="J22" s="69"/>
      <c r="K22" s="165">
        <f>IF(calcHelp!$C$71,calcHelp!N41,calcHelp!R41)*K19</f>
        <v>24.363622034833078</v>
      </c>
      <c r="L22" s="43"/>
    </row>
    <row r="23" spans="1:13" s="48" customFormat="1" ht="17.149999999999999" customHeight="1" x14ac:dyDescent="0.25">
      <c r="A23" s="47"/>
      <c r="B23" s="158"/>
      <c r="C23" s="160"/>
      <c r="D23" s="149" t="str">
        <f>IF($H$5="Ja",IF(calcHelp!$C$71,TEXT(1*calcHelp!Q41,calcHelp!C14)&amp;"    =   "&amp;TEXT(calcHelp!C65,"0,00")&amp;" / "&amp;TEXT(calcHelp!C64,"0,00")&amp;" - 1 ",calcHelp!H10),"")</f>
        <v xml:space="preserve">0,2%    =   127,16 / 126,89 - 1 </v>
      </c>
      <c r="E23" s="150"/>
      <c r="F23" s="150"/>
      <c r="G23" s="150"/>
      <c r="H23" s="151"/>
      <c r="I23" s="56"/>
      <c r="J23" s="69"/>
      <c r="K23" s="165"/>
      <c r="L23" s="43"/>
    </row>
    <row r="24" spans="1:13" s="48" customFormat="1" ht="17.149999999999999" customHeight="1" thickBot="1" x14ac:dyDescent="0.3">
      <c r="A24" s="47"/>
      <c r="B24" s="65" t="s">
        <v>22</v>
      </c>
      <c r="C24" s="113" t="str">
        <f>IF(calcHelp!$C$71,calcHelp!Q42,calcHelp!S42)</f>
        <v>0,2%</v>
      </c>
      <c r="D24" s="155"/>
      <c r="E24" s="155"/>
      <c r="F24" s="155"/>
      <c r="G24" s="155"/>
      <c r="H24" s="156"/>
      <c r="I24" s="61"/>
      <c r="J24" s="72">
        <f>IF(calcHelp!$C$71,calcHelp!N42,calcHelp!R42)*J19</f>
        <v>24.363622034833078</v>
      </c>
      <c r="K24" s="78"/>
      <c r="L24" s="43"/>
    </row>
    <row r="25" spans="1:13" s="48" customFormat="1" ht="17.149999999999999" customHeight="1" thickTop="1" x14ac:dyDescent="0.25">
      <c r="A25" s="47"/>
      <c r="B25" s="122" t="str">
        <f>calcHelp!M43</f>
        <v/>
      </c>
      <c r="C25" s="146"/>
      <c r="D25" s="146"/>
      <c r="E25" s="146"/>
      <c r="F25" s="146"/>
      <c r="G25" s="146"/>
      <c r="H25" s="123"/>
      <c r="I25" s="43"/>
      <c r="J25" s="69">
        <f>J19+J24</f>
        <v>11474.363622034833</v>
      </c>
      <c r="K25" s="75">
        <f>K19+K22</f>
        <v>11474.363622034833</v>
      </c>
      <c r="L25" s="43"/>
    </row>
    <row r="26" spans="1:13" s="48" customFormat="1" ht="17.149999999999999" customHeight="1" x14ac:dyDescent="0.25">
      <c r="A26" s="47"/>
      <c r="B26" s="43"/>
      <c r="C26" s="60"/>
      <c r="D26" s="43"/>
      <c r="E26" s="43"/>
      <c r="F26" s="43"/>
      <c r="G26" s="43"/>
      <c r="H26" s="43"/>
      <c r="I26" s="43"/>
      <c r="J26" s="69"/>
      <c r="K26" s="75"/>
      <c r="L26" s="43"/>
    </row>
    <row r="27" spans="1:13" s="48" customFormat="1" ht="17.149999999999999" customHeight="1" x14ac:dyDescent="0.25">
      <c r="A27" s="47"/>
      <c r="B27" s="143" t="s">
        <v>23</v>
      </c>
      <c r="C27" s="144"/>
      <c r="D27" s="144"/>
      <c r="E27" s="144"/>
      <c r="F27" s="144"/>
      <c r="G27" s="144"/>
      <c r="H27" s="145"/>
      <c r="I27" s="43"/>
      <c r="J27" s="80">
        <f>J9</f>
        <v>10000</v>
      </c>
      <c r="K27" s="81">
        <f>K9</f>
        <v>10000</v>
      </c>
      <c r="L27" s="43"/>
    </row>
    <row r="28" spans="1:13" s="48" customFormat="1" ht="17.149999999999999" customHeight="1" x14ac:dyDescent="0.25">
      <c r="A28" s="47"/>
      <c r="B28" s="51" t="s">
        <v>24</v>
      </c>
      <c r="C28" s="114" t="str">
        <f>C17</f>
        <v>6,0%</v>
      </c>
      <c r="D28" s="153"/>
      <c r="E28" s="153"/>
      <c r="F28" s="153"/>
      <c r="G28" s="153"/>
      <c r="H28" s="154"/>
      <c r="I28" s="62"/>
      <c r="J28" s="69">
        <f>J17</f>
        <v>600</v>
      </c>
      <c r="K28" s="75"/>
      <c r="L28" s="43"/>
    </row>
    <row r="29" spans="1:13" s="48" customFormat="1" ht="17.149999999999999" customHeight="1" x14ac:dyDescent="0.25">
      <c r="A29" s="47"/>
      <c r="B29" s="52" t="s">
        <v>25</v>
      </c>
      <c r="C29" s="115" t="str">
        <f>calcHelp!Q37</f>
        <v>8,5%</v>
      </c>
      <c r="D29" s="166"/>
      <c r="E29" s="166"/>
      <c r="F29" s="166"/>
      <c r="G29" s="166"/>
      <c r="H29" s="167"/>
      <c r="I29" s="60"/>
      <c r="J29" s="69">
        <f>J18</f>
        <v>850.00000000000011</v>
      </c>
      <c r="K29" s="75"/>
      <c r="L29" s="43"/>
    </row>
    <row r="30" spans="1:13" s="48" customFormat="1" ht="17.149999999999999" customHeight="1" thickBot="1" x14ac:dyDescent="0.3">
      <c r="A30" s="47"/>
      <c r="B30" s="52" t="s">
        <v>26</v>
      </c>
      <c r="C30" s="116" t="str">
        <f>C24</f>
        <v>0,2%</v>
      </c>
      <c r="D30" s="150"/>
      <c r="E30" s="150"/>
      <c r="F30" s="150"/>
      <c r="G30" s="150"/>
      <c r="H30" s="151"/>
      <c r="I30" s="60"/>
      <c r="J30" s="72">
        <f>J24</f>
        <v>24.363622034833078</v>
      </c>
      <c r="K30" s="57"/>
      <c r="L30" s="43"/>
    </row>
    <row r="31" spans="1:13" s="48" customFormat="1" ht="17.149999999999999" customHeight="1" thickTop="1" x14ac:dyDescent="0.25">
      <c r="A31" s="47"/>
      <c r="B31" s="64" t="s">
        <v>27</v>
      </c>
      <c r="C31" s="117" t="str">
        <f>TEXT(-1+(1+calcHelp!N24+calcHelp!N37)*(1+calcHelp!N42),calcHelp!C13)</f>
        <v>14,7%</v>
      </c>
      <c r="D31" s="147" t="str">
        <f>IF(calcHelp!Q43,"",IF($H$5="Ja"," =   ( 1 + "&amp;TEXT(1*C28,calcHelp!$C$14)&amp;" + "&amp;TEXT(1*C29,calcHelp!$C$14)&amp;" ) / ( 1 + "&amp;TEXT(1*C30,calcHelp!$C$14)&amp;" ) - 1 ","" ))</f>
        <v xml:space="preserve"> =   ( 1 + 6,0% + 8,5% ) / ( 1 + 0,2% ) - 1 </v>
      </c>
      <c r="E31" s="147"/>
      <c r="F31" s="147"/>
      <c r="G31" s="147"/>
      <c r="H31" s="148"/>
      <c r="I31" s="63"/>
      <c r="J31" s="69">
        <f>SUM(J27:J30)</f>
        <v>11474.363622034833</v>
      </c>
      <c r="K31" s="57"/>
      <c r="L31" s="43"/>
    </row>
    <row r="32" spans="1:13" s="48" customFormat="1" ht="17.149999999999999" customHeight="1" thickBot="1" x14ac:dyDescent="0.3">
      <c r="A32" s="47"/>
      <c r="B32" s="49" t="str">
        <f>" Totale prijsinflatie over 2022 en 2023"</f>
        <v xml:space="preserve"> Totale prijsinflatie over 2022 en 2023</v>
      </c>
      <c r="C32" s="118" t="str">
        <f>C10</f>
        <v>15,3%</v>
      </c>
      <c r="D32" s="146" t="str">
        <f>IF($H$5="Ja","Op basis van HERZIENE "&amp;C5,"")</f>
        <v>Op basis van HERZIENE CPI</v>
      </c>
      <c r="E32" s="146"/>
      <c r="F32" s="146"/>
      <c r="G32" s="146"/>
      <c r="H32" s="123"/>
      <c r="I32" s="63"/>
      <c r="J32" s="84"/>
      <c r="K32" s="78">
        <f>K27*C32</f>
        <v>1530</v>
      </c>
      <c r="L32" s="43"/>
    </row>
    <row r="33" spans="1:22" s="48" customFormat="1" ht="17.149999999999999" customHeight="1" thickTop="1" x14ac:dyDescent="0.25">
      <c r="A33" s="47"/>
      <c r="B33" s="122" t="s">
        <v>28</v>
      </c>
      <c r="C33" s="146"/>
      <c r="D33" s="146"/>
      <c r="E33" s="146"/>
      <c r="F33" s="146"/>
      <c r="G33" s="146"/>
      <c r="H33" s="123"/>
      <c r="I33" s="63"/>
      <c r="J33" s="69">
        <f>J31</f>
        <v>11474.363622034833</v>
      </c>
      <c r="K33" s="75">
        <f>SUM(K27:K32)</f>
        <v>11530</v>
      </c>
      <c r="L33" s="43"/>
    </row>
    <row r="34" spans="1:22" s="48" customFormat="1" ht="17.149999999999999" customHeight="1" x14ac:dyDescent="0.25">
      <c r="A34" s="47"/>
      <c r="B34" s="66" t="str">
        <f>IF(J33&lt;K33," Indexatie tekort"," Indexatie overschot" )&amp;" bij volledige indexatie"</f>
        <v xml:space="preserve"> Indexatie tekort bij volledige indexatie</v>
      </c>
      <c r="C34" s="119" t="str">
        <f>TEXT(ABS(C32-C31),calcHelp!C13)</f>
        <v>0,6%</v>
      </c>
      <c r="D34" s="161" t="str">
        <f>IF($H$5="Ja",IF(C32&gt;C31,calcHelp!D51,calcHelp!E51),"")</f>
        <v xml:space="preserve">    =  15,3%  - 14,7% </v>
      </c>
      <c r="E34" s="161"/>
      <c r="F34" s="161"/>
      <c r="G34" s="161"/>
      <c r="H34" s="162"/>
      <c r="I34" s="63"/>
      <c r="J34" s="85">
        <f>ABS(J33-K33)</f>
        <v>55.636377965167412</v>
      </c>
      <c r="K34" s="86"/>
      <c r="L34" s="43"/>
    </row>
    <row r="35" spans="1:22" s="41" customFormat="1" ht="17.149999999999999" customHeight="1" x14ac:dyDescent="0.25">
      <c r="A35" s="42"/>
      <c r="B35" s="43"/>
      <c r="C35" s="60"/>
      <c r="D35" s="43"/>
      <c r="E35" s="43"/>
      <c r="F35" s="43"/>
      <c r="G35" s="43"/>
      <c r="H35" s="43"/>
      <c r="I35" s="43"/>
      <c r="J35" s="43"/>
      <c r="K35" s="43"/>
      <c r="L35" s="43"/>
    </row>
    <row r="36" spans="1:22" s="41" customFormat="1" ht="17.149999999999999" customHeight="1" x14ac:dyDescent="0.25">
      <c r="A36" s="42"/>
      <c r="B36" s="43"/>
      <c r="C36" s="60"/>
      <c r="D36" s="43"/>
      <c r="E36" s="43"/>
      <c r="F36" s="43"/>
      <c r="G36" s="43"/>
      <c r="H36" s="43"/>
      <c r="I36" s="43"/>
      <c r="J36" s="69"/>
      <c r="K36" s="102"/>
      <c r="L36" s="43"/>
    </row>
    <row r="37" spans="1:22" s="41" customFormat="1" ht="17.149999999999999" customHeight="1" x14ac:dyDescent="0.25">
      <c r="B37" s="45"/>
      <c r="C37" s="109"/>
      <c r="D37" s="45"/>
      <c r="E37" s="45"/>
      <c r="F37" s="45"/>
      <c r="G37" s="45"/>
      <c r="H37" s="45"/>
      <c r="I37" s="45"/>
    </row>
    <row r="38" spans="1:22" ht="16.3" x14ac:dyDescent="0.3">
      <c r="B38" s="38"/>
      <c r="C38" s="110"/>
      <c r="D38" s="38"/>
      <c r="E38" s="38"/>
      <c r="F38" s="38"/>
      <c r="G38" s="38"/>
      <c r="H38" s="38"/>
      <c r="I38" s="38"/>
      <c r="J38" s="79"/>
      <c r="K38" s="38"/>
      <c r="L38" s="38"/>
      <c r="T38" s="79"/>
      <c r="U38" s="38"/>
      <c r="V38" s="38"/>
    </row>
    <row r="39" spans="1:22" ht="16.3" x14ac:dyDescent="0.3">
      <c r="B39" s="38"/>
      <c r="C39" s="110"/>
      <c r="D39" s="38"/>
      <c r="E39" s="38"/>
      <c r="F39" s="38"/>
      <c r="G39" s="38"/>
      <c r="H39" s="38"/>
      <c r="I39" s="38"/>
      <c r="J39" s="79"/>
      <c r="K39" s="38"/>
      <c r="L39" s="38"/>
      <c r="T39" s="79"/>
      <c r="U39" s="38"/>
      <c r="V39" s="38"/>
    </row>
    <row r="40" spans="1:22" ht="16.3" x14ac:dyDescent="0.3">
      <c r="B40" s="38"/>
      <c r="C40" s="110"/>
      <c r="D40" s="38"/>
      <c r="E40" s="38"/>
      <c r="F40" s="38"/>
      <c r="G40" s="38"/>
      <c r="H40" s="38"/>
      <c r="I40" s="38"/>
      <c r="J40" s="79"/>
      <c r="K40" s="38"/>
      <c r="L40" s="38"/>
      <c r="T40" s="79"/>
      <c r="U40" s="38"/>
      <c r="V40" s="38"/>
    </row>
    <row r="41" spans="1:22" ht="16.3" x14ac:dyDescent="0.3">
      <c r="B41" s="38"/>
      <c r="C41" s="110"/>
      <c r="D41" s="38"/>
      <c r="E41" s="38"/>
      <c r="F41" s="38"/>
      <c r="G41" s="38"/>
      <c r="H41" s="38"/>
      <c r="I41" s="38"/>
      <c r="J41" s="79"/>
      <c r="K41" s="38"/>
      <c r="L41" s="38"/>
      <c r="T41" s="79"/>
      <c r="U41" s="38"/>
      <c r="V41" s="38"/>
    </row>
    <row r="42" spans="1:22" ht="16.3" x14ac:dyDescent="0.3">
      <c r="B42" s="38"/>
      <c r="C42" s="110"/>
      <c r="D42" s="38"/>
      <c r="E42" s="38"/>
      <c r="F42" s="38"/>
      <c r="G42" s="38"/>
      <c r="H42" s="38"/>
      <c r="I42" s="38"/>
      <c r="J42" s="79"/>
      <c r="K42" s="38"/>
      <c r="L42" s="38"/>
      <c r="T42" s="79"/>
      <c r="U42" s="38"/>
      <c r="V42" s="38"/>
    </row>
    <row r="43" spans="1:22" x14ac:dyDescent="0.25">
      <c r="J43" s="73"/>
      <c r="K43"/>
      <c r="T43" s="73"/>
    </row>
    <row r="44" spans="1:22" x14ac:dyDescent="0.25">
      <c r="J44" s="73"/>
      <c r="K44"/>
      <c r="T44" s="73"/>
    </row>
    <row r="45" spans="1:22" x14ac:dyDescent="0.25">
      <c r="J45" s="73"/>
      <c r="K45"/>
      <c r="T45" s="73"/>
    </row>
    <row r="46" spans="1:22" x14ac:dyDescent="0.25">
      <c r="J46" s="73"/>
      <c r="K46"/>
      <c r="T46" s="73"/>
    </row>
    <row r="47" spans="1:22" x14ac:dyDescent="0.25">
      <c r="J47" s="73"/>
      <c r="K47"/>
      <c r="T47" s="73"/>
    </row>
    <row r="48" spans="1:22" x14ac:dyDescent="0.25">
      <c r="J48" s="73"/>
      <c r="K48"/>
      <c r="T48" s="73"/>
    </row>
    <row r="49" spans="10:21" x14ac:dyDescent="0.25">
      <c r="J49" s="73"/>
      <c r="K49"/>
      <c r="T49" s="73"/>
    </row>
    <row r="50" spans="10:21" x14ac:dyDescent="0.25">
      <c r="J50" s="73"/>
      <c r="K50"/>
      <c r="T50" s="73"/>
    </row>
    <row r="51" spans="10:21" x14ac:dyDescent="0.25">
      <c r="J51" s="73"/>
      <c r="K51"/>
      <c r="T51" s="73"/>
    </row>
    <row r="52" spans="10:21" x14ac:dyDescent="0.25">
      <c r="J52" s="73"/>
      <c r="K52"/>
      <c r="T52" s="73"/>
    </row>
    <row r="53" spans="10:21" x14ac:dyDescent="0.25">
      <c r="J53" s="73"/>
      <c r="K53"/>
      <c r="T53" s="73"/>
    </row>
    <row r="54" spans="10:21" x14ac:dyDescent="0.25">
      <c r="J54" s="73"/>
      <c r="K54"/>
      <c r="T54" s="73"/>
    </row>
    <row r="55" spans="10:21" x14ac:dyDescent="0.25">
      <c r="J55" s="73"/>
      <c r="K55" s="35"/>
      <c r="T55" s="73"/>
      <c r="U55" s="35"/>
    </row>
    <row r="56" spans="10:21" x14ac:dyDescent="0.25">
      <c r="J56" s="73"/>
      <c r="K56" s="35"/>
      <c r="T56" s="73"/>
      <c r="U56" s="35"/>
    </row>
    <row r="57" spans="10:21" x14ac:dyDescent="0.25">
      <c r="J57" s="73"/>
      <c r="K57" s="35"/>
      <c r="T57" s="73"/>
      <c r="U57" s="35"/>
    </row>
    <row r="58" spans="10:21" x14ac:dyDescent="0.25">
      <c r="J58" s="73"/>
      <c r="K58" s="35"/>
      <c r="T58" s="73"/>
      <c r="U58" s="35"/>
    </row>
    <row r="59" spans="10:21" x14ac:dyDescent="0.25">
      <c r="J59" s="73"/>
      <c r="K59"/>
      <c r="T59" s="73"/>
    </row>
    <row r="60" spans="10:21" x14ac:dyDescent="0.25">
      <c r="J60" s="73"/>
      <c r="K60"/>
      <c r="T60" s="73"/>
    </row>
    <row r="61" spans="10:21" x14ac:dyDescent="0.25">
      <c r="J61" s="73"/>
      <c r="K61"/>
      <c r="T61" s="73"/>
    </row>
    <row r="62" spans="10:21" x14ac:dyDescent="0.25">
      <c r="J62" s="73"/>
      <c r="K62"/>
      <c r="T62" s="73"/>
    </row>
    <row r="63" spans="10:21" x14ac:dyDescent="0.25">
      <c r="J63" s="73"/>
      <c r="K63"/>
      <c r="T63" s="73"/>
    </row>
    <row r="64" spans="10:21" x14ac:dyDescent="0.25">
      <c r="J64" s="73"/>
      <c r="K64"/>
      <c r="T64" s="73"/>
    </row>
    <row r="65" spans="10:20" x14ac:dyDescent="0.25">
      <c r="J65" s="73"/>
      <c r="K65"/>
      <c r="T65" s="73"/>
    </row>
    <row r="66" spans="10:20" x14ac:dyDescent="0.25">
      <c r="J66" s="73"/>
      <c r="K66"/>
      <c r="T66" s="73"/>
    </row>
    <row r="67" spans="10:20" x14ac:dyDescent="0.25">
      <c r="J67" s="73"/>
      <c r="K67"/>
      <c r="T67" s="73"/>
    </row>
    <row r="68" spans="10:20" x14ac:dyDescent="0.25">
      <c r="J68" s="73"/>
      <c r="K68"/>
      <c r="T68" s="73"/>
    </row>
    <row r="69" spans="10:20" x14ac:dyDescent="0.25">
      <c r="J69" s="73"/>
      <c r="K69"/>
      <c r="T69" s="73"/>
    </row>
    <row r="70" spans="10:20" x14ac:dyDescent="0.25">
      <c r="J70" s="73"/>
      <c r="K70"/>
      <c r="T70" s="73"/>
    </row>
    <row r="71" spans="10:20" x14ac:dyDescent="0.25">
      <c r="J71" s="73"/>
      <c r="K71"/>
      <c r="T71" s="73"/>
    </row>
    <row r="72" spans="10:20" x14ac:dyDescent="0.25">
      <c r="J72" s="73"/>
      <c r="K72"/>
      <c r="T72" s="73"/>
    </row>
    <row r="73" spans="10:20" x14ac:dyDescent="0.25">
      <c r="J73" s="73"/>
      <c r="K73"/>
      <c r="T73" s="73"/>
    </row>
    <row r="74" spans="10:20" x14ac:dyDescent="0.25">
      <c r="J74" s="73"/>
      <c r="K74"/>
      <c r="T74" s="73"/>
    </row>
    <row r="75" spans="10:20" x14ac:dyDescent="0.25">
      <c r="J75" s="73"/>
      <c r="K75"/>
      <c r="T75" s="73"/>
    </row>
    <row r="76" spans="10:20" x14ac:dyDescent="0.25">
      <c r="J76" s="73"/>
      <c r="K76"/>
      <c r="T76" s="73"/>
    </row>
    <row r="77" spans="10:20" x14ac:dyDescent="0.25">
      <c r="J77" s="73"/>
      <c r="K77"/>
      <c r="T77" s="73"/>
    </row>
    <row r="78" spans="10:20" x14ac:dyDescent="0.25">
      <c r="J78" s="73"/>
      <c r="K78"/>
      <c r="T78" s="73"/>
    </row>
    <row r="79" spans="10:20" x14ac:dyDescent="0.25">
      <c r="J79" s="73"/>
      <c r="K79"/>
      <c r="T79" s="73"/>
    </row>
  </sheetData>
  <sheetProtection algorithmName="SHA-512" hashValue="Oo8gQBravOrN+JK/FSYbry0RiA6abZePAoA8nrIgK2+uq4+tXJ1i3FFm9sVu/gVNR7ZCFMEXgSwNWN/+gWwmHA==" saltValue="ludvLaLsS2si+Jxq83VJAA==" spinCount="100000" sheet="1" objects="1" scenarios="1"/>
  <protectedRanges>
    <protectedRange sqref="C4:D7" name="Bereik1"/>
    <protectedRange sqref="H4:H7" name="Bereik2"/>
  </protectedRanges>
  <mergeCells count="36">
    <mergeCell ref="D31:H31"/>
    <mergeCell ref="D32:H32"/>
    <mergeCell ref="D34:H34"/>
    <mergeCell ref="J4:K4"/>
    <mergeCell ref="K22:K23"/>
    <mergeCell ref="B33:H33"/>
    <mergeCell ref="D10:H10"/>
    <mergeCell ref="D11:H11"/>
    <mergeCell ref="D12:H12"/>
    <mergeCell ref="F5:G5"/>
    <mergeCell ref="B9:H9"/>
    <mergeCell ref="B15:H15"/>
    <mergeCell ref="B25:H25"/>
    <mergeCell ref="D28:H28"/>
    <mergeCell ref="D29:H29"/>
    <mergeCell ref="D30:H30"/>
    <mergeCell ref="B19:H19"/>
    <mergeCell ref="B21:H21"/>
    <mergeCell ref="B27:H27"/>
    <mergeCell ref="B13:H13"/>
    <mergeCell ref="D18:H18"/>
    <mergeCell ref="D23:H23"/>
    <mergeCell ref="D22:H22"/>
    <mergeCell ref="D24:H24"/>
    <mergeCell ref="B22:B23"/>
    <mergeCell ref="C22:C23"/>
    <mergeCell ref="C7:D7"/>
    <mergeCell ref="F7:G7"/>
    <mergeCell ref="D16:H16"/>
    <mergeCell ref="D17:H17"/>
    <mergeCell ref="B2:K2"/>
    <mergeCell ref="F4:G4"/>
    <mergeCell ref="F6:G6"/>
    <mergeCell ref="C4:D4"/>
    <mergeCell ref="C5:D5"/>
    <mergeCell ref="C6:D6"/>
  </mergeCells>
  <dataValidations count="6">
    <dataValidation type="list" allowBlank="1" showInputMessage="1" showErrorMessage="1" sqref="C5" xr:uid="{686805D1-10B7-4BDD-A516-0829219BB421}">
      <formula1>"CPI,CPI-Afgeleid"</formula1>
    </dataValidation>
    <dataValidation type="list" allowBlank="1" showInputMessage="1" showErrorMessage="1" sqref="H6" xr:uid="{0FFD379A-4B9C-4131-9705-1B01AE1984A8}">
      <formula1>"1,2,3"</formula1>
    </dataValidation>
    <dataValidation type="decimal" allowBlank="1" showInputMessage="1" showErrorMessage="1" sqref="C7" xr:uid="{15156F24-15F3-4E89-B88B-621C1A021A4E}">
      <formula1>0</formula1>
      <formula2>0.25</formula2>
    </dataValidation>
    <dataValidation type="whole" allowBlank="1" showInputMessage="1" showErrorMessage="1" sqref="H7" xr:uid="{CA4C737E-73FB-4F45-A705-B8D630A4C445}">
      <formula1>500</formula1>
      <formula2>100000</formula2>
    </dataValidation>
    <dataValidation type="list" allowBlank="1" showInputMessage="1" showErrorMessage="1" sqref="H5" xr:uid="{938B2D17-1F32-4CB2-8AB6-5D0AD011085F}">
      <formula1>"Ja,Nee"</formula1>
    </dataValidation>
    <dataValidation type="list" allowBlank="1" showInputMessage="1" showErrorMessage="1" sqref="C6" xr:uid="{82A93824-03FC-4350-A8C4-070596A6D75F}">
      <formula1>"Jaarmutatie CPI,12-mnds gem. inflatie"</formula1>
    </dataValidation>
  </dataValidations>
  <pageMargins left="0.7" right="0.7" top="0.75" bottom="0.75" header="0.3" footer="0.3"/>
  <pageSetup paperSize="9" scale="8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31FF1-08DC-4773-9BC0-9D6F1B2B4A8D}">
          <x14:formula1>
            <xm:f>tabellen!$A$1:$A$6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B545-FAD9-4370-AE54-B3E8DCD25ABF}">
  <dimension ref="A1:AQ81"/>
  <sheetViews>
    <sheetView workbookViewId="0">
      <selection activeCell="G15" sqref="G15"/>
    </sheetView>
  </sheetViews>
  <sheetFormatPr defaultRowHeight="14.3" x14ac:dyDescent="0.25"/>
  <sheetData>
    <row r="1" spans="2:43" x14ac:dyDescent="0.25">
      <c r="J1" s="73"/>
      <c r="T1" s="73"/>
    </row>
    <row r="2" spans="2:43" x14ac:dyDescent="0.25">
      <c r="J2" s="73"/>
      <c r="T2" s="73"/>
    </row>
    <row r="3" spans="2:43" x14ac:dyDescent="0.25">
      <c r="J3" s="73"/>
      <c r="T3" s="73"/>
    </row>
    <row r="4" spans="2:43" x14ac:dyDescent="0.25">
      <c r="J4" s="73"/>
      <c r="T4" s="73"/>
    </row>
    <row r="5" spans="2:43" x14ac:dyDescent="0.25">
      <c r="J5" s="173" t="s">
        <v>29</v>
      </c>
      <c r="K5" s="174"/>
      <c r="L5" s="174"/>
      <c r="M5" s="174"/>
      <c r="N5" s="175"/>
      <c r="O5" s="41"/>
      <c r="P5" s="41"/>
      <c r="Q5" s="173" t="s">
        <v>30</v>
      </c>
      <c r="R5" s="174"/>
      <c r="S5" s="174"/>
      <c r="T5" s="174"/>
      <c r="U5" s="174"/>
      <c r="V5" s="174"/>
      <c r="W5" s="174"/>
      <c r="X5" s="175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</row>
    <row r="6" spans="2:43" x14ac:dyDescent="0.25">
      <c r="F6" s="170" t="str">
        <f>IF($F$18=0,J6,L6)</f>
        <v>CPI</v>
      </c>
      <c r="G6" s="171"/>
      <c r="J6" s="168" t="s">
        <v>7</v>
      </c>
      <c r="K6" s="169"/>
      <c r="L6" s="168" t="s">
        <v>31</v>
      </c>
      <c r="M6" s="169"/>
      <c r="N6" s="18" t="s">
        <v>32</v>
      </c>
      <c r="Q6" s="170" t="str">
        <f>F6</f>
        <v>CPI</v>
      </c>
      <c r="R6" s="171"/>
      <c r="T6" s="168" t="s">
        <v>33</v>
      </c>
      <c r="U6" s="169"/>
      <c r="V6" s="168" t="s">
        <v>34</v>
      </c>
      <c r="W6" s="169"/>
      <c r="X6" s="18"/>
    </row>
    <row r="7" spans="2:43" x14ac:dyDescent="0.25">
      <c r="F7" t="s">
        <v>35</v>
      </c>
      <c r="G7" t="s">
        <v>36</v>
      </c>
      <c r="J7" s="73" t="s">
        <v>35</v>
      </c>
      <c r="K7" t="s">
        <v>36</v>
      </c>
      <c r="L7" t="s">
        <v>35</v>
      </c>
      <c r="M7" t="s">
        <v>36</v>
      </c>
      <c r="Q7" t="s">
        <v>35</v>
      </c>
      <c r="R7" t="s">
        <v>36</v>
      </c>
      <c r="T7" s="73" t="s">
        <v>35</v>
      </c>
      <c r="U7" t="s">
        <v>36</v>
      </c>
      <c r="V7" t="s">
        <v>35</v>
      </c>
      <c r="W7" t="s">
        <v>36</v>
      </c>
    </row>
    <row r="8" spans="2:43" x14ac:dyDescent="0.25">
      <c r="B8" t="str">
        <f>MID(C8,6,9)&amp;" "&amp;LEFT(C8,5)</f>
        <v xml:space="preserve">september 2021 </v>
      </c>
      <c r="C8" s="18" t="str">
        <f>"2021 "&amp;calc!C4</f>
        <v>2021 september</v>
      </c>
      <c r="D8" s="18"/>
      <c r="E8" s="18"/>
      <c r="F8" s="18">
        <f t="shared" ref="F8:G10" si="0">IF($F$18=0,J8,L8)</f>
        <v>110.79</v>
      </c>
      <c r="G8" s="18">
        <f t="shared" si="0"/>
        <v>110.26</v>
      </c>
      <c r="H8" t="str">
        <f>MID(C8,6,3)&amp;". "&amp;LEFT(C8,5)</f>
        <v xml:space="preserve">sep. 2021 </v>
      </c>
      <c r="J8" s="73">
        <f>INDEX('Tabel 1 CPI'!$B$8:$J$60,$N8,3)</f>
        <v>110.79</v>
      </c>
      <c r="K8">
        <f>INDEX('Tabel 1 CPI'!$B$8:$J$60,$N8,4)</f>
        <v>110.26</v>
      </c>
      <c r="L8">
        <f>INDEX('Tabel 1 CPI'!$B$8:$J$60,$N8,7)</f>
        <v>108.94</v>
      </c>
      <c r="M8">
        <f>INDEX('Tabel 1 CPI'!$B$8:$J$60,$N8,8)</f>
        <v>108.42</v>
      </c>
      <c r="N8">
        <f>MATCH($C8,'Tabel 1 CPI'!$B$8:$B$60,0)</f>
        <v>21</v>
      </c>
      <c r="Q8" s="91">
        <f t="shared" ref="Q8:R10" si="1">IF($F$18=0,T8,V8)</f>
        <v>2.6745883125744108</v>
      </c>
      <c r="R8" s="92">
        <f t="shared" si="1"/>
        <v>2.1104971938698203</v>
      </c>
      <c r="T8" s="91">
        <f>INDEX('Tabel 1 CPI'!$B$8:$Q$60,$N8,11)</f>
        <v>2.6745883125744108</v>
      </c>
      <c r="U8" s="91">
        <f>INDEX('Tabel 1 CPI'!$B$8:$Q$60,$N8,12)</f>
        <v>2.1104971938698203</v>
      </c>
      <c r="V8" s="91">
        <f>INDEX('Tabel 1 CPI'!$B$8:$Q$60,$N8,15)</f>
        <v>2.5510513479961805</v>
      </c>
      <c r="W8" s="91">
        <f>INDEX('Tabel 1 CPI'!$B$8:$Q$60,$N8,16)</f>
        <v>1.9960498506089719</v>
      </c>
    </row>
    <row r="9" spans="2:43" x14ac:dyDescent="0.25">
      <c r="B9" t="str">
        <f>MID(C9,6,9)&amp;" "&amp;LEFT(C9,5)</f>
        <v xml:space="preserve">september 2022 </v>
      </c>
      <c r="C9" s="18" t="str">
        <f>"2022 "&amp;calc!C4</f>
        <v>2022 september</v>
      </c>
      <c r="D9" s="18"/>
      <c r="E9" s="18"/>
      <c r="F9" s="18">
        <f t="shared" si="0"/>
        <v>126.89</v>
      </c>
      <c r="G9" s="18">
        <f t="shared" si="0"/>
        <v>118.81</v>
      </c>
      <c r="H9" t="str">
        <f>MID(C9,6,3)&amp;". "&amp;LEFT(C9,5)</f>
        <v xml:space="preserve">sep. 2022 </v>
      </c>
      <c r="J9" s="73">
        <f>INDEX('Tabel 1 CPI'!$B$8:$J$60,$N9,3)</f>
        <v>126.89</v>
      </c>
      <c r="K9">
        <f>INDEX('Tabel 1 CPI'!$B$8:$J$60,$N9,4)</f>
        <v>118.81</v>
      </c>
      <c r="L9">
        <f>INDEX('Tabel 1 CPI'!$B$8:$J$60,$N9,7)</f>
        <v>127.63</v>
      </c>
      <c r="M9">
        <f>INDEX('Tabel 1 CPI'!$B$8:$J$60,$N9,8)</f>
        <v>119.57</v>
      </c>
      <c r="N9">
        <f>MATCH($C9,'Tabel 1 CPI'!$B$8:$B$60,0)</f>
        <v>33</v>
      </c>
      <c r="Q9" s="91">
        <f t="shared" si="1"/>
        <v>13.721594664023286</v>
      </c>
      <c r="R9" s="92">
        <f t="shared" si="1"/>
        <v>7.5053073042659841</v>
      </c>
      <c r="T9" s="91">
        <f>INDEX('Tabel 1 CPI'!$B$8:$Q$60,$N9,11)</f>
        <v>13.721594664023286</v>
      </c>
      <c r="U9" s="91">
        <f>INDEX('Tabel 1 CPI'!$B$8:$Q$60,$N9,12)</f>
        <v>7.5053073042659841</v>
      </c>
      <c r="V9" s="91">
        <f>INDEX('Tabel 1 CPI'!$B$8:$Q$60,$N9,15)</f>
        <v>16.021377063281328</v>
      </c>
      <c r="W9" s="91">
        <f>INDEX('Tabel 1 CPI'!$B$8:$Q$60,$N9,16)</f>
        <v>9.8413469781551743</v>
      </c>
    </row>
    <row r="10" spans="2:43" x14ac:dyDescent="0.25">
      <c r="B10" t="str">
        <f>MID(C10,6,9)&amp;" "&amp;LEFT(C10,5)</f>
        <v xml:space="preserve">september 2023 </v>
      </c>
      <c r="C10" s="18" t="str">
        <f>"2023 "&amp;calc!C4</f>
        <v>2023 september</v>
      </c>
      <c r="D10" s="18"/>
      <c r="E10" s="18"/>
      <c r="F10" s="18">
        <f t="shared" si="0"/>
        <v>127.16</v>
      </c>
      <c r="G10" s="18">
        <f t="shared" si="0"/>
        <v>127.16</v>
      </c>
      <c r="H10" t="str">
        <f>MID(C10,6,3)&amp;". "&amp;LEFT(C10,5)</f>
        <v xml:space="preserve">sep. 2023 </v>
      </c>
      <c r="J10" s="73">
        <f>INDEX('Tabel 1 CPI'!$B$8:$J$60,$N10,3)</f>
        <v>127.16</v>
      </c>
      <c r="K10">
        <f>INDEX('Tabel 1 CPI'!$B$8:$J$60,$N10,4)</f>
        <v>127.16</v>
      </c>
      <c r="L10">
        <f>INDEX('Tabel 1 CPI'!$B$8:$J$60,$N10,7)</f>
        <v>125.85</v>
      </c>
      <c r="M10">
        <f>INDEX('Tabel 1 CPI'!$B$8:$J$60,$N10,8)</f>
        <v>125.85</v>
      </c>
      <c r="N10">
        <f>MATCH($C10,'Tabel 1 CPI'!$B$8:$B$60,0)</f>
        <v>45</v>
      </c>
      <c r="Q10" s="91">
        <f t="shared" si="1"/>
        <v>0.29480834661568256</v>
      </c>
      <c r="R10" s="92">
        <f t="shared" si="1"/>
        <v>6.8516764254620277</v>
      </c>
      <c r="T10" s="91">
        <f>INDEX('Tabel 1 CPI'!$B$8:$Q$60,$N10,11)</f>
        <v>0.29480834661568256</v>
      </c>
      <c r="U10" s="91">
        <f>INDEX('Tabel 1 CPI'!$B$8:$Q$60,$N10,12)</f>
        <v>6.8516764254620277</v>
      </c>
      <c r="V10" s="91">
        <f>INDEX('Tabel 1 CPI'!$B$8:$Q$60,$N10,15)</f>
        <v>-1.2964529666168678</v>
      </c>
      <c r="W10" s="91">
        <f>INDEX('Tabel 1 CPI'!$B$8:$Q$60,$N10,16)</f>
        <v>5.1983039027741604</v>
      </c>
    </row>
    <row r="11" spans="2:43" x14ac:dyDescent="0.25">
      <c r="J11" s="67"/>
      <c r="K11" s="73"/>
    </row>
    <row r="12" spans="2:43" x14ac:dyDescent="0.25">
      <c r="B12" s="36" t="s">
        <v>37</v>
      </c>
      <c r="C12" s="18"/>
      <c r="D12" s="18" t="s">
        <v>38</v>
      </c>
      <c r="J12" s="67"/>
      <c r="K12" s="73"/>
    </row>
    <row r="13" spans="2:43" x14ac:dyDescent="0.25">
      <c r="B13" s="36" t="s">
        <v>39</v>
      </c>
      <c r="C13" s="18" t="str">
        <f>IF(calc!H6=1,"0,0%"&amp;C12,IF(calc!H6=2,"0,00%"&amp;C12,"0,000%"&amp;C12))</f>
        <v>0,0%</v>
      </c>
      <c r="J13" s="67"/>
      <c r="K13" s="73"/>
    </row>
    <row r="14" spans="2:43" x14ac:dyDescent="0.25">
      <c r="B14" s="36" t="s">
        <v>40</v>
      </c>
      <c r="C14" s="18" t="str">
        <f>IF(calc!H6=1,"0,0%",IF(calc!H6=2,"0,00%","0,000%"))</f>
        <v>0,0%</v>
      </c>
      <c r="J14" s="67"/>
      <c r="K14" s="73"/>
    </row>
    <row r="15" spans="2:43" x14ac:dyDescent="0.25">
      <c r="B15" s="36" t="s">
        <v>41</v>
      </c>
      <c r="C15" s="18" t="str">
        <f>"000,00"&amp;C12</f>
        <v>000,00</v>
      </c>
      <c r="J15" s="67"/>
      <c r="K15" s="73"/>
    </row>
    <row r="16" spans="2:43" x14ac:dyDescent="0.25">
      <c r="B16" s="36" t="s">
        <v>42</v>
      </c>
      <c r="C16" s="18" t="str">
        <f>"000,00"</f>
        <v>000,00</v>
      </c>
      <c r="J16" s="67"/>
      <c r="K16" s="73"/>
    </row>
    <row r="17" spans="3:21" x14ac:dyDescent="0.25">
      <c r="J17" s="67"/>
      <c r="K17" s="73"/>
    </row>
    <row r="18" spans="3:21" x14ac:dyDescent="0.25">
      <c r="C18" t="s">
        <v>43</v>
      </c>
      <c r="F18">
        <f>IF(RIGHT(calc!C5)="I",0,1)</f>
        <v>0</v>
      </c>
      <c r="J18" s="67"/>
      <c r="K18" s="73"/>
    </row>
    <row r="19" spans="3:21" x14ac:dyDescent="0.25">
      <c r="C19" t="s">
        <v>35</v>
      </c>
      <c r="F19" t="s">
        <v>44</v>
      </c>
      <c r="J19" s="67"/>
      <c r="K19" s="73"/>
    </row>
    <row r="20" spans="3:21" x14ac:dyDescent="0.25">
      <c r="C20" t="s">
        <v>36</v>
      </c>
      <c r="F20" t="s">
        <v>45</v>
      </c>
      <c r="J20" s="67"/>
      <c r="K20" s="73"/>
    </row>
    <row r="21" spans="3:21" x14ac:dyDescent="0.25">
      <c r="J21" s="67"/>
      <c r="K21" s="73"/>
    </row>
    <row r="22" spans="3:21" x14ac:dyDescent="0.25">
      <c r="J22" s="67"/>
      <c r="K22" s="73"/>
    </row>
    <row r="23" spans="3:21" x14ac:dyDescent="0.25">
      <c r="C23" s="22"/>
      <c r="D23" s="22"/>
      <c r="E23" s="22"/>
      <c r="J23" s="67"/>
      <c r="K23" s="73"/>
    </row>
    <row r="24" spans="3:21" x14ac:dyDescent="0.25">
      <c r="J24" s="67"/>
      <c r="K24" s="73"/>
      <c r="M24" t="s">
        <v>46</v>
      </c>
      <c r="N24" t="str">
        <f>TEXT(calc!C7,C13)</f>
        <v>6,0%</v>
      </c>
    </row>
    <row r="25" spans="3:21" x14ac:dyDescent="0.25">
      <c r="J25" s="67"/>
      <c r="K25" s="73"/>
    </row>
    <row r="26" spans="3:21" x14ac:dyDescent="0.25">
      <c r="J26" s="67"/>
      <c r="K26" s="73"/>
      <c r="N26">
        <f>(-1+(1+N34)/(1+N24))</f>
        <v>8.773584905660381E-2</v>
      </c>
    </row>
    <row r="27" spans="3:21" x14ac:dyDescent="0.25">
      <c r="J27" s="67"/>
      <c r="K27" s="73"/>
      <c r="T27" t="s">
        <v>47</v>
      </c>
    </row>
    <row r="28" spans="3:21" x14ac:dyDescent="0.25">
      <c r="J28" s="67"/>
      <c r="K28" s="73"/>
      <c r="M28" t="s">
        <v>48</v>
      </c>
      <c r="N28" s="17">
        <f>ROUND(N26,calc!$H$6+2)</f>
        <v>8.7999999999999995E-2</v>
      </c>
      <c r="O28" s="17"/>
      <c r="P28" s="17"/>
      <c r="Q28" t="str">
        <f>TEXT(N28,$C$13)</f>
        <v>8,8%</v>
      </c>
      <c r="R28" t="str">
        <f>TEXT(-N28,$C$13)</f>
        <v>-8,8%</v>
      </c>
      <c r="T28" s="32">
        <f>(1+O34)/(1+calc!C7)-1</f>
        <v>8.3690783971253735E-2</v>
      </c>
    </row>
    <row r="29" spans="3:21" x14ac:dyDescent="0.25">
      <c r="J29" s="67"/>
      <c r="K29" s="73"/>
      <c r="N29" s="34">
        <f>MAX(0,N28)</f>
        <v>8.7999999999999995E-2</v>
      </c>
      <c r="O29" s="34"/>
      <c r="P29" s="34"/>
      <c r="Q29" t="str">
        <f>TEXT(N29,$C$13)</f>
        <v>8,8%</v>
      </c>
      <c r="T29" s="34">
        <f>MAX(0,T28)</f>
        <v>8.3690783971253735E-2</v>
      </c>
      <c r="U29" t="str">
        <f>TEXT(T29,$C$13)</f>
        <v>8,4%</v>
      </c>
    </row>
    <row r="30" spans="3:21" x14ac:dyDescent="0.25">
      <c r="J30" s="67"/>
      <c r="K30" s="73"/>
      <c r="N30" s="37" t="str">
        <f>IF(Q30,"N.B. Er is in 2022 "&amp;TEXT(1*R30,C14)&amp;" meer indexatie gegeven dan de totale inflatie over 2022 en 2023 ("&amp;TEXT(1*N34,C14)&amp;")","n.v.t.")</f>
        <v>n.v.t.</v>
      </c>
      <c r="O30" s="40"/>
      <c r="P30" s="40"/>
      <c r="Q30" t="b">
        <f>(1*N34)&lt;(1*N24)</f>
        <v>0</v>
      </c>
      <c r="R30" s="32" t="str">
        <f>TEXT(calc!C11-calc!C10,C13)</f>
        <v>-9,3%</v>
      </c>
    </row>
    <row r="31" spans="3:21" x14ac:dyDescent="0.25">
      <c r="J31" s="67"/>
      <c r="K31" s="73"/>
    </row>
    <row r="32" spans="3:21" x14ac:dyDescent="0.25">
      <c r="J32" s="67"/>
      <c r="K32" s="73"/>
    </row>
    <row r="33" spans="2:19" x14ac:dyDescent="0.25">
      <c r="J33" s="67"/>
      <c r="K33" s="73"/>
      <c r="N33" s="18" t="s">
        <v>49</v>
      </c>
      <c r="O33" s="97" t="s">
        <v>50</v>
      </c>
    </row>
    <row r="34" spans="2:19" x14ac:dyDescent="0.25">
      <c r="J34" s="67"/>
      <c r="K34" s="73"/>
      <c r="L34" t="s">
        <v>51</v>
      </c>
      <c r="M34" t="s">
        <v>52</v>
      </c>
      <c r="N34" s="17" t="str">
        <f>TEXT(ROUND(-1+C48/C47,calc!$H$6+2),C13)</f>
        <v>15,3%</v>
      </c>
      <c r="O34" s="93">
        <f>(1+R9/100)*(1+R10/100)-1</f>
        <v>0.14871223100952902</v>
      </c>
      <c r="P34" s="17" t="str">
        <f>TEXT(ROUND(O34,calc!$H$6+2),$C$13)</f>
        <v>14,9%</v>
      </c>
      <c r="Q34" s="17" t="str">
        <f>" = ( 1 + "&amp;TEXT(R9/100,$C$14)&amp;" )( 1+"&amp;TEXT(R10/100,$C$14)&amp;") - 1"</f>
        <v xml:space="preserve"> = ( 1 + 7,5% )( 1+6,9%) - 1</v>
      </c>
      <c r="R34" s="17"/>
    </row>
    <row r="35" spans="2:19" x14ac:dyDescent="0.25">
      <c r="J35" s="67"/>
      <c r="K35" s="73"/>
      <c r="L35" t="s">
        <v>53</v>
      </c>
      <c r="M35" t="s">
        <v>54</v>
      </c>
      <c r="N35" t="str">
        <f>TEXT(ROUND(-1+C58/C57,calc!$H$6+2),C13)</f>
        <v>14,5%</v>
      </c>
      <c r="O35" s="96">
        <f>Q9/100</f>
        <v>0.13721594664023284</v>
      </c>
      <c r="P35" s="17" t="str">
        <f>TEXT(ROUND(O35,calc!$H$6+2),$C$13)</f>
        <v>13,7%</v>
      </c>
    </row>
    <row r="36" spans="2:19" x14ac:dyDescent="0.25">
      <c r="J36" s="67"/>
      <c r="K36" s="73"/>
    </row>
    <row r="37" spans="2:19" x14ac:dyDescent="0.25">
      <c r="J37" s="67"/>
      <c r="K37" s="73"/>
      <c r="M37" t="s">
        <v>55</v>
      </c>
      <c r="N37" s="34">
        <f>MAX(ROUND(calc!C16-calc!C17,calc!$H$6+2),0)</f>
        <v>8.5000000000000006E-2</v>
      </c>
      <c r="O37" s="34"/>
      <c r="P37" s="34"/>
      <c r="Q37" t="str">
        <f>TEXT(N37,$C$13)</f>
        <v>8,5%</v>
      </c>
    </row>
    <row r="38" spans="2:19" x14ac:dyDescent="0.25">
      <c r="J38" s="67"/>
      <c r="K38" s="73"/>
      <c r="M38" t="s">
        <v>56</v>
      </c>
      <c r="N38" s="37" t="str">
        <f>IF(Q38,"N.B. Er is in 2022 "&amp;TEXT(1*R38,C14)&amp;" meer indexatie gegeven dan is toegestaan ("&amp;TEXT(1*calc!C16,C14)&amp;")","nvt")</f>
        <v>nvt</v>
      </c>
      <c r="O38" s="40"/>
      <c r="P38" s="40"/>
      <c r="Q38" t="b">
        <f>(1*N35)&lt;(1*N24)</f>
        <v>0</v>
      </c>
      <c r="R38" t="str">
        <f>TEXT(1*calc!C17-1*calc!C16,C13)</f>
        <v>-8,5%</v>
      </c>
    </row>
    <row r="39" spans="2:19" x14ac:dyDescent="0.25">
      <c r="J39" s="67"/>
      <c r="K39" s="73"/>
      <c r="N39" s="32"/>
      <c r="O39" s="32"/>
      <c r="P39" s="32"/>
    </row>
    <row r="40" spans="2:19" x14ac:dyDescent="0.25">
      <c r="J40" s="67"/>
      <c r="K40" s="73"/>
      <c r="R40" t="s">
        <v>47</v>
      </c>
    </row>
    <row r="41" spans="2:19" x14ac:dyDescent="0.25">
      <c r="J41" s="67"/>
      <c r="K41" s="73"/>
      <c r="M41" t="s">
        <v>57</v>
      </c>
      <c r="N41" s="33">
        <f>F10/F9-1</f>
        <v>2.1278272519504871E-3</v>
      </c>
      <c r="O41" s="33"/>
      <c r="P41" s="33"/>
      <c r="Q41" t="str">
        <f>TEXT(N41,$C$13)</f>
        <v>0,2%</v>
      </c>
      <c r="R41" s="95">
        <f>Q10/100</f>
        <v>2.9480834661568256E-3</v>
      </c>
      <c r="S41" t="str">
        <f>TEXT(R41,$C$13)</f>
        <v>0,3%</v>
      </c>
    </row>
    <row r="42" spans="2:19" x14ac:dyDescent="0.25">
      <c r="J42" s="67"/>
      <c r="K42" s="73"/>
      <c r="M42" t="s">
        <v>58</v>
      </c>
      <c r="N42" s="34">
        <f>MAX(0,N41)</f>
        <v>2.1278272519504871E-3</v>
      </c>
      <c r="O42" s="34"/>
      <c r="P42" s="34"/>
      <c r="Q42" t="str">
        <f>TEXT(N42,$C$13)</f>
        <v>0,2%</v>
      </c>
      <c r="R42" s="103">
        <f>MAX(0,R41)</f>
        <v>2.9480834661568256E-3</v>
      </c>
      <c r="S42" t="str">
        <f>TEXT(R42,$C$13)</f>
        <v>0,3%</v>
      </c>
    </row>
    <row r="43" spans="2:19" x14ac:dyDescent="0.25">
      <c r="J43" s="67"/>
      <c r="K43" s="73"/>
      <c r="M43" t="str">
        <f>IF(N41&lt;0," Indexatie ruimte wordt op nul gesteld i.v.m. negatieve inflatie 2023","")</f>
        <v/>
      </c>
    </row>
    <row r="44" spans="2:19" x14ac:dyDescent="0.25">
      <c r="J44" s="67"/>
      <c r="K44" s="73"/>
      <c r="M44" t="s">
        <v>59</v>
      </c>
      <c r="N44" s="34">
        <f>N37*(1+N42)+N42</f>
        <v>8.7308692568366278E-2</v>
      </c>
      <c r="O44" s="34"/>
      <c r="P44" s="34"/>
      <c r="Q44" t="str">
        <f>TEXT(N44,$C$13)</f>
        <v>8,7%</v>
      </c>
    </row>
    <row r="45" spans="2:19" x14ac:dyDescent="0.25">
      <c r="J45" s="67"/>
      <c r="K45" s="73"/>
    </row>
    <row r="46" spans="2:19" x14ac:dyDescent="0.25">
      <c r="B46" t="s">
        <v>51</v>
      </c>
      <c r="J46" s="67"/>
      <c r="K46" s="73"/>
    </row>
    <row r="47" spans="2:19" x14ac:dyDescent="0.25">
      <c r="B47" s="46" t="str">
        <f>" "&amp;calc!$C$5&amp;": "&amp;B8</f>
        <v xml:space="preserve"> CPI: september 2021 </v>
      </c>
      <c r="C47" s="172" t="str">
        <f>TEXT(G8,C15)</f>
        <v>110,26</v>
      </c>
      <c r="D47" s="172"/>
      <c r="J47" s="67"/>
      <c r="K47" s="73"/>
    </row>
    <row r="48" spans="2:19" x14ac:dyDescent="0.25">
      <c r="B48" s="46" t="str">
        <f>" "&amp;calc!$C$5&amp;": "&amp;B10</f>
        <v xml:space="preserve"> CPI: september 2023 </v>
      </c>
      <c r="C48" s="172" t="str">
        <f>TEXT(G10,C15)</f>
        <v>127,16</v>
      </c>
      <c r="D48" s="172"/>
      <c r="J48" s="67"/>
      <c r="K48" s="73"/>
    </row>
    <row r="49" spans="2:11" x14ac:dyDescent="0.25">
      <c r="B49" s="48"/>
      <c r="C49" s="48"/>
      <c r="D49" s="48"/>
      <c r="J49" s="67"/>
      <c r="K49" s="73"/>
    </row>
    <row r="50" spans="2:11" x14ac:dyDescent="0.25">
      <c r="J50" s="67"/>
      <c r="K50" s="73"/>
    </row>
    <row r="51" spans="2:11" x14ac:dyDescent="0.25">
      <c r="B51" t="s">
        <v>60</v>
      </c>
      <c r="D51" s="48" t="str">
        <f>IF(Q43,"",IF(calc!$H$5="Ja","    =  "&amp;TEXT(1*calc!C32,$C$14)&amp;"  - "&amp;TEXT(1*calc!C31,$C$14)&amp;" ","" ))</f>
        <v xml:space="preserve">    =  15,3%  - 14,7% </v>
      </c>
      <c r="E51" s="48" t="str">
        <f>IF(Q43,"",IF(calc!$H$5="Ja","    =  "&amp;TEXT(1*calc!C31,$C$14)&amp;"  - "&amp;TEXT(1*calc!C32,$C$14)&amp;" ","" ))</f>
        <v xml:space="preserve">    =  14,7%  - 15,3% </v>
      </c>
      <c r="J51" s="67"/>
      <c r="K51" s="73"/>
    </row>
    <row r="52" spans="2:11" x14ac:dyDescent="0.25">
      <c r="J52" s="67"/>
      <c r="K52" s="73"/>
    </row>
    <row r="53" spans="2:11" x14ac:dyDescent="0.25">
      <c r="J53" s="67"/>
      <c r="K53" s="73"/>
    </row>
    <row r="54" spans="2:11" x14ac:dyDescent="0.25">
      <c r="B54" s="48"/>
      <c r="C54" s="48"/>
      <c r="D54" s="48"/>
      <c r="E54" s="48" t="str">
        <f>"Herz. "&amp;$F$6&amp;": "&amp;H8&amp;":"&amp;TEXT(G8,"0,00")&amp;"; "&amp;H10&amp;":"&amp;TEXT(G10,"0,00")</f>
        <v>Herz. CPI: sep. 2021 :110,26; sep. 2023 :127,16</v>
      </c>
      <c r="F54" s="48"/>
      <c r="G54" s="48"/>
      <c r="H54" s="48"/>
      <c r="I54" s="48"/>
      <c r="J54" s="67"/>
      <c r="K54" s="73"/>
    </row>
    <row r="55" spans="2:11" x14ac:dyDescent="0.25">
      <c r="B55" s="48"/>
      <c r="C55" s="48"/>
      <c r="D55" s="48"/>
      <c r="E55" s="48" t="str">
        <f>IF(calc!$H$5="Ja"," "&amp;TEXT(1*N34,C14)&amp;"  = "&amp;TEXT(C48,"0,00")&amp;" / "&amp;TEXT(C47,"0,00")&amp;" - 1 ",TEXT(C48/C47-1,"0,00%"))</f>
        <v xml:space="preserve"> 15,3%  = 127,16 / 110,26 - 1 </v>
      </c>
      <c r="F55" s="48"/>
      <c r="G55" s="48"/>
      <c r="H55" s="48"/>
      <c r="I55" s="48"/>
      <c r="J55" s="67"/>
      <c r="K55" s="73"/>
    </row>
    <row r="56" spans="2:11" x14ac:dyDescent="0.25">
      <c r="B56" s="48" t="s">
        <v>61</v>
      </c>
      <c r="C56" s="48"/>
      <c r="D56" s="48"/>
      <c r="E56" s="48"/>
      <c r="F56" s="48"/>
      <c r="G56" s="48"/>
      <c r="H56" s="48"/>
      <c r="I56" s="48"/>
      <c r="J56" s="67"/>
      <c r="K56" s="73"/>
    </row>
    <row r="57" spans="2:11" x14ac:dyDescent="0.25">
      <c r="B57" s="49" t="str">
        <f>" "&amp;calc!$C$5&amp;": "&amp;B8</f>
        <v xml:space="preserve"> CPI: september 2021 </v>
      </c>
      <c r="C57" s="178" t="str">
        <f>TEXT(F8,C15)</f>
        <v>110,79</v>
      </c>
      <c r="D57" s="179"/>
      <c r="E57" s="48"/>
      <c r="F57" s="48"/>
      <c r="G57" s="48"/>
      <c r="H57" s="48"/>
      <c r="I57" s="48"/>
      <c r="J57" s="94"/>
      <c r="K57" s="73"/>
    </row>
    <row r="58" spans="2:11" x14ac:dyDescent="0.25">
      <c r="B58" s="49" t="str">
        <f>" "&amp;calc!$C$5&amp;": "&amp;B9</f>
        <v xml:space="preserve"> CPI: september 2022 </v>
      </c>
      <c r="C58" s="178" t="str">
        <f>TEXT(F9,C15)</f>
        <v>126,89</v>
      </c>
      <c r="D58" s="179"/>
      <c r="E58" s="48"/>
      <c r="F58" s="48"/>
      <c r="G58" s="48"/>
      <c r="H58" s="48"/>
      <c r="I58" s="48"/>
      <c r="J58" s="67"/>
      <c r="K58" s="73"/>
    </row>
    <row r="59" spans="2:11" x14ac:dyDescent="0.25">
      <c r="B59" s="48"/>
      <c r="C59" s="48"/>
      <c r="D59" s="48"/>
      <c r="E59" s="48"/>
      <c r="F59" s="48"/>
      <c r="G59" s="48"/>
      <c r="H59" s="48"/>
      <c r="I59" s="48"/>
      <c r="J59" s="67"/>
      <c r="K59" s="73"/>
    </row>
    <row r="60" spans="2:11" x14ac:dyDescent="0.25">
      <c r="B60" s="48"/>
      <c r="C60" s="48"/>
      <c r="D60" s="48"/>
      <c r="E60" s="48" t="str">
        <f>$F$6&amp;": "&amp;H8&amp;":"&amp;TEXT(F8,"0,00")&amp;"; "&amp;H9&amp;":"&amp;TEXT(F9,"0,00")</f>
        <v>CPI: sep. 2021 :110,79; sep. 2022 :126,89</v>
      </c>
      <c r="F60" s="48"/>
      <c r="G60" s="48"/>
      <c r="H60" s="48"/>
      <c r="I60" s="48"/>
      <c r="J60" s="67"/>
      <c r="K60" s="73"/>
    </row>
    <row r="61" spans="2:11" x14ac:dyDescent="0.25">
      <c r="B61" s="48"/>
      <c r="C61" s="48"/>
      <c r="D61" s="48"/>
      <c r="E61" s="48" t="str">
        <f>IF(calc!$H$5="Ja",TEXT(1*N35,C14)&amp;"    =   "&amp;TEXT(F9,"0,00")&amp;" / "&amp;TEXT(F8,"0,00")&amp;" - 1 ",TEXT(F9/F8-1,"0,00%"))</f>
        <v xml:space="preserve">14,5%    =   126,89 / 110,79 - 1 </v>
      </c>
      <c r="F61" s="48"/>
      <c r="G61" s="48"/>
      <c r="H61" s="48"/>
      <c r="I61" s="48"/>
      <c r="J61" s="67"/>
      <c r="K61" s="73"/>
    </row>
    <row r="62" spans="2:11" x14ac:dyDescent="0.25">
      <c r="B62" s="48"/>
      <c r="C62" s="48"/>
      <c r="D62" s="48"/>
      <c r="E62" s="48"/>
      <c r="F62" s="48"/>
      <c r="G62" s="48"/>
      <c r="H62" s="48"/>
      <c r="I62" s="48"/>
      <c r="J62" s="67"/>
      <c r="K62" s="73"/>
    </row>
    <row r="63" spans="2:11" x14ac:dyDescent="0.25">
      <c r="B63" s="48" t="s">
        <v>53</v>
      </c>
      <c r="C63" s="48"/>
      <c r="D63" s="48"/>
      <c r="E63" s="48"/>
      <c r="F63" s="48"/>
      <c r="G63" s="48"/>
      <c r="H63" s="48"/>
      <c r="I63" s="48"/>
      <c r="J63" s="67"/>
      <c r="K63" s="73"/>
    </row>
    <row r="64" spans="2:11" x14ac:dyDescent="0.25">
      <c r="B64" s="50" t="str">
        <f>" "&amp;calc!$C$5&amp;": "&amp;B9</f>
        <v xml:space="preserve"> CPI: september 2022 </v>
      </c>
      <c r="C64" s="180" t="str">
        <f>TEXT(F9,C15)</f>
        <v>126,89</v>
      </c>
      <c r="D64" s="180"/>
      <c r="E64" s="48"/>
      <c r="F64" s="48"/>
      <c r="G64" s="48"/>
      <c r="H64" s="48"/>
      <c r="I64" s="48"/>
      <c r="J64" s="67"/>
      <c r="K64" s="73"/>
    </row>
    <row r="65" spans="1:11" x14ac:dyDescent="0.25">
      <c r="B65" s="50" t="str">
        <f>" "&amp;calc!$C$5&amp;": "&amp;B10</f>
        <v xml:space="preserve"> CPI: september 2023 </v>
      </c>
      <c r="C65" s="180" t="str">
        <f>TEXT(F10,C15)</f>
        <v>127,16</v>
      </c>
      <c r="D65" s="180"/>
      <c r="E65" s="48"/>
      <c r="F65" s="48"/>
      <c r="G65" s="48"/>
      <c r="H65" s="48"/>
      <c r="I65" s="48"/>
      <c r="J65" s="67"/>
      <c r="K65" s="73"/>
    </row>
    <row r="66" spans="1:11" x14ac:dyDescent="0.25">
      <c r="B66" s="48"/>
      <c r="C66" s="48"/>
      <c r="D66" s="48"/>
      <c r="E66" s="48" t="str">
        <f>$F$6&amp;": "&amp;H9&amp;":"&amp;TEXT(C64,"0,00")&amp;"; "&amp;H10&amp;":"&amp;TEXT(C65,"0,00")</f>
        <v>CPI: sep. 2022 :126,89; sep. 2023 :127,16</v>
      </c>
      <c r="F66" s="48"/>
      <c r="G66" s="48"/>
      <c r="H66" s="48"/>
      <c r="I66" s="48"/>
      <c r="J66" s="67"/>
      <c r="K66" s="73"/>
    </row>
    <row r="67" spans="1:11" x14ac:dyDescent="0.25">
      <c r="B67" s="48"/>
      <c r="C67" s="48"/>
      <c r="D67" s="48"/>
      <c r="E67" s="48"/>
      <c r="F67" s="48"/>
      <c r="G67" s="48"/>
      <c r="H67" s="48"/>
      <c r="I67" s="48"/>
      <c r="J67" s="67"/>
      <c r="K67" s="73"/>
    </row>
    <row r="68" spans="1:11" x14ac:dyDescent="0.25">
      <c r="B68" s="48"/>
      <c r="C68" s="48"/>
      <c r="D68" s="48"/>
      <c r="E68" s="48" t="str">
        <f>IF(calc!$H$5="Ja",TEXT(1*Q41,C14)&amp;"    =   "&amp;TEXT(C65,"0,00")&amp;" / "&amp;TEXT(C64,"0,00")&amp;" - 1 ",TEXT(C65/C64-1,"0,00%"))</f>
        <v xml:space="preserve">0,2%    =   127,16 / 126,89 - 1 </v>
      </c>
      <c r="F68" s="48"/>
      <c r="G68" s="48"/>
      <c r="H68" s="48"/>
      <c r="I68" s="48"/>
      <c r="J68" s="67"/>
      <c r="K68" s="73"/>
    </row>
    <row r="69" spans="1:11" x14ac:dyDescent="0.25">
      <c r="B69" s="48"/>
      <c r="C69" s="48"/>
      <c r="D69" s="48"/>
      <c r="E69" s="48"/>
      <c r="F69" s="48"/>
      <c r="G69" s="48"/>
      <c r="H69" s="48"/>
      <c r="I69" s="48"/>
      <c r="J69" s="67"/>
      <c r="K69" s="73"/>
    </row>
    <row r="70" spans="1:11" x14ac:dyDescent="0.25">
      <c r="B70" s="48"/>
      <c r="C70" s="48"/>
      <c r="D70" s="48"/>
      <c r="E70" s="48"/>
      <c r="F70" s="48"/>
      <c r="G70" s="48"/>
      <c r="H70" s="48"/>
      <c r="I70" s="48"/>
      <c r="J70" s="67"/>
      <c r="K70" s="73"/>
    </row>
    <row r="71" spans="1:11" x14ac:dyDescent="0.25">
      <c r="B71" t="s">
        <v>62</v>
      </c>
      <c r="C71" s="176" t="b">
        <f>(calc!C6="Jaarmutatie CPI")</f>
        <v>1</v>
      </c>
      <c r="D71" s="177"/>
      <c r="J71" s="67"/>
      <c r="K71" s="73"/>
    </row>
    <row r="72" spans="1:11" x14ac:dyDescent="0.25">
      <c r="J72" s="67"/>
      <c r="K72" s="73"/>
    </row>
    <row r="73" spans="1:11" x14ac:dyDescent="0.25">
      <c r="J73" s="67"/>
      <c r="K73" s="73"/>
    </row>
    <row r="74" spans="1:11" x14ac:dyDescent="0.25">
      <c r="J74" s="67"/>
      <c r="K74" s="73"/>
    </row>
    <row r="75" spans="1:11" x14ac:dyDescent="0.25">
      <c r="J75" s="67"/>
      <c r="K75" s="73"/>
    </row>
    <row r="76" spans="1:11" x14ac:dyDescent="0.25">
      <c r="J76" s="67"/>
      <c r="K76" s="73"/>
    </row>
    <row r="77" spans="1:11" x14ac:dyDescent="0.25">
      <c r="A77" t="s">
        <v>63</v>
      </c>
      <c r="J77" s="67"/>
      <c r="K77" s="73"/>
    </row>
    <row r="78" spans="1:11" x14ac:dyDescent="0.25">
      <c r="J78" s="67"/>
      <c r="K78" s="73"/>
    </row>
    <row r="79" spans="1:11" x14ac:dyDescent="0.25">
      <c r="J79" s="67"/>
      <c r="K79" s="73"/>
    </row>
    <row r="80" spans="1:11" x14ac:dyDescent="0.25">
      <c r="J80" s="67"/>
      <c r="K80" s="73"/>
    </row>
    <row r="81" spans="10:11" x14ac:dyDescent="0.25">
      <c r="J81" s="67"/>
      <c r="K81" s="73"/>
    </row>
  </sheetData>
  <sheetProtection sheet="1" objects="1" scenarios="1"/>
  <mergeCells count="15">
    <mergeCell ref="V6:W6"/>
    <mergeCell ref="Q6:R6"/>
    <mergeCell ref="C47:D47"/>
    <mergeCell ref="Q5:X5"/>
    <mergeCell ref="C71:D71"/>
    <mergeCell ref="C58:D58"/>
    <mergeCell ref="C64:D64"/>
    <mergeCell ref="C65:D65"/>
    <mergeCell ref="J5:N5"/>
    <mergeCell ref="J6:K6"/>
    <mergeCell ref="T6:U6"/>
    <mergeCell ref="L6:M6"/>
    <mergeCell ref="F6:G6"/>
    <mergeCell ref="C57:D57"/>
    <mergeCell ref="C48:D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138E-2D0C-428D-BA92-D0C0E1FCF9FD}">
  <dimension ref="A1:A6"/>
  <sheetViews>
    <sheetView workbookViewId="0">
      <selection activeCell="D8" sqref="D8"/>
    </sheetView>
  </sheetViews>
  <sheetFormatPr defaultRowHeight="14.3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2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</sheetData>
  <sheetProtection algorithmName="SHA-512" hashValue="EdIWwgQ5v6Vv8iMjZJqKwbCyawSi985PCQnvjfa3V7Y8sPhU4Cc02DeQotwSnDNTKpGLQbJK8mlqqdjhbHjD5g==" saltValue="ZmNGEoxsFZlyEpk8LfY83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752A-1296-43C1-862E-1AD6AC8442F7}">
  <dimension ref="B1:R146"/>
  <sheetViews>
    <sheetView topLeftCell="A19" workbookViewId="0">
      <selection activeCell="A52" sqref="A52"/>
    </sheetView>
  </sheetViews>
  <sheetFormatPr defaultColWidth="9.125" defaultRowHeight="10.9" x14ac:dyDescent="0.2"/>
  <cols>
    <col min="1" max="1" width="9.125" style="2"/>
    <col min="2" max="2" width="12.75" style="2" customWidth="1"/>
    <col min="3" max="3" width="5.75" style="2" customWidth="1"/>
    <col min="4" max="5" width="20.75" style="2" customWidth="1"/>
    <col min="6" max="7" width="5.75" style="2" customWidth="1"/>
    <col min="8" max="9" width="20.75" style="2" customWidth="1"/>
    <col min="10" max="10" width="5.75" style="2" customWidth="1"/>
    <col min="11" max="16384" width="9.125" style="2"/>
  </cols>
  <sheetData>
    <row r="1" spans="2:18" x14ac:dyDescent="0.2">
      <c r="B1" s="1" t="s">
        <v>69</v>
      </c>
    </row>
    <row r="2" spans="2:18" x14ac:dyDescent="0.2">
      <c r="B2" s="1" t="s">
        <v>70</v>
      </c>
      <c r="L2" s="89" t="s">
        <v>71</v>
      </c>
    </row>
    <row r="3" spans="2:18" x14ac:dyDescent="0.2">
      <c r="B3" s="3"/>
      <c r="C3" s="3"/>
      <c r="D3" s="3" t="s">
        <v>7</v>
      </c>
      <c r="E3" s="3"/>
      <c r="F3" s="3"/>
      <c r="G3" s="3"/>
      <c r="H3" s="3" t="s">
        <v>72</v>
      </c>
      <c r="I3" s="3"/>
      <c r="J3" s="3"/>
      <c r="L3" s="3" t="s">
        <v>7</v>
      </c>
      <c r="M3" s="3"/>
      <c r="N3" s="3"/>
      <c r="O3" s="3"/>
      <c r="P3" s="3" t="s">
        <v>72</v>
      </c>
      <c r="Q3" s="3"/>
    </row>
    <row r="4" spans="2:18" ht="22.75" customHeight="1" x14ac:dyDescent="0.2">
      <c r="D4" s="4" t="s">
        <v>73</v>
      </c>
      <c r="E4" s="4" t="s">
        <v>74</v>
      </c>
      <c r="H4" s="4" t="s">
        <v>73</v>
      </c>
      <c r="I4" s="4" t="s">
        <v>74</v>
      </c>
      <c r="L4" s="4" t="s">
        <v>73</v>
      </c>
      <c r="M4" s="4" t="s">
        <v>74</v>
      </c>
      <c r="P4" s="4" t="s">
        <v>73</v>
      </c>
      <c r="Q4" s="4" t="s">
        <v>74</v>
      </c>
    </row>
    <row r="5" spans="2:18" x14ac:dyDescent="0.2">
      <c r="B5" s="3"/>
      <c r="C5" s="5"/>
      <c r="D5" s="5"/>
      <c r="E5" s="5"/>
      <c r="F5" s="5"/>
      <c r="G5" s="5"/>
      <c r="H5" s="5"/>
      <c r="I5" s="5"/>
      <c r="J5" s="5"/>
      <c r="L5" s="5"/>
      <c r="M5" s="5"/>
      <c r="N5" s="5"/>
      <c r="O5" s="5"/>
      <c r="P5" s="5"/>
      <c r="Q5" s="5"/>
    </row>
    <row r="6" spans="2:18" s="10" customFormat="1" ht="12.75" customHeight="1" x14ac:dyDescent="0.2">
      <c r="B6" s="6"/>
      <c r="C6" s="7"/>
      <c r="D6" s="8" t="s">
        <v>75</v>
      </c>
      <c r="E6" s="9"/>
      <c r="F6" s="7"/>
      <c r="G6" s="7"/>
      <c r="H6" s="8" t="s">
        <v>75</v>
      </c>
      <c r="I6" s="9"/>
      <c r="J6" s="7"/>
      <c r="L6" s="8"/>
      <c r="M6" s="9"/>
      <c r="N6" s="7"/>
      <c r="O6" s="7"/>
      <c r="P6" s="8"/>
      <c r="Q6" s="9"/>
    </row>
    <row r="7" spans="2:18" s="10" customFormat="1" ht="11.25" customHeight="1" x14ac:dyDescent="0.2">
      <c r="B7" s="6"/>
      <c r="C7" s="7"/>
      <c r="D7" s="11"/>
      <c r="E7" s="11"/>
      <c r="F7" s="7"/>
      <c r="G7" s="7"/>
      <c r="H7" s="11"/>
      <c r="I7" s="11"/>
      <c r="J7" s="7"/>
    </row>
    <row r="8" spans="2:18" x14ac:dyDescent="0.2">
      <c r="B8" s="12" t="s">
        <v>76</v>
      </c>
      <c r="C8" s="13"/>
      <c r="D8" s="14">
        <f>CPI!B18</f>
        <v>105.97</v>
      </c>
      <c r="E8" s="29">
        <f>'CPI-Gec'!B18</f>
        <v>105.97</v>
      </c>
      <c r="F8" s="13"/>
      <c r="G8" s="13"/>
      <c r="H8" s="29">
        <f>CPI!C18</f>
        <v>104.58</v>
      </c>
      <c r="I8" s="29">
        <f>'CPI-Gec'!C18</f>
        <v>104.58</v>
      </c>
      <c r="J8" s="13"/>
      <c r="K8" s="29"/>
      <c r="L8" s="88">
        <f>SUM(CPI!D7:D18)</f>
        <v>1.8481418731431276</v>
      </c>
      <c r="M8" s="88">
        <f>SUM('CPI-Gec'!D7:D18)</f>
        <v>1.8481418731431276</v>
      </c>
      <c r="O8" s="88"/>
      <c r="P8" s="88">
        <f>SUM(CPI!E7:E18)</f>
        <v>1.9692990534447841</v>
      </c>
      <c r="Q8" s="88">
        <f>SUM('CPI-Gec'!E7:E18)</f>
        <v>1.9692990534447841</v>
      </c>
      <c r="R8" s="88"/>
    </row>
    <row r="9" spans="2:18" x14ac:dyDescent="0.2">
      <c r="B9" s="12" t="s">
        <v>77</v>
      </c>
      <c r="C9" s="13"/>
      <c r="D9" s="14">
        <f>CPI!B19</f>
        <v>106.64</v>
      </c>
      <c r="E9" s="29">
        <f>'CPI-Gec'!B19</f>
        <v>106.66</v>
      </c>
      <c r="F9" s="13"/>
      <c r="G9" s="13"/>
      <c r="H9" s="29">
        <f>CPI!C19</f>
        <v>105.24</v>
      </c>
      <c r="I9" s="29">
        <f>'CPI-Gec'!C19</f>
        <v>105.26</v>
      </c>
      <c r="J9" s="13"/>
      <c r="K9" s="29"/>
      <c r="L9" s="88">
        <f>SUM(CPI!D8:D19)</f>
        <v>1.5962059916407645</v>
      </c>
      <c r="M9" s="88">
        <f>SUM('CPI-Gec'!D8:D19)</f>
        <v>1.6150792576594464</v>
      </c>
      <c r="O9" s="88"/>
      <c r="P9" s="88">
        <f>SUM(CPI!E8:E19)</f>
        <v>1.7131093738438352</v>
      </c>
      <c r="Q9" s="88">
        <f>SUM('CPI-Gec'!E8:E19)</f>
        <v>1.7322334893534963</v>
      </c>
      <c r="R9" s="88"/>
    </row>
    <row r="10" spans="2:18" x14ac:dyDescent="0.2">
      <c r="B10" s="12" t="s">
        <v>78</v>
      </c>
      <c r="C10" s="13"/>
      <c r="D10" s="14">
        <f>CPI!B20</f>
        <v>106.85</v>
      </c>
      <c r="E10" s="29">
        <f>'CPI-Gec'!B20</f>
        <v>106.91</v>
      </c>
      <c r="F10" s="13"/>
      <c r="G10" s="13"/>
      <c r="H10" s="29">
        <f>CPI!C20</f>
        <v>105.44</v>
      </c>
      <c r="I10" s="29">
        <f>'CPI-Gec'!C20</f>
        <v>105.49</v>
      </c>
      <c r="J10" s="13"/>
      <c r="K10" s="29"/>
      <c r="L10" s="88">
        <f>SUM(CPI!D9:D20)</f>
        <v>1.4120689671016651</v>
      </c>
      <c r="M10" s="88">
        <f>SUM('CPI-Gec'!D9:D20)</f>
        <v>1.468407651415693</v>
      </c>
      <c r="O10" s="88"/>
      <c r="P10" s="88">
        <f>SUM(CPI!E9:E20)</f>
        <v>1.5262303364196317</v>
      </c>
      <c r="Q10" s="88">
        <f>SUM('CPI-Gec'!E9:E20)</f>
        <v>1.573819197927917</v>
      </c>
      <c r="R10" s="88"/>
    </row>
    <row r="11" spans="2:18" x14ac:dyDescent="0.2">
      <c r="B11" s="12" t="s">
        <v>79</v>
      </c>
      <c r="C11" s="13"/>
      <c r="D11" s="14">
        <f>CPI!B21</f>
        <v>107.34</v>
      </c>
      <c r="E11" s="29">
        <f>'CPI-Gec'!B21</f>
        <v>107.45</v>
      </c>
      <c r="F11" s="13"/>
      <c r="G11" s="13"/>
      <c r="H11" s="29">
        <f>CPI!C21</f>
        <v>105.91</v>
      </c>
      <c r="I11" s="29">
        <f>'CPI-Gec'!C21</f>
        <v>106</v>
      </c>
      <c r="J11" s="13"/>
      <c r="K11" s="29"/>
      <c r="L11" s="88">
        <f>SUM(CPI!D10:D21)</f>
        <v>1.1968396943502713</v>
      </c>
      <c r="M11" s="88">
        <f>SUM('CPI-Gec'!D10:D21)</f>
        <v>1.2996893205010185</v>
      </c>
      <c r="O11" s="88"/>
      <c r="P11" s="88">
        <f>SUM(CPI!E10:E21)</f>
        <v>1.3076256108450091</v>
      </c>
      <c r="Q11" s="88">
        <f>SUM('CPI-Gec'!E10:E21)</f>
        <v>1.3929214819570213</v>
      </c>
      <c r="R11" s="88"/>
    </row>
    <row r="12" spans="2:18" x14ac:dyDescent="0.2">
      <c r="B12" s="12" t="s">
        <v>80</v>
      </c>
      <c r="C12" s="13"/>
      <c r="D12" s="14">
        <f>CPI!B22</f>
        <v>107.18</v>
      </c>
      <c r="E12" s="29">
        <f>'CPI-Gec'!B22</f>
        <v>107.31</v>
      </c>
      <c r="F12" s="13"/>
      <c r="G12" s="13"/>
      <c r="H12" s="29">
        <f>CPI!C22</f>
        <v>105.62</v>
      </c>
      <c r="I12" s="29">
        <f>'CPI-Gec'!C22</f>
        <v>105.73</v>
      </c>
      <c r="J12" s="13"/>
      <c r="K12" s="29"/>
      <c r="L12" s="88">
        <f>SUM(CPI!D11:D22)</f>
        <v>1.1797564969658891</v>
      </c>
      <c r="M12" s="88">
        <f>SUM('CPI-Gec'!D11:D22)</f>
        <v>1.3013720281618846</v>
      </c>
      <c r="O12" s="88"/>
      <c r="P12" s="88">
        <f>SUM(CPI!E11:E22)</f>
        <v>1.158150638614408</v>
      </c>
      <c r="Q12" s="88">
        <f>SUM('CPI-Gec'!E11:E22)</f>
        <v>1.2625469207197315</v>
      </c>
      <c r="R12" s="88"/>
    </row>
    <row r="13" spans="2:18" x14ac:dyDescent="0.2">
      <c r="B13" s="12" t="s">
        <v>81</v>
      </c>
      <c r="C13" s="13"/>
      <c r="D13" s="14">
        <f>CPI!B23</f>
        <v>107.51</v>
      </c>
      <c r="E13" s="29">
        <f>'CPI-Gec'!B23</f>
        <v>107.65</v>
      </c>
      <c r="F13" s="13"/>
      <c r="G13" s="13"/>
      <c r="H13" s="29">
        <f>CPI!C23</f>
        <v>105.83</v>
      </c>
      <c r="I13" s="29">
        <f>'CPI-Gec'!C23</f>
        <v>105.95</v>
      </c>
      <c r="J13" s="13"/>
      <c r="K13" s="29"/>
      <c r="L13" s="88">
        <f>SUM(CPI!D12:D23)</f>
        <v>1.5820428133058062</v>
      </c>
      <c r="M13" s="88">
        <f>SUM('CPI-Gec'!D12:D23)</f>
        <v>1.7126041452260821</v>
      </c>
      <c r="O13" s="88"/>
      <c r="P13" s="88">
        <f>SUM(CPI!E12:E23)</f>
        <v>1.452743712968807</v>
      </c>
      <c r="Q13" s="88">
        <f>SUM('CPI-Gec'!E12:E23)</f>
        <v>1.5663911928629148</v>
      </c>
      <c r="R13" s="88"/>
    </row>
    <row r="14" spans="2:18" x14ac:dyDescent="0.2">
      <c r="B14" s="12" t="s">
        <v>82</v>
      </c>
      <c r="C14" s="13"/>
      <c r="D14" s="14">
        <f>CPI!B24</f>
        <v>108.69</v>
      </c>
      <c r="E14" s="29">
        <f>'CPI-Gec'!B24</f>
        <v>108.81</v>
      </c>
      <c r="F14" s="13"/>
      <c r="G14" s="13"/>
      <c r="H14" s="29">
        <f>CPI!C24</f>
        <v>107.01</v>
      </c>
      <c r="I14" s="29">
        <f>'CPI-Gec'!C24</f>
        <v>107.11</v>
      </c>
      <c r="J14" s="13"/>
      <c r="K14" s="29"/>
      <c r="L14" s="88">
        <f>SUM(CPI!D13:D24)</f>
        <v>1.6781034163624309</v>
      </c>
      <c r="M14" s="88">
        <f>SUM('CPI-Gec'!D13:D24)</f>
        <v>1.788658616144867</v>
      </c>
      <c r="O14" s="88"/>
      <c r="P14" s="88">
        <f>SUM(CPI!E13:E24)</f>
        <v>1.5612210559583839</v>
      </c>
      <c r="Q14" s="88">
        <f>SUM('CPI-Gec'!E13:E24)</f>
        <v>1.6547288521361225</v>
      </c>
    </row>
    <row r="15" spans="2:18" x14ac:dyDescent="0.2">
      <c r="B15" s="12" t="s">
        <v>83</v>
      </c>
      <c r="C15" s="13"/>
      <c r="D15" s="14">
        <f>CPI!B25</f>
        <v>108.13</v>
      </c>
      <c r="E15" s="29">
        <f>'CPI-Gec'!B25</f>
        <v>108.23</v>
      </c>
      <c r="F15" s="13"/>
      <c r="G15" s="13"/>
      <c r="H15" s="29">
        <f>CPI!C25</f>
        <v>106.46</v>
      </c>
      <c r="I15" s="29">
        <f>'CPI-Gec'!C25</f>
        <v>106.55</v>
      </c>
      <c r="J15" s="13"/>
      <c r="K15" s="29"/>
      <c r="L15" s="88">
        <f>SUM(CPI!D14:D25)</f>
        <v>0.72321338789947953</v>
      </c>
      <c r="M15" s="88">
        <f>SUM('CPI-Gec'!D14:D25)</f>
        <v>0.81595613675843337</v>
      </c>
      <c r="O15" s="88"/>
      <c r="P15" s="88">
        <f>SUM(CPI!E14:E25)</f>
        <v>0.61069350425860813</v>
      </c>
      <c r="Q15" s="88">
        <f>SUM('CPI-Gec'!E14:E25)</f>
        <v>0.69534495710421584</v>
      </c>
    </row>
    <row r="16" spans="2:18" x14ac:dyDescent="0.2">
      <c r="B16" s="12" t="s">
        <v>84</v>
      </c>
      <c r="C16" s="13"/>
      <c r="D16" s="14">
        <f>CPI!B26</f>
        <v>107.88</v>
      </c>
      <c r="E16" s="29">
        <f>'CPI-Gec'!B26</f>
        <v>107.97</v>
      </c>
      <c r="F16" s="13"/>
      <c r="G16" s="13"/>
      <c r="H16" s="29">
        <f>CPI!C26</f>
        <v>106.21</v>
      </c>
      <c r="I16" s="29">
        <f>'CPI-Gec'!C26</f>
        <v>106.29</v>
      </c>
      <c r="J16" s="13"/>
      <c r="K16" s="29"/>
      <c r="L16" s="88">
        <f>SUM(CPI!D15:D26)</f>
        <v>1.116020637762849</v>
      </c>
      <c r="M16" s="88">
        <f>SUM('CPI-Gec'!D15:D26)</f>
        <v>1.1997374263347793</v>
      </c>
      <c r="O16" s="88"/>
      <c r="P16" s="88">
        <f>SUM(CPI!E15:E26)</f>
        <v>0.99950521066839437</v>
      </c>
      <c r="Q16" s="88">
        <f>SUM('CPI-Gec'!E15:E26)</f>
        <v>1.0749697531290181</v>
      </c>
    </row>
    <row r="17" spans="2:17" x14ac:dyDescent="0.2">
      <c r="B17" s="12" t="s">
        <v>85</v>
      </c>
      <c r="C17" s="13"/>
      <c r="D17" s="14">
        <f>CPI!B27</f>
        <v>108.47</v>
      </c>
      <c r="E17" s="29">
        <f>'CPI-Gec'!B27</f>
        <v>108.55</v>
      </c>
      <c r="F17" s="13"/>
      <c r="G17" s="13"/>
      <c r="H17" s="29">
        <f>CPI!C27</f>
        <v>106.81</v>
      </c>
      <c r="I17" s="29">
        <f>'CPI-Gec'!C27</f>
        <v>106.88</v>
      </c>
      <c r="J17" s="13"/>
      <c r="K17" s="29"/>
      <c r="L17" s="88">
        <f>SUM(CPI!D16:D27)</f>
        <v>1.2318093286579068</v>
      </c>
      <c r="M17" s="88">
        <f>SUM('CPI-Gec'!D16:D27)</f>
        <v>1.3058084053000019</v>
      </c>
      <c r="O17" s="88"/>
      <c r="P17" s="88">
        <f>SUM(CPI!E16:E27)</f>
        <v>1.1270366806705234</v>
      </c>
      <c r="Q17" s="88">
        <f>SUM('CPI-Gec'!E16:E27)</f>
        <v>1.1926678099727139</v>
      </c>
    </row>
    <row r="18" spans="2:17" x14ac:dyDescent="0.2">
      <c r="B18" s="12" t="s">
        <v>86</v>
      </c>
      <c r="C18" s="13"/>
      <c r="D18" s="14">
        <f>CPI!B28</f>
        <v>107.61</v>
      </c>
      <c r="E18" s="29">
        <f>'CPI-Gec'!B28</f>
        <v>107.66</v>
      </c>
      <c r="F18" s="13"/>
      <c r="G18" s="13"/>
      <c r="H18" s="29">
        <f>CPI!C28</f>
        <v>105.96</v>
      </c>
      <c r="I18" s="29">
        <f>'CPI-Gec'!C28</f>
        <v>106.01</v>
      </c>
      <c r="J18" s="13"/>
      <c r="K18" s="29"/>
      <c r="L18" s="88">
        <f>SUM(CPI!D17:D28)</f>
        <v>0.84023251074195615</v>
      </c>
      <c r="M18" s="88">
        <f>SUM('CPI-Gec'!D17:D28)</f>
        <v>0.88717887136244844</v>
      </c>
      <c r="O18" s="88"/>
      <c r="P18" s="88">
        <f>SUM(CPI!E17:E28)</f>
        <v>0.72884535860944233</v>
      </c>
      <c r="Q18" s="88">
        <f>SUM('CPI-Gec'!E17:E28)</f>
        <v>0.77628511810001743</v>
      </c>
    </row>
    <row r="19" spans="2:17" x14ac:dyDescent="0.2">
      <c r="B19" s="12" t="s">
        <v>87</v>
      </c>
      <c r="C19" s="13"/>
      <c r="D19" s="14">
        <f>CPI!B29</f>
        <v>107.85</v>
      </c>
      <c r="E19" s="29">
        <f>'CPI-Gec'!B29</f>
        <v>107.9</v>
      </c>
      <c r="F19" s="13"/>
      <c r="G19" s="13"/>
      <c r="H19" s="29">
        <f>CPI!C29</f>
        <v>106.19</v>
      </c>
      <c r="I19" s="29">
        <f>'CPI-Gec'!C29</f>
        <v>106.23</v>
      </c>
      <c r="J19" s="13"/>
      <c r="K19" s="29"/>
      <c r="L19" s="88">
        <f>SUM(CPI!D18:D29)</f>
        <v>0.99767405212952687</v>
      </c>
      <c r="M19" s="88">
        <f>SUM('CPI-Gec'!D18:D29)</f>
        <v>1.0445168331477239</v>
      </c>
      <c r="O19" s="88"/>
      <c r="P19" s="88">
        <f>SUM(CPI!E18:E29)</f>
        <v>0.87937480179931526</v>
      </c>
      <c r="Q19" s="88">
        <f>SUM('CPI-Gec'!E18:E29)</f>
        <v>0.91727911036891818</v>
      </c>
    </row>
    <row r="20" spans="2:17" x14ac:dyDescent="0.2">
      <c r="B20" s="12" t="s">
        <v>88</v>
      </c>
      <c r="C20" s="13"/>
      <c r="D20" s="14">
        <f>CPI!B30</f>
        <v>107.62</v>
      </c>
      <c r="E20" s="29">
        <f>'CPI-Gec'!B30</f>
        <v>107.64</v>
      </c>
      <c r="F20" s="13"/>
      <c r="G20" s="13"/>
      <c r="H20" s="29">
        <f>CPI!C30</f>
        <v>105.85</v>
      </c>
      <c r="I20" s="29">
        <f>'CPI-Gec'!C30</f>
        <v>105.87</v>
      </c>
      <c r="J20" s="13"/>
      <c r="K20" s="29"/>
      <c r="L20" s="88">
        <f>SUM(CPI!D19:D30)</f>
        <v>1.5615684539464603</v>
      </c>
      <c r="M20" s="88">
        <f>SUM('CPI-Gec'!D19:D30)</f>
        <v>1.5807065357784644</v>
      </c>
      <c r="O20" s="88"/>
      <c r="P20" s="88">
        <f>SUM(CPI!E19:E30)</f>
        <v>1.2240876108349008</v>
      </c>
      <c r="Q20" s="88">
        <f>SUM('CPI-Gec'!E19:E30)</f>
        <v>1.2432854074240884</v>
      </c>
    </row>
    <row r="21" spans="2:17" x14ac:dyDescent="0.2">
      <c r="B21" s="12" t="s">
        <v>89</v>
      </c>
      <c r="C21" s="13"/>
      <c r="D21" s="14">
        <f>CPI!B31</f>
        <v>108.57</v>
      </c>
      <c r="E21" s="29">
        <f>'CPI-Gec'!B31</f>
        <v>108.52</v>
      </c>
      <c r="F21" s="13"/>
      <c r="G21" s="13"/>
      <c r="H21" s="29">
        <f>CPI!C31</f>
        <v>106.77</v>
      </c>
      <c r="I21" s="29">
        <f>'CPI-Gec'!C31</f>
        <v>106.72</v>
      </c>
      <c r="J21" s="13"/>
      <c r="K21" s="29"/>
      <c r="L21" s="88">
        <f>SUM(CPI!D20:D31)</f>
        <v>1.8120495933333425</v>
      </c>
      <c r="M21" s="88">
        <f>SUM('CPI-Gec'!D20:D31)</f>
        <v>1.7471188061085829</v>
      </c>
      <c r="O21" s="88"/>
      <c r="P21" s="88">
        <f>SUM(CPI!E20:E31)</f>
        <v>1.4621462628801485</v>
      </c>
      <c r="Q21" s="88">
        <f>SUM('CPI-Gec'!E20:E31)</f>
        <v>1.3959369262088739</v>
      </c>
    </row>
    <row r="22" spans="2:17" x14ac:dyDescent="0.2">
      <c r="B22" s="12" t="s">
        <v>90</v>
      </c>
      <c r="C22" s="13"/>
      <c r="D22" s="14">
        <f>CPI!B32</f>
        <v>108.87</v>
      </c>
      <c r="E22" s="29">
        <f>'CPI-Gec'!B32</f>
        <v>108.78</v>
      </c>
      <c r="F22" s="13"/>
      <c r="G22" s="13"/>
      <c r="H22" s="29">
        <f>CPI!C32</f>
        <v>107.05</v>
      </c>
      <c r="I22" s="29">
        <f>'CPI-Gec'!C32</f>
        <v>106.96</v>
      </c>
      <c r="J22" s="13"/>
      <c r="K22" s="29"/>
      <c r="L22" s="88">
        <f>SUM(CPI!D21:D32)</f>
        <v>1.8914447875312046</v>
      </c>
      <c r="M22" s="88">
        <f>SUM('CPI-Gec'!D21:D32)</f>
        <v>1.7523163296268462</v>
      </c>
      <c r="O22" s="88"/>
      <c r="P22" s="88">
        <f>SUM(CPI!E21:E32)</f>
        <v>1.5343504029188049</v>
      </c>
      <c r="Q22" s="88">
        <f>SUM('CPI-Gec'!E21:E32)</f>
        <v>1.4023179272341091</v>
      </c>
    </row>
    <row r="23" spans="2:17" x14ac:dyDescent="0.2">
      <c r="B23" s="12" t="s">
        <v>91</v>
      </c>
      <c r="C23" s="13"/>
      <c r="D23" s="14">
        <f>CPI!B33</f>
        <v>109.36</v>
      </c>
      <c r="E23" s="29">
        <f>'CPI-Gec'!B33</f>
        <v>109.24</v>
      </c>
      <c r="F23" s="13"/>
      <c r="G23" s="13"/>
      <c r="H23" s="29">
        <f>CPI!C33</f>
        <v>107.53</v>
      </c>
      <c r="I23" s="29">
        <f>'CPI-Gec'!C33</f>
        <v>107.42</v>
      </c>
      <c r="J23" s="13"/>
      <c r="K23" s="29"/>
      <c r="L23" s="88">
        <f>SUM(CPI!D22:D33)</f>
        <v>1.8829360583685117</v>
      </c>
      <c r="M23" s="88">
        <f>SUM('CPI-Gec'!D22:D33)</f>
        <v>1.6700904353026402</v>
      </c>
      <c r="O23" s="88"/>
      <c r="P23" s="88">
        <f>SUM(CPI!E22:E33)</f>
        <v>1.5369878682871319</v>
      </c>
      <c r="Q23" s="88">
        <f>SUM('CPI-Gec'!E22:E33)</f>
        <v>1.3489270944264664</v>
      </c>
    </row>
    <row r="24" spans="2:17" x14ac:dyDescent="0.2">
      <c r="B24" s="12" t="s">
        <v>92</v>
      </c>
      <c r="C24" s="13"/>
      <c r="D24" s="14">
        <f>CPI!B34</f>
        <v>109.46</v>
      </c>
      <c r="E24" s="29">
        <f>'CPI-Gec'!B34</f>
        <v>109.34</v>
      </c>
      <c r="F24" s="13"/>
      <c r="G24" s="13"/>
      <c r="H24" s="29">
        <f>CPI!C34</f>
        <v>107.63</v>
      </c>
      <c r="I24" s="29">
        <f>'CPI-Gec'!C34</f>
        <v>107.51</v>
      </c>
      <c r="J24" s="13"/>
      <c r="K24" s="29"/>
      <c r="L24" s="88">
        <f>SUM(CPI!D23:D34)</f>
        <v>2.1234362349467961</v>
      </c>
      <c r="M24" s="88">
        <f>SUM('CPI-Gec'!D23:D34)</f>
        <v>1.8919251547799498</v>
      </c>
      <c r="O24" s="88"/>
      <c r="P24" s="88">
        <f>SUM(CPI!E23:E34)</f>
        <v>1.9038025634907307</v>
      </c>
      <c r="Q24" s="88">
        <f>SUM('CPI-Gec'!E23:E34)</f>
        <v>1.6874273561394371</v>
      </c>
    </row>
    <row r="25" spans="2:17" x14ac:dyDescent="0.2">
      <c r="B25" s="12" t="s">
        <v>93</v>
      </c>
      <c r="C25" s="13"/>
      <c r="D25" s="14">
        <f>CPI!B35</f>
        <v>109.67</v>
      </c>
      <c r="E25" s="29">
        <f>'CPI-Gec'!B35</f>
        <v>109.5</v>
      </c>
      <c r="F25" s="13"/>
      <c r="G25" s="13"/>
      <c r="H25" s="29">
        <f>CPI!C35</f>
        <v>107.84</v>
      </c>
      <c r="I25" s="29">
        <f>'CPI-Gec'!C35</f>
        <v>107.67</v>
      </c>
      <c r="J25" s="13"/>
      <c r="K25" s="29"/>
      <c r="L25" s="88">
        <f>SUM(CPI!D24:D35)</f>
        <v>2.0073938757181775</v>
      </c>
      <c r="M25" s="88">
        <f>SUM('CPI-Gec'!D24:D35)</f>
        <v>1.7214186310858026</v>
      </c>
      <c r="O25" s="88"/>
      <c r="P25" s="88">
        <f>SUM(CPI!E24:E35)</f>
        <v>1.9000894703043225</v>
      </c>
      <c r="Q25" s="88">
        <f>SUM('CPI-Gec'!E24:E35)</f>
        <v>1.6281735436909472</v>
      </c>
    </row>
    <row r="26" spans="2:17" x14ac:dyDescent="0.2">
      <c r="B26" s="12" t="s">
        <v>94</v>
      </c>
      <c r="C26" s="13"/>
      <c r="D26" s="14">
        <f>CPI!B36</f>
        <v>110.23</v>
      </c>
      <c r="E26" s="29">
        <f>'CPI-Gec'!B36</f>
        <v>109.94</v>
      </c>
      <c r="F26" s="13"/>
      <c r="G26" s="13"/>
      <c r="H26" s="29">
        <f>CPI!C36</f>
        <v>108.39</v>
      </c>
      <c r="I26" s="29">
        <f>'CPI-Gec'!C36</f>
        <v>108.11</v>
      </c>
      <c r="J26" s="13"/>
      <c r="K26" s="29"/>
      <c r="L26" s="88">
        <f>SUM(CPI!D25:D36)</f>
        <v>1.4204443342872963</v>
      </c>
      <c r="M26" s="88">
        <f>SUM('CPI-Gec'!D25:D36)</f>
        <v>1.0456789283878387</v>
      </c>
      <c r="O26" s="88"/>
      <c r="P26" s="88">
        <f>SUM(CPI!E25:E36)</f>
        <v>1.2951085592019962</v>
      </c>
      <c r="Q26" s="88">
        <f>SUM('CPI-Gec'!E25:E36)</f>
        <v>0.94197355826891593</v>
      </c>
    </row>
    <row r="27" spans="2:17" x14ac:dyDescent="0.2">
      <c r="B27" s="12" t="s">
        <v>95</v>
      </c>
      <c r="C27" s="13"/>
      <c r="D27" s="14">
        <f>CPI!B37</f>
        <v>110.71</v>
      </c>
      <c r="E27" s="29">
        <f>'CPI-Gec'!B37</f>
        <v>110.39</v>
      </c>
      <c r="F27" s="13"/>
      <c r="G27" s="13"/>
      <c r="H27" s="29">
        <f>CPI!C37</f>
        <v>108.87</v>
      </c>
      <c r="I27" s="29">
        <f>'CPI-Gec'!C37</f>
        <v>108.55</v>
      </c>
      <c r="J27" s="13"/>
      <c r="K27" s="29"/>
      <c r="L27" s="88">
        <f>SUM(CPI!D26:D37)</f>
        <v>2.3711242695078405</v>
      </c>
      <c r="M27" s="88">
        <f>SUM('CPI-Gec'!D26:D37)</f>
        <v>1.9880323424707025</v>
      </c>
      <c r="O27" s="88"/>
      <c r="P27" s="88">
        <f>SUM(CPI!E26:E37)</f>
        <v>2.2519244970799268</v>
      </c>
      <c r="Q27" s="88">
        <f>SUM('CPI-Gec'!E26:E37)</f>
        <v>1.8717934361736521</v>
      </c>
    </row>
    <row r="28" spans="2:17" x14ac:dyDescent="0.2">
      <c r="B28" s="12" t="s">
        <v>96</v>
      </c>
      <c r="C28" s="13"/>
      <c r="D28" s="14">
        <f>CPI!B38</f>
        <v>110.79</v>
      </c>
      <c r="E28" s="29">
        <f>'CPI-Gec'!B38</f>
        <v>110.26</v>
      </c>
      <c r="F28" s="13"/>
      <c r="G28" s="13"/>
      <c r="H28" s="29">
        <f>CPI!C38</f>
        <v>108.94</v>
      </c>
      <c r="I28" s="29">
        <f>'CPI-Gec'!C38</f>
        <v>108.42</v>
      </c>
      <c r="J28" s="13"/>
      <c r="K28" s="29"/>
      <c r="L28" s="88">
        <f>SUM(CPI!D27:D38)</f>
        <v>2.6745883125744108</v>
      </c>
      <c r="M28" s="88">
        <f>SUM('CPI-Gec'!D27:D38)</f>
        <v>2.1104971938698203</v>
      </c>
      <c r="O28" s="88"/>
      <c r="P28" s="88">
        <f>SUM(CPI!E27:E38)</f>
        <v>2.5510513479961805</v>
      </c>
      <c r="Q28" s="88">
        <f>SUM('CPI-Gec'!E27:E38)</f>
        <v>1.9960498506089719</v>
      </c>
    </row>
    <row r="29" spans="2:17" x14ac:dyDescent="0.2">
      <c r="B29" s="12" t="s">
        <v>97</v>
      </c>
      <c r="C29" s="13"/>
      <c r="D29" s="14">
        <f>CPI!B39</f>
        <v>112.18</v>
      </c>
      <c r="E29" s="29">
        <f>'CPI-Gec'!B39</f>
        <v>111.2</v>
      </c>
      <c r="F29" s="13"/>
      <c r="G29" s="13"/>
      <c r="H29" s="29">
        <f>CPI!C39</f>
        <v>110.31</v>
      </c>
      <c r="I29" s="29">
        <f>'CPI-Gec'!C39</f>
        <v>109.35</v>
      </c>
      <c r="J29" s="13"/>
      <c r="K29" s="29"/>
      <c r="L29" s="88">
        <f>SUM(CPI!D28:D39)</f>
        <v>3.3823102139639794</v>
      </c>
      <c r="M29" s="88">
        <f>SUM('CPI-Gec'!D28:D39)</f>
        <v>2.4258413211602159</v>
      </c>
      <c r="O29" s="88"/>
      <c r="P29" s="88">
        <f>SUM(CPI!E28:E39)</f>
        <v>3.2437057663716073</v>
      </c>
      <c r="Q29" s="88">
        <f>SUM('CPI-Gec'!E28:E39)</f>
        <v>2.2987400243997369</v>
      </c>
    </row>
    <row r="30" spans="2:17" x14ac:dyDescent="0.2">
      <c r="B30" s="12" t="s">
        <v>98</v>
      </c>
      <c r="C30" s="13"/>
      <c r="D30" s="14">
        <f>CPI!B40</f>
        <v>113.17</v>
      </c>
      <c r="E30" s="29">
        <f>'CPI-Gec'!B40</f>
        <v>111.32</v>
      </c>
      <c r="F30" s="13"/>
      <c r="G30" s="13"/>
      <c r="H30" s="29">
        <f>CPI!C40</f>
        <v>111.29</v>
      </c>
      <c r="I30" s="29">
        <f>'CPI-Gec'!C40</f>
        <v>109.46</v>
      </c>
      <c r="J30" s="13"/>
      <c r="K30" s="29"/>
      <c r="L30" s="88">
        <f>SUM(CPI!D29:D40)</f>
        <v>5.0576664135341227</v>
      </c>
      <c r="M30" s="88">
        <f>SUM('CPI-Gec'!D29:D40)</f>
        <v>3.3536536544349849</v>
      </c>
      <c r="O30" s="88"/>
      <c r="P30" s="88">
        <f>SUM(CPI!E29:E40)</f>
        <v>4.927916805503318</v>
      </c>
      <c r="Q30" s="88">
        <f>SUM('CPI-Gec'!E29:E40)</f>
        <v>3.2133314519698253</v>
      </c>
    </row>
    <row r="31" spans="2:17" x14ac:dyDescent="0.2">
      <c r="B31" s="12" t="s">
        <v>99</v>
      </c>
      <c r="C31" s="13"/>
      <c r="D31" s="14">
        <f>CPI!B41</f>
        <v>114.01</v>
      </c>
      <c r="E31" s="29">
        <f>'CPI-Gec'!B41</f>
        <v>111.6</v>
      </c>
      <c r="F31" s="13"/>
      <c r="G31" s="13"/>
      <c r="H31" s="29">
        <f>CPI!C41</f>
        <v>112.12</v>
      </c>
      <c r="I31" s="29">
        <f>'CPI-Gec'!C41</f>
        <v>109.74</v>
      </c>
      <c r="J31" s="13"/>
      <c r="K31" s="29"/>
      <c r="L31" s="88">
        <f>SUM(CPI!D30:D41)</f>
        <v>5.5768849921844827</v>
      </c>
      <c r="M31" s="88">
        <f>SUM('CPI-Gec'!D30:D41)</f>
        <v>3.3822567633692957</v>
      </c>
      <c r="O31" s="88"/>
      <c r="P31" s="88">
        <f>SUM(CPI!E30:E41)</f>
        <v>5.4566530260319874</v>
      </c>
      <c r="Q31" s="88">
        <f>SUM('CPI-Gec'!E30:E41)</f>
        <v>3.2616050661531615</v>
      </c>
    </row>
    <row r="32" spans="2:17" x14ac:dyDescent="0.2">
      <c r="B32" s="12" t="s">
        <v>100</v>
      </c>
      <c r="C32" s="13"/>
      <c r="D32" s="14">
        <f>CPI!B42</f>
        <v>114.53</v>
      </c>
      <c r="E32" s="29">
        <f>'CPI-Gec'!B42</f>
        <v>111.05</v>
      </c>
      <c r="F32" s="13"/>
      <c r="G32" s="13"/>
      <c r="H32" s="29">
        <f>CPI!C42</f>
        <v>113.64</v>
      </c>
      <c r="I32" s="29">
        <f>'CPI-Gec'!C42</f>
        <v>110.71</v>
      </c>
      <c r="J32" s="13"/>
      <c r="K32" s="29"/>
      <c r="L32" s="88">
        <f>SUM(CPI!D31:D42)</f>
        <v>6.2462444904952452</v>
      </c>
      <c r="M32" s="88">
        <f>SUM('CPI-Gec'!D31:D42)</f>
        <v>3.1303890775723597</v>
      </c>
      <c r="O32" s="88"/>
      <c r="P32" s="88">
        <f>SUM(CPI!E31:E42)</f>
        <v>7.1325241658050542</v>
      </c>
      <c r="Q32" s="88">
        <f>SUM('CPI-Gec'!E31:E42)</f>
        <v>4.4843998036516179</v>
      </c>
    </row>
    <row r="33" spans="2:17" x14ac:dyDescent="0.2">
      <c r="B33" s="12" t="s">
        <v>101</v>
      </c>
      <c r="C33" s="13"/>
      <c r="D33" s="14">
        <f>CPI!B43</f>
        <v>115.27</v>
      </c>
      <c r="E33" s="29">
        <f>'CPI-Gec'!B43</f>
        <v>112.33</v>
      </c>
      <c r="F33" s="13"/>
      <c r="G33" s="13"/>
      <c r="H33" s="29">
        <f>CPI!C43</f>
        <v>114.37</v>
      </c>
      <c r="I33" s="29">
        <f>'CPI-Gec'!C43</f>
        <v>111.98</v>
      </c>
      <c r="J33" s="13"/>
      <c r="K33" s="29"/>
      <c r="L33" s="88">
        <f>SUM(CPI!D32:D43)</f>
        <v>6.0096278602892017</v>
      </c>
      <c r="M33" s="88">
        <f>SUM('CPI-Gec'!D32:D43)</f>
        <v>3.4654830782694046</v>
      </c>
      <c r="O33" s="88"/>
      <c r="P33" s="88">
        <f>SUM(CPI!E32:E43)</f>
        <v>6.9057491457989117</v>
      </c>
      <c r="Q33" s="88">
        <f>SUM('CPI-Gec'!E32:E43)</f>
        <v>4.8286695371970385</v>
      </c>
    </row>
    <row r="34" spans="2:17" x14ac:dyDescent="0.2">
      <c r="B34" s="12" t="s">
        <v>102</v>
      </c>
      <c r="C34" s="13"/>
      <c r="D34" s="14">
        <f>CPI!B44</f>
        <v>119.46</v>
      </c>
      <c r="E34" s="29">
        <f>'CPI-Gec'!B44</f>
        <v>113.4</v>
      </c>
      <c r="F34" s="13"/>
      <c r="G34" s="13"/>
      <c r="H34" s="29">
        <f>CPI!C44</f>
        <v>118.49</v>
      </c>
      <c r="I34" s="29">
        <f>'CPI-Gec'!C44</f>
        <v>113.03</v>
      </c>
      <c r="J34" s="13"/>
      <c r="K34" s="29"/>
      <c r="L34" s="88">
        <f>SUM(CPI!D33:D44)</f>
        <v>9.3682524794510336</v>
      </c>
      <c r="M34" s="88">
        <f>SUM('CPI-Gec'!D33:D44)</f>
        <v>4.1784464261850225</v>
      </c>
      <c r="O34" s="88"/>
      <c r="P34" s="88">
        <f>SUM(CPI!E33:E44)</f>
        <v>10.245846468399256</v>
      </c>
      <c r="Q34" s="88">
        <f>SUM('CPI-Gec'!E33:E44)</f>
        <v>5.5414494215895509</v>
      </c>
    </row>
    <row r="35" spans="2:17" x14ac:dyDescent="0.2">
      <c r="B35" s="12" t="s">
        <v>103</v>
      </c>
      <c r="C35" s="13"/>
      <c r="D35" s="14">
        <f>CPI!B45</f>
        <v>119.81</v>
      </c>
      <c r="E35" s="29">
        <f>'CPI-Gec'!B45</f>
        <v>114.84</v>
      </c>
      <c r="F35" s="13"/>
      <c r="G35" s="13"/>
      <c r="H35" s="29">
        <f>CPI!C45</f>
        <v>119.21</v>
      </c>
      <c r="I35" s="29">
        <f>'CPI-Gec'!C45</f>
        <v>114.81</v>
      </c>
      <c r="J35" s="13"/>
      <c r="K35" s="29"/>
      <c r="L35" s="88">
        <f>SUM(CPI!D34:D45)</f>
        <v>9.2111595042979157</v>
      </c>
      <c r="M35" s="88">
        <f>SUM('CPI-Gec'!D34:D45)</f>
        <v>5.0254158445830139</v>
      </c>
      <c r="O35" s="88"/>
      <c r="P35" s="88">
        <f>SUM(CPI!E34:E45)</f>
        <v>10.405104079813388</v>
      </c>
      <c r="Q35" s="88">
        <f>SUM('CPI-Gec'!E34:E45)</f>
        <v>6.6861852563117612</v>
      </c>
    </row>
    <row r="36" spans="2:17" x14ac:dyDescent="0.2">
      <c r="B36" s="12" t="s">
        <v>104</v>
      </c>
      <c r="C36" s="13"/>
      <c r="D36" s="14">
        <f>CPI!B46</f>
        <v>119.05</v>
      </c>
      <c r="E36" s="29">
        <f>'CPI-Gec'!B46</f>
        <v>115.49</v>
      </c>
      <c r="F36" s="13"/>
      <c r="G36" s="13"/>
      <c r="H36" s="29">
        <f>CPI!C46</f>
        <v>118.46</v>
      </c>
      <c r="I36" s="29">
        <f>'CPI-Gec'!C46</f>
        <v>115.45</v>
      </c>
      <c r="J36" s="13"/>
      <c r="K36" s="29"/>
      <c r="L36" s="88">
        <f>SUM(CPI!D35:D46)</f>
        <v>8.4853806910135106</v>
      </c>
      <c r="M36" s="88">
        <f>SUM('CPI-Gec'!D35:D46)</f>
        <v>5.4998791610645252</v>
      </c>
      <c r="O36" s="88"/>
      <c r="P36" s="88">
        <f>SUM(CPI!E35:E46)</f>
        <v>9.6829649262192721</v>
      </c>
      <c r="Q36" s="88">
        <f>SUM('CPI-Gec'!E35:E46)</f>
        <v>7.1598447072002473</v>
      </c>
    </row>
    <row r="37" spans="2:17" x14ac:dyDescent="0.2">
      <c r="B37" s="12" t="s">
        <v>105</v>
      </c>
      <c r="C37" s="13"/>
      <c r="D37" s="14">
        <f>CPI!B47</f>
        <v>119.05</v>
      </c>
      <c r="E37" s="29">
        <f>'CPI-Gec'!B47</f>
        <v>116.3</v>
      </c>
      <c r="F37" s="13"/>
      <c r="G37" s="13"/>
      <c r="H37" s="29">
        <f>CPI!C47</f>
        <v>118.47</v>
      </c>
      <c r="I37" s="29">
        <f>'CPI-Gec'!C47</f>
        <v>116.26</v>
      </c>
      <c r="J37" s="13"/>
      <c r="K37" s="29"/>
      <c r="L37" s="88">
        <f>SUM(CPI!D36:D47)</f>
        <v>8.2935297865735276</v>
      </c>
      <c r="M37" s="88">
        <f>SUM('CPI-Gec'!D36:D47)</f>
        <v>6.0549060454242358</v>
      </c>
      <c r="O37" s="88"/>
      <c r="P37" s="88">
        <f>SUM(CPI!E36:E47)</f>
        <v>9.4962937075512492</v>
      </c>
      <c r="Q37" s="88">
        <f>SUM('CPI-Gec'!E36:E47)</f>
        <v>7.7126237672242466</v>
      </c>
    </row>
    <row r="38" spans="2:17" x14ac:dyDescent="0.2">
      <c r="B38" s="12" t="s">
        <v>106</v>
      </c>
      <c r="C38" s="13"/>
      <c r="D38" s="14">
        <f>CPI!B48</f>
        <v>121.57</v>
      </c>
      <c r="E38" s="29">
        <f>'CPI-Gec'!B48</f>
        <v>117.53</v>
      </c>
      <c r="F38" s="13"/>
      <c r="G38" s="13"/>
      <c r="H38" s="29">
        <f>CPI!C48</f>
        <v>121.88</v>
      </c>
      <c r="I38" s="29">
        <f>'CPI-Gec'!C48</f>
        <v>118.22</v>
      </c>
      <c r="J38" s="13"/>
      <c r="K38" s="29"/>
      <c r="L38" s="88">
        <f>SUM(CPI!D37:D48)</f>
        <v>9.8996646739970444</v>
      </c>
      <c r="M38" s="88">
        <f>SUM('CPI-Gec'!D37:D48)</f>
        <v>6.7106891916725369</v>
      </c>
      <c r="O38" s="88"/>
      <c r="P38" s="88">
        <f>SUM(CPI!E37:E48)</f>
        <v>11.864644701768068</v>
      </c>
      <c r="Q38" s="88">
        <f>SUM('CPI-Gec'!E37:E48)</f>
        <v>8.9898441722083948</v>
      </c>
    </row>
    <row r="39" spans="2:17" x14ac:dyDescent="0.2">
      <c r="B39" s="12" t="s">
        <v>107</v>
      </c>
      <c r="C39" s="13"/>
      <c r="D39" s="14">
        <f>CPI!B49</f>
        <v>123.95</v>
      </c>
      <c r="E39" s="29">
        <f>'CPI-Gec'!B49</f>
        <v>118.1</v>
      </c>
      <c r="F39" s="13"/>
      <c r="G39" s="13"/>
      <c r="H39" s="29">
        <f>CPI!C49</f>
        <v>124.45</v>
      </c>
      <c r="I39" s="29">
        <f>'CPI-Gec'!C49</f>
        <v>118.82</v>
      </c>
      <c r="J39" s="13"/>
      <c r="K39" s="29"/>
      <c r="L39" s="88">
        <f>SUM(CPI!D38:D49)</f>
        <v>11.421931362765136</v>
      </c>
      <c r="M39" s="88">
        <f>SUM('CPI-Gec'!D38:D49)</f>
        <v>6.7863575779511738</v>
      </c>
      <c r="O39" s="88"/>
      <c r="P39" s="88">
        <f>SUM(CPI!E38:E49)</f>
        <v>13.530430861599505</v>
      </c>
      <c r="Q39" s="88">
        <f>SUM('CPI-Gec'!E38:E49)</f>
        <v>9.0903796315825574</v>
      </c>
    </row>
    <row r="40" spans="2:17" x14ac:dyDescent="0.2">
      <c r="B40" s="12" t="s">
        <v>108</v>
      </c>
      <c r="C40" s="13"/>
      <c r="D40" s="14">
        <f>CPI!B50</f>
        <v>126.89</v>
      </c>
      <c r="E40" s="29">
        <f>'CPI-Gec'!B50</f>
        <v>118.81</v>
      </c>
      <c r="F40" s="13"/>
      <c r="G40" s="13"/>
      <c r="H40" s="29">
        <f>CPI!C50</f>
        <v>127.63</v>
      </c>
      <c r="I40" s="29">
        <f>'CPI-Gec'!C50</f>
        <v>119.57</v>
      </c>
      <c r="J40" s="13"/>
      <c r="K40" s="29"/>
      <c r="L40" s="88">
        <f>SUM(CPI!D39:D50)</f>
        <v>13.721594664023286</v>
      </c>
      <c r="M40" s="88">
        <f>SUM('CPI-Gec'!D39:D50)</f>
        <v>7.5053073042659841</v>
      </c>
      <c r="O40" s="88"/>
      <c r="P40" s="88">
        <f>SUM(CPI!E39:E50)</f>
        <v>16.021377063281328</v>
      </c>
      <c r="Q40" s="88">
        <f>SUM('CPI-Gec'!E39:E50)</f>
        <v>9.8413469781551743</v>
      </c>
    </row>
    <row r="41" spans="2:17" x14ac:dyDescent="0.2">
      <c r="B41" s="12" t="s">
        <v>109</v>
      </c>
      <c r="C41" s="13"/>
      <c r="D41" s="14">
        <f>CPI!B51</f>
        <v>128.25</v>
      </c>
      <c r="E41" s="29">
        <f>'CPI-Gec'!B51</f>
        <v>121.27</v>
      </c>
      <c r="F41" s="13"/>
      <c r="G41" s="13"/>
      <c r="H41" s="29">
        <f>CPI!C51</f>
        <v>128.97999999999999</v>
      </c>
      <c r="I41" s="29">
        <f>'CPI-Gec'!C51</f>
        <v>122.13</v>
      </c>
      <c r="J41" s="13"/>
      <c r="K41" s="29"/>
      <c r="L41" s="88">
        <f>SUM(CPI!D40:D51)</f>
        <v>13.53876326291169</v>
      </c>
      <c r="M41" s="88">
        <f>SUM('CPI-Gec'!D40:D51)</f>
        <v>8.7233097049700064</v>
      </c>
      <c r="O41" s="88"/>
      <c r="P41" s="88">
        <f>SUM(CPI!E40:E51)</f>
        <v>15.821549131599854</v>
      </c>
      <c r="Q41" s="88">
        <f>SUM('CPI-Gec'!E40:E51)</f>
        <v>11.124576928828358</v>
      </c>
    </row>
    <row r="42" spans="2:17" x14ac:dyDescent="0.2">
      <c r="B42" s="12" t="s">
        <v>110</v>
      </c>
      <c r="C42" s="13"/>
      <c r="D42" s="14">
        <f>CPI!B52</f>
        <v>124.35</v>
      </c>
      <c r="E42" s="29">
        <f>'CPI-Gec'!B52</f>
        <v>123.4</v>
      </c>
      <c r="F42" s="13"/>
      <c r="G42" s="13"/>
      <c r="H42" s="29">
        <f>CPI!C52</f>
        <v>124.77</v>
      </c>
      <c r="I42" s="29">
        <f>'CPI-Gec'!C52</f>
        <v>124.53</v>
      </c>
      <c r="J42" s="13"/>
      <c r="K42" s="29"/>
      <c r="L42" s="88">
        <f>SUM(CPI!D41:D52)</f>
        <v>9.6153173390153626</v>
      </c>
      <c r="M42" s="88">
        <f>SUM('CPI-Gec'!D41:D52)</f>
        <v>10.371807349503039</v>
      </c>
      <c r="O42" s="88"/>
      <c r="P42" s="88">
        <f>SUM(CPI!E41:E52)</f>
        <v>11.669071779505138</v>
      </c>
      <c r="Q42" s="88">
        <f>SUM('CPI-Gec'!E41:E52)</f>
        <v>12.989101642593859</v>
      </c>
    </row>
    <row r="43" spans="2:17" x14ac:dyDescent="0.2">
      <c r="B43" s="12" t="s">
        <v>111</v>
      </c>
      <c r="C43" s="13"/>
      <c r="D43" s="14">
        <f>CPI!B53</f>
        <v>124.94</v>
      </c>
      <c r="E43" s="29">
        <f>'CPI-Gec'!B53</f>
        <v>124.25</v>
      </c>
      <c r="F43" s="13"/>
      <c r="G43" s="13"/>
      <c r="H43" s="29">
        <f>CPI!C53</f>
        <v>125.34</v>
      </c>
      <c r="I43" s="29">
        <f>'CPI-Gec'!C53</f>
        <v>125.39</v>
      </c>
      <c r="J43" s="13"/>
      <c r="K43" s="29"/>
      <c r="L43" s="88">
        <f>SUM(CPI!D42:D53)</f>
        <v>9.3475383902934421</v>
      </c>
      <c r="M43" s="88">
        <f>SUM('CPI-Gec'!D42:D53)</f>
        <v>10.809097076259199</v>
      </c>
      <c r="O43" s="88"/>
      <c r="P43" s="88">
        <f>SUM(CPI!E42:E53)</f>
        <v>11.380113102998358</v>
      </c>
      <c r="Q43" s="88">
        <f>SUM('CPI-Gec'!E42:E53)</f>
        <v>13.423897080053006</v>
      </c>
    </row>
    <row r="44" spans="2:17" x14ac:dyDescent="0.2">
      <c r="B44" s="12" t="s">
        <v>112</v>
      </c>
      <c r="C44" s="13"/>
      <c r="D44" s="14">
        <f>CPI!B54</f>
        <v>123.21</v>
      </c>
      <c r="E44" s="29">
        <f>'CPI-Gec'!B54</f>
        <v>123.9</v>
      </c>
      <c r="F44" s="13"/>
      <c r="G44" s="13"/>
      <c r="H44" s="29">
        <f>CPI!C54</f>
        <v>122.28</v>
      </c>
      <c r="I44" s="29">
        <f>'CPI-Gec'!C54</f>
        <v>123.38</v>
      </c>
      <c r="J44" s="13"/>
      <c r="K44" s="29"/>
      <c r="L44" s="88">
        <f>SUM(CPI!D43:D54)</f>
        <v>7.5067734091914486</v>
      </c>
      <c r="M44" s="88">
        <f>SUM('CPI-Gec'!D43:D54)</f>
        <v>11.020238476632761</v>
      </c>
      <c r="O44" s="88"/>
      <c r="P44" s="88">
        <f>SUM(CPI!E43:E54)</f>
        <v>7.5830632690568471</v>
      </c>
      <c r="Q44" s="88">
        <f>SUM('CPI-Gec'!E43:E54)</f>
        <v>10.936991018290655</v>
      </c>
    </row>
    <row r="45" spans="2:17" x14ac:dyDescent="0.2">
      <c r="B45" s="12" t="s">
        <v>113</v>
      </c>
      <c r="C45" s="13"/>
      <c r="D45" s="14">
        <f>CPI!B55</f>
        <v>124.45</v>
      </c>
      <c r="E45" s="29">
        <f>'CPI-Gec'!B55</f>
        <v>125.24</v>
      </c>
      <c r="F45" s="13"/>
      <c r="G45" s="13"/>
      <c r="H45" s="29">
        <f>CPI!C55</f>
        <v>123.53</v>
      </c>
      <c r="I45" s="29">
        <f>'CPI-Gec'!C55</f>
        <v>124.72</v>
      </c>
      <c r="J45" s="13"/>
      <c r="K45" s="29"/>
      <c r="L45" s="88">
        <f>SUM(CPI!D44:D55)</f>
        <v>7.867066305607306</v>
      </c>
      <c r="M45" s="88">
        <f>SUM('CPI-Gec'!D44:D55)</f>
        <v>10.949121880664769</v>
      </c>
      <c r="O45" s="88"/>
      <c r="P45" s="88">
        <f>SUM(CPI!E44:E55)</f>
        <v>7.9629278552938922</v>
      </c>
      <c r="Q45" s="88">
        <f>SUM('CPI-Gec'!E44:E55)</f>
        <v>10.875925377617337</v>
      </c>
    </row>
    <row r="46" spans="2:17" x14ac:dyDescent="0.2">
      <c r="B46" s="12" t="s">
        <v>114</v>
      </c>
      <c r="C46" s="13"/>
      <c r="D46" s="14">
        <f>CPI!B56</f>
        <v>124.72</v>
      </c>
      <c r="E46" s="29">
        <f>'CPI-Gec'!B56</f>
        <v>125.6</v>
      </c>
      <c r="F46" s="13"/>
      <c r="G46" s="13"/>
      <c r="H46" s="29">
        <f>CPI!C56</f>
        <v>123.82</v>
      </c>
      <c r="I46" s="29">
        <f>'CPI-Gec'!C56</f>
        <v>125.1</v>
      </c>
      <c r="J46" s="13"/>
      <c r="K46" s="29"/>
      <c r="L46" s="88">
        <f>SUM(CPI!D45:D56)</f>
        <v>4.4490768614309122</v>
      </c>
      <c r="M46" s="88">
        <f>SUM('CPI-Gec'!D45:D56)</f>
        <v>10.284019459526462</v>
      </c>
      <c r="O46" s="88"/>
      <c r="P46" s="88">
        <f>SUM(CPI!E45:E56)</f>
        <v>4.5953453703102554</v>
      </c>
      <c r="Q46" s="88">
        <f>SUM('CPI-Gec'!E45:E56)</f>
        <v>10.242940425777793</v>
      </c>
    </row>
    <row r="47" spans="2:17" x14ac:dyDescent="0.2">
      <c r="B47" s="12" t="s">
        <v>115</v>
      </c>
      <c r="C47" s="13"/>
      <c r="D47" s="14">
        <f>CPI!B57</f>
        <v>126.01</v>
      </c>
      <c r="E47" s="29">
        <f>'CPI-Gec'!B57</f>
        <v>126.61</v>
      </c>
      <c r="F47" s="13"/>
      <c r="G47" s="13"/>
      <c r="H47" s="29">
        <f>CPI!C57</f>
        <v>125.12</v>
      </c>
      <c r="I47" s="29">
        <f>'CPI-Gec'!C57</f>
        <v>126.15</v>
      </c>
      <c r="J47" s="13"/>
      <c r="K47" s="29"/>
      <c r="L47" s="88">
        <f>SUM(CPI!D46:D57)</f>
        <v>5.1904086316042823</v>
      </c>
      <c r="M47" s="88">
        <f>SUM('CPI-Gec'!D46:D57)</f>
        <v>9.8183183170737394</v>
      </c>
      <c r="O47" s="88"/>
      <c r="P47" s="88">
        <f>SUM(CPI!E46:E57)</f>
        <v>5.0376103168030761</v>
      </c>
      <c r="Q47" s="88">
        <f>SUM('CPI-Gec'!E46:E57)</f>
        <v>9.5074658133417778</v>
      </c>
    </row>
    <row r="48" spans="2:17" x14ac:dyDescent="0.2">
      <c r="B48" s="12" t="s">
        <v>116</v>
      </c>
      <c r="C48" s="13"/>
      <c r="D48" s="14">
        <f>CPI!B58</f>
        <v>126.26</v>
      </c>
      <c r="E48" s="29">
        <f>'CPI-Gec'!B58</f>
        <v>126.9</v>
      </c>
      <c r="F48" s="13"/>
      <c r="G48" s="13"/>
      <c r="H48" s="29">
        <f>CPI!C58</f>
        <v>125.37</v>
      </c>
      <c r="I48" s="29">
        <f>'CPI-Gec'!C58</f>
        <v>126.43</v>
      </c>
      <c r="J48" s="13"/>
      <c r="K48" s="29"/>
      <c r="L48" s="88">
        <f>SUM(CPI!D47:D58)</f>
        <v>6.0231432855875733</v>
      </c>
      <c r="M48" s="88">
        <f>SUM('CPI-Gec'!D47:D58)</f>
        <v>9.4813632788095088</v>
      </c>
      <c r="O48" s="88"/>
      <c r="P48" s="88">
        <f>SUM(CPI!E47:E58)</f>
        <v>5.8665603514622031</v>
      </c>
      <c r="Q48" s="88">
        <f>SUM('CPI-Gec'!E47:E58)</f>
        <v>9.1719810683963736</v>
      </c>
    </row>
    <row r="49" spans="2:17" x14ac:dyDescent="0.2">
      <c r="B49" s="12" t="s">
        <v>117</v>
      </c>
      <c r="C49" s="13"/>
      <c r="D49" s="14">
        <f>CPI!B59</f>
        <v>125.83</v>
      </c>
      <c r="E49" s="29">
        <f>'CPI-Gec'!B59</f>
        <v>125.83</v>
      </c>
      <c r="F49" s="13"/>
      <c r="G49" s="13"/>
      <c r="H49" s="29">
        <f>CPI!C59</f>
        <v>124.88</v>
      </c>
      <c r="I49" s="29">
        <f>'CPI-Gec'!C59</f>
        <v>124.88</v>
      </c>
      <c r="J49" s="13"/>
      <c r="K49" s="29"/>
      <c r="L49" s="88">
        <f>SUM(CPI!D48:D59)</f>
        <v>5.6825762017922221</v>
      </c>
      <c r="M49" s="88">
        <f>SUM('CPI-Gec'!D48:D59)</f>
        <v>7.9368202446099989</v>
      </c>
      <c r="O49" s="88"/>
      <c r="P49" s="88">
        <f>SUM(CPI!E48:E59)</f>
        <v>5.4672755789776373</v>
      </c>
      <c r="Q49" s="88">
        <f>SUM('CPI-Gec'!E48:E59)</f>
        <v>7.2444037953621976</v>
      </c>
    </row>
    <row r="50" spans="2:17" x14ac:dyDescent="0.2">
      <c r="B50" s="12" t="s">
        <v>118</v>
      </c>
      <c r="C50" s="13"/>
      <c r="D50" s="14">
        <f>CPI!B60</f>
        <v>127.13</v>
      </c>
      <c r="E50" s="29">
        <f>'CPI-Gec'!B60</f>
        <v>127.13</v>
      </c>
      <c r="F50" s="13"/>
      <c r="G50" s="13"/>
      <c r="H50" s="29">
        <f>CPI!C60</f>
        <v>125.85</v>
      </c>
      <c r="I50" s="29">
        <f>'CPI-Gec'!C60</f>
        <v>125.85</v>
      </c>
      <c r="J50" s="13"/>
      <c r="K50" s="29"/>
      <c r="L50" s="88">
        <f>SUM(CPI!D49:D60)</f>
        <v>4.5989584876727108</v>
      </c>
      <c r="M50" s="88">
        <f>SUM('CPI-Gec'!D49:D60)</f>
        <v>7.912350565070625</v>
      </c>
      <c r="O50" s="88"/>
      <c r="P50" s="88">
        <f>SUM(CPI!E49:E60)</f>
        <v>3.3656554238143954</v>
      </c>
      <c r="Q50" s="88">
        <f>SUM('CPI-Gec'!E49:E60)</f>
        <v>6.3352729874677003</v>
      </c>
    </row>
    <row r="51" spans="2:17" x14ac:dyDescent="0.2">
      <c r="B51" s="12" t="s">
        <v>119</v>
      </c>
      <c r="C51" s="13"/>
      <c r="D51" s="14">
        <f>CPI!B61</f>
        <v>127.7</v>
      </c>
      <c r="E51" s="29">
        <f>'CPI-Gec'!B61</f>
        <v>127.7</v>
      </c>
      <c r="F51" s="13"/>
      <c r="G51" s="13"/>
      <c r="H51" s="29">
        <f>CPI!C61</f>
        <v>126.38</v>
      </c>
      <c r="I51" s="29">
        <f>'CPI-Gec'!C61</f>
        <v>126.38</v>
      </c>
      <c r="J51" s="13"/>
      <c r="K51" s="29"/>
      <c r="L51" s="88">
        <f>SUM(CPI!D50:D61)</f>
        <v>3.0895986019886967</v>
      </c>
      <c r="M51" s="88">
        <f>SUM('CPI-Gec'!D50:D61)</f>
        <v>7.8757279539372282</v>
      </c>
      <c r="O51" s="88"/>
      <c r="P51" s="88">
        <f>SUM(CPI!E50:E61)</f>
        <v>1.6781602563942677</v>
      </c>
      <c r="Q51" s="88">
        <f>SUM('CPI-Gec'!E50:E61)</f>
        <v>6.2488809238101748</v>
      </c>
    </row>
    <row r="52" spans="2:17" x14ac:dyDescent="0.2">
      <c r="B52" s="12" t="s">
        <v>120</v>
      </c>
      <c r="C52" s="13"/>
      <c r="D52" s="14">
        <f>CPI!B62</f>
        <v>127.16</v>
      </c>
      <c r="E52" s="29">
        <f>'CPI-Gec'!B62</f>
        <v>127.16</v>
      </c>
      <c r="F52" s="13"/>
      <c r="G52" s="13"/>
      <c r="H52" s="29">
        <f>CPI!C62</f>
        <v>125.85</v>
      </c>
      <c r="I52" s="29">
        <f>'CPI-Gec'!C62</f>
        <v>125.85</v>
      </c>
      <c r="J52" s="13"/>
      <c r="K52" s="29"/>
      <c r="L52" s="88">
        <f>SUM(CPI!D51:D62)</f>
        <v>0.29480834661568256</v>
      </c>
      <c r="M52" s="88">
        <f>SUM('CPI-Gec'!D51:D62)</f>
        <v>6.8516764254620277</v>
      </c>
      <c r="O52" s="88"/>
      <c r="P52" s="88">
        <f>SUM(CPI!E51:E62)</f>
        <v>-1.2964529666168678</v>
      </c>
      <c r="Q52" s="88">
        <f>SUM('CPI-Gec'!E51:E62)</f>
        <v>5.1983039027741604</v>
      </c>
    </row>
    <row r="53" spans="2:17" x14ac:dyDescent="0.2">
      <c r="B53" s="19" t="s">
        <v>121</v>
      </c>
      <c r="C53" s="20"/>
      <c r="D53" s="21">
        <f>CPI!B63</f>
        <v>127.8</v>
      </c>
      <c r="E53" s="31">
        <f>'CPI-Gec'!B63</f>
        <v>127.8</v>
      </c>
      <c r="F53" s="20"/>
      <c r="G53" s="20"/>
      <c r="H53" s="31">
        <f>CPI!C63</f>
        <v>126.48</v>
      </c>
      <c r="I53" s="31">
        <f>'CPI-Gec'!C63</f>
        <v>126.48</v>
      </c>
      <c r="J53" s="20"/>
      <c r="K53" s="31"/>
      <c r="L53" s="88">
        <f>SUM(CPI!D52:D63)</f>
        <v>-0.27368319558520593</v>
      </c>
      <c r="M53" s="88">
        <f>SUM('CPI-Gec'!D52:D63)</f>
        <v>5.2844465674745322</v>
      </c>
      <c r="O53" s="88"/>
      <c r="P53" s="88">
        <f>SUM(CPI!E52:E63)</f>
        <v>-1.8536020633288297</v>
      </c>
      <c r="Q53" s="88">
        <f>SUM('CPI-Gec'!E52:E63)</f>
        <v>3.557894581450638</v>
      </c>
    </row>
    <row r="54" spans="2:17" x14ac:dyDescent="0.2">
      <c r="B54" s="19" t="s">
        <v>122</v>
      </c>
      <c r="C54" s="20"/>
      <c r="D54" s="21">
        <f>CPI!B64</f>
        <v>127.8</v>
      </c>
      <c r="E54" s="31">
        <f>'CPI-Gec'!B64</f>
        <v>127.8</v>
      </c>
      <c r="F54" s="20"/>
      <c r="G54" s="20"/>
      <c r="H54" s="31">
        <f>CPI!C64</f>
        <v>126.48</v>
      </c>
      <c r="I54" s="31">
        <f>'CPI-Gec'!C64</f>
        <v>126.48</v>
      </c>
      <c r="J54" s="20"/>
      <c r="K54" s="31"/>
      <c r="L54" s="88">
        <f>SUM(CPI!D53:D64)</f>
        <v>2.767252476929416</v>
      </c>
      <c r="M54" s="88">
        <f>SUM('CPI-Gec'!D53:D64)</f>
        <v>3.5280352538767712</v>
      </c>
      <c r="O54" s="88"/>
      <c r="P54" s="88">
        <f>SUM(CPI!E53:E64)</f>
        <v>1.4104698858105724</v>
      </c>
      <c r="Q54" s="88">
        <f>SUM('CPI-Gec'!E53:E64)</f>
        <v>1.5927754461030563</v>
      </c>
    </row>
    <row r="55" spans="2:17" x14ac:dyDescent="0.2">
      <c r="B55" s="19" t="s">
        <v>123</v>
      </c>
      <c r="C55" s="20"/>
      <c r="D55" s="21">
        <f>CPI!B65</f>
        <v>127.8</v>
      </c>
      <c r="E55" s="31">
        <f>'CPI-Gec'!B65</f>
        <v>127.8</v>
      </c>
      <c r="F55" s="20"/>
      <c r="G55" s="20"/>
      <c r="H55" s="31">
        <f>CPI!C65</f>
        <v>126.48</v>
      </c>
      <c r="I55" s="31">
        <f>'CPI-Gec'!C65</f>
        <v>126.48</v>
      </c>
      <c r="J55" s="20"/>
      <c r="K55" s="31"/>
      <c r="L55" s="88">
        <f>SUM(CPI!D54:D65)</f>
        <v>2.2927852473355159</v>
      </c>
      <c r="M55" s="88">
        <f>SUM('CPI-Gec'!D54:D65)</f>
        <v>2.8392183981231334</v>
      </c>
      <c r="O55" s="88"/>
      <c r="P55" s="88">
        <f>SUM(CPI!E54:E65)</f>
        <v>0.95362929913107575</v>
      </c>
      <c r="Q55" s="88">
        <f>SUM('CPI-Gec'!E54:E65)</f>
        <v>0.9021788027239408</v>
      </c>
    </row>
    <row r="56" spans="2:17" x14ac:dyDescent="0.2">
      <c r="B56" s="12"/>
      <c r="C56" s="13"/>
      <c r="D56" s="14"/>
      <c r="E56" s="14"/>
      <c r="F56" s="13"/>
      <c r="G56" s="13"/>
      <c r="H56" s="14"/>
      <c r="I56" s="14"/>
      <c r="J56" s="13"/>
    </row>
    <row r="57" spans="2:17" x14ac:dyDescent="0.2">
      <c r="B57" s="12"/>
      <c r="C57" s="13"/>
      <c r="D57" s="14"/>
      <c r="E57" s="14"/>
      <c r="F57" s="13"/>
      <c r="G57" s="13"/>
      <c r="H57" s="14"/>
      <c r="I57" s="14"/>
      <c r="J57" s="13"/>
    </row>
    <row r="58" spans="2:17" x14ac:dyDescent="0.2">
      <c r="B58" s="12"/>
      <c r="C58" s="13"/>
      <c r="D58" s="14"/>
      <c r="E58" s="14"/>
      <c r="F58" s="13"/>
      <c r="G58" s="13"/>
      <c r="H58" s="14"/>
      <c r="I58" s="14"/>
      <c r="J58" s="13"/>
    </row>
    <row r="59" spans="2:17" x14ac:dyDescent="0.2">
      <c r="B59" s="12"/>
      <c r="C59" s="13"/>
      <c r="D59" s="14"/>
      <c r="E59" s="14"/>
      <c r="F59" s="13"/>
      <c r="G59" s="13"/>
      <c r="H59" s="14"/>
      <c r="I59" s="14"/>
      <c r="J59" s="13"/>
    </row>
    <row r="60" spans="2:17" x14ac:dyDescent="0.2">
      <c r="B60" s="12"/>
      <c r="C60" s="13"/>
      <c r="D60" s="14"/>
      <c r="E60" s="14"/>
      <c r="F60" s="13"/>
      <c r="G60" s="13"/>
      <c r="H60" s="14"/>
      <c r="I60" s="14"/>
      <c r="J60" s="13"/>
    </row>
    <row r="61" spans="2:17" x14ac:dyDescent="0.2">
      <c r="D61" s="14"/>
      <c r="E61" s="14"/>
      <c r="F61" s="13"/>
      <c r="G61" s="13"/>
      <c r="H61" s="14"/>
      <c r="I61" s="14"/>
      <c r="J61" s="13"/>
    </row>
    <row r="62" spans="2:17" x14ac:dyDescent="0.2">
      <c r="D62" s="14"/>
      <c r="E62" s="14"/>
      <c r="F62" s="13"/>
      <c r="G62" s="13"/>
      <c r="H62" s="14"/>
      <c r="I62" s="14"/>
      <c r="J62" s="13"/>
    </row>
    <row r="63" spans="2:17" x14ac:dyDescent="0.2">
      <c r="D63" s="14"/>
      <c r="E63" s="14"/>
      <c r="F63" s="13"/>
      <c r="G63" s="13"/>
      <c r="H63" s="14"/>
      <c r="I63" s="14"/>
      <c r="J63" s="13"/>
    </row>
    <row r="64" spans="2:17" x14ac:dyDescent="0.2">
      <c r="D64" s="14"/>
      <c r="E64" s="14"/>
      <c r="F64" s="13"/>
      <c r="G64" s="13"/>
      <c r="H64" s="14"/>
      <c r="I64" s="14"/>
      <c r="J64" s="13"/>
    </row>
    <row r="65" spans="2:10" x14ac:dyDescent="0.2">
      <c r="B65" s="12"/>
      <c r="C65" s="13"/>
      <c r="D65" s="14"/>
      <c r="E65" s="14"/>
      <c r="F65" s="13"/>
      <c r="G65" s="13"/>
      <c r="H65" s="14"/>
      <c r="I65" s="14"/>
      <c r="J65" s="13"/>
    </row>
    <row r="66" spans="2:10" x14ac:dyDescent="0.2">
      <c r="B66" s="12"/>
      <c r="C66" s="13"/>
      <c r="D66" s="14"/>
      <c r="E66" s="14"/>
      <c r="F66" s="13"/>
      <c r="G66" s="13"/>
      <c r="H66" s="14"/>
      <c r="I66" s="14"/>
      <c r="J66" s="13"/>
    </row>
    <row r="67" spans="2:10" x14ac:dyDescent="0.2">
      <c r="B67" s="12"/>
      <c r="C67" s="13"/>
      <c r="D67" s="14"/>
      <c r="E67" s="14"/>
      <c r="F67" s="13"/>
      <c r="G67" s="13"/>
      <c r="H67" s="14"/>
      <c r="I67" s="14"/>
      <c r="J67" s="13"/>
    </row>
    <row r="68" spans="2:10" x14ac:dyDescent="0.2">
      <c r="B68" s="12"/>
      <c r="C68" s="13"/>
      <c r="D68" s="14"/>
      <c r="E68" s="14"/>
      <c r="F68" s="13"/>
      <c r="G68" s="13"/>
      <c r="H68" s="14"/>
      <c r="I68" s="14"/>
      <c r="J68" s="13"/>
    </row>
    <row r="69" spans="2:10" x14ac:dyDescent="0.2">
      <c r="B69" s="12"/>
      <c r="C69" s="13"/>
      <c r="D69" s="14"/>
      <c r="E69" s="14"/>
      <c r="F69" s="13"/>
      <c r="G69" s="13"/>
      <c r="H69" s="14"/>
      <c r="I69" s="14"/>
      <c r="J69" s="13"/>
    </row>
    <row r="70" spans="2:10" x14ac:dyDescent="0.2">
      <c r="B70" s="12"/>
      <c r="C70" s="13"/>
      <c r="D70" s="14"/>
      <c r="E70" s="14"/>
      <c r="F70" s="13"/>
      <c r="G70" s="13"/>
      <c r="H70" s="14"/>
      <c r="I70" s="14"/>
      <c r="J70" s="13"/>
    </row>
    <row r="71" spans="2:10" x14ac:dyDescent="0.2">
      <c r="B71" s="12"/>
      <c r="C71" s="13"/>
      <c r="D71" s="14"/>
      <c r="E71" s="14"/>
      <c r="F71" s="13"/>
      <c r="G71" s="13"/>
      <c r="H71" s="14"/>
      <c r="I71" s="14"/>
      <c r="J71" s="13"/>
    </row>
    <row r="72" spans="2:10" ht="11.25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ht="11.25" customHeight="1" x14ac:dyDescent="0.2">
      <c r="B73" s="6" t="s">
        <v>124</v>
      </c>
      <c r="C73" s="15"/>
      <c r="D73" s="15"/>
      <c r="E73" s="15"/>
      <c r="F73" s="15"/>
      <c r="G73" s="15"/>
      <c r="H73" s="15"/>
      <c r="I73" s="15"/>
      <c r="J73" s="15"/>
    </row>
    <row r="81" spans="2:6" ht="14.3" x14ac:dyDescent="0.25">
      <c r="B81" s="16" t="s">
        <v>125</v>
      </c>
    </row>
    <row r="87" spans="2:6" x14ac:dyDescent="0.2">
      <c r="C87" s="2" t="s">
        <v>7</v>
      </c>
      <c r="D87" s="2" t="s">
        <v>72</v>
      </c>
      <c r="E87" s="2" t="s">
        <v>126</v>
      </c>
      <c r="F87" s="2" t="s">
        <v>127</v>
      </c>
    </row>
    <row r="88" spans="2:6" x14ac:dyDescent="0.2">
      <c r="B88" s="2" t="s">
        <v>128</v>
      </c>
      <c r="C88" s="2" t="s">
        <v>129</v>
      </c>
      <c r="D88" s="2" t="s">
        <v>129</v>
      </c>
      <c r="E88" s="2" t="s">
        <v>130</v>
      </c>
      <c r="F88" s="2" t="s">
        <v>130</v>
      </c>
    </row>
    <row r="89" spans="2:6" x14ac:dyDescent="0.2">
      <c r="B89" s="2" t="s">
        <v>131</v>
      </c>
      <c r="C89" s="2">
        <v>104.05</v>
      </c>
      <c r="D89" s="2">
        <v>102.56</v>
      </c>
      <c r="E89" s="2">
        <v>0.1</v>
      </c>
      <c r="F89" s="2">
        <v>-0.9</v>
      </c>
    </row>
    <row r="90" spans="2:6" x14ac:dyDescent="0.2">
      <c r="B90" s="2" t="s">
        <v>132</v>
      </c>
      <c r="C90" s="2">
        <v>104.97</v>
      </c>
      <c r="D90" s="2">
        <v>103.47</v>
      </c>
      <c r="E90" s="2">
        <v>0.9</v>
      </c>
      <c r="F90" s="2">
        <v>0.9</v>
      </c>
    </row>
    <row r="91" spans="2:6" x14ac:dyDescent="0.2">
      <c r="B91" s="2" t="s">
        <v>133</v>
      </c>
      <c r="C91" s="2">
        <v>105.37</v>
      </c>
      <c r="D91" s="2">
        <v>103.86</v>
      </c>
      <c r="E91" s="2">
        <v>0.4</v>
      </c>
      <c r="F91" s="2">
        <v>0.4</v>
      </c>
    </row>
    <row r="92" spans="2:6" x14ac:dyDescent="0.2">
      <c r="B92" s="2" t="s">
        <v>134</v>
      </c>
      <c r="C92" s="2">
        <v>106.08</v>
      </c>
      <c r="D92" s="2">
        <v>104.55</v>
      </c>
      <c r="E92" s="2">
        <v>0.7</v>
      </c>
      <c r="F92" s="2">
        <v>0.7</v>
      </c>
    </row>
    <row r="93" spans="2:6" x14ac:dyDescent="0.2">
      <c r="B93" s="2" t="s">
        <v>135</v>
      </c>
      <c r="C93" s="2">
        <v>105.94</v>
      </c>
      <c r="D93" s="2">
        <v>104.42</v>
      </c>
      <c r="E93" s="2">
        <v>-0.1</v>
      </c>
      <c r="F93" s="2">
        <v>-0.1</v>
      </c>
    </row>
    <row r="94" spans="2:6" x14ac:dyDescent="0.2">
      <c r="B94" s="2" t="s">
        <v>136</v>
      </c>
      <c r="C94" s="2">
        <v>105.84</v>
      </c>
      <c r="D94" s="2">
        <v>104.32</v>
      </c>
      <c r="E94" s="2">
        <v>-0.1</v>
      </c>
      <c r="F94" s="2">
        <v>-0.1</v>
      </c>
    </row>
    <row r="95" spans="2:6" x14ac:dyDescent="0.2">
      <c r="B95" s="2" t="s">
        <v>137</v>
      </c>
      <c r="C95" s="2">
        <v>106.9</v>
      </c>
      <c r="D95" s="2">
        <v>105.37</v>
      </c>
      <c r="E95" s="2">
        <v>1</v>
      </c>
      <c r="F95" s="2">
        <v>1</v>
      </c>
    </row>
    <row r="96" spans="2:6" x14ac:dyDescent="0.2">
      <c r="B96" s="2" t="s">
        <v>138</v>
      </c>
      <c r="C96" s="2">
        <v>107.37</v>
      </c>
      <c r="D96" s="2">
        <v>105.83</v>
      </c>
      <c r="E96" s="2">
        <v>0.4</v>
      </c>
      <c r="F96" s="2">
        <v>0.4</v>
      </c>
    </row>
    <row r="97" spans="2:6" x14ac:dyDescent="0.2">
      <c r="B97" s="2" t="s">
        <v>139</v>
      </c>
      <c r="C97" s="2">
        <v>106.7</v>
      </c>
      <c r="D97" s="2">
        <v>105.17</v>
      </c>
      <c r="E97" s="2">
        <v>-0.6</v>
      </c>
      <c r="F97" s="2">
        <v>-0.6</v>
      </c>
    </row>
    <row r="98" spans="2:6" x14ac:dyDescent="0.2">
      <c r="B98" s="2" t="s">
        <v>140</v>
      </c>
      <c r="C98" s="2">
        <v>107.16</v>
      </c>
      <c r="D98" s="2">
        <v>105.63</v>
      </c>
      <c r="E98" s="2">
        <v>0.4</v>
      </c>
      <c r="F98" s="2">
        <v>0.4</v>
      </c>
    </row>
    <row r="99" spans="2:6" x14ac:dyDescent="0.2">
      <c r="B99" s="2" t="s">
        <v>141</v>
      </c>
      <c r="C99" s="2">
        <v>106.73</v>
      </c>
      <c r="D99" s="2">
        <v>105.21</v>
      </c>
      <c r="E99" s="2">
        <v>-0.4</v>
      </c>
      <c r="F99" s="2">
        <v>-0.4</v>
      </c>
    </row>
    <row r="100" spans="2:6" x14ac:dyDescent="0.2">
      <c r="B100" s="2" t="s">
        <v>142</v>
      </c>
      <c r="C100" s="2">
        <v>106.8</v>
      </c>
      <c r="D100" s="2">
        <v>105.28</v>
      </c>
      <c r="E100" s="2">
        <v>0.1</v>
      </c>
      <c r="F100" s="2">
        <v>0.1</v>
      </c>
    </row>
    <row r="101" spans="2:6" x14ac:dyDescent="0.2">
      <c r="B101" s="2" t="s">
        <v>76</v>
      </c>
      <c r="C101" s="2">
        <v>105.97</v>
      </c>
      <c r="D101" s="2">
        <v>104.58</v>
      </c>
      <c r="E101" s="2">
        <v>-0.8</v>
      </c>
      <c r="F101" s="2">
        <v>-0.7</v>
      </c>
    </row>
    <row r="102" spans="2:6" x14ac:dyDescent="0.2">
      <c r="B102" s="2" t="s">
        <v>77</v>
      </c>
      <c r="C102" s="2">
        <v>106.64</v>
      </c>
      <c r="D102" s="2">
        <v>105.24</v>
      </c>
      <c r="E102" s="2">
        <v>0.6</v>
      </c>
      <c r="F102" s="2">
        <v>0.6</v>
      </c>
    </row>
    <row r="103" spans="2:6" x14ac:dyDescent="0.2">
      <c r="B103" s="2" t="s">
        <v>78</v>
      </c>
      <c r="C103" s="2">
        <v>106.85</v>
      </c>
      <c r="D103" s="2">
        <v>105.44</v>
      </c>
      <c r="E103" s="2">
        <v>0.2</v>
      </c>
      <c r="F103" s="2">
        <v>0.2</v>
      </c>
    </row>
    <row r="104" spans="2:6" x14ac:dyDescent="0.2">
      <c r="B104" s="2" t="s">
        <v>79</v>
      </c>
      <c r="C104" s="2">
        <v>107.34</v>
      </c>
      <c r="D104" s="2">
        <v>105.91</v>
      </c>
      <c r="E104" s="2">
        <v>0.5</v>
      </c>
      <c r="F104" s="2">
        <v>0.4</v>
      </c>
    </row>
    <row r="105" spans="2:6" x14ac:dyDescent="0.2">
      <c r="B105" s="2" t="s">
        <v>80</v>
      </c>
      <c r="C105" s="2">
        <v>107.18</v>
      </c>
      <c r="D105" s="2">
        <v>105.62</v>
      </c>
      <c r="E105" s="2">
        <v>-0.1</v>
      </c>
      <c r="F105" s="2">
        <v>-0.3</v>
      </c>
    </row>
    <row r="106" spans="2:6" x14ac:dyDescent="0.2">
      <c r="B106" s="2" t="s">
        <v>81</v>
      </c>
      <c r="C106" s="2">
        <v>107.51</v>
      </c>
      <c r="D106" s="2">
        <v>105.83</v>
      </c>
      <c r="E106" s="2">
        <v>0.3</v>
      </c>
      <c r="F106" s="2">
        <v>0.2</v>
      </c>
    </row>
    <row r="107" spans="2:6" x14ac:dyDescent="0.2">
      <c r="B107" s="2" t="s">
        <v>82</v>
      </c>
      <c r="C107" s="2">
        <v>108.69</v>
      </c>
      <c r="D107" s="2">
        <v>107.01</v>
      </c>
      <c r="E107" s="2">
        <v>1.1000000000000001</v>
      </c>
      <c r="F107" s="2">
        <v>1.1000000000000001</v>
      </c>
    </row>
    <row r="108" spans="2:6" x14ac:dyDescent="0.2">
      <c r="B108" s="2" t="s">
        <v>83</v>
      </c>
      <c r="C108" s="2">
        <v>108.13</v>
      </c>
      <c r="D108" s="2">
        <v>106.46</v>
      </c>
      <c r="E108" s="2">
        <v>-0.5</v>
      </c>
      <c r="F108" s="2">
        <v>-0.5</v>
      </c>
    </row>
    <row r="109" spans="2:6" x14ac:dyDescent="0.2">
      <c r="B109" s="2" t="s">
        <v>84</v>
      </c>
      <c r="C109" s="2">
        <v>107.88</v>
      </c>
      <c r="D109" s="2">
        <v>106.21</v>
      </c>
      <c r="E109" s="2">
        <v>-0.2</v>
      </c>
      <c r="F109" s="2">
        <v>-0.2</v>
      </c>
    </row>
    <row r="110" spans="2:6" x14ac:dyDescent="0.2">
      <c r="B110" s="2" t="s">
        <v>85</v>
      </c>
      <c r="C110" s="2">
        <v>108.47</v>
      </c>
      <c r="D110" s="2">
        <v>106.81</v>
      </c>
      <c r="E110" s="2">
        <v>0.5</v>
      </c>
      <c r="F110" s="2">
        <v>0.6</v>
      </c>
    </row>
    <row r="111" spans="2:6" x14ac:dyDescent="0.2">
      <c r="B111" s="2" t="s">
        <v>86</v>
      </c>
      <c r="C111" s="2">
        <v>107.61</v>
      </c>
      <c r="D111" s="2">
        <v>105.96</v>
      </c>
      <c r="E111" s="2">
        <v>-0.8</v>
      </c>
      <c r="F111" s="2">
        <v>-0.8</v>
      </c>
    </row>
    <row r="112" spans="2:6" x14ac:dyDescent="0.2">
      <c r="B112" s="2" t="s">
        <v>87</v>
      </c>
      <c r="C112" s="2">
        <v>107.85</v>
      </c>
      <c r="D112" s="2">
        <v>106.19</v>
      </c>
      <c r="E112" s="2">
        <v>0.2</v>
      </c>
      <c r="F112" s="2">
        <v>0.2</v>
      </c>
    </row>
    <row r="113" spans="2:6" x14ac:dyDescent="0.2">
      <c r="B113" s="2" t="s">
        <v>88</v>
      </c>
      <c r="C113" s="2">
        <v>107.62</v>
      </c>
      <c r="D113" s="2">
        <v>105.85</v>
      </c>
      <c r="E113" s="2">
        <v>-0.2</v>
      </c>
      <c r="F113" s="2">
        <v>-0.3</v>
      </c>
    </row>
    <row r="114" spans="2:6" x14ac:dyDescent="0.2">
      <c r="B114" s="2" t="s">
        <v>89</v>
      </c>
      <c r="C114" s="2">
        <v>108.57</v>
      </c>
      <c r="D114" s="2">
        <v>106.77</v>
      </c>
      <c r="E114" s="2">
        <v>0.9</v>
      </c>
      <c r="F114" s="2">
        <v>0.9</v>
      </c>
    </row>
    <row r="115" spans="2:6" x14ac:dyDescent="0.2">
      <c r="B115" s="2" t="s">
        <v>90</v>
      </c>
      <c r="C115" s="2">
        <v>108.87</v>
      </c>
      <c r="D115" s="2">
        <v>107.05</v>
      </c>
      <c r="E115" s="2">
        <v>0.3</v>
      </c>
      <c r="F115" s="2">
        <v>0.3</v>
      </c>
    </row>
    <row r="116" spans="2:6" x14ac:dyDescent="0.2">
      <c r="B116" s="2" t="s">
        <v>91</v>
      </c>
      <c r="C116" s="2">
        <v>109.36</v>
      </c>
      <c r="D116" s="2">
        <v>107.53</v>
      </c>
      <c r="E116" s="2">
        <v>0.5</v>
      </c>
      <c r="F116" s="2">
        <v>0.4</v>
      </c>
    </row>
    <row r="117" spans="2:6" x14ac:dyDescent="0.2">
      <c r="B117" s="2" t="s">
        <v>92</v>
      </c>
      <c r="C117" s="2">
        <v>109.46</v>
      </c>
      <c r="D117" s="2">
        <v>107.63</v>
      </c>
      <c r="E117" s="2">
        <v>0.1</v>
      </c>
      <c r="F117" s="2">
        <v>0.1</v>
      </c>
    </row>
    <row r="118" spans="2:6" x14ac:dyDescent="0.2">
      <c r="B118" s="2" t="s">
        <v>93</v>
      </c>
      <c r="C118" s="2">
        <v>109.67</v>
      </c>
      <c r="D118" s="2">
        <v>107.84</v>
      </c>
      <c r="E118" s="2">
        <v>0.2</v>
      </c>
      <c r="F118" s="2">
        <v>0.2</v>
      </c>
    </row>
    <row r="119" spans="2:6" x14ac:dyDescent="0.2">
      <c r="B119" s="2" t="s">
        <v>94</v>
      </c>
      <c r="C119" s="2">
        <v>110.23</v>
      </c>
      <c r="D119" s="2">
        <v>108.39</v>
      </c>
      <c r="E119" s="2">
        <v>0.5</v>
      </c>
      <c r="F119" s="2">
        <v>0.5</v>
      </c>
    </row>
    <row r="120" spans="2:6" x14ac:dyDescent="0.2">
      <c r="B120" s="2" t="s">
        <v>95</v>
      </c>
      <c r="C120" s="2">
        <v>110.71</v>
      </c>
      <c r="D120" s="2">
        <v>108.87</v>
      </c>
      <c r="E120" s="2">
        <v>0.4</v>
      </c>
      <c r="F120" s="2">
        <v>0.4</v>
      </c>
    </row>
    <row r="121" spans="2:6" x14ac:dyDescent="0.2">
      <c r="B121" s="2" t="s">
        <v>96</v>
      </c>
      <c r="C121" s="2">
        <v>110.79</v>
      </c>
      <c r="D121" s="2">
        <v>108.94</v>
      </c>
      <c r="E121" s="2">
        <v>0.1</v>
      </c>
      <c r="F121" s="2">
        <v>0.1</v>
      </c>
    </row>
    <row r="122" spans="2:6" x14ac:dyDescent="0.2">
      <c r="B122" s="2" t="s">
        <v>97</v>
      </c>
      <c r="C122" s="2">
        <v>112.18</v>
      </c>
      <c r="D122" s="2">
        <v>110.31</v>
      </c>
      <c r="E122" s="2">
        <v>1.3</v>
      </c>
      <c r="F122" s="2">
        <v>1.3</v>
      </c>
    </row>
    <row r="123" spans="2:6" x14ac:dyDescent="0.2">
      <c r="B123" s="2" t="s">
        <v>98</v>
      </c>
      <c r="C123" s="2">
        <v>113.17</v>
      </c>
      <c r="D123" s="2">
        <v>111.29</v>
      </c>
      <c r="E123" s="2">
        <v>0.9</v>
      </c>
      <c r="F123" s="2">
        <v>0.9</v>
      </c>
    </row>
    <row r="124" spans="2:6" x14ac:dyDescent="0.2">
      <c r="B124" s="2" t="s">
        <v>99</v>
      </c>
      <c r="C124" s="2">
        <v>114.01</v>
      </c>
      <c r="D124" s="2">
        <v>112.12</v>
      </c>
      <c r="E124" s="2">
        <v>0.7</v>
      </c>
      <c r="F124" s="2">
        <v>0.7</v>
      </c>
    </row>
    <row r="125" spans="2:6" x14ac:dyDescent="0.2">
      <c r="B125" s="2" t="s">
        <v>100</v>
      </c>
      <c r="C125" s="2">
        <v>114.53</v>
      </c>
      <c r="D125" s="2">
        <v>113.64</v>
      </c>
      <c r="E125" s="2">
        <v>0.5</v>
      </c>
      <c r="F125" s="2">
        <v>1.4</v>
      </c>
    </row>
    <row r="126" spans="2:6" x14ac:dyDescent="0.2">
      <c r="B126" s="2" t="s">
        <v>101</v>
      </c>
      <c r="C126" s="2">
        <v>115.27</v>
      </c>
      <c r="D126" s="2">
        <v>114.37</v>
      </c>
      <c r="E126" s="2">
        <v>0.6</v>
      </c>
      <c r="F126" s="2">
        <v>0.6</v>
      </c>
    </row>
    <row r="127" spans="2:6" x14ac:dyDescent="0.2">
      <c r="B127" s="2" t="s">
        <v>102</v>
      </c>
      <c r="C127" s="2">
        <v>119.46</v>
      </c>
      <c r="D127" s="2">
        <v>118.49</v>
      </c>
      <c r="E127" s="2">
        <v>3.6</v>
      </c>
      <c r="F127" s="2">
        <v>3.6</v>
      </c>
    </row>
    <row r="128" spans="2:6" x14ac:dyDescent="0.2">
      <c r="B128" s="2" t="s">
        <v>103</v>
      </c>
      <c r="C128" s="2">
        <v>119.81</v>
      </c>
      <c r="D128" s="2">
        <v>119.21</v>
      </c>
      <c r="E128" s="2">
        <v>0.3</v>
      </c>
      <c r="F128" s="2">
        <v>0.6</v>
      </c>
    </row>
    <row r="129" spans="2:6" x14ac:dyDescent="0.2">
      <c r="B129" s="2" t="s">
        <v>104</v>
      </c>
      <c r="C129" s="2">
        <v>119.05</v>
      </c>
      <c r="D129" s="2">
        <v>118.46</v>
      </c>
      <c r="E129" s="2">
        <v>-0.6</v>
      </c>
      <c r="F129" s="2">
        <v>-0.6</v>
      </c>
    </row>
    <row r="130" spans="2:6" x14ac:dyDescent="0.2">
      <c r="B130" s="2" t="s">
        <v>105</v>
      </c>
      <c r="C130" s="2">
        <v>119.05</v>
      </c>
      <c r="D130" s="2">
        <v>118.47</v>
      </c>
      <c r="E130" s="2">
        <v>0</v>
      </c>
      <c r="F130" s="2">
        <v>0</v>
      </c>
    </row>
    <row r="131" spans="2:6" x14ac:dyDescent="0.2">
      <c r="B131" s="2" t="s">
        <v>106</v>
      </c>
      <c r="C131" s="2">
        <v>121.57</v>
      </c>
      <c r="D131" s="2">
        <v>121.88</v>
      </c>
      <c r="E131" s="2">
        <v>2.1</v>
      </c>
      <c r="F131" s="2">
        <v>2.9</v>
      </c>
    </row>
    <row r="132" spans="2:6" x14ac:dyDescent="0.2">
      <c r="B132" s="2" t="s">
        <v>107</v>
      </c>
      <c r="C132" s="2">
        <v>123.95</v>
      </c>
      <c r="D132" s="2">
        <v>124.45</v>
      </c>
      <c r="E132" s="2">
        <v>2</v>
      </c>
      <c r="F132" s="2">
        <v>2.1</v>
      </c>
    </row>
    <row r="133" spans="2:6" x14ac:dyDescent="0.2">
      <c r="B133" s="2" t="s">
        <v>108</v>
      </c>
      <c r="C133" s="2">
        <v>126.89</v>
      </c>
      <c r="D133" s="2">
        <v>127.63</v>
      </c>
      <c r="E133" s="2">
        <v>2.4</v>
      </c>
      <c r="F133" s="2">
        <v>2.6</v>
      </c>
    </row>
    <row r="134" spans="2:6" x14ac:dyDescent="0.2">
      <c r="B134" s="2" t="s">
        <v>109</v>
      </c>
      <c r="C134" s="2">
        <v>128.25</v>
      </c>
      <c r="D134" s="2">
        <v>128.97999999999999</v>
      </c>
      <c r="E134" s="2">
        <v>1.1000000000000001</v>
      </c>
      <c r="F134" s="2">
        <v>1.1000000000000001</v>
      </c>
    </row>
    <row r="135" spans="2:6" x14ac:dyDescent="0.2">
      <c r="B135" s="2" t="s">
        <v>110</v>
      </c>
      <c r="C135" s="2">
        <v>124.35</v>
      </c>
      <c r="D135" s="2">
        <v>124.77</v>
      </c>
      <c r="E135" s="2">
        <v>-3</v>
      </c>
      <c r="F135" s="2">
        <v>-3.3</v>
      </c>
    </row>
    <row r="136" spans="2:6" x14ac:dyDescent="0.2">
      <c r="B136" s="2" t="s">
        <v>111</v>
      </c>
      <c r="C136" s="2">
        <v>124.94</v>
      </c>
      <c r="D136" s="2">
        <v>125.34</v>
      </c>
      <c r="E136" s="2">
        <v>0.5</v>
      </c>
      <c r="F136" s="2">
        <v>0.5</v>
      </c>
    </row>
    <row r="137" spans="2:6" x14ac:dyDescent="0.2">
      <c r="B137" s="2" t="s">
        <v>112</v>
      </c>
      <c r="C137" s="2">
        <v>123.21</v>
      </c>
      <c r="D137" s="2">
        <v>122.28</v>
      </c>
      <c r="E137" s="2">
        <v>-1.4</v>
      </c>
      <c r="F137" s="2">
        <v>-2.4</v>
      </c>
    </row>
    <row r="138" spans="2:6" x14ac:dyDescent="0.2">
      <c r="B138" s="2" t="s">
        <v>113</v>
      </c>
      <c r="C138" s="2">
        <v>124.45</v>
      </c>
      <c r="D138" s="2">
        <v>123.53</v>
      </c>
      <c r="E138" s="2">
        <v>1</v>
      </c>
      <c r="F138" s="2">
        <v>1</v>
      </c>
    </row>
    <row r="139" spans="2:6" x14ac:dyDescent="0.2">
      <c r="B139" s="2" t="s">
        <v>114</v>
      </c>
      <c r="C139" s="2">
        <v>124.72</v>
      </c>
      <c r="D139" s="2">
        <v>123.82</v>
      </c>
      <c r="E139" s="2">
        <v>0.2</v>
      </c>
      <c r="F139" s="2">
        <v>0.2</v>
      </c>
    </row>
    <row r="140" spans="2:6" x14ac:dyDescent="0.2">
      <c r="B140" s="2" t="s">
        <v>115</v>
      </c>
      <c r="C140" s="2">
        <v>126.01</v>
      </c>
      <c r="D140" s="2">
        <v>125.12</v>
      </c>
      <c r="E140" s="2">
        <v>1</v>
      </c>
      <c r="F140" s="2">
        <v>1</v>
      </c>
    </row>
    <row r="141" spans="2:6" x14ac:dyDescent="0.2">
      <c r="B141" s="2" t="s">
        <v>116</v>
      </c>
      <c r="C141" s="2">
        <v>126.26</v>
      </c>
      <c r="D141" s="2">
        <v>125.37</v>
      </c>
      <c r="E141" s="2">
        <v>0.2</v>
      </c>
      <c r="F141" s="2">
        <v>0.2</v>
      </c>
    </row>
    <row r="142" spans="2:6" x14ac:dyDescent="0.2">
      <c r="B142" s="2" t="s">
        <v>117</v>
      </c>
      <c r="C142" s="2">
        <v>125.83</v>
      </c>
      <c r="D142" s="2">
        <v>124.88</v>
      </c>
      <c r="E142" s="2">
        <v>-0.3</v>
      </c>
      <c r="F142" s="2">
        <v>-0.4</v>
      </c>
    </row>
    <row r="143" spans="2:6" x14ac:dyDescent="0.2">
      <c r="B143" s="2" t="s">
        <v>118</v>
      </c>
      <c r="C143" s="2">
        <v>127.13</v>
      </c>
      <c r="D143" s="2">
        <v>125.85</v>
      </c>
      <c r="E143" s="2">
        <v>1</v>
      </c>
      <c r="F143" s="2">
        <v>0.8</v>
      </c>
    </row>
    <row r="144" spans="2:6" x14ac:dyDescent="0.2">
      <c r="B144" s="2" t="s">
        <v>119</v>
      </c>
      <c r="C144" s="2">
        <v>127.7</v>
      </c>
      <c r="D144" s="2">
        <v>126.38</v>
      </c>
      <c r="E144" s="2">
        <v>0.4</v>
      </c>
      <c r="F144" s="2">
        <v>0.4</v>
      </c>
    </row>
    <row r="145" spans="2:6" x14ac:dyDescent="0.2">
      <c r="B145" s="2" t="s">
        <v>143</v>
      </c>
      <c r="C145" s="2">
        <v>127.16</v>
      </c>
      <c r="D145" s="2">
        <v>125.85</v>
      </c>
      <c r="E145" s="2">
        <v>-0.4</v>
      </c>
      <c r="F145" s="2">
        <v>-0.4</v>
      </c>
    </row>
    <row r="146" spans="2:6" x14ac:dyDescent="0.2">
      <c r="B146" s="2" t="s">
        <v>144</v>
      </c>
    </row>
  </sheetData>
  <sheetProtection algorithmName="SHA-512" hashValue="6czVw55cS83J5xoxnxNvOIrwhJPquo9P7PbuyARiTEzWkKXDISB4YQahcp2U9+NcvH19I9mBUhLpdR2PIyBMvQ==" saltValue="Unj3N6iR0SGmkvHCGEF/nQ==" spinCount="100000" sheet="1" objects="1" scenarios="1"/>
  <hyperlinks>
    <hyperlink ref="B81" r:id="rId1" location="/CBS/nl/dataset/83131NED/table?dl=974CE" xr:uid="{70B89322-0B54-4266-95EC-0F338ECB3BF1}"/>
  </hyperlinks>
  <pageMargins left="0.7" right="0.7" top="0.75" bottom="0.75" header="0.3" footer="0.3"/>
  <pageSetup paperSize="9" orientation="portrait" r:id="rId2"/>
  <ignoredErrors>
    <ignoredError sqref="P8:P43 L8:L4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BAED-7D55-4B66-B07B-3DC878C8D33C}">
  <dimension ref="A1:M65"/>
  <sheetViews>
    <sheetView zoomScaleNormal="100" workbookViewId="0">
      <selection activeCell="E23" sqref="E23"/>
    </sheetView>
  </sheetViews>
  <sheetFormatPr defaultRowHeight="14.3" x14ac:dyDescent="0.25"/>
  <cols>
    <col min="1" max="1" width="14.75" customWidth="1"/>
    <col min="2" max="2" width="13.375" style="23" customWidth="1"/>
    <col min="3" max="3" width="12.375" style="23" customWidth="1"/>
    <col min="4" max="4" width="13.125" customWidth="1"/>
    <col min="5" max="5" width="13.25" customWidth="1"/>
    <col min="6" max="6" width="15" customWidth="1"/>
    <col min="7" max="7" width="19.125" customWidth="1"/>
  </cols>
  <sheetData>
    <row r="1" spans="1:13" x14ac:dyDescent="0.25">
      <c r="A1" t="s">
        <v>145</v>
      </c>
    </row>
    <row r="2" spans="1:13" x14ac:dyDescent="0.25">
      <c r="A2" t="s">
        <v>146</v>
      </c>
    </row>
    <row r="3" spans="1:13" x14ac:dyDescent="0.25">
      <c r="B3" s="23" t="s">
        <v>147</v>
      </c>
    </row>
    <row r="4" spans="1:13" ht="42.8" x14ac:dyDescent="0.25">
      <c r="B4" s="24" t="s">
        <v>7</v>
      </c>
      <c r="C4" s="24" t="s">
        <v>72</v>
      </c>
      <c r="D4" s="25" t="s">
        <v>126</v>
      </c>
      <c r="E4" s="25" t="s">
        <v>127</v>
      </c>
      <c r="F4" s="25" t="s">
        <v>13</v>
      </c>
      <c r="G4" s="25" t="s">
        <v>148</v>
      </c>
      <c r="H4" s="25" t="s">
        <v>149</v>
      </c>
      <c r="I4" s="25" t="s">
        <v>150</v>
      </c>
    </row>
    <row r="5" spans="1:13" x14ac:dyDescent="0.25">
      <c r="A5" t="s">
        <v>128</v>
      </c>
      <c r="B5" s="23" t="s">
        <v>129</v>
      </c>
      <c r="C5" s="23" t="s">
        <v>129</v>
      </c>
      <c r="D5" t="s">
        <v>130</v>
      </c>
      <c r="E5" t="s">
        <v>130</v>
      </c>
      <c r="F5" t="s">
        <v>130</v>
      </c>
      <c r="G5" t="s">
        <v>130</v>
      </c>
    </row>
    <row r="6" spans="1:13" x14ac:dyDescent="0.25">
      <c r="A6" t="s">
        <v>131</v>
      </c>
      <c r="B6" s="23">
        <v>104.05</v>
      </c>
      <c r="C6" s="23">
        <v>102.56</v>
      </c>
      <c r="D6">
        <v>0.1</v>
      </c>
      <c r="E6">
        <v>-0.9</v>
      </c>
      <c r="F6">
        <v>2.2000000000000002</v>
      </c>
      <c r="G6">
        <v>1</v>
      </c>
      <c r="K6" s="91"/>
      <c r="L6" s="91"/>
    </row>
    <row r="7" spans="1:13" x14ac:dyDescent="0.25">
      <c r="A7" t="s">
        <v>132</v>
      </c>
      <c r="B7" s="23">
        <v>104.97</v>
      </c>
      <c r="C7" s="23">
        <v>103.47</v>
      </c>
      <c r="D7" s="91">
        <f t="shared" ref="D7:D17" si="0">100*((B7/B6)-1)</f>
        <v>0.88419029312829522</v>
      </c>
      <c r="E7" s="91">
        <f t="shared" ref="E7:E17" si="1">100*((C7/C6)-1)</f>
        <v>0.88728549141965374</v>
      </c>
      <c r="F7">
        <v>2.6</v>
      </c>
      <c r="G7">
        <v>1.4</v>
      </c>
      <c r="K7" s="91"/>
      <c r="L7" s="91"/>
    </row>
    <row r="8" spans="1:13" x14ac:dyDescent="0.25">
      <c r="A8" t="s">
        <v>133</v>
      </c>
      <c r="B8" s="23">
        <v>105.37</v>
      </c>
      <c r="C8" s="23">
        <v>103.86</v>
      </c>
      <c r="D8" s="91">
        <f t="shared" si="0"/>
        <v>0.38106125559684845</v>
      </c>
      <c r="E8" s="91">
        <f t="shared" si="1"/>
        <v>0.37692084662221959</v>
      </c>
      <c r="F8">
        <v>2.8</v>
      </c>
      <c r="G8">
        <v>1.7</v>
      </c>
      <c r="K8" s="91"/>
      <c r="L8" s="91"/>
    </row>
    <row r="9" spans="1:13" x14ac:dyDescent="0.25">
      <c r="A9" t="s">
        <v>134</v>
      </c>
      <c r="B9" s="23">
        <v>106.08</v>
      </c>
      <c r="C9" s="23">
        <v>104.55</v>
      </c>
      <c r="D9" s="91">
        <f t="shared" si="0"/>
        <v>0.67381607668215437</v>
      </c>
      <c r="E9" s="91">
        <f t="shared" si="1"/>
        <v>0.66435586366262456</v>
      </c>
      <c r="F9">
        <v>2.9</v>
      </c>
      <c r="G9">
        <v>1.8</v>
      </c>
      <c r="K9" s="91"/>
      <c r="L9" s="91"/>
    </row>
    <row r="10" spans="1:13" x14ac:dyDescent="0.25">
      <c r="A10" t="s">
        <v>135</v>
      </c>
      <c r="B10" s="23">
        <v>105.94</v>
      </c>
      <c r="C10" s="23">
        <v>104.42</v>
      </c>
      <c r="D10" s="91">
        <f t="shared" si="0"/>
        <v>-0.13197586726998445</v>
      </c>
      <c r="E10" s="91">
        <f t="shared" si="1"/>
        <v>-0.12434241989478512</v>
      </c>
      <c r="F10">
        <v>2.4</v>
      </c>
      <c r="G10">
        <v>1.4</v>
      </c>
      <c r="K10" s="91"/>
      <c r="L10" s="91"/>
    </row>
    <row r="11" spans="1:13" x14ac:dyDescent="0.25">
      <c r="A11" t="s">
        <v>136</v>
      </c>
      <c r="B11" s="23">
        <v>105.84</v>
      </c>
      <c r="C11" s="23">
        <v>104.32</v>
      </c>
      <c r="D11" s="91">
        <f t="shared" si="0"/>
        <v>-9.439305267131548E-2</v>
      </c>
      <c r="E11" s="91">
        <f t="shared" si="1"/>
        <v>-9.5767094426357779E-2</v>
      </c>
      <c r="F11">
        <v>2.7</v>
      </c>
      <c r="G11">
        <v>1.6</v>
      </c>
      <c r="K11" s="91"/>
      <c r="L11" s="91"/>
    </row>
    <row r="12" spans="1:13" x14ac:dyDescent="0.25">
      <c r="A12" t="s">
        <v>137</v>
      </c>
      <c r="B12" s="23">
        <v>106.9</v>
      </c>
      <c r="C12" s="23">
        <v>105.37</v>
      </c>
      <c r="D12" s="91">
        <f t="shared" si="0"/>
        <v>1.0015117157974318</v>
      </c>
      <c r="E12" s="91">
        <f t="shared" si="1"/>
        <v>1.0065184049079967</v>
      </c>
      <c r="F12">
        <v>2.5</v>
      </c>
      <c r="G12">
        <v>1.5</v>
      </c>
      <c r="K12" s="91"/>
      <c r="L12" s="91"/>
    </row>
    <row r="13" spans="1:13" x14ac:dyDescent="0.25">
      <c r="A13" t="s">
        <v>138</v>
      </c>
      <c r="B13" s="23">
        <v>107.37</v>
      </c>
      <c r="C13" s="23">
        <v>105.83</v>
      </c>
      <c r="D13" s="91">
        <f t="shared" si="0"/>
        <v>0.43966323666977392</v>
      </c>
      <c r="E13" s="91">
        <f t="shared" si="1"/>
        <v>0.43655689475181614</v>
      </c>
      <c r="F13">
        <v>2.8</v>
      </c>
      <c r="G13">
        <v>1.8</v>
      </c>
      <c r="K13" s="91"/>
      <c r="L13" s="91"/>
    </row>
    <row r="14" spans="1:13" x14ac:dyDescent="0.25">
      <c r="A14" t="s">
        <v>139</v>
      </c>
      <c r="B14" s="23">
        <v>106.7</v>
      </c>
      <c r="C14" s="23">
        <v>105.17</v>
      </c>
      <c r="D14" s="91">
        <f t="shared" si="0"/>
        <v>-0.62401043121914634</v>
      </c>
      <c r="E14" s="91">
        <f t="shared" si="1"/>
        <v>-0.62364168950203025</v>
      </c>
      <c r="F14">
        <v>2.6</v>
      </c>
      <c r="G14">
        <v>1.6</v>
      </c>
      <c r="K14" s="91"/>
      <c r="L14" s="91"/>
    </row>
    <row r="15" spans="1:13" x14ac:dyDescent="0.25">
      <c r="A15" t="s">
        <v>140</v>
      </c>
      <c r="B15" s="23">
        <v>107.16</v>
      </c>
      <c r="C15" s="23">
        <v>105.63</v>
      </c>
      <c r="D15" s="91">
        <f t="shared" si="0"/>
        <v>0.43111527647610171</v>
      </c>
      <c r="E15" s="91">
        <f t="shared" si="1"/>
        <v>0.437387087572505</v>
      </c>
      <c r="F15">
        <v>2.7</v>
      </c>
      <c r="G15">
        <v>1.7</v>
      </c>
      <c r="K15" s="91"/>
      <c r="L15" s="91"/>
      <c r="M15" s="87"/>
    </row>
    <row r="16" spans="1:13" x14ac:dyDescent="0.25">
      <c r="A16" t="s">
        <v>141</v>
      </c>
      <c r="B16" s="23">
        <v>106.73</v>
      </c>
      <c r="C16" s="23">
        <v>105.21</v>
      </c>
      <c r="D16" s="91">
        <f t="shared" si="0"/>
        <v>-0.40126913027248579</v>
      </c>
      <c r="E16" s="91">
        <f t="shared" si="1"/>
        <v>-0.39761431411531323</v>
      </c>
      <c r="F16">
        <v>2.6</v>
      </c>
      <c r="G16">
        <v>1.6</v>
      </c>
      <c r="K16" s="91"/>
      <c r="L16" s="91"/>
      <c r="M16" s="87"/>
    </row>
    <row r="17" spans="1:13" x14ac:dyDescent="0.25">
      <c r="A17" t="s">
        <v>142</v>
      </c>
      <c r="B17" s="23">
        <v>106.8</v>
      </c>
      <c r="C17" s="23">
        <v>105.28</v>
      </c>
      <c r="D17" s="91">
        <f t="shared" si="0"/>
        <v>6.5586058277888881E-2</v>
      </c>
      <c r="E17" s="91">
        <f t="shared" si="1"/>
        <v>6.6533599467732962E-2</v>
      </c>
      <c r="F17">
        <v>2.7</v>
      </c>
      <c r="G17">
        <v>1.7</v>
      </c>
      <c r="K17" s="91"/>
      <c r="L17" s="91"/>
      <c r="M17" s="87"/>
    </row>
    <row r="18" spans="1:13" x14ac:dyDescent="0.25">
      <c r="A18" t="s">
        <v>76</v>
      </c>
      <c r="B18" s="23">
        <v>105.97</v>
      </c>
      <c r="C18" s="23">
        <v>104.58</v>
      </c>
      <c r="D18" s="91">
        <f>100*((B18/B17)-1)</f>
        <v>-0.77715355805243469</v>
      </c>
      <c r="E18" s="91">
        <f>100*((C18/C17)-1)</f>
        <v>-0.66489361702127825</v>
      </c>
      <c r="F18" s="26">
        <f t="shared" ref="F18:G33" si="2">100*((B18/B6)-1)</f>
        <v>1.8452666987025523</v>
      </c>
      <c r="G18" s="26">
        <f t="shared" si="2"/>
        <v>1.9695787831513156</v>
      </c>
      <c r="H18" s="23">
        <f>SUM(D7:D18)</f>
        <v>1.8481418731431276</v>
      </c>
      <c r="I18" s="23">
        <f>SUM(E7:E18)</f>
        <v>1.9692990534447841</v>
      </c>
      <c r="K18" s="91"/>
      <c r="L18" s="91"/>
      <c r="M18" s="87"/>
    </row>
    <row r="19" spans="1:13" x14ac:dyDescent="0.25">
      <c r="A19" t="s">
        <v>77</v>
      </c>
      <c r="B19" s="23">
        <v>106.64</v>
      </c>
      <c r="C19" s="23">
        <v>105.24</v>
      </c>
      <c r="D19" s="91">
        <f t="shared" ref="D19:D65" si="3">100*((B19/B18)-1)</f>
        <v>0.6322544116259321</v>
      </c>
      <c r="E19" s="91">
        <f t="shared" ref="E19:E65" si="4">100*((C19/C18)-1)</f>
        <v>0.63109581181870489</v>
      </c>
      <c r="F19" s="26">
        <f t="shared" si="2"/>
        <v>1.5909307421168029</v>
      </c>
      <c r="G19" s="26">
        <f t="shared" si="2"/>
        <v>1.710640765439253</v>
      </c>
      <c r="H19" s="23">
        <f t="shared" ref="H19:I19" si="5">SUM(D8:D19)</f>
        <v>1.5962059916407645</v>
      </c>
      <c r="I19" s="23">
        <f t="shared" si="5"/>
        <v>1.7131093738438352</v>
      </c>
      <c r="K19" s="91"/>
      <c r="L19" s="91"/>
    </row>
    <row r="20" spans="1:13" x14ac:dyDescent="0.25">
      <c r="A20" t="s">
        <v>78</v>
      </c>
      <c r="B20" s="23">
        <v>106.85</v>
      </c>
      <c r="C20" s="23">
        <v>105.44</v>
      </c>
      <c r="D20" s="91">
        <f t="shared" si="3"/>
        <v>0.19692423105774903</v>
      </c>
      <c r="E20" s="91">
        <f t="shared" si="4"/>
        <v>0.19004180919801605</v>
      </c>
      <c r="F20" s="26">
        <f t="shared" si="2"/>
        <v>1.4045743570276104</v>
      </c>
      <c r="G20" s="26">
        <f t="shared" si="2"/>
        <v>1.5212786443288939</v>
      </c>
      <c r="H20" s="23">
        <f t="shared" ref="H20:I20" si="6">SUM(D9:D20)</f>
        <v>1.4120689671016651</v>
      </c>
      <c r="I20" s="23">
        <f t="shared" si="6"/>
        <v>1.5262303364196317</v>
      </c>
      <c r="K20" s="91"/>
      <c r="L20" s="91"/>
    </row>
    <row r="21" spans="1:13" x14ac:dyDescent="0.25">
      <c r="A21" t="s">
        <v>79</v>
      </c>
      <c r="B21" s="23">
        <v>107.34</v>
      </c>
      <c r="C21" s="23">
        <v>105.91</v>
      </c>
      <c r="D21" s="91">
        <f t="shared" si="3"/>
        <v>0.45858680393076057</v>
      </c>
      <c r="E21" s="91">
        <f t="shared" si="4"/>
        <v>0.44575113808800193</v>
      </c>
      <c r="F21" s="26">
        <f t="shared" si="2"/>
        <v>1.18778280542986</v>
      </c>
      <c r="G21" s="26">
        <f t="shared" si="2"/>
        <v>1.3008130081300751</v>
      </c>
      <c r="H21" s="23">
        <f t="shared" ref="H21:I21" si="7">SUM(D10:D21)</f>
        <v>1.1968396943502713</v>
      </c>
      <c r="I21" s="23">
        <f t="shared" si="7"/>
        <v>1.3076256108450091</v>
      </c>
      <c r="K21" s="91"/>
      <c r="L21" s="91"/>
    </row>
    <row r="22" spans="1:13" x14ac:dyDescent="0.25">
      <c r="A22" t="s">
        <v>80</v>
      </c>
      <c r="B22" s="23">
        <v>107.18</v>
      </c>
      <c r="C22" s="23">
        <v>105.62</v>
      </c>
      <c r="D22" s="91">
        <f t="shared" si="3"/>
        <v>-0.14905906465436658</v>
      </c>
      <c r="E22" s="91">
        <f t="shared" si="4"/>
        <v>-0.27381739212538614</v>
      </c>
      <c r="F22" s="26">
        <f t="shared" si="2"/>
        <v>1.1704738531244097</v>
      </c>
      <c r="G22" s="26">
        <f t="shared" si="2"/>
        <v>1.1492051331162711</v>
      </c>
      <c r="H22" s="23">
        <f t="shared" ref="H22:I22" si="8">SUM(D11:D22)</f>
        <v>1.1797564969658891</v>
      </c>
      <c r="I22" s="23">
        <f t="shared" si="8"/>
        <v>1.158150638614408</v>
      </c>
      <c r="K22" s="91"/>
      <c r="L22" s="91"/>
    </row>
    <row r="23" spans="1:13" x14ac:dyDescent="0.25">
      <c r="A23" t="s">
        <v>81</v>
      </c>
      <c r="B23" s="23">
        <v>107.51</v>
      </c>
      <c r="C23" s="23">
        <v>105.83</v>
      </c>
      <c r="D23" s="91">
        <f t="shared" si="3"/>
        <v>0.30789326366860159</v>
      </c>
      <c r="E23" s="91">
        <f t="shared" si="4"/>
        <v>0.19882597992804119</v>
      </c>
      <c r="F23" s="26">
        <f t="shared" si="2"/>
        <v>1.5778533635676606</v>
      </c>
      <c r="G23" s="26">
        <f t="shared" si="2"/>
        <v>1.4474693251533832</v>
      </c>
      <c r="H23" s="23">
        <f t="shared" ref="H23:I23" si="9">SUM(D12:D23)</f>
        <v>1.5820428133058062</v>
      </c>
      <c r="I23" s="23">
        <f t="shared" si="9"/>
        <v>1.452743712968807</v>
      </c>
      <c r="K23" s="91"/>
      <c r="L23" s="91"/>
    </row>
    <row r="24" spans="1:13" x14ac:dyDescent="0.25">
      <c r="A24" t="s">
        <v>82</v>
      </c>
      <c r="B24" s="23">
        <v>108.69</v>
      </c>
      <c r="C24" s="23">
        <v>107.01</v>
      </c>
      <c r="D24" s="91">
        <f t="shared" si="3"/>
        <v>1.0975723188540565</v>
      </c>
      <c r="E24" s="91">
        <f t="shared" si="4"/>
        <v>1.1149957478975736</v>
      </c>
      <c r="F24" s="26">
        <f t="shared" si="2"/>
        <v>1.6744621141253413</v>
      </c>
      <c r="G24" s="26">
        <f t="shared" si="2"/>
        <v>1.5564202334630295</v>
      </c>
      <c r="H24" s="23">
        <f t="shared" ref="H24:I24" si="10">SUM(D13:D24)</f>
        <v>1.6781034163624309</v>
      </c>
      <c r="I24" s="23">
        <f t="shared" si="10"/>
        <v>1.5612210559583839</v>
      </c>
      <c r="K24" s="91"/>
      <c r="L24" s="91"/>
    </row>
    <row r="25" spans="1:13" x14ac:dyDescent="0.25">
      <c r="A25" t="s">
        <v>83</v>
      </c>
      <c r="B25" s="23">
        <v>108.13</v>
      </c>
      <c r="C25" s="23">
        <v>106.46</v>
      </c>
      <c r="D25" s="91">
        <f t="shared" si="3"/>
        <v>-0.51522679179317743</v>
      </c>
      <c r="E25" s="91">
        <f t="shared" si="4"/>
        <v>-0.51397065694795963</v>
      </c>
      <c r="F25" s="26">
        <f t="shared" si="2"/>
        <v>0.70783272795007512</v>
      </c>
      <c r="G25" s="26">
        <f t="shared" si="2"/>
        <v>0.59529433997920211</v>
      </c>
      <c r="H25" s="23">
        <f t="shared" ref="H25:I25" si="11">SUM(D14:D25)</f>
        <v>0.72321338789947953</v>
      </c>
      <c r="I25" s="23">
        <f t="shared" si="11"/>
        <v>0.61069350425860813</v>
      </c>
      <c r="K25" s="91"/>
      <c r="L25" s="91"/>
    </row>
    <row r="26" spans="1:13" x14ac:dyDescent="0.25">
      <c r="A26" t="s">
        <v>84</v>
      </c>
      <c r="B26" s="23">
        <v>107.88</v>
      </c>
      <c r="C26" s="23">
        <v>106.21</v>
      </c>
      <c r="D26" s="91">
        <f t="shared" si="3"/>
        <v>-0.23120318135577689</v>
      </c>
      <c r="E26" s="91">
        <f t="shared" si="4"/>
        <v>-0.23482998309224401</v>
      </c>
      <c r="F26" s="26">
        <f t="shared" si="2"/>
        <v>1.1059044048734812</v>
      </c>
      <c r="G26" s="26">
        <f t="shared" si="2"/>
        <v>0.98887515451173691</v>
      </c>
      <c r="H26" s="23">
        <f t="shared" ref="H26:I26" si="12">SUM(D15:D26)</f>
        <v>1.116020637762849</v>
      </c>
      <c r="I26" s="23">
        <f t="shared" si="12"/>
        <v>0.99950521066839437</v>
      </c>
      <c r="K26" s="91"/>
      <c r="L26" s="91"/>
    </row>
    <row r="27" spans="1:13" x14ac:dyDescent="0.25">
      <c r="A27" t="s">
        <v>85</v>
      </c>
      <c r="B27" s="23">
        <v>108.47</v>
      </c>
      <c r="C27" s="23">
        <v>106.81</v>
      </c>
      <c r="D27" s="91">
        <f t="shared" si="3"/>
        <v>0.54690396737115954</v>
      </c>
      <c r="E27" s="91">
        <f t="shared" si="4"/>
        <v>0.56491855757463405</v>
      </c>
      <c r="F27" s="26">
        <f t="shared" si="2"/>
        <v>1.2224710712952724</v>
      </c>
      <c r="G27" s="26">
        <f t="shared" si="2"/>
        <v>1.1171068825144514</v>
      </c>
      <c r="H27" s="23">
        <f t="shared" ref="H27:I27" si="13">SUM(D16:D27)</f>
        <v>1.2318093286579068</v>
      </c>
      <c r="I27" s="23">
        <f t="shared" si="13"/>
        <v>1.1270366806705234</v>
      </c>
      <c r="K27" s="91"/>
      <c r="L27" s="91"/>
    </row>
    <row r="28" spans="1:13" x14ac:dyDescent="0.25">
      <c r="A28" t="s">
        <v>86</v>
      </c>
      <c r="B28" s="23">
        <v>107.61</v>
      </c>
      <c r="C28" s="23">
        <v>105.96</v>
      </c>
      <c r="D28" s="91">
        <f t="shared" si="3"/>
        <v>-0.79284594818843646</v>
      </c>
      <c r="E28" s="91">
        <f t="shared" si="4"/>
        <v>-0.79580563617639433</v>
      </c>
      <c r="F28" s="26">
        <f t="shared" si="2"/>
        <v>0.82451044692213316</v>
      </c>
      <c r="G28" s="26">
        <f t="shared" si="2"/>
        <v>0.71285999429711033</v>
      </c>
      <c r="H28" s="23">
        <f t="shared" ref="H28:I28" si="14">SUM(D17:D28)</f>
        <v>0.84023251074195615</v>
      </c>
      <c r="I28" s="23">
        <f t="shared" si="14"/>
        <v>0.72884535860944233</v>
      </c>
      <c r="K28" s="91"/>
      <c r="L28" s="91"/>
    </row>
    <row r="29" spans="1:13" x14ac:dyDescent="0.25">
      <c r="A29" t="s">
        <v>87</v>
      </c>
      <c r="B29" s="23">
        <v>107.85</v>
      </c>
      <c r="C29" s="23">
        <v>106.19</v>
      </c>
      <c r="D29" s="91">
        <f t="shared" si="3"/>
        <v>0.2230275996654596</v>
      </c>
      <c r="E29" s="91">
        <f t="shared" si="4"/>
        <v>0.2170630426576059</v>
      </c>
      <c r="F29" s="26">
        <f t="shared" si="2"/>
        <v>0.98314606741571886</v>
      </c>
      <c r="G29" s="26">
        <f t="shared" si="2"/>
        <v>0.86436170212764729</v>
      </c>
      <c r="H29" s="23">
        <f t="shared" ref="H29:I29" si="15">SUM(D18:D29)</f>
        <v>0.99767405212952687</v>
      </c>
      <c r="I29" s="23">
        <f t="shared" si="15"/>
        <v>0.87937480179931526</v>
      </c>
      <c r="K29" s="91"/>
      <c r="L29" s="91"/>
    </row>
    <row r="30" spans="1:13" x14ac:dyDescent="0.25">
      <c r="A30" t="s">
        <v>88</v>
      </c>
      <c r="B30" s="23">
        <v>107.62</v>
      </c>
      <c r="C30" s="23">
        <v>105.85</v>
      </c>
      <c r="D30" s="91">
        <f t="shared" si="3"/>
        <v>-0.21325915623550129</v>
      </c>
      <c r="E30" s="91">
        <f t="shared" si="4"/>
        <v>-0.32018080798569271</v>
      </c>
      <c r="F30" s="26">
        <f t="shared" si="2"/>
        <v>1.5570444465414779</v>
      </c>
      <c r="G30" s="26">
        <f t="shared" si="2"/>
        <v>1.2143813348632682</v>
      </c>
      <c r="H30" s="23">
        <f t="shared" ref="H30:I30" si="16">SUM(D19:D30)</f>
        <v>1.5615684539464603</v>
      </c>
      <c r="I30" s="23">
        <f t="shared" si="16"/>
        <v>1.2240876108349008</v>
      </c>
    </row>
    <row r="31" spans="1:13" x14ac:dyDescent="0.25">
      <c r="A31" t="s">
        <v>89</v>
      </c>
      <c r="B31" s="23">
        <v>108.57</v>
      </c>
      <c r="C31" s="23">
        <v>106.77</v>
      </c>
      <c r="D31" s="91">
        <f t="shared" si="3"/>
        <v>0.88273555101281431</v>
      </c>
      <c r="E31" s="91">
        <f t="shared" si="4"/>
        <v>0.86915446386395256</v>
      </c>
      <c r="F31" s="26">
        <f t="shared" si="2"/>
        <v>1.8098274568641992</v>
      </c>
      <c r="G31" s="26">
        <f t="shared" si="2"/>
        <v>1.4538198403648783</v>
      </c>
      <c r="H31" s="23">
        <f t="shared" ref="H31:I31" si="17">SUM(D20:D31)</f>
        <v>1.8120495933333425</v>
      </c>
      <c r="I31" s="23">
        <f t="shared" si="17"/>
        <v>1.4621462628801485</v>
      </c>
    </row>
    <row r="32" spans="1:13" x14ac:dyDescent="0.25">
      <c r="A32" t="s">
        <v>90</v>
      </c>
      <c r="B32" s="23">
        <v>108.87</v>
      </c>
      <c r="C32" s="23">
        <v>107.05</v>
      </c>
      <c r="D32" s="91">
        <f t="shared" si="3"/>
        <v>0.27631942525561115</v>
      </c>
      <c r="E32" s="91">
        <f t="shared" si="4"/>
        <v>0.26224594923667244</v>
      </c>
      <c r="F32" s="26">
        <f t="shared" si="2"/>
        <v>1.8905007019185849</v>
      </c>
      <c r="G32" s="26">
        <f t="shared" si="2"/>
        <v>1.5269347496206453</v>
      </c>
      <c r="H32" s="23">
        <f t="shared" ref="H32:I32" si="18">SUM(D21:D32)</f>
        <v>1.8914447875312046</v>
      </c>
      <c r="I32" s="23">
        <f t="shared" si="18"/>
        <v>1.5343504029188049</v>
      </c>
    </row>
    <row r="33" spans="1:9" x14ac:dyDescent="0.25">
      <c r="A33" t="s">
        <v>91</v>
      </c>
      <c r="B33" s="23">
        <v>109.36</v>
      </c>
      <c r="C33" s="23">
        <v>107.53</v>
      </c>
      <c r="D33" s="91">
        <f t="shared" si="3"/>
        <v>0.45007807476806772</v>
      </c>
      <c r="E33" s="91">
        <f t="shared" si="4"/>
        <v>0.44838860345632892</v>
      </c>
      <c r="F33" s="26">
        <f t="shared" si="2"/>
        <v>1.8818706912614003</v>
      </c>
      <c r="G33" s="26">
        <f t="shared" si="2"/>
        <v>1.5296006042866628</v>
      </c>
      <c r="H33" s="23">
        <f t="shared" ref="H33:I33" si="19">SUM(D22:D33)</f>
        <v>1.8829360583685117</v>
      </c>
      <c r="I33" s="23">
        <f t="shared" si="19"/>
        <v>1.5369878682871319</v>
      </c>
    </row>
    <row r="34" spans="1:9" x14ac:dyDescent="0.25">
      <c r="A34" t="s">
        <v>92</v>
      </c>
      <c r="B34" s="23">
        <v>109.46</v>
      </c>
      <c r="C34" s="23">
        <v>107.63</v>
      </c>
      <c r="D34" s="91">
        <f t="shared" si="3"/>
        <v>9.1441111923917795E-2</v>
      </c>
      <c r="E34" s="91">
        <f t="shared" si="4"/>
        <v>9.2997303078212745E-2</v>
      </c>
      <c r="F34" s="26">
        <f t="shared" ref="F34:G49" si="20">100*((B34/B22)-1)</f>
        <v>2.127262548983011</v>
      </c>
      <c r="G34" s="26">
        <f t="shared" si="20"/>
        <v>1.9030486650255529</v>
      </c>
      <c r="H34" s="23">
        <f t="shared" ref="H34:I34" si="21">SUM(D23:D34)</f>
        <v>2.1234362349467961</v>
      </c>
      <c r="I34" s="23">
        <f t="shared" si="21"/>
        <v>1.9038025634907307</v>
      </c>
    </row>
    <row r="35" spans="1:9" x14ac:dyDescent="0.25">
      <c r="A35" t="s">
        <v>93</v>
      </c>
      <c r="B35" s="23">
        <v>109.67</v>
      </c>
      <c r="C35" s="23">
        <v>107.84</v>
      </c>
      <c r="D35" s="91">
        <f t="shared" si="3"/>
        <v>0.19185090443998298</v>
      </c>
      <c r="E35" s="91">
        <f t="shared" si="4"/>
        <v>0.19511288674163296</v>
      </c>
      <c r="F35" s="26">
        <f t="shared" si="20"/>
        <v>2.0091154311226767</v>
      </c>
      <c r="G35" s="26">
        <f t="shared" si="20"/>
        <v>1.8992724180289189</v>
      </c>
      <c r="H35" s="23">
        <f t="shared" ref="H35:I35" si="22">SUM(D24:D35)</f>
        <v>2.0073938757181775</v>
      </c>
      <c r="I35" s="23">
        <f t="shared" si="22"/>
        <v>1.9000894703043225</v>
      </c>
    </row>
    <row r="36" spans="1:9" x14ac:dyDescent="0.25">
      <c r="A36" t="s">
        <v>94</v>
      </c>
      <c r="B36" s="23">
        <v>110.23</v>
      </c>
      <c r="C36" s="23">
        <v>108.39</v>
      </c>
      <c r="D36" s="91">
        <f t="shared" si="3"/>
        <v>0.5106227774231753</v>
      </c>
      <c r="E36" s="91">
        <f t="shared" si="4"/>
        <v>0.51001483679524728</v>
      </c>
      <c r="F36" s="26">
        <f t="shared" si="20"/>
        <v>1.4168736774312407</v>
      </c>
      <c r="G36" s="26">
        <f t="shared" si="20"/>
        <v>1.2895991028875731</v>
      </c>
      <c r="H36" s="23">
        <f t="shared" ref="H36:I36" si="23">SUM(D25:D36)</f>
        <v>1.4204443342872963</v>
      </c>
      <c r="I36" s="23">
        <f t="shared" si="23"/>
        <v>1.2951085592019962</v>
      </c>
    </row>
    <row r="37" spans="1:9" x14ac:dyDescent="0.25">
      <c r="A37" t="s">
        <v>95</v>
      </c>
      <c r="B37" s="23">
        <v>110.71</v>
      </c>
      <c r="C37" s="23">
        <v>108.87</v>
      </c>
      <c r="D37" s="91">
        <f t="shared" si="3"/>
        <v>0.43545314342736674</v>
      </c>
      <c r="E37" s="91">
        <f t="shared" si="4"/>
        <v>0.442845280929971</v>
      </c>
      <c r="F37" s="26">
        <f t="shared" si="20"/>
        <v>2.3860168315916086</v>
      </c>
      <c r="G37" s="26">
        <f t="shared" si="20"/>
        <v>2.2637610370092265</v>
      </c>
      <c r="H37" s="23">
        <f t="shared" ref="H37:I37" si="24">SUM(D26:D37)</f>
        <v>2.3711242695078405</v>
      </c>
      <c r="I37" s="23">
        <f t="shared" si="24"/>
        <v>2.2519244970799268</v>
      </c>
    </row>
    <row r="38" spans="1:9" x14ac:dyDescent="0.25">
      <c r="A38" t="s">
        <v>96</v>
      </c>
      <c r="B38" s="23">
        <v>110.79</v>
      </c>
      <c r="C38" s="23">
        <v>108.94</v>
      </c>
      <c r="D38" s="91">
        <f t="shared" si="3"/>
        <v>7.2260861710793378E-2</v>
      </c>
      <c r="E38" s="91">
        <f t="shared" si="4"/>
        <v>6.4296867824009674E-2</v>
      </c>
      <c r="F38" s="26">
        <f t="shared" si="20"/>
        <v>2.6974416017797598</v>
      </c>
      <c r="G38" s="26">
        <f t="shared" si="20"/>
        <v>2.5703794369644983</v>
      </c>
      <c r="H38" s="23">
        <f t="shared" ref="H38:I38" si="25">SUM(D27:D38)</f>
        <v>2.6745883125744108</v>
      </c>
      <c r="I38" s="23">
        <f t="shared" si="25"/>
        <v>2.5510513479961805</v>
      </c>
    </row>
    <row r="39" spans="1:9" x14ac:dyDescent="0.25">
      <c r="A39" t="s">
        <v>97</v>
      </c>
      <c r="B39" s="23">
        <v>112.18</v>
      </c>
      <c r="C39" s="23">
        <v>110.31</v>
      </c>
      <c r="D39" s="91">
        <f t="shared" si="3"/>
        <v>1.2546258687607281</v>
      </c>
      <c r="E39" s="91">
        <f t="shared" si="4"/>
        <v>1.2575729759500609</v>
      </c>
      <c r="F39" s="26">
        <f t="shared" si="20"/>
        <v>3.4203005439292111</v>
      </c>
      <c r="G39" s="26">
        <f t="shared" si="20"/>
        <v>3.2768467371968812</v>
      </c>
      <c r="H39" s="23">
        <f t="shared" ref="H39:I39" si="26">SUM(D28:D39)</f>
        <v>3.3823102139639794</v>
      </c>
      <c r="I39" s="23">
        <f t="shared" si="26"/>
        <v>3.2437057663716073</v>
      </c>
    </row>
    <row r="40" spans="1:9" x14ac:dyDescent="0.25">
      <c r="A40" t="s">
        <v>98</v>
      </c>
      <c r="B40" s="23">
        <v>113.17</v>
      </c>
      <c r="C40" s="23">
        <v>111.29</v>
      </c>
      <c r="D40" s="91">
        <f t="shared" si="3"/>
        <v>0.88251025138170736</v>
      </c>
      <c r="E40" s="91">
        <f t="shared" si="4"/>
        <v>0.88840540295531678</v>
      </c>
      <c r="F40" s="26">
        <f t="shared" si="20"/>
        <v>5.1668060589164622</v>
      </c>
      <c r="G40" s="26">
        <f t="shared" si="20"/>
        <v>5.0302000755001908</v>
      </c>
      <c r="H40" s="23">
        <f t="shared" ref="H40:I40" si="27">SUM(D29:D40)</f>
        <v>5.0576664135341227</v>
      </c>
      <c r="I40" s="23">
        <f t="shared" si="27"/>
        <v>4.927916805503318</v>
      </c>
    </row>
    <row r="41" spans="1:9" x14ac:dyDescent="0.25">
      <c r="A41" t="s">
        <v>99</v>
      </c>
      <c r="B41" s="23">
        <v>114.01</v>
      </c>
      <c r="C41" s="23">
        <v>112.12</v>
      </c>
      <c r="D41" s="91">
        <f t="shared" si="3"/>
        <v>0.74224617831581963</v>
      </c>
      <c r="E41" s="91">
        <f t="shared" si="4"/>
        <v>0.74579926318627532</v>
      </c>
      <c r="F41" s="26">
        <f t="shared" si="20"/>
        <v>5.7116365322206875</v>
      </c>
      <c r="G41" s="26">
        <f t="shared" si="20"/>
        <v>5.5843299745738761</v>
      </c>
      <c r="H41" s="23">
        <f t="shared" ref="H41:I41" si="28">SUM(D30:D41)</f>
        <v>5.5768849921844827</v>
      </c>
      <c r="I41" s="23">
        <f t="shared" si="28"/>
        <v>5.4566530260319874</v>
      </c>
    </row>
    <row r="42" spans="1:9" x14ac:dyDescent="0.25">
      <c r="A42" t="s">
        <v>100</v>
      </c>
      <c r="B42" s="23">
        <v>114.53</v>
      </c>
      <c r="C42" s="23">
        <v>113.64</v>
      </c>
      <c r="D42" s="91">
        <f t="shared" si="3"/>
        <v>0.45610034207526073</v>
      </c>
      <c r="E42" s="91">
        <f t="shared" si="4"/>
        <v>1.3556903317873736</v>
      </c>
      <c r="F42" s="26">
        <f t="shared" si="20"/>
        <v>6.4207396394722061</v>
      </c>
      <c r="G42" s="26">
        <f t="shared" si="20"/>
        <v>7.3594709494567923</v>
      </c>
      <c r="H42" s="23">
        <f t="shared" ref="H42:I42" si="29">SUM(D31:D42)</f>
        <v>6.2462444904952452</v>
      </c>
      <c r="I42" s="23">
        <f t="shared" si="29"/>
        <v>7.1325241658050542</v>
      </c>
    </row>
    <row r="43" spans="1:9" x14ac:dyDescent="0.25">
      <c r="A43" t="s">
        <v>101</v>
      </c>
      <c r="B43" s="23">
        <v>115.27</v>
      </c>
      <c r="C43" s="23">
        <v>114.37</v>
      </c>
      <c r="D43" s="91">
        <f t="shared" si="3"/>
        <v>0.6461189208067708</v>
      </c>
      <c r="E43" s="91">
        <f t="shared" si="4"/>
        <v>0.6423794438578101</v>
      </c>
      <c r="F43" s="26">
        <f t="shared" si="20"/>
        <v>6.1711338307083086</v>
      </c>
      <c r="G43" s="26">
        <f t="shared" si="20"/>
        <v>7.1181043364241026</v>
      </c>
      <c r="H43" s="23">
        <f t="shared" ref="H43:I43" si="30">SUM(D32:D43)</f>
        <v>6.0096278602892017</v>
      </c>
      <c r="I43" s="23">
        <f t="shared" si="30"/>
        <v>6.9057491457989117</v>
      </c>
    </row>
    <row r="44" spans="1:9" x14ac:dyDescent="0.25">
      <c r="A44" t="s">
        <v>102</v>
      </c>
      <c r="B44" s="23">
        <v>119.46</v>
      </c>
      <c r="C44" s="23">
        <v>118.49</v>
      </c>
      <c r="D44" s="91">
        <f t="shared" si="3"/>
        <v>3.634944044417443</v>
      </c>
      <c r="E44" s="91">
        <f t="shared" si="4"/>
        <v>3.6023432718370163</v>
      </c>
      <c r="F44" s="26">
        <f t="shared" si="20"/>
        <v>9.7271975750895514</v>
      </c>
      <c r="G44" s="26">
        <f t="shared" si="20"/>
        <v>10.686595049042502</v>
      </c>
      <c r="H44" s="23">
        <f t="shared" ref="H44:I44" si="31">SUM(D33:D44)</f>
        <v>9.3682524794510336</v>
      </c>
      <c r="I44" s="23">
        <f t="shared" si="31"/>
        <v>10.245846468399256</v>
      </c>
    </row>
    <row r="45" spans="1:9" x14ac:dyDescent="0.25">
      <c r="A45" t="s">
        <v>103</v>
      </c>
      <c r="B45" s="23">
        <v>119.81</v>
      </c>
      <c r="C45" s="23">
        <v>119.21</v>
      </c>
      <c r="D45" s="91">
        <f t="shared" si="3"/>
        <v>0.29298509961495078</v>
      </c>
      <c r="E45" s="91">
        <f t="shared" si="4"/>
        <v>0.60764621487046089</v>
      </c>
      <c r="F45" s="26">
        <f t="shared" si="20"/>
        <v>9.5555961960497537</v>
      </c>
      <c r="G45" s="26">
        <f t="shared" si="20"/>
        <v>10.862084999535004</v>
      </c>
      <c r="H45" s="23">
        <f t="shared" ref="H45:I45" si="32">SUM(D34:D45)</f>
        <v>9.2111595042979157</v>
      </c>
      <c r="I45" s="23">
        <f t="shared" si="32"/>
        <v>10.405104079813388</v>
      </c>
    </row>
    <row r="46" spans="1:9" x14ac:dyDescent="0.25">
      <c r="A46" t="s">
        <v>104</v>
      </c>
      <c r="B46" s="23">
        <v>119.05</v>
      </c>
      <c r="C46" s="23">
        <v>118.46</v>
      </c>
      <c r="D46" s="91">
        <f t="shared" si="3"/>
        <v>-0.63433770136048784</v>
      </c>
      <c r="E46" s="91">
        <f t="shared" si="4"/>
        <v>-0.62914185051590188</v>
      </c>
      <c r="F46" s="26">
        <f t="shared" si="20"/>
        <v>8.7611913027590091</v>
      </c>
      <c r="G46" s="26">
        <f t="shared" si="20"/>
        <v>10.062250301960418</v>
      </c>
      <c r="H46" s="23">
        <f t="shared" ref="H46:I46" si="33">SUM(D35:D46)</f>
        <v>8.4853806910135106</v>
      </c>
      <c r="I46" s="23">
        <f t="shared" si="33"/>
        <v>9.6829649262192721</v>
      </c>
    </row>
    <row r="47" spans="1:9" x14ac:dyDescent="0.25">
      <c r="A47" t="s">
        <v>105</v>
      </c>
      <c r="B47" s="23">
        <v>119.05</v>
      </c>
      <c r="C47" s="23">
        <v>118.47</v>
      </c>
      <c r="D47" s="91">
        <f t="shared" si="3"/>
        <v>0</v>
      </c>
      <c r="E47" s="91">
        <f t="shared" si="4"/>
        <v>8.4416680736110195E-3</v>
      </c>
      <c r="F47" s="26">
        <f t="shared" si="20"/>
        <v>8.5529315218382465</v>
      </c>
      <c r="G47" s="26">
        <f t="shared" si="20"/>
        <v>9.8571958456973299</v>
      </c>
      <c r="H47" s="23">
        <f t="shared" ref="H47:I47" si="34">SUM(D36:D47)</f>
        <v>8.2935297865735276</v>
      </c>
      <c r="I47" s="23">
        <f t="shared" si="34"/>
        <v>9.4962937075512492</v>
      </c>
    </row>
    <row r="48" spans="1:9" x14ac:dyDescent="0.25">
      <c r="A48" t="s">
        <v>106</v>
      </c>
      <c r="B48" s="23">
        <v>121.57</v>
      </c>
      <c r="C48" s="23">
        <v>121.88</v>
      </c>
      <c r="D48" s="91">
        <f t="shared" si="3"/>
        <v>2.1167576648466913</v>
      </c>
      <c r="E48" s="91">
        <f t="shared" si="4"/>
        <v>2.8783658310120641</v>
      </c>
      <c r="F48" s="26">
        <f t="shared" si="20"/>
        <v>10.287580513471827</v>
      </c>
      <c r="G48" s="26">
        <f t="shared" si="20"/>
        <v>12.445797582802843</v>
      </c>
      <c r="H48" s="23">
        <f t="shared" ref="H48:I48" si="35">SUM(D37:D48)</f>
        <v>9.8996646739970444</v>
      </c>
      <c r="I48" s="23">
        <f t="shared" si="35"/>
        <v>11.864644701768068</v>
      </c>
    </row>
    <row r="49" spans="1:9" x14ac:dyDescent="0.25">
      <c r="A49" t="s">
        <v>107</v>
      </c>
      <c r="B49" s="23">
        <v>123.95</v>
      </c>
      <c r="C49" s="23">
        <v>124.45</v>
      </c>
      <c r="D49" s="91">
        <f t="shared" si="3"/>
        <v>1.9577198321954592</v>
      </c>
      <c r="E49" s="91">
        <f t="shared" si="4"/>
        <v>2.1086314407614104</v>
      </c>
      <c r="F49" s="26">
        <f t="shared" si="20"/>
        <v>11.959172613133418</v>
      </c>
      <c r="G49" s="26">
        <f t="shared" si="20"/>
        <v>14.310645724258286</v>
      </c>
      <c r="H49" s="23">
        <f t="shared" ref="H49:I49" si="36">SUM(D38:D49)</f>
        <v>11.421931362765136</v>
      </c>
      <c r="I49" s="23">
        <f t="shared" si="36"/>
        <v>13.530430861599505</v>
      </c>
    </row>
    <row r="50" spans="1:9" x14ac:dyDescent="0.25">
      <c r="A50" t="s">
        <v>108</v>
      </c>
      <c r="B50" s="23">
        <v>126.89</v>
      </c>
      <c r="C50" s="23">
        <v>127.63</v>
      </c>
      <c r="D50" s="91">
        <f t="shared" si="3"/>
        <v>2.3719241629689414</v>
      </c>
      <c r="E50" s="91">
        <f t="shared" si="4"/>
        <v>2.5552430695058304</v>
      </c>
      <c r="F50" s="26">
        <f t="shared" ref="F50:G65" si="37">100*((B50/B38)-1)</f>
        <v>14.531997472696091</v>
      </c>
      <c r="G50" s="26">
        <f t="shared" si="37"/>
        <v>17.156232788691028</v>
      </c>
      <c r="H50" s="23">
        <f t="shared" ref="H50:I50" si="38">SUM(D39:D50)</f>
        <v>13.721594664023286</v>
      </c>
      <c r="I50" s="23">
        <f t="shared" si="38"/>
        <v>16.021377063281328</v>
      </c>
    </row>
    <row r="51" spans="1:9" x14ac:dyDescent="0.25">
      <c r="A51" t="s">
        <v>109</v>
      </c>
      <c r="B51" s="23">
        <v>128.25</v>
      </c>
      <c r="C51" s="23">
        <v>128.97999999999999</v>
      </c>
      <c r="D51" s="91">
        <f t="shared" si="3"/>
        <v>1.0717944676491342</v>
      </c>
      <c r="E51" s="91">
        <f t="shared" si="4"/>
        <v>1.0577450442685876</v>
      </c>
      <c r="F51" s="26">
        <f t="shared" si="37"/>
        <v>14.325191656266711</v>
      </c>
      <c r="G51" s="26">
        <f t="shared" si="37"/>
        <v>16.925029462424067</v>
      </c>
      <c r="H51" s="23">
        <f t="shared" ref="H51:I51" si="39">SUM(D40:D51)</f>
        <v>13.53876326291169</v>
      </c>
      <c r="I51" s="23">
        <f t="shared" si="39"/>
        <v>15.821549131599854</v>
      </c>
    </row>
    <row r="52" spans="1:9" x14ac:dyDescent="0.25">
      <c r="A52" t="s">
        <v>110</v>
      </c>
      <c r="B52" s="23">
        <v>124.35</v>
      </c>
      <c r="C52" s="23">
        <v>124.77</v>
      </c>
      <c r="D52" s="91">
        <f t="shared" si="3"/>
        <v>-3.0409356725146219</v>
      </c>
      <c r="E52" s="91">
        <f t="shared" si="4"/>
        <v>-3.2640719491394021</v>
      </c>
      <c r="F52" s="26">
        <f t="shared" si="37"/>
        <v>9.8789431828222973</v>
      </c>
      <c r="G52" s="26">
        <f t="shared" si="37"/>
        <v>12.112498876808321</v>
      </c>
      <c r="H52" s="23">
        <f t="shared" ref="H52:I52" si="40">SUM(D41:D52)</f>
        <v>9.6153173390153626</v>
      </c>
      <c r="I52" s="23">
        <f t="shared" si="40"/>
        <v>11.669071779505138</v>
      </c>
    </row>
    <row r="53" spans="1:9" x14ac:dyDescent="0.25">
      <c r="A53" t="s">
        <v>111</v>
      </c>
      <c r="B53" s="23">
        <v>124.94</v>
      </c>
      <c r="C53" s="23">
        <v>125.34</v>
      </c>
      <c r="D53" s="91">
        <f t="shared" si="3"/>
        <v>0.47446722959390009</v>
      </c>
      <c r="E53" s="91">
        <f t="shared" si="4"/>
        <v>0.45684058667949667</v>
      </c>
      <c r="F53" s="26">
        <f t="shared" si="37"/>
        <v>9.5868783440049121</v>
      </c>
      <c r="G53" s="26">
        <f t="shared" si="37"/>
        <v>11.790938280413844</v>
      </c>
      <c r="H53" s="23">
        <f t="shared" ref="H53:I53" si="41">SUM(D42:D53)</f>
        <v>9.3475383902934421</v>
      </c>
      <c r="I53" s="23">
        <f t="shared" si="41"/>
        <v>11.380113102998358</v>
      </c>
    </row>
    <row r="54" spans="1:9" x14ac:dyDescent="0.25">
      <c r="A54" t="s">
        <v>112</v>
      </c>
      <c r="B54" s="23">
        <v>123.21</v>
      </c>
      <c r="C54" s="23">
        <v>122.28</v>
      </c>
      <c r="D54" s="91">
        <f t="shared" si="3"/>
        <v>-1.3846646390267336</v>
      </c>
      <c r="E54" s="91">
        <f t="shared" si="4"/>
        <v>-2.441359502154139</v>
      </c>
      <c r="F54" s="26">
        <f t="shared" si="37"/>
        <v>7.5788003143281157</v>
      </c>
      <c r="G54" s="26">
        <f t="shared" si="37"/>
        <v>7.6029567053854219</v>
      </c>
      <c r="H54" s="23">
        <f t="shared" ref="H54:I54" si="42">SUM(D43:D54)</f>
        <v>7.5067734091914486</v>
      </c>
      <c r="I54" s="23">
        <f t="shared" si="42"/>
        <v>7.5830632690568471</v>
      </c>
    </row>
    <row r="55" spans="1:9" x14ac:dyDescent="0.25">
      <c r="A55" t="s">
        <v>113</v>
      </c>
      <c r="B55" s="23">
        <v>124.45</v>
      </c>
      <c r="C55" s="23">
        <v>123.53</v>
      </c>
      <c r="D55" s="91">
        <f t="shared" si="3"/>
        <v>1.00641181722263</v>
      </c>
      <c r="E55" s="91">
        <f t="shared" si="4"/>
        <v>1.0222440300948543</v>
      </c>
      <c r="F55" s="26">
        <f t="shared" si="37"/>
        <v>7.9639108180793006</v>
      </c>
      <c r="G55" s="26">
        <f t="shared" si="37"/>
        <v>8.0090932936959014</v>
      </c>
      <c r="H55" s="23">
        <f t="shared" ref="H55:I55" si="43">SUM(D44:D55)</f>
        <v>7.867066305607306</v>
      </c>
      <c r="I55" s="23">
        <f t="shared" si="43"/>
        <v>7.9629278552938922</v>
      </c>
    </row>
    <row r="56" spans="1:9" x14ac:dyDescent="0.25">
      <c r="A56" t="s">
        <v>114</v>
      </c>
      <c r="B56" s="23">
        <v>124.72</v>
      </c>
      <c r="C56" s="23">
        <v>123.82</v>
      </c>
      <c r="D56" s="91">
        <f t="shared" si="3"/>
        <v>0.21695460024104829</v>
      </c>
      <c r="E56" s="91">
        <f t="shared" si="4"/>
        <v>0.23476078685338297</v>
      </c>
      <c r="F56" s="26">
        <f t="shared" si="37"/>
        <v>4.403147497070159</v>
      </c>
      <c r="G56" s="26">
        <f t="shared" si="37"/>
        <v>4.4982698961937739</v>
      </c>
      <c r="H56" s="23">
        <f t="shared" ref="H56:I56" si="44">SUM(D45:D56)</f>
        <v>4.4490768614309122</v>
      </c>
      <c r="I56" s="23">
        <f t="shared" si="44"/>
        <v>4.5953453703102554</v>
      </c>
    </row>
    <row r="57" spans="1:9" x14ac:dyDescent="0.25">
      <c r="A57" t="s">
        <v>115</v>
      </c>
      <c r="B57" s="23">
        <v>126.01</v>
      </c>
      <c r="C57" s="23">
        <v>125.12</v>
      </c>
      <c r="D57" s="91">
        <f t="shared" si="3"/>
        <v>1.0343168697883209</v>
      </c>
      <c r="E57" s="91">
        <f t="shared" si="4"/>
        <v>1.0499111613632817</v>
      </c>
      <c r="F57" s="26">
        <f t="shared" si="37"/>
        <v>5.1748601953092388</v>
      </c>
      <c r="G57" s="26">
        <f t="shared" si="37"/>
        <v>4.9576377820652828</v>
      </c>
      <c r="H57" s="23">
        <f t="shared" ref="H57:I57" si="45">SUM(D46:D57)</f>
        <v>5.1904086316042823</v>
      </c>
      <c r="I57" s="23">
        <f t="shared" si="45"/>
        <v>5.0376103168030761</v>
      </c>
    </row>
    <row r="58" spans="1:9" x14ac:dyDescent="0.25">
      <c r="A58" t="s">
        <v>116</v>
      </c>
      <c r="B58" s="23">
        <v>126.26</v>
      </c>
      <c r="C58" s="23">
        <v>125.37</v>
      </c>
      <c r="D58" s="91">
        <f t="shared" si="3"/>
        <v>0.19839695262280355</v>
      </c>
      <c r="E58" s="91">
        <f t="shared" si="4"/>
        <v>0.19980818414322421</v>
      </c>
      <c r="F58" s="26">
        <f t="shared" si="37"/>
        <v>6.0562788744225271</v>
      </c>
      <c r="G58" s="26">
        <f t="shared" si="37"/>
        <v>5.8331926388654587</v>
      </c>
      <c r="H58" s="23">
        <f t="shared" ref="H58:I58" si="46">SUM(D47:D58)</f>
        <v>6.0231432855875733</v>
      </c>
      <c r="I58" s="23">
        <f t="shared" si="46"/>
        <v>5.8665603514622031</v>
      </c>
    </row>
    <row r="59" spans="1:9" x14ac:dyDescent="0.25">
      <c r="A59" t="s">
        <v>117</v>
      </c>
      <c r="B59" s="23">
        <v>125.83</v>
      </c>
      <c r="C59" s="23">
        <v>124.88</v>
      </c>
      <c r="D59" s="91">
        <f t="shared" si="3"/>
        <v>-0.34056708379535117</v>
      </c>
      <c r="E59" s="91">
        <f t="shared" si="4"/>
        <v>-0.39084310441095393</v>
      </c>
      <c r="F59" s="26">
        <f t="shared" si="37"/>
        <v>5.695086098278046</v>
      </c>
      <c r="G59" s="26">
        <f t="shared" si="37"/>
        <v>5.4106524858613891</v>
      </c>
      <c r="H59" s="23">
        <f t="shared" ref="H59:I59" si="47">SUM(D48:D59)</f>
        <v>5.6825762017922221</v>
      </c>
      <c r="I59" s="23">
        <f t="shared" si="47"/>
        <v>5.4672755789776373</v>
      </c>
    </row>
    <row r="60" spans="1:9" x14ac:dyDescent="0.25">
      <c r="A60" t="s">
        <v>118</v>
      </c>
      <c r="B60" s="23">
        <v>127.13</v>
      </c>
      <c r="C60" s="23">
        <v>125.85</v>
      </c>
      <c r="D60" s="91">
        <f t="shared" si="3"/>
        <v>1.0331399507271799</v>
      </c>
      <c r="E60" s="91">
        <f t="shared" si="4"/>
        <v>0.77674567584882226</v>
      </c>
      <c r="F60" s="26">
        <f t="shared" si="37"/>
        <v>4.5734967508431312</v>
      </c>
      <c r="G60" s="26">
        <f t="shared" si="37"/>
        <v>3.257302264522477</v>
      </c>
      <c r="H60" s="23">
        <f t="shared" ref="H60:I60" si="48">SUM(D49:D60)</f>
        <v>4.5989584876727108</v>
      </c>
      <c r="I60" s="23">
        <f t="shared" si="48"/>
        <v>3.3656554238143954</v>
      </c>
    </row>
    <row r="61" spans="1:9" x14ac:dyDescent="0.25">
      <c r="A61" t="s">
        <v>119</v>
      </c>
      <c r="B61" s="23">
        <v>127.7</v>
      </c>
      <c r="C61" s="23">
        <v>126.38</v>
      </c>
      <c r="D61" s="91">
        <f t="shared" si="3"/>
        <v>0.44835994651144517</v>
      </c>
      <c r="E61" s="91">
        <f t="shared" si="4"/>
        <v>0.42113627334128267</v>
      </c>
      <c r="F61" s="26">
        <f t="shared" si="37"/>
        <v>3.0254134731746651</v>
      </c>
      <c r="G61" s="26">
        <f t="shared" si="37"/>
        <v>1.5508236239453632</v>
      </c>
      <c r="H61" s="23">
        <f t="shared" ref="H61:I61" si="49">SUM(D50:D61)</f>
        <v>3.0895986019886967</v>
      </c>
      <c r="I61" s="23">
        <f t="shared" si="49"/>
        <v>1.6781602563942677</v>
      </c>
    </row>
    <row r="62" spans="1:9" x14ac:dyDescent="0.25">
      <c r="A62" t="s">
        <v>143</v>
      </c>
      <c r="B62" s="23">
        <v>127.16</v>
      </c>
      <c r="C62" s="23">
        <v>125.85</v>
      </c>
      <c r="D62" s="91">
        <f t="shared" si="3"/>
        <v>-0.4228660924040728</v>
      </c>
      <c r="E62" s="91">
        <f t="shared" si="4"/>
        <v>-0.41937015350530515</v>
      </c>
      <c r="F62" s="26">
        <f t="shared" si="37"/>
        <v>0.21278272519504871</v>
      </c>
      <c r="G62" s="26">
        <f t="shared" si="37"/>
        <v>-1.394656428739327</v>
      </c>
      <c r="H62" s="23">
        <f t="shared" ref="H62:I62" si="50">SUM(D51:D62)</f>
        <v>0.29480834661568256</v>
      </c>
      <c r="I62" s="23">
        <f t="shared" si="50"/>
        <v>-1.2964529666168678</v>
      </c>
    </row>
    <row r="63" spans="1:9" x14ac:dyDescent="0.25">
      <c r="A63" t="s">
        <v>151</v>
      </c>
      <c r="B63" s="28">
        <v>127.8</v>
      </c>
      <c r="C63" s="28">
        <v>126.48</v>
      </c>
      <c r="D63" s="91">
        <f t="shared" si="3"/>
        <v>0.50330292544824573</v>
      </c>
      <c r="E63" s="91">
        <f t="shared" si="4"/>
        <v>0.50059594755662573</v>
      </c>
      <c r="F63" s="30">
        <f t="shared" si="37"/>
        <v>-0.35087719298245723</v>
      </c>
      <c r="G63" s="30">
        <f t="shared" si="37"/>
        <v>-1.9382850054271872</v>
      </c>
      <c r="H63" s="23">
        <f t="shared" ref="H63:I63" si="51">SUM(D52:D63)</f>
        <v>-0.27368319558520593</v>
      </c>
      <c r="I63" s="23">
        <f t="shared" si="51"/>
        <v>-1.8536020633288297</v>
      </c>
    </row>
    <row r="64" spans="1:9" x14ac:dyDescent="0.25">
      <c r="A64" t="s">
        <v>152</v>
      </c>
      <c r="B64" s="28">
        <v>127.8</v>
      </c>
      <c r="C64" s="28">
        <v>126.48</v>
      </c>
      <c r="D64" s="91">
        <f t="shared" si="3"/>
        <v>0</v>
      </c>
      <c r="E64" s="91">
        <f t="shared" si="4"/>
        <v>0</v>
      </c>
      <c r="F64" s="30">
        <f t="shared" si="37"/>
        <v>2.7744270205066313</v>
      </c>
      <c r="G64" s="30">
        <f t="shared" si="37"/>
        <v>1.3705217600384678</v>
      </c>
      <c r="H64" s="23">
        <f t="shared" ref="H64:I64" si="52">SUM(D53:D64)</f>
        <v>2.767252476929416</v>
      </c>
      <c r="I64" s="23">
        <f t="shared" si="52"/>
        <v>1.4104698858105724</v>
      </c>
    </row>
    <row r="65" spans="1:9" x14ac:dyDescent="0.25">
      <c r="A65" t="s">
        <v>153</v>
      </c>
      <c r="B65" s="28">
        <v>127.8</v>
      </c>
      <c r="C65" s="28">
        <v>126.48</v>
      </c>
      <c r="D65" s="91">
        <f t="shared" si="3"/>
        <v>0</v>
      </c>
      <c r="E65" s="91">
        <f t="shared" si="4"/>
        <v>0</v>
      </c>
      <c r="F65" s="30">
        <f t="shared" si="37"/>
        <v>2.2890987674083485</v>
      </c>
      <c r="G65" s="30">
        <f t="shared" si="37"/>
        <v>0.9095260890378265</v>
      </c>
      <c r="H65" s="23">
        <f t="shared" ref="H65:I65" si="53">SUM(D54:D65)</f>
        <v>2.2927852473355159</v>
      </c>
      <c r="I65" s="23">
        <f t="shared" si="53"/>
        <v>0.95362929913107575</v>
      </c>
    </row>
  </sheetData>
  <sheetProtection algorithmName="SHA-512" hashValue="pfVHnA3B1WuKA3AGGDMWtc2JdDla2/QyjsSJoXTEbnQGNy/NRT8yHF22laNbfislsgHQtJXbQxw9eTAdgDnm1A==" saltValue="wjkFXTkS/TlBGplUpDKku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478D-3955-4D14-98C1-E56BA98D99C4}">
  <dimension ref="A1:K65"/>
  <sheetViews>
    <sheetView workbookViewId="0">
      <selection activeCell="D21" sqref="D21"/>
    </sheetView>
  </sheetViews>
  <sheetFormatPr defaultRowHeight="14.3" x14ac:dyDescent="0.25"/>
  <cols>
    <col min="1" max="1" width="14.75" customWidth="1"/>
    <col min="2" max="2" width="13.375" style="23" customWidth="1"/>
    <col min="3" max="3" width="12.375" style="23" customWidth="1"/>
    <col min="4" max="4" width="13.125" customWidth="1"/>
    <col min="5" max="5" width="13.25" customWidth="1"/>
    <col min="6" max="6" width="15" customWidth="1"/>
    <col min="7" max="7" width="19.125" customWidth="1"/>
  </cols>
  <sheetData>
    <row r="1" spans="1:11" x14ac:dyDescent="0.25">
      <c r="A1" t="s">
        <v>154</v>
      </c>
      <c r="E1" s="22" t="s">
        <v>155</v>
      </c>
    </row>
    <row r="2" spans="1:11" x14ac:dyDescent="0.25">
      <c r="A2" t="s">
        <v>146</v>
      </c>
    </row>
    <row r="3" spans="1:11" x14ac:dyDescent="0.25">
      <c r="B3" s="23" t="s">
        <v>147</v>
      </c>
    </row>
    <row r="4" spans="1:11" ht="42.8" x14ac:dyDescent="0.25">
      <c r="B4" s="24" t="s">
        <v>7</v>
      </c>
      <c r="C4" s="24" t="s">
        <v>72</v>
      </c>
      <c r="D4" s="25" t="s">
        <v>126</v>
      </c>
      <c r="E4" s="25" t="s">
        <v>127</v>
      </c>
      <c r="F4" s="25" t="s">
        <v>13</v>
      </c>
      <c r="G4" s="25" t="s">
        <v>148</v>
      </c>
      <c r="H4" s="25" t="s">
        <v>149</v>
      </c>
      <c r="I4" s="25" t="s">
        <v>150</v>
      </c>
    </row>
    <row r="5" spans="1:11" x14ac:dyDescent="0.25">
      <c r="A5" t="s">
        <v>128</v>
      </c>
      <c r="B5" s="23" t="s">
        <v>129</v>
      </c>
      <c r="C5" s="23" t="s">
        <v>129</v>
      </c>
      <c r="D5" t="s">
        <v>130</v>
      </c>
      <c r="E5" t="s">
        <v>130</v>
      </c>
      <c r="F5" t="s">
        <v>130</v>
      </c>
      <c r="G5" t="s">
        <v>130</v>
      </c>
    </row>
    <row r="6" spans="1:11" x14ac:dyDescent="0.25">
      <c r="A6" t="s">
        <v>131</v>
      </c>
      <c r="B6" s="23">
        <v>104.05</v>
      </c>
      <c r="C6" s="23">
        <v>102.56</v>
      </c>
      <c r="D6" s="91" t="e">
        <f t="shared" ref="D6:D17" si="0">100*((B6/B5)-1)</f>
        <v>#VALUE!</v>
      </c>
      <c r="E6" s="91" t="e">
        <f t="shared" ref="E6:E17" si="1">100*((C6/C5)-1)</f>
        <v>#VALUE!</v>
      </c>
      <c r="F6" s="90">
        <v>2.2000000000000002</v>
      </c>
      <c r="G6">
        <v>1</v>
      </c>
    </row>
    <row r="7" spans="1:11" x14ac:dyDescent="0.25">
      <c r="A7" t="s">
        <v>132</v>
      </c>
      <c r="B7" s="23">
        <v>104.97</v>
      </c>
      <c r="C7" s="23">
        <v>103.47</v>
      </c>
      <c r="D7" s="91">
        <f t="shared" si="0"/>
        <v>0.88419029312829522</v>
      </c>
      <c r="E7" s="91">
        <f t="shared" si="1"/>
        <v>0.88728549141965374</v>
      </c>
      <c r="F7">
        <v>2.6</v>
      </c>
      <c r="G7">
        <v>1.4</v>
      </c>
      <c r="J7" s="26"/>
      <c r="K7" s="26"/>
    </row>
    <row r="8" spans="1:11" x14ac:dyDescent="0.25">
      <c r="A8" t="s">
        <v>133</v>
      </c>
      <c r="B8" s="23">
        <v>105.37</v>
      </c>
      <c r="C8" s="23">
        <v>103.86</v>
      </c>
      <c r="D8" s="91">
        <f t="shared" si="0"/>
        <v>0.38106125559684845</v>
      </c>
      <c r="E8" s="91">
        <f t="shared" si="1"/>
        <v>0.37692084662221959</v>
      </c>
      <c r="F8">
        <v>2.8</v>
      </c>
      <c r="G8">
        <v>1.7</v>
      </c>
      <c r="J8" s="26"/>
      <c r="K8" s="26"/>
    </row>
    <row r="9" spans="1:11" x14ac:dyDescent="0.25">
      <c r="A9" t="s">
        <v>134</v>
      </c>
      <c r="B9" s="23">
        <v>106.08</v>
      </c>
      <c r="C9" s="23">
        <v>104.55</v>
      </c>
      <c r="D9" s="91">
        <f t="shared" si="0"/>
        <v>0.67381607668215437</v>
      </c>
      <c r="E9" s="91">
        <f t="shared" si="1"/>
        <v>0.66435586366262456</v>
      </c>
      <c r="F9">
        <v>2.9</v>
      </c>
      <c r="G9">
        <v>1.8</v>
      </c>
      <c r="J9" s="26"/>
      <c r="K9" s="26"/>
    </row>
    <row r="10" spans="1:11" x14ac:dyDescent="0.25">
      <c r="A10" t="s">
        <v>135</v>
      </c>
      <c r="B10" s="23">
        <v>105.94</v>
      </c>
      <c r="C10" s="23">
        <v>104.42</v>
      </c>
      <c r="D10" s="91">
        <f t="shared" si="0"/>
        <v>-0.13197586726998445</v>
      </c>
      <c r="E10" s="91">
        <f t="shared" si="1"/>
        <v>-0.12434241989478512</v>
      </c>
      <c r="F10">
        <v>2.4</v>
      </c>
      <c r="G10">
        <v>1.4</v>
      </c>
      <c r="J10" s="26"/>
      <c r="K10" s="26"/>
    </row>
    <row r="11" spans="1:11" x14ac:dyDescent="0.25">
      <c r="A11" t="s">
        <v>136</v>
      </c>
      <c r="B11" s="23">
        <v>105.84</v>
      </c>
      <c r="C11" s="23">
        <v>104.32</v>
      </c>
      <c r="D11" s="91">
        <f t="shared" si="0"/>
        <v>-9.439305267131548E-2</v>
      </c>
      <c r="E11" s="91">
        <f t="shared" si="1"/>
        <v>-9.5767094426357779E-2</v>
      </c>
      <c r="F11">
        <v>2.7</v>
      </c>
      <c r="G11">
        <v>1.6</v>
      </c>
      <c r="J11" s="26"/>
      <c r="K11" s="26"/>
    </row>
    <row r="12" spans="1:11" x14ac:dyDescent="0.25">
      <c r="A12" t="s">
        <v>137</v>
      </c>
      <c r="B12" s="23">
        <v>106.9</v>
      </c>
      <c r="C12" s="23">
        <v>105.37</v>
      </c>
      <c r="D12" s="91">
        <f t="shared" si="0"/>
        <v>1.0015117157974318</v>
      </c>
      <c r="E12" s="91">
        <f t="shared" si="1"/>
        <v>1.0065184049079967</v>
      </c>
      <c r="F12">
        <v>2.5</v>
      </c>
      <c r="G12">
        <v>1.5</v>
      </c>
      <c r="J12" s="26"/>
      <c r="K12" s="26"/>
    </row>
    <row r="13" spans="1:11" x14ac:dyDescent="0.25">
      <c r="A13" t="s">
        <v>138</v>
      </c>
      <c r="B13" s="23">
        <v>107.37</v>
      </c>
      <c r="C13" s="23">
        <v>105.83</v>
      </c>
      <c r="D13" s="91">
        <f t="shared" si="0"/>
        <v>0.43966323666977392</v>
      </c>
      <c r="E13" s="91">
        <f t="shared" si="1"/>
        <v>0.43655689475181614</v>
      </c>
      <c r="F13">
        <v>2.8</v>
      </c>
      <c r="G13">
        <v>1.8</v>
      </c>
      <c r="J13" s="26"/>
      <c r="K13" s="26"/>
    </row>
    <row r="14" spans="1:11" x14ac:dyDescent="0.25">
      <c r="A14" t="s">
        <v>139</v>
      </c>
      <c r="B14" s="23">
        <v>106.7</v>
      </c>
      <c r="C14" s="23">
        <v>105.17</v>
      </c>
      <c r="D14" s="91">
        <f t="shared" si="0"/>
        <v>-0.62401043121914634</v>
      </c>
      <c r="E14" s="91">
        <f t="shared" si="1"/>
        <v>-0.62364168950203025</v>
      </c>
      <c r="F14">
        <v>2.6</v>
      </c>
      <c r="G14">
        <v>1.6</v>
      </c>
      <c r="J14" s="26"/>
      <c r="K14" s="26"/>
    </row>
    <row r="15" spans="1:11" x14ac:dyDescent="0.25">
      <c r="A15" t="s">
        <v>140</v>
      </c>
      <c r="B15" s="23">
        <v>107.16</v>
      </c>
      <c r="C15" s="23">
        <v>105.63</v>
      </c>
      <c r="D15" s="91">
        <f t="shared" si="0"/>
        <v>0.43111527647610171</v>
      </c>
      <c r="E15" s="91">
        <f t="shared" si="1"/>
        <v>0.437387087572505</v>
      </c>
      <c r="F15">
        <v>2.7</v>
      </c>
      <c r="G15">
        <v>1.7</v>
      </c>
      <c r="J15" s="26"/>
      <c r="K15" s="26"/>
    </row>
    <row r="16" spans="1:11" x14ac:dyDescent="0.25">
      <c r="A16" t="s">
        <v>141</v>
      </c>
      <c r="B16" s="23">
        <v>106.73</v>
      </c>
      <c r="C16" s="23">
        <v>105.21</v>
      </c>
      <c r="D16" s="91">
        <f t="shared" si="0"/>
        <v>-0.40126913027248579</v>
      </c>
      <c r="E16" s="91">
        <f t="shared" si="1"/>
        <v>-0.39761431411531323</v>
      </c>
      <c r="F16">
        <v>2.6</v>
      </c>
      <c r="G16">
        <v>1.6</v>
      </c>
      <c r="J16" s="26"/>
      <c r="K16" s="26"/>
    </row>
    <row r="17" spans="1:11" x14ac:dyDescent="0.25">
      <c r="A17" t="s">
        <v>142</v>
      </c>
      <c r="B17" s="23">
        <v>106.8</v>
      </c>
      <c r="C17" s="23">
        <v>105.28</v>
      </c>
      <c r="D17" s="91">
        <f t="shared" si="0"/>
        <v>6.5586058277888881E-2</v>
      </c>
      <c r="E17" s="91">
        <f t="shared" si="1"/>
        <v>6.6533599467732962E-2</v>
      </c>
      <c r="F17">
        <v>2.7</v>
      </c>
      <c r="G17">
        <v>1.7</v>
      </c>
      <c r="J17" s="26"/>
      <c r="K17" s="26"/>
    </row>
    <row r="18" spans="1:11" x14ac:dyDescent="0.25">
      <c r="A18" t="s">
        <v>76</v>
      </c>
      <c r="B18" s="27">
        <v>105.97</v>
      </c>
      <c r="C18" s="27">
        <v>104.58</v>
      </c>
      <c r="D18" s="91">
        <f>100*((B18/B17)-1)</f>
        <v>-0.77715355805243469</v>
      </c>
      <c r="E18" s="91">
        <f>100*((C18/C17)-1)</f>
        <v>-0.66489361702127825</v>
      </c>
      <c r="F18" s="26">
        <f t="shared" ref="F18:G33" si="2">100*((B18/B6)-1)</f>
        <v>1.8452666987025523</v>
      </c>
      <c r="G18" s="26">
        <f t="shared" si="2"/>
        <v>1.9695787831513156</v>
      </c>
      <c r="H18" s="23">
        <f>SUM(D7:D18)</f>
        <v>1.8481418731431276</v>
      </c>
      <c r="I18" s="23">
        <f>SUM(E7:E18)</f>
        <v>1.9692990534447841</v>
      </c>
      <c r="J18" s="23"/>
      <c r="K18" s="26"/>
    </row>
    <row r="19" spans="1:11" x14ac:dyDescent="0.25">
      <c r="A19" t="s">
        <v>77</v>
      </c>
      <c r="B19" s="27">
        <v>106.66</v>
      </c>
      <c r="C19" s="27">
        <v>105.26</v>
      </c>
      <c r="D19" s="91">
        <f t="shared" ref="D19:D65" si="3">100*((B19/B18)-1)</f>
        <v>0.65112767764461399</v>
      </c>
      <c r="E19" s="91">
        <f t="shared" ref="E19:E65" si="4">100*((C19/C18)-1)</f>
        <v>0.65021992732836598</v>
      </c>
      <c r="F19" s="26">
        <f t="shared" si="2"/>
        <v>1.6099838048966308</v>
      </c>
      <c r="G19" s="26">
        <f t="shared" si="2"/>
        <v>1.7299700396250284</v>
      </c>
      <c r="H19" s="23">
        <f t="shared" ref="H19:I19" si="5">SUM(D8:D19)</f>
        <v>1.6150792576594464</v>
      </c>
      <c r="I19" s="23">
        <f t="shared" si="5"/>
        <v>1.7322334893534963</v>
      </c>
      <c r="J19" s="26"/>
      <c r="K19" s="26"/>
    </row>
    <row r="20" spans="1:11" x14ac:dyDescent="0.25">
      <c r="A20" t="s">
        <v>78</v>
      </c>
      <c r="B20" s="27">
        <v>106.91</v>
      </c>
      <c r="C20" s="27">
        <v>105.49</v>
      </c>
      <c r="D20" s="91">
        <f t="shared" si="3"/>
        <v>0.23438964935309503</v>
      </c>
      <c r="E20" s="91">
        <f t="shared" si="4"/>
        <v>0.21850655519664031</v>
      </c>
      <c r="F20" s="26">
        <f t="shared" si="2"/>
        <v>1.4615165606908898</v>
      </c>
      <c r="G20" s="26">
        <f t="shared" si="2"/>
        <v>1.5694203735798107</v>
      </c>
      <c r="H20" s="23">
        <f t="shared" ref="H20:I20" si="6">SUM(D9:D20)</f>
        <v>1.468407651415693</v>
      </c>
      <c r="I20" s="23">
        <f t="shared" si="6"/>
        <v>1.573819197927917</v>
      </c>
      <c r="J20" s="26"/>
      <c r="K20" s="26"/>
    </row>
    <row r="21" spans="1:11" x14ac:dyDescent="0.25">
      <c r="A21" t="s">
        <v>79</v>
      </c>
      <c r="B21" s="27">
        <v>107.45</v>
      </c>
      <c r="C21" s="27">
        <v>106</v>
      </c>
      <c r="D21" s="91">
        <f t="shared" si="3"/>
        <v>0.5050977457674799</v>
      </c>
      <c r="E21" s="91">
        <f t="shared" si="4"/>
        <v>0.48345814769172879</v>
      </c>
      <c r="F21" s="26">
        <f t="shared" si="2"/>
        <v>1.2914781297134192</v>
      </c>
      <c r="G21" s="26">
        <f t="shared" si="2"/>
        <v>1.3868962219033998</v>
      </c>
      <c r="H21" s="23">
        <f t="shared" ref="H21:I21" si="7">SUM(D10:D21)</f>
        <v>1.2996893205010185</v>
      </c>
      <c r="I21" s="23">
        <f t="shared" si="7"/>
        <v>1.3929214819570213</v>
      </c>
      <c r="J21" s="26"/>
      <c r="K21" s="26"/>
    </row>
    <row r="22" spans="1:11" x14ac:dyDescent="0.25">
      <c r="A22" t="s">
        <v>80</v>
      </c>
      <c r="B22" s="27">
        <v>107.31</v>
      </c>
      <c r="C22" s="27">
        <v>105.73</v>
      </c>
      <c r="D22" s="91">
        <f t="shared" si="3"/>
        <v>-0.13029315960911836</v>
      </c>
      <c r="E22" s="91">
        <f t="shared" si="4"/>
        <v>-0.25471698113207486</v>
      </c>
      <c r="F22" s="26">
        <f t="shared" si="2"/>
        <v>1.2931848215971264</v>
      </c>
      <c r="G22" s="26">
        <f t="shared" si="2"/>
        <v>1.2545489369852447</v>
      </c>
      <c r="H22" s="23">
        <f t="shared" ref="H22:I22" si="8">SUM(D11:D22)</f>
        <v>1.3013720281618846</v>
      </c>
      <c r="I22" s="23">
        <f t="shared" si="8"/>
        <v>1.2625469207197315</v>
      </c>
      <c r="J22" s="26"/>
      <c r="K22" s="26"/>
    </row>
    <row r="23" spans="1:11" x14ac:dyDescent="0.25">
      <c r="A23" t="s">
        <v>81</v>
      </c>
      <c r="B23" s="27">
        <v>107.65</v>
      </c>
      <c r="C23" s="27">
        <v>105.95</v>
      </c>
      <c r="D23" s="91">
        <f t="shared" si="3"/>
        <v>0.31683906439288201</v>
      </c>
      <c r="E23" s="91">
        <f t="shared" si="4"/>
        <v>0.20807717771682555</v>
      </c>
      <c r="F23" s="26">
        <f t="shared" si="2"/>
        <v>1.7101284958427776</v>
      </c>
      <c r="G23" s="26">
        <f t="shared" si="2"/>
        <v>1.5625</v>
      </c>
      <c r="H23" s="23">
        <f t="shared" ref="H23:I23" si="9">SUM(D12:D23)</f>
        <v>1.7126041452260821</v>
      </c>
      <c r="I23" s="23">
        <f t="shared" si="9"/>
        <v>1.5663911928629148</v>
      </c>
      <c r="J23" s="26"/>
      <c r="K23" s="26"/>
    </row>
    <row r="24" spans="1:11" x14ac:dyDescent="0.25">
      <c r="A24" t="s">
        <v>82</v>
      </c>
      <c r="B24" s="27">
        <v>108.81</v>
      </c>
      <c r="C24" s="27">
        <v>107.11</v>
      </c>
      <c r="D24" s="91">
        <f t="shared" si="3"/>
        <v>1.0775661867162167</v>
      </c>
      <c r="E24" s="91">
        <f t="shared" si="4"/>
        <v>1.0948560641812044</v>
      </c>
      <c r="F24" s="26">
        <f t="shared" si="2"/>
        <v>1.7867165575303989</v>
      </c>
      <c r="G24" s="26">
        <f t="shared" si="2"/>
        <v>1.6513239062351692</v>
      </c>
      <c r="H24" s="23">
        <f t="shared" ref="H24:I24" si="10">SUM(D13:D24)</f>
        <v>1.788658616144867</v>
      </c>
      <c r="I24" s="23">
        <f t="shared" si="10"/>
        <v>1.6547288521361225</v>
      </c>
      <c r="J24" s="26"/>
      <c r="K24" s="26"/>
    </row>
    <row r="25" spans="1:11" x14ac:dyDescent="0.25">
      <c r="A25" t="s">
        <v>83</v>
      </c>
      <c r="B25" s="27">
        <v>108.23</v>
      </c>
      <c r="C25" s="27">
        <v>106.55</v>
      </c>
      <c r="D25" s="91">
        <f t="shared" si="3"/>
        <v>-0.5330392427166597</v>
      </c>
      <c r="E25" s="91">
        <f t="shared" si="4"/>
        <v>-0.52282700028009055</v>
      </c>
      <c r="F25" s="26">
        <f t="shared" si="2"/>
        <v>0.80096861320666513</v>
      </c>
      <c r="G25" s="26">
        <f t="shared" si="2"/>
        <v>0.68033638854767542</v>
      </c>
      <c r="H25" s="23">
        <f t="shared" ref="H25:I25" si="11">SUM(D14:D25)</f>
        <v>0.81595613675843337</v>
      </c>
      <c r="I25" s="23">
        <f t="shared" si="11"/>
        <v>0.69534495710421584</v>
      </c>
      <c r="J25" s="26"/>
      <c r="K25" s="26"/>
    </row>
    <row r="26" spans="1:11" x14ac:dyDescent="0.25">
      <c r="A26" t="s">
        <v>84</v>
      </c>
      <c r="B26" s="27">
        <v>107.97</v>
      </c>
      <c r="C26" s="27">
        <v>106.29</v>
      </c>
      <c r="D26" s="91">
        <f t="shared" si="3"/>
        <v>-0.2402291416428004</v>
      </c>
      <c r="E26" s="91">
        <f t="shared" si="4"/>
        <v>-0.24401689347722799</v>
      </c>
      <c r="F26" s="26">
        <f t="shared" si="2"/>
        <v>1.1902530459231508</v>
      </c>
      <c r="G26" s="26">
        <f t="shared" si="2"/>
        <v>1.0649424740895697</v>
      </c>
      <c r="H26" s="23">
        <f t="shared" ref="H26:I26" si="12">SUM(D15:D26)</f>
        <v>1.1997374263347793</v>
      </c>
      <c r="I26" s="23">
        <f t="shared" si="12"/>
        <v>1.0749697531290181</v>
      </c>
      <c r="J26" s="26"/>
      <c r="K26" s="26"/>
    </row>
    <row r="27" spans="1:11" x14ac:dyDescent="0.25">
      <c r="A27" t="s">
        <v>85</v>
      </c>
      <c r="B27" s="27">
        <v>108.55</v>
      </c>
      <c r="C27" s="27">
        <v>106.88</v>
      </c>
      <c r="D27" s="91">
        <f t="shared" si="3"/>
        <v>0.53718625544132426</v>
      </c>
      <c r="E27" s="91">
        <f t="shared" si="4"/>
        <v>0.55508514441620083</v>
      </c>
      <c r="F27" s="26">
        <f t="shared" si="2"/>
        <v>1.2971257932064217</v>
      </c>
      <c r="G27" s="26">
        <f t="shared" si="2"/>
        <v>1.1833759348669926</v>
      </c>
      <c r="H27" s="23">
        <f t="shared" ref="H27:I27" si="13">SUM(D16:D27)</f>
        <v>1.3058084053000019</v>
      </c>
      <c r="I27" s="23">
        <f t="shared" si="13"/>
        <v>1.1926678099727139</v>
      </c>
      <c r="J27" s="26"/>
      <c r="K27" s="26"/>
    </row>
    <row r="28" spans="1:11" x14ac:dyDescent="0.25">
      <c r="A28" t="s">
        <v>86</v>
      </c>
      <c r="B28" s="27">
        <v>107.66</v>
      </c>
      <c r="C28" s="27">
        <v>106.01</v>
      </c>
      <c r="D28" s="91">
        <f t="shared" si="3"/>
        <v>-0.81989866421003921</v>
      </c>
      <c r="E28" s="91">
        <f t="shared" si="4"/>
        <v>-0.81399700598800973</v>
      </c>
      <c r="F28" s="26">
        <f t="shared" si="2"/>
        <v>0.87135763140635536</v>
      </c>
      <c r="G28" s="26">
        <f t="shared" si="2"/>
        <v>0.76038399391693545</v>
      </c>
      <c r="H28" s="23">
        <f t="shared" ref="H28:I28" si="14">SUM(D17:D28)</f>
        <v>0.88717887136244844</v>
      </c>
      <c r="I28" s="23">
        <f t="shared" si="14"/>
        <v>0.77628511810001743</v>
      </c>
      <c r="J28" s="26"/>
      <c r="K28" s="26"/>
    </row>
    <row r="29" spans="1:11" x14ac:dyDescent="0.25">
      <c r="A29" t="s">
        <v>87</v>
      </c>
      <c r="B29" s="27">
        <v>107.9</v>
      </c>
      <c r="C29" s="27">
        <v>106.23</v>
      </c>
      <c r="D29" s="91">
        <f t="shared" si="3"/>
        <v>0.22292402006316436</v>
      </c>
      <c r="E29" s="91">
        <f t="shared" si="4"/>
        <v>0.20752759173663371</v>
      </c>
      <c r="F29" s="26">
        <f t="shared" si="2"/>
        <v>1.0299625468164875</v>
      </c>
      <c r="G29" s="26">
        <f t="shared" si="2"/>
        <v>0.90235562310030382</v>
      </c>
      <c r="H29" s="23">
        <f t="shared" ref="H29:I29" si="15">SUM(D18:D29)</f>
        <v>1.0445168331477239</v>
      </c>
      <c r="I29" s="23">
        <f t="shared" si="15"/>
        <v>0.91727911036891818</v>
      </c>
      <c r="J29" s="26"/>
      <c r="K29" s="26"/>
    </row>
    <row r="30" spans="1:11" x14ac:dyDescent="0.25">
      <c r="A30" t="s">
        <v>88</v>
      </c>
      <c r="B30" s="27">
        <v>107.64</v>
      </c>
      <c r="C30" s="27">
        <v>105.87</v>
      </c>
      <c r="D30" s="91">
        <f t="shared" si="3"/>
        <v>-0.24096385542169418</v>
      </c>
      <c r="E30" s="91">
        <f t="shared" si="4"/>
        <v>-0.33888731996610799</v>
      </c>
      <c r="F30" s="26">
        <f t="shared" si="2"/>
        <v>1.5759177125601598</v>
      </c>
      <c r="G30" s="26">
        <f t="shared" si="2"/>
        <v>1.2335054503729292</v>
      </c>
      <c r="H30" s="23">
        <f t="shared" ref="H30:I30" si="16">SUM(D19:D30)</f>
        <v>1.5807065357784644</v>
      </c>
      <c r="I30" s="23">
        <f t="shared" si="16"/>
        <v>1.2432854074240884</v>
      </c>
      <c r="J30" s="26"/>
      <c r="K30" s="26"/>
    </row>
    <row r="31" spans="1:11" x14ac:dyDescent="0.25">
      <c r="A31" t="s">
        <v>89</v>
      </c>
      <c r="B31" s="27">
        <v>108.52</v>
      </c>
      <c r="C31" s="27">
        <v>106.72</v>
      </c>
      <c r="D31" s="91">
        <f t="shared" si="3"/>
        <v>0.81753994797473251</v>
      </c>
      <c r="E31" s="91">
        <f t="shared" si="4"/>
        <v>0.80287144611315142</v>
      </c>
      <c r="F31" s="26">
        <f t="shared" si="2"/>
        <v>1.7438589911869418</v>
      </c>
      <c r="G31" s="26">
        <f t="shared" si="2"/>
        <v>1.3870416112483408</v>
      </c>
      <c r="H31" s="23">
        <f t="shared" ref="H31:I31" si="17">SUM(D20:D31)</f>
        <v>1.7471188061085829</v>
      </c>
      <c r="I31" s="23">
        <f t="shared" si="17"/>
        <v>1.3959369262088739</v>
      </c>
      <c r="J31" s="26"/>
      <c r="K31" s="26"/>
    </row>
    <row r="32" spans="1:11" x14ac:dyDescent="0.25">
      <c r="A32" t="s">
        <v>90</v>
      </c>
      <c r="B32" s="27">
        <v>108.78</v>
      </c>
      <c r="C32" s="27">
        <v>106.96</v>
      </c>
      <c r="D32" s="91">
        <f t="shared" si="3"/>
        <v>0.23958717287135833</v>
      </c>
      <c r="E32" s="91">
        <f t="shared" si="4"/>
        <v>0.22488755622187551</v>
      </c>
      <c r="F32" s="26">
        <f t="shared" si="2"/>
        <v>1.7491347862688356</v>
      </c>
      <c r="G32" s="26">
        <f t="shared" si="2"/>
        <v>1.3934970139349634</v>
      </c>
      <c r="H32" s="23">
        <f t="shared" ref="H32:I32" si="18">SUM(D21:D32)</f>
        <v>1.7523163296268462</v>
      </c>
      <c r="I32" s="23">
        <f t="shared" si="18"/>
        <v>1.4023179272341091</v>
      </c>
      <c r="J32" s="26"/>
      <c r="K32" s="26"/>
    </row>
    <row r="33" spans="1:11" x14ac:dyDescent="0.25">
      <c r="A33" t="s">
        <v>91</v>
      </c>
      <c r="B33" s="27">
        <v>109.24</v>
      </c>
      <c r="C33" s="27">
        <v>107.42</v>
      </c>
      <c r="D33" s="91">
        <f t="shared" si="3"/>
        <v>0.42287185144327388</v>
      </c>
      <c r="E33" s="91">
        <f t="shared" si="4"/>
        <v>0.43006731488408612</v>
      </c>
      <c r="F33" s="26">
        <f t="shared" si="2"/>
        <v>1.6658911121451681</v>
      </c>
      <c r="G33" s="26">
        <f t="shared" si="2"/>
        <v>1.3396226415094414</v>
      </c>
      <c r="H33" s="23">
        <f t="shared" ref="H33:I33" si="19">SUM(D22:D33)</f>
        <v>1.6700904353026402</v>
      </c>
      <c r="I33" s="23">
        <f t="shared" si="19"/>
        <v>1.3489270944264664</v>
      </c>
      <c r="J33" s="26"/>
      <c r="K33" s="26"/>
    </row>
    <row r="34" spans="1:11" x14ac:dyDescent="0.25">
      <c r="A34" t="s">
        <v>92</v>
      </c>
      <c r="B34" s="27">
        <v>109.34</v>
      </c>
      <c r="C34" s="27">
        <v>107.51</v>
      </c>
      <c r="D34" s="91">
        <f t="shared" si="3"/>
        <v>9.1541559868191236E-2</v>
      </c>
      <c r="E34" s="91">
        <f t="shared" si="4"/>
        <v>8.3783280580895791E-2</v>
      </c>
      <c r="F34" s="26">
        <f t="shared" ref="F34:G49" si="20">100*((B34/B22)-1)</f>
        <v>1.8917155903457328</v>
      </c>
      <c r="G34" s="26">
        <f t="shared" si="20"/>
        <v>1.6835335287997744</v>
      </c>
      <c r="H34" s="23">
        <f t="shared" ref="H34:I34" si="21">SUM(D23:D34)</f>
        <v>1.8919251547799498</v>
      </c>
      <c r="I34" s="23">
        <f t="shared" si="21"/>
        <v>1.6874273561394371</v>
      </c>
      <c r="J34" s="26"/>
      <c r="K34" s="26"/>
    </row>
    <row r="35" spans="1:11" x14ac:dyDescent="0.25">
      <c r="A35" t="s">
        <v>93</v>
      </c>
      <c r="B35" s="27">
        <v>109.5</v>
      </c>
      <c r="C35" s="27">
        <v>107.67</v>
      </c>
      <c r="D35" s="91">
        <f t="shared" si="3"/>
        <v>0.1463325406987348</v>
      </c>
      <c r="E35" s="91">
        <f t="shared" si="4"/>
        <v>0.14882336526833573</v>
      </c>
      <c r="F35" s="26">
        <f t="shared" si="20"/>
        <v>1.7185322805387759</v>
      </c>
      <c r="G35" s="26">
        <f t="shared" si="20"/>
        <v>1.6234072675790356</v>
      </c>
      <c r="H35" s="23">
        <f t="shared" ref="H35:I35" si="22">SUM(D24:D35)</f>
        <v>1.7214186310858026</v>
      </c>
      <c r="I35" s="23">
        <f t="shared" si="22"/>
        <v>1.6281735436909472</v>
      </c>
      <c r="J35" s="26"/>
      <c r="K35" s="26"/>
    </row>
    <row r="36" spans="1:11" x14ac:dyDescent="0.25">
      <c r="A36" t="s">
        <v>94</v>
      </c>
      <c r="B36" s="27">
        <v>109.94</v>
      </c>
      <c r="C36" s="27">
        <v>108.11</v>
      </c>
      <c r="D36" s="91">
        <f t="shared" si="3"/>
        <v>0.40182648401825283</v>
      </c>
      <c r="E36" s="91">
        <f t="shared" si="4"/>
        <v>0.40865607875917309</v>
      </c>
      <c r="F36" s="26">
        <f t="shared" si="20"/>
        <v>1.0385074901203994</v>
      </c>
      <c r="G36" s="26">
        <f t="shared" si="20"/>
        <v>0.93361964335729741</v>
      </c>
      <c r="H36" s="23">
        <f t="shared" ref="H36:I36" si="23">SUM(D25:D36)</f>
        <v>1.0456789283878387</v>
      </c>
      <c r="I36" s="23">
        <f t="shared" si="23"/>
        <v>0.94197355826891593</v>
      </c>
      <c r="J36" s="26"/>
      <c r="K36" s="26"/>
    </row>
    <row r="37" spans="1:11" x14ac:dyDescent="0.25">
      <c r="A37" t="s">
        <v>95</v>
      </c>
      <c r="B37" s="27">
        <v>110.39</v>
      </c>
      <c r="C37" s="27">
        <v>108.55</v>
      </c>
      <c r="D37" s="91">
        <f t="shared" si="3"/>
        <v>0.40931417136620407</v>
      </c>
      <c r="E37" s="91">
        <f t="shared" si="4"/>
        <v>0.40699287762464564</v>
      </c>
      <c r="F37" s="26">
        <f t="shared" si="20"/>
        <v>1.9957497921093914</v>
      </c>
      <c r="G37" s="26">
        <f t="shared" si="20"/>
        <v>1.8770530267480101</v>
      </c>
      <c r="H37" s="23">
        <f t="shared" ref="H37:I37" si="24">SUM(D26:D37)</f>
        <v>1.9880323424707025</v>
      </c>
      <c r="I37" s="23">
        <f t="shared" si="24"/>
        <v>1.8717934361736521</v>
      </c>
      <c r="J37" s="26"/>
      <c r="K37" s="26"/>
    </row>
    <row r="38" spans="1:11" x14ac:dyDescent="0.25">
      <c r="A38" t="s">
        <v>96</v>
      </c>
      <c r="B38" s="27">
        <v>110.26</v>
      </c>
      <c r="C38" s="27">
        <v>108.42</v>
      </c>
      <c r="D38" s="91">
        <f t="shared" si="3"/>
        <v>-0.11776429024368262</v>
      </c>
      <c r="E38" s="91">
        <f t="shared" si="4"/>
        <v>-0.11976047904190823</v>
      </c>
      <c r="F38" s="26">
        <f t="shared" si="20"/>
        <v>2.1209595257942082</v>
      </c>
      <c r="G38" s="26">
        <f t="shared" si="20"/>
        <v>2.0039514535704184</v>
      </c>
      <c r="H38" s="23">
        <f t="shared" ref="H38:I38" si="25">SUM(D27:D38)</f>
        <v>2.1104971938698203</v>
      </c>
      <c r="I38" s="23">
        <f t="shared" si="25"/>
        <v>1.9960498506089719</v>
      </c>
      <c r="J38" s="26"/>
      <c r="K38" s="26"/>
    </row>
    <row r="39" spans="1:11" x14ac:dyDescent="0.25">
      <c r="A39" t="s">
        <v>97</v>
      </c>
      <c r="B39" s="27">
        <v>111.2</v>
      </c>
      <c r="C39" s="27">
        <v>109.35</v>
      </c>
      <c r="D39" s="91">
        <f t="shared" si="3"/>
        <v>0.85253038273171988</v>
      </c>
      <c r="E39" s="91">
        <f t="shared" si="4"/>
        <v>0.85777531820696584</v>
      </c>
      <c r="F39" s="26">
        <f t="shared" si="20"/>
        <v>2.4412713035467659</v>
      </c>
      <c r="G39" s="26">
        <f t="shared" si="20"/>
        <v>2.3110029940119681</v>
      </c>
      <c r="H39" s="23">
        <f t="shared" ref="H39:I39" si="26">SUM(D28:D39)</f>
        <v>2.4258413211602159</v>
      </c>
      <c r="I39" s="23">
        <f t="shared" si="26"/>
        <v>2.2987400243997369</v>
      </c>
      <c r="J39" s="26"/>
      <c r="K39" s="26"/>
    </row>
    <row r="40" spans="1:11" x14ac:dyDescent="0.25">
      <c r="A40" t="s">
        <v>98</v>
      </c>
      <c r="B40" s="27">
        <v>111.32</v>
      </c>
      <c r="C40" s="27">
        <v>109.46</v>
      </c>
      <c r="D40" s="91">
        <f t="shared" si="3"/>
        <v>0.10791366906472977</v>
      </c>
      <c r="E40" s="91">
        <f t="shared" si="4"/>
        <v>0.10059442158207865</v>
      </c>
      <c r="F40" s="26">
        <f t="shared" si="20"/>
        <v>3.3995913059632121</v>
      </c>
      <c r="G40" s="26">
        <f t="shared" si="20"/>
        <v>3.2544099613244004</v>
      </c>
      <c r="H40" s="23">
        <f t="shared" ref="H40:I40" si="27">SUM(D29:D40)</f>
        <v>3.3536536544349849</v>
      </c>
      <c r="I40" s="23">
        <f t="shared" si="27"/>
        <v>3.2133314519698253</v>
      </c>
      <c r="J40" s="26"/>
      <c r="K40" s="26"/>
    </row>
    <row r="41" spans="1:11" x14ac:dyDescent="0.25">
      <c r="A41" t="s">
        <v>99</v>
      </c>
      <c r="B41" s="27">
        <v>111.6</v>
      </c>
      <c r="C41" s="27">
        <v>109.74</v>
      </c>
      <c r="D41" s="91">
        <f t="shared" si="3"/>
        <v>0.2515271289974752</v>
      </c>
      <c r="E41" s="91">
        <f t="shared" si="4"/>
        <v>0.25580120591996991</v>
      </c>
      <c r="F41" s="26">
        <f t="shared" si="20"/>
        <v>3.4291010194624549</v>
      </c>
      <c r="G41" s="26">
        <f t="shared" si="20"/>
        <v>3.3041513696695723</v>
      </c>
      <c r="H41" s="23">
        <f t="shared" ref="H41:I41" si="28">SUM(D30:D41)</f>
        <v>3.3822567633692957</v>
      </c>
      <c r="I41" s="23">
        <f t="shared" si="28"/>
        <v>3.2616050661531615</v>
      </c>
      <c r="J41" s="26"/>
      <c r="K41" s="26"/>
    </row>
    <row r="42" spans="1:11" x14ac:dyDescent="0.25">
      <c r="A42" t="s">
        <v>100</v>
      </c>
      <c r="B42" s="27">
        <v>111.05</v>
      </c>
      <c r="C42" s="27">
        <v>110.71</v>
      </c>
      <c r="D42" s="91">
        <f t="shared" si="3"/>
        <v>-0.49283154121863015</v>
      </c>
      <c r="E42" s="91">
        <f t="shared" si="4"/>
        <v>0.88390741753234803</v>
      </c>
      <c r="F42" s="26">
        <f t="shared" si="20"/>
        <v>3.1679672984020746</v>
      </c>
      <c r="G42" s="26">
        <f t="shared" si="20"/>
        <v>4.5716444696325631</v>
      </c>
      <c r="H42" s="23">
        <f t="shared" ref="H42:I42" si="29">SUM(D31:D42)</f>
        <v>3.1303890775723597</v>
      </c>
      <c r="I42" s="23">
        <f t="shared" si="29"/>
        <v>4.4843998036516179</v>
      </c>
      <c r="J42" s="26"/>
      <c r="K42" s="26"/>
    </row>
    <row r="43" spans="1:11" x14ac:dyDescent="0.25">
      <c r="A43" t="s">
        <v>101</v>
      </c>
      <c r="B43" s="27">
        <v>112.33</v>
      </c>
      <c r="C43" s="27">
        <v>111.98</v>
      </c>
      <c r="D43" s="91">
        <f t="shared" si="3"/>
        <v>1.1526339486717774</v>
      </c>
      <c r="E43" s="91">
        <f t="shared" si="4"/>
        <v>1.1471411796585729</v>
      </c>
      <c r="F43" s="26">
        <f t="shared" si="20"/>
        <v>3.5108735716918638</v>
      </c>
      <c r="G43" s="26">
        <f t="shared" si="20"/>
        <v>4.9287856071964065</v>
      </c>
      <c r="H43" s="23">
        <f t="shared" ref="H43:I43" si="30">SUM(D32:D43)</f>
        <v>3.4654830782694046</v>
      </c>
      <c r="I43" s="23">
        <f t="shared" si="30"/>
        <v>4.8286695371970385</v>
      </c>
      <c r="J43" s="26"/>
      <c r="K43" s="26"/>
    </row>
    <row r="44" spans="1:11" x14ac:dyDescent="0.25">
      <c r="A44" t="s">
        <v>102</v>
      </c>
      <c r="B44" s="27">
        <v>113.4</v>
      </c>
      <c r="C44" s="27">
        <v>113.03</v>
      </c>
      <c r="D44" s="91">
        <f t="shared" si="3"/>
        <v>0.95255052078697666</v>
      </c>
      <c r="E44" s="91">
        <f t="shared" si="4"/>
        <v>0.937667440614387</v>
      </c>
      <c r="F44" s="26">
        <f t="shared" si="20"/>
        <v>4.2471042471042608</v>
      </c>
      <c r="G44" s="26">
        <f t="shared" si="20"/>
        <v>5.6750186985789153</v>
      </c>
      <c r="H44" s="23">
        <f t="shared" ref="H44:I44" si="31">SUM(D33:D44)</f>
        <v>4.1784464261850225</v>
      </c>
      <c r="I44" s="23">
        <f t="shared" si="31"/>
        <v>5.5414494215895509</v>
      </c>
      <c r="J44" s="26"/>
      <c r="K44" s="26"/>
    </row>
    <row r="45" spans="1:11" x14ac:dyDescent="0.25">
      <c r="A45" t="s">
        <v>103</v>
      </c>
      <c r="B45" s="27">
        <v>114.84</v>
      </c>
      <c r="C45" s="27">
        <v>114.81</v>
      </c>
      <c r="D45" s="91">
        <f t="shared" si="3"/>
        <v>1.2698412698412653</v>
      </c>
      <c r="E45" s="91">
        <f t="shared" si="4"/>
        <v>1.5748031496062964</v>
      </c>
      <c r="F45" s="26">
        <f t="shared" si="20"/>
        <v>5.1263273526180875</v>
      </c>
      <c r="G45" s="26">
        <f t="shared" si="20"/>
        <v>6.8795382610314704</v>
      </c>
      <c r="H45" s="23">
        <f t="shared" ref="H45:I45" si="32">SUM(D34:D45)</f>
        <v>5.0254158445830139</v>
      </c>
      <c r="I45" s="23">
        <f t="shared" si="32"/>
        <v>6.6861852563117612</v>
      </c>
      <c r="J45" s="26"/>
      <c r="K45" s="26"/>
    </row>
    <row r="46" spans="1:11" x14ac:dyDescent="0.25">
      <c r="A46" t="s">
        <v>104</v>
      </c>
      <c r="B46" s="27">
        <v>115.49</v>
      </c>
      <c r="C46" s="27">
        <v>115.45</v>
      </c>
      <c r="D46" s="91">
        <f t="shared" si="3"/>
        <v>0.56600487634970165</v>
      </c>
      <c r="E46" s="91">
        <f t="shared" si="4"/>
        <v>0.55744273146938195</v>
      </c>
      <c r="F46" s="26">
        <f t="shared" si="20"/>
        <v>5.6246570331077272</v>
      </c>
      <c r="G46" s="26">
        <f t="shared" si="20"/>
        <v>7.3853595014417239</v>
      </c>
      <c r="H46" s="23">
        <f t="shared" ref="H46:I46" si="33">SUM(D35:D46)</f>
        <v>5.4998791610645252</v>
      </c>
      <c r="I46" s="23">
        <f t="shared" si="33"/>
        <v>7.1598447072002473</v>
      </c>
      <c r="J46" s="26"/>
      <c r="K46" s="26"/>
    </row>
    <row r="47" spans="1:11" x14ac:dyDescent="0.25">
      <c r="A47" t="s">
        <v>105</v>
      </c>
      <c r="B47" s="27">
        <v>116.3</v>
      </c>
      <c r="C47" s="27">
        <v>116.26</v>
      </c>
      <c r="D47" s="91">
        <f t="shared" si="3"/>
        <v>0.7013594250584454</v>
      </c>
      <c r="E47" s="91">
        <f t="shared" si="4"/>
        <v>0.70160242529233585</v>
      </c>
      <c r="F47" s="26">
        <f t="shared" si="20"/>
        <v>6.2100456621004607</v>
      </c>
      <c r="G47" s="26">
        <f t="shared" si="20"/>
        <v>7.9780811739574631</v>
      </c>
      <c r="H47" s="23">
        <f t="shared" ref="H47:I47" si="34">SUM(D36:D47)</f>
        <v>6.0549060454242358</v>
      </c>
      <c r="I47" s="23">
        <f t="shared" si="34"/>
        <v>7.7126237672242466</v>
      </c>
      <c r="J47" s="26"/>
      <c r="K47" s="26"/>
    </row>
    <row r="48" spans="1:11" x14ac:dyDescent="0.25">
      <c r="A48" t="s">
        <v>106</v>
      </c>
      <c r="B48" s="27">
        <v>117.53</v>
      </c>
      <c r="C48" s="27">
        <v>118.22</v>
      </c>
      <c r="D48" s="91">
        <f t="shared" si="3"/>
        <v>1.0576096302665539</v>
      </c>
      <c r="E48" s="91">
        <f t="shared" si="4"/>
        <v>1.6858764837433204</v>
      </c>
      <c r="F48" s="26">
        <f t="shared" si="20"/>
        <v>6.9037656903765621</v>
      </c>
      <c r="G48" s="26">
        <f t="shared" si="20"/>
        <v>9.351586347238916</v>
      </c>
      <c r="H48" s="23">
        <f t="shared" ref="H48:I48" si="35">SUM(D37:D48)</f>
        <v>6.7106891916725369</v>
      </c>
      <c r="I48" s="23">
        <f t="shared" si="35"/>
        <v>8.9898441722083948</v>
      </c>
      <c r="J48" s="26"/>
      <c r="K48" s="26"/>
    </row>
    <row r="49" spans="1:11" x14ac:dyDescent="0.25">
      <c r="A49" t="s">
        <v>107</v>
      </c>
      <c r="B49" s="27">
        <v>118.1</v>
      </c>
      <c r="C49" s="27">
        <v>118.82</v>
      </c>
      <c r="D49" s="91">
        <f t="shared" si="3"/>
        <v>0.48498255764484188</v>
      </c>
      <c r="E49" s="91">
        <f t="shared" si="4"/>
        <v>0.50752833699880817</v>
      </c>
      <c r="F49" s="26">
        <f t="shared" si="20"/>
        <v>6.9843282906060233</v>
      </c>
      <c r="G49" s="26">
        <f t="shared" si="20"/>
        <v>9.461077844311383</v>
      </c>
      <c r="H49" s="23">
        <f t="shared" ref="H49:I49" si="36">SUM(D38:D49)</f>
        <v>6.7863575779511738</v>
      </c>
      <c r="I49" s="23">
        <f t="shared" si="36"/>
        <v>9.0903796315825574</v>
      </c>
      <c r="J49" s="26"/>
      <c r="K49" s="26"/>
    </row>
    <row r="50" spans="1:11" x14ac:dyDescent="0.25">
      <c r="A50" t="s">
        <v>108</v>
      </c>
      <c r="B50" s="27">
        <v>118.81</v>
      </c>
      <c r="C50" s="27">
        <v>119.57</v>
      </c>
      <c r="D50" s="91">
        <f t="shared" si="3"/>
        <v>0.60118543607112773</v>
      </c>
      <c r="E50" s="91">
        <f t="shared" si="4"/>
        <v>0.6312068675307092</v>
      </c>
      <c r="F50" s="26">
        <f t="shared" ref="F50:G65" si="37">100*((B50/B38)-1)</f>
        <v>7.7543986939960119</v>
      </c>
      <c r="G50" s="26">
        <f t="shared" si="37"/>
        <v>10.284080427965314</v>
      </c>
      <c r="H50" s="23">
        <f t="shared" ref="H50:I50" si="38">SUM(D39:D50)</f>
        <v>7.5053073042659841</v>
      </c>
      <c r="I50" s="23">
        <f t="shared" si="38"/>
        <v>9.8413469781551743</v>
      </c>
      <c r="J50" s="26"/>
      <c r="K50" s="26"/>
    </row>
    <row r="51" spans="1:11" x14ac:dyDescent="0.25">
      <c r="A51" t="s">
        <v>109</v>
      </c>
      <c r="B51" s="27">
        <v>121.27</v>
      </c>
      <c r="C51" s="27">
        <v>122.13</v>
      </c>
      <c r="D51" s="91">
        <f t="shared" si="3"/>
        <v>2.0705327834357412</v>
      </c>
      <c r="E51" s="91">
        <f t="shared" si="4"/>
        <v>2.1410052688801473</v>
      </c>
      <c r="F51" s="26">
        <f t="shared" si="37"/>
        <v>9.0557553956834411</v>
      </c>
      <c r="G51" s="26">
        <f t="shared" si="37"/>
        <v>11.687242798353914</v>
      </c>
      <c r="H51" s="23">
        <f t="shared" ref="H51:I51" si="39">SUM(D40:D51)</f>
        <v>8.7233097049700064</v>
      </c>
      <c r="I51" s="23">
        <f t="shared" si="39"/>
        <v>11.124576928828358</v>
      </c>
      <c r="J51" s="26"/>
      <c r="K51" s="26"/>
    </row>
    <row r="52" spans="1:11" x14ac:dyDescent="0.25">
      <c r="A52" t="s">
        <v>110</v>
      </c>
      <c r="B52" s="27">
        <v>123.4</v>
      </c>
      <c r="C52" s="27">
        <v>124.53</v>
      </c>
      <c r="D52" s="91">
        <f t="shared" si="3"/>
        <v>1.756411313597761</v>
      </c>
      <c r="E52" s="91">
        <f t="shared" si="4"/>
        <v>1.9651191353475816</v>
      </c>
      <c r="F52" s="26">
        <f t="shared" si="37"/>
        <v>10.851598993891498</v>
      </c>
      <c r="G52" s="26">
        <f t="shared" si="37"/>
        <v>13.767586332907001</v>
      </c>
      <c r="H52" s="23">
        <f t="shared" ref="H52:I52" si="40">SUM(D41:D52)</f>
        <v>10.371807349503039</v>
      </c>
      <c r="I52" s="23">
        <f t="shared" si="40"/>
        <v>12.989101642593859</v>
      </c>
      <c r="J52" s="26"/>
      <c r="K52" s="26"/>
    </row>
    <row r="53" spans="1:11" x14ac:dyDescent="0.25">
      <c r="A53" t="s">
        <v>111</v>
      </c>
      <c r="B53" s="27">
        <v>124.25</v>
      </c>
      <c r="C53" s="27">
        <v>125.39</v>
      </c>
      <c r="D53" s="91">
        <f t="shared" si="3"/>
        <v>0.68881685575363782</v>
      </c>
      <c r="E53" s="91">
        <f t="shared" si="4"/>
        <v>0.69059664337911553</v>
      </c>
      <c r="F53" s="26">
        <f t="shared" si="37"/>
        <v>11.335125448028682</v>
      </c>
      <c r="G53" s="26">
        <f t="shared" si="37"/>
        <v>14.26098049936213</v>
      </c>
      <c r="H53" s="23">
        <f t="shared" ref="H53:I53" si="41">SUM(D42:D53)</f>
        <v>10.809097076259199</v>
      </c>
      <c r="I53" s="23">
        <f t="shared" si="41"/>
        <v>13.423897080053006</v>
      </c>
      <c r="J53" s="26"/>
      <c r="K53" s="26"/>
    </row>
    <row r="54" spans="1:11" x14ac:dyDescent="0.25">
      <c r="A54" t="s">
        <v>112</v>
      </c>
      <c r="B54" s="27">
        <v>123.9</v>
      </c>
      <c r="C54" s="27">
        <v>123.38</v>
      </c>
      <c r="D54" s="91">
        <f t="shared" si="3"/>
        <v>-0.28169014084507005</v>
      </c>
      <c r="E54" s="91">
        <f t="shared" si="4"/>
        <v>-1.6029986442300026</v>
      </c>
      <c r="F54" s="26">
        <f t="shared" si="37"/>
        <v>11.571364250337691</v>
      </c>
      <c r="G54" s="26">
        <f t="shared" si="37"/>
        <v>11.444313973444142</v>
      </c>
      <c r="H54" s="23">
        <f t="shared" ref="H54:I54" si="42">SUM(D43:D54)</f>
        <v>11.020238476632761</v>
      </c>
      <c r="I54" s="23">
        <f t="shared" si="42"/>
        <v>10.936991018290655</v>
      </c>
      <c r="J54" s="26"/>
      <c r="K54" s="26"/>
    </row>
    <row r="55" spans="1:11" x14ac:dyDescent="0.25">
      <c r="A55" t="s">
        <v>113</v>
      </c>
      <c r="B55" s="27">
        <v>125.24</v>
      </c>
      <c r="C55" s="27">
        <v>124.72</v>
      </c>
      <c r="D55" s="91">
        <f t="shared" si="3"/>
        <v>1.0815173527037869</v>
      </c>
      <c r="E55" s="91">
        <f t="shared" si="4"/>
        <v>1.0860755389852539</v>
      </c>
      <c r="F55" s="26">
        <f t="shared" si="37"/>
        <v>11.492922638653958</v>
      </c>
      <c r="G55" s="26">
        <f t="shared" si="37"/>
        <v>11.377031612788002</v>
      </c>
      <c r="H55" s="23">
        <f t="shared" ref="H55:I55" si="43">SUM(D44:D55)</f>
        <v>10.949121880664769</v>
      </c>
      <c r="I55" s="23">
        <f t="shared" si="43"/>
        <v>10.875925377617337</v>
      </c>
      <c r="J55" s="26"/>
      <c r="K55" s="26"/>
    </row>
    <row r="56" spans="1:11" x14ac:dyDescent="0.25">
      <c r="A56" t="s">
        <v>114</v>
      </c>
      <c r="B56" s="27">
        <v>125.6</v>
      </c>
      <c r="C56" s="27">
        <v>125.1</v>
      </c>
      <c r="D56" s="91">
        <f t="shared" si="3"/>
        <v>0.28744809964866835</v>
      </c>
      <c r="E56" s="91">
        <f t="shared" si="4"/>
        <v>0.30468248877484339</v>
      </c>
      <c r="F56" s="26">
        <f t="shared" si="37"/>
        <v>10.758377425044085</v>
      </c>
      <c r="G56" s="26">
        <f t="shared" si="37"/>
        <v>10.6785809077236</v>
      </c>
      <c r="H56" s="23">
        <f t="shared" ref="H56:I56" si="44">SUM(D45:D56)</f>
        <v>10.284019459526462</v>
      </c>
      <c r="I56" s="23">
        <f t="shared" si="44"/>
        <v>10.242940425777793</v>
      </c>
      <c r="J56" s="26"/>
      <c r="K56" s="26"/>
    </row>
    <row r="57" spans="1:11" x14ac:dyDescent="0.25">
      <c r="A57" t="s">
        <v>115</v>
      </c>
      <c r="B57" s="27">
        <v>126.61</v>
      </c>
      <c r="C57" s="27">
        <v>126.15</v>
      </c>
      <c r="D57" s="91">
        <f t="shared" si="3"/>
        <v>0.80414012738854179</v>
      </c>
      <c r="E57" s="91">
        <f t="shared" si="4"/>
        <v>0.83932853717028078</v>
      </c>
      <c r="F57" s="26">
        <f t="shared" si="37"/>
        <v>10.249042145593856</v>
      </c>
      <c r="G57" s="26">
        <f t="shared" si="37"/>
        <v>9.8771883982231579</v>
      </c>
      <c r="H57" s="23">
        <f t="shared" ref="H57:I57" si="45">SUM(D46:D57)</f>
        <v>9.8183183170737394</v>
      </c>
      <c r="I57" s="23">
        <f t="shared" si="45"/>
        <v>9.5074658133417778</v>
      </c>
      <c r="J57" s="26"/>
      <c r="K57" s="26"/>
    </row>
    <row r="58" spans="1:11" x14ac:dyDescent="0.25">
      <c r="A58" t="s">
        <v>116</v>
      </c>
      <c r="B58" s="27">
        <v>126.9</v>
      </c>
      <c r="C58" s="27">
        <v>126.43</v>
      </c>
      <c r="D58" s="91">
        <f t="shared" si="3"/>
        <v>0.22904983808547108</v>
      </c>
      <c r="E58" s="91">
        <f t="shared" si="4"/>
        <v>0.22195798652397958</v>
      </c>
      <c r="F58" s="26">
        <f t="shared" si="37"/>
        <v>9.8796432591566443</v>
      </c>
      <c r="G58" s="26">
        <f t="shared" si="37"/>
        <v>9.5106106539627469</v>
      </c>
      <c r="H58" s="23">
        <f t="shared" ref="H58:I58" si="46">SUM(D47:D58)</f>
        <v>9.4813632788095088</v>
      </c>
      <c r="I58" s="23">
        <f t="shared" si="46"/>
        <v>9.1719810683963736</v>
      </c>
      <c r="J58" s="26"/>
      <c r="K58" s="26"/>
    </row>
    <row r="59" spans="1:11" x14ac:dyDescent="0.25">
      <c r="A59" t="s">
        <v>117</v>
      </c>
      <c r="B59" s="23">
        <v>125.83</v>
      </c>
      <c r="C59" s="23">
        <v>124.88</v>
      </c>
      <c r="D59" s="91">
        <f t="shared" si="3"/>
        <v>-0.84318360914106272</v>
      </c>
      <c r="E59" s="91">
        <f t="shared" si="4"/>
        <v>-1.2259748477418397</v>
      </c>
      <c r="F59" s="26">
        <f t="shared" si="37"/>
        <v>8.1943250214961303</v>
      </c>
      <c r="G59" s="26">
        <f t="shared" si="37"/>
        <v>7.414415964218124</v>
      </c>
      <c r="H59" s="23">
        <f t="shared" ref="H59:I59" si="47">SUM(D48:D59)</f>
        <v>7.9368202446099989</v>
      </c>
      <c r="I59" s="23">
        <f t="shared" si="47"/>
        <v>7.2444037953621976</v>
      </c>
      <c r="J59" s="26"/>
      <c r="K59" s="26"/>
    </row>
    <row r="60" spans="1:11" x14ac:dyDescent="0.25">
      <c r="A60" t="s">
        <v>118</v>
      </c>
      <c r="B60" s="23">
        <v>127.13</v>
      </c>
      <c r="C60" s="23">
        <v>125.85</v>
      </c>
      <c r="D60" s="91">
        <f t="shared" si="3"/>
        <v>1.0331399507271799</v>
      </c>
      <c r="E60" s="91">
        <f t="shared" si="4"/>
        <v>0.77674567584882226</v>
      </c>
      <c r="F60" s="26">
        <f t="shared" si="37"/>
        <v>8.1681272866502184</v>
      </c>
      <c r="G60" s="26">
        <f t="shared" si="37"/>
        <v>6.4540686855016016</v>
      </c>
      <c r="H60" s="23">
        <f t="shared" ref="H60:I60" si="48">SUM(D49:D60)</f>
        <v>7.912350565070625</v>
      </c>
      <c r="I60" s="23">
        <f t="shared" si="48"/>
        <v>6.3352729874677003</v>
      </c>
      <c r="J60" s="26"/>
      <c r="K60" s="26"/>
    </row>
    <row r="61" spans="1:11" x14ac:dyDescent="0.25">
      <c r="A61" t="s">
        <v>119</v>
      </c>
      <c r="B61" s="23">
        <v>127.7</v>
      </c>
      <c r="C61" s="23">
        <v>126.38</v>
      </c>
      <c r="D61" s="91">
        <f t="shared" si="3"/>
        <v>0.44835994651144517</v>
      </c>
      <c r="E61" s="91">
        <f t="shared" si="4"/>
        <v>0.42113627334128267</v>
      </c>
      <c r="F61" s="26">
        <f t="shared" si="37"/>
        <v>8.1287044877222705</v>
      </c>
      <c r="G61" s="26">
        <f t="shared" si="37"/>
        <v>6.3625652247096376</v>
      </c>
      <c r="H61" s="23">
        <f t="shared" ref="H61:I61" si="49">SUM(D50:D61)</f>
        <v>7.8757279539372282</v>
      </c>
      <c r="I61" s="23">
        <f t="shared" si="49"/>
        <v>6.2488809238101748</v>
      </c>
      <c r="J61" s="26"/>
      <c r="K61" s="26"/>
    </row>
    <row r="62" spans="1:11" x14ac:dyDescent="0.25">
      <c r="A62" t="s">
        <v>143</v>
      </c>
      <c r="B62" s="23">
        <v>127.16</v>
      </c>
      <c r="C62" s="23">
        <v>125.85</v>
      </c>
      <c r="D62" s="91">
        <f t="shared" si="3"/>
        <v>-0.4228660924040728</v>
      </c>
      <c r="E62" s="91">
        <f t="shared" si="4"/>
        <v>-0.41937015350530515</v>
      </c>
      <c r="F62" s="26">
        <f t="shared" si="37"/>
        <v>7.028027943775772</v>
      </c>
      <c r="G62" s="26">
        <f t="shared" si="37"/>
        <v>5.2521535502216388</v>
      </c>
      <c r="H62" s="23">
        <f t="shared" ref="H62:I62" si="50">SUM(D51:D62)</f>
        <v>6.8516764254620277</v>
      </c>
      <c r="I62" s="23">
        <f t="shared" si="50"/>
        <v>5.1983039027741604</v>
      </c>
      <c r="J62" s="26"/>
      <c r="K62" s="26"/>
    </row>
    <row r="63" spans="1:11" x14ac:dyDescent="0.25">
      <c r="A63" t="s">
        <v>151</v>
      </c>
      <c r="B63" s="28">
        <v>127.8</v>
      </c>
      <c r="C63" s="28">
        <v>126.48</v>
      </c>
      <c r="D63" s="91">
        <f t="shared" si="3"/>
        <v>0.50330292544824573</v>
      </c>
      <c r="E63" s="91">
        <f t="shared" si="4"/>
        <v>0.50059594755662573</v>
      </c>
      <c r="F63" s="30">
        <f t="shared" si="37"/>
        <v>5.384678815865418</v>
      </c>
      <c r="G63" s="30">
        <f t="shared" si="37"/>
        <v>3.5617784328174862</v>
      </c>
      <c r="H63" s="23">
        <f t="shared" ref="H63:I63" si="51">SUM(D52:D63)</f>
        <v>5.2844465674745322</v>
      </c>
      <c r="I63" s="23">
        <f t="shared" si="51"/>
        <v>3.557894581450638</v>
      </c>
      <c r="J63" s="26"/>
      <c r="K63" s="26"/>
    </row>
    <row r="64" spans="1:11" x14ac:dyDescent="0.25">
      <c r="A64" t="s">
        <v>152</v>
      </c>
      <c r="B64" s="28">
        <v>127.8</v>
      </c>
      <c r="C64" s="28">
        <v>126.48</v>
      </c>
      <c r="D64" s="91">
        <f t="shared" si="3"/>
        <v>0</v>
      </c>
      <c r="E64" s="91">
        <f t="shared" si="4"/>
        <v>0</v>
      </c>
      <c r="F64" s="30">
        <f t="shared" si="37"/>
        <v>3.5656401944894611</v>
      </c>
      <c r="G64" s="30">
        <f t="shared" si="37"/>
        <v>1.565887737894478</v>
      </c>
      <c r="H64" s="23">
        <f t="shared" ref="H64:I64" si="52">SUM(D53:D64)</f>
        <v>3.5280352538767712</v>
      </c>
      <c r="I64" s="23">
        <f t="shared" si="52"/>
        <v>1.5927754461030563</v>
      </c>
    </row>
    <row r="65" spans="1:9" x14ac:dyDescent="0.25">
      <c r="A65" t="s">
        <v>153</v>
      </c>
      <c r="B65" s="28">
        <v>127.8</v>
      </c>
      <c r="C65" s="28">
        <v>126.48</v>
      </c>
      <c r="D65" s="91">
        <f t="shared" si="3"/>
        <v>0</v>
      </c>
      <c r="E65" s="91">
        <f t="shared" si="4"/>
        <v>0</v>
      </c>
      <c r="F65" s="30">
        <f t="shared" si="37"/>
        <v>2.857142857142847</v>
      </c>
      <c r="G65" s="30">
        <f t="shared" si="37"/>
        <v>0.86928782199537924</v>
      </c>
      <c r="H65" s="23">
        <f t="shared" ref="H65:I65" si="53">SUM(D54:D65)</f>
        <v>2.8392183981231334</v>
      </c>
      <c r="I65" s="23">
        <f t="shared" si="53"/>
        <v>0.9021788027239408</v>
      </c>
    </row>
  </sheetData>
  <sheetProtection algorithmName="SHA-512" hashValue="l5Ww0RP51EpQ49v1nNm/1NMBm/Sk0wCDCO2/uzw9vOaiUHl8wZTeEStpZpkjp0t58yboBnCeQ8nu3GJS3ZYQqA==" saltValue="lqT8y7pt/s3hpwSnOR9rpQ==" spinCount="100000" sheet="1" objects="1" scenarios="1"/>
  <hyperlinks>
    <hyperlink ref="E1" r:id="rId1" xr:uid="{A0B07154-AF38-4BF9-AEE7-97C2CB4806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calc</vt:lpstr>
      <vt:lpstr>calcHelp</vt:lpstr>
      <vt:lpstr>tabellen</vt:lpstr>
      <vt:lpstr>Tabel 1 CPI</vt:lpstr>
      <vt:lpstr>CPI</vt:lpstr>
      <vt:lpstr>CPI-Gec</vt:lpstr>
      <vt:lpstr>calc!Afdrukbereik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 Berkemeijer</dc:creator>
  <cp:keywords/>
  <dc:description/>
  <cp:lastModifiedBy>Jos Berkemeijer</cp:lastModifiedBy>
  <cp:revision/>
  <dcterms:created xsi:type="dcterms:W3CDTF">2023-11-07T09:48:11Z</dcterms:created>
  <dcterms:modified xsi:type="dcterms:W3CDTF">2023-11-11T21:34:46Z</dcterms:modified>
  <cp:category/>
  <cp:contentStatus/>
</cp:coreProperties>
</file>