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last\OneDrive\UAI 2017 - Proyecto Final\qlickview\"/>
    </mc:Choice>
  </mc:AlternateContent>
  <xr:revisionPtr revIDLastSave="107" documentId="0286EC9494E66E338F1967A9220AB122E71D7067" xr6:coauthVersionLast="23" xr6:coauthVersionMax="23" xr10:uidLastSave="{EAD32237-C59F-4A78-9EF9-A9AF9FFB0506}"/>
  <bookViews>
    <workbookView xWindow="0" yWindow="0" windowWidth="20490" windowHeight="7530" firstSheet="4" activeTab="9" xr2:uid="{00000000-000D-0000-FFFF-FFFF00000000}"/>
  </bookViews>
  <sheets>
    <sheet name="Clientes" sheetId="5" r:id="rId1"/>
    <sheet name="Tipos_Ingresos" sheetId="4" r:id="rId2"/>
    <sheet name="Ingresos" sheetId="1" r:id="rId3"/>
    <sheet name="Remuneraciones" sheetId="9" r:id="rId4"/>
    <sheet name="Remuneraciones_proy" sheetId="10" r:id="rId5"/>
    <sheet name="Tipos_Egresos" sheetId="6" r:id="rId6"/>
    <sheet name="Egresos" sheetId="2" r:id="rId7"/>
    <sheet name="Personal" sheetId="7" r:id="rId8"/>
    <sheet name="Inversiones" sheetId="3" r:id="rId9"/>
    <sheet name="Flujos Fondos" sheetId="8" r:id="rId10"/>
    <sheet name="Riesgos" sheetId="11" r:id="rId11"/>
    <sheet name="Plan riesgos" sheetId="12" r:id="rId12"/>
  </sheets>
  <definedNames>
    <definedName name="_xlnm._FilterDatabase" localSheetId="6" hidden="1">Egresos!$A$1:$AA$40</definedName>
    <definedName name="_xlnm._FilterDatabase" localSheetId="2" hidden="1">Ingresos!$A$1:$H$69</definedName>
  </definedNames>
  <calcPr calcId="171027"/>
  <fileRecoveryPr autoRecover="0"/>
</workbook>
</file>

<file path=xl/calcChain.xml><?xml version="1.0" encoding="utf-8"?>
<calcChain xmlns="http://schemas.openxmlformats.org/spreadsheetml/2006/main">
  <c r="K10" i="8" l="1"/>
  <c r="E3" i="11" l="1"/>
  <c r="E4" i="11"/>
  <c r="E5" i="11"/>
  <c r="E6" i="11"/>
  <c r="E2" i="11"/>
  <c r="J24" i="8"/>
  <c r="C4" i="8"/>
  <c r="B12" i="8" l="1"/>
  <c r="H19" i="1"/>
  <c r="H18" i="1"/>
  <c r="G35" i="2"/>
  <c r="H35" i="2" s="1"/>
  <c r="H40" i="2"/>
  <c r="H39" i="2"/>
  <c r="H38" i="2"/>
  <c r="H37" i="2"/>
  <c r="H34" i="2"/>
  <c r="H33" i="2"/>
  <c r="H32" i="2"/>
  <c r="H31" i="2"/>
  <c r="H30" i="2"/>
  <c r="H27" i="2"/>
  <c r="H26" i="2"/>
  <c r="H25" i="2"/>
  <c r="H24" i="2"/>
  <c r="H21" i="2"/>
  <c r="H20" i="2"/>
  <c r="H19" i="2"/>
  <c r="H18" i="2"/>
  <c r="H15" i="2"/>
  <c r="H14" i="2"/>
  <c r="H13" i="2"/>
  <c r="H12" i="2"/>
  <c r="H9" i="2"/>
  <c r="H8" i="2"/>
  <c r="H7" i="2"/>
  <c r="H6" i="2"/>
  <c r="H5" i="2"/>
  <c r="H4" i="2"/>
  <c r="G3" i="2"/>
  <c r="H3" i="2" s="1"/>
  <c r="G2" i="2"/>
  <c r="H2" i="2" s="1"/>
  <c r="AG5" i="9"/>
  <c r="AG16" i="9" s="1"/>
  <c r="AG4" i="9"/>
  <c r="AF5" i="9"/>
  <c r="AF16" i="9" s="1"/>
  <c r="AF4" i="9"/>
  <c r="AA5" i="9"/>
  <c r="AA16" i="9" s="1"/>
  <c r="AA4" i="9"/>
  <c r="Z5" i="9"/>
  <c r="G29" i="2" s="1"/>
  <c r="H29" i="2" s="1"/>
  <c r="Z4" i="9"/>
  <c r="G28" i="2" s="1"/>
  <c r="H28" i="2" s="1"/>
  <c r="U5" i="9"/>
  <c r="U16" i="9" s="1"/>
  <c r="U4" i="9"/>
  <c r="T5" i="9"/>
  <c r="T16" i="9" s="1"/>
  <c r="T4" i="9"/>
  <c r="G22" i="2" s="1"/>
  <c r="H22" i="2" s="1"/>
  <c r="O5" i="9"/>
  <c r="O16" i="9" s="1"/>
  <c r="O4" i="9"/>
  <c r="N5" i="9"/>
  <c r="N16" i="9" s="1"/>
  <c r="N4" i="9"/>
  <c r="G16" i="2" s="1"/>
  <c r="H16" i="2" s="1"/>
  <c r="L16" i="9"/>
  <c r="J16" i="9"/>
  <c r="I5" i="9"/>
  <c r="I16" i="9" s="1"/>
  <c r="I4" i="9"/>
  <c r="H5" i="9"/>
  <c r="H16" i="9" s="1"/>
  <c r="H4" i="9"/>
  <c r="G10" i="2" s="1"/>
  <c r="H10" i="2" s="1"/>
  <c r="C16" i="9"/>
  <c r="D16" i="9"/>
  <c r="E16" i="9"/>
  <c r="F16" i="9"/>
  <c r="G16" i="9"/>
  <c r="K16" i="9"/>
  <c r="M16" i="9"/>
  <c r="P16" i="9"/>
  <c r="Q16" i="9"/>
  <c r="R16" i="9"/>
  <c r="S16" i="9"/>
  <c r="V16" i="9"/>
  <c r="W16" i="9"/>
  <c r="X16" i="9"/>
  <c r="Y16" i="9"/>
  <c r="Z16" i="9"/>
  <c r="AB16" i="9"/>
  <c r="AC16" i="9"/>
  <c r="AD16" i="9"/>
  <c r="AE16" i="9"/>
  <c r="AH16" i="9"/>
  <c r="AI16" i="9"/>
  <c r="AJ16" i="9"/>
  <c r="AK16" i="9"/>
  <c r="B16" i="9"/>
  <c r="H4" i="8" l="1"/>
  <c r="G17" i="2"/>
  <c r="H17" i="2" s="1"/>
  <c r="G11" i="2"/>
  <c r="H11" i="2" s="1"/>
  <c r="E4" i="8" s="1"/>
  <c r="G23" i="2"/>
  <c r="H23" i="2" s="1"/>
  <c r="G4" i="8" s="1"/>
  <c r="I4" i="8"/>
  <c r="G36" i="2"/>
  <c r="H36" i="2" s="1"/>
  <c r="D4" i="8"/>
  <c r="F4" i="8"/>
  <c r="J25" i="8" s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F3" i="8" l="1"/>
  <c r="E3" i="8"/>
  <c r="H3" i="8"/>
  <c r="H5" i="8" s="1"/>
  <c r="H6" i="8" s="1"/>
  <c r="G3" i="8"/>
  <c r="I3" i="8"/>
  <c r="I5" i="8" s="1"/>
  <c r="I6" i="8" s="1"/>
  <c r="AJ11" i="9"/>
  <c r="AK11" i="9"/>
  <c r="AF15" i="9"/>
  <c r="AE15" i="9"/>
  <c r="AD15" i="9"/>
  <c r="AC15" i="9"/>
  <c r="AC22" i="9" s="1"/>
  <c r="AB15" i="9"/>
  <c r="AA11" i="9"/>
  <c r="Y11" i="9"/>
  <c r="V15" i="9"/>
  <c r="W15" i="9"/>
  <c r="T15" i="9"/>
  <c r="AK22" i="9"/>
  <c r="AJ22" i="9"/>
  <c r="AI22" i="9"/>
  <c r="AH22" i="9"/>
  <c r="AI11" i="9"/>
  <c r="AH11" i="9"/>
  <c r="AG11" i="9"/>
  <c r="AE11" i="9"/>
  <c r="AD11" i="9"/>
  <c r="AC11" i="9"/>
  <c r="AB11" i="9"/>
  <c r="W11" i="9"/>
  <c r="V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U15" i="9"/>
  <c r="A14" i="9"/>
  <c r="S15" i="9"/>
  <c r="R15" i="9"/>
  <c r="Q15" i="9"/>
  <c r="Q22" i="9" s="1"/>
  <c r="P15" i="9"/>
  <c r="O15" i="9"/>
  <c r="N15" i="9"/>
  <c r="M15" i="9"/>
  <c r="M22" i="9" s="1"/>
  <c r="L15" i="9"/>
  <c r="K15" i="9"/>
  <c r="J15" i="9"/>
  <c r="J22" i="9" s="1"/>
  <c r="J25" i="9" s="1"/>
  <c r="I15" i="9"/>
  <c r="I22" i="9" s="1"/>
  <c r="H15" i="9"/>
  <c r="G15" i="9"/>
  <c r="F15" i="9"/>
  <c r="F22" i="9" s="1"/>
  <c r="F25" i="9" s="1"/>
  <c r="E15" i="9"/>
  <c r="E22" i="9" s="1"/>
  <c r="D15" i="9"/>
  <c r="C15" i="9"/>
  <c r="B15" i="9"/>
  <c r="B22" i="9" s="1"/>
  <c r="B25" i="9" s="1"/>
  <c r="E25" i="9" l="1"/>
  <c r="I25" i="9"/>
  <c r="M25" i="9"/>
  <c r="Q25" i="9"/>
  <c r="AI25" i="9"/>
  <c r="C22" i="9"/>
  <c r="C25" i="9" s="1"/>
  <c r="G22" i="9"/>
  <c r="G25" i="9" s="1"/>
  <c r="K22" i="9"/>
  <c r="K25" i="9" s="1"/>
  <c r="O22" i="9"/>
  <c r="O25" i="9" s="1"/>
  <c r="S22" i="9"/>
  <c r="S25" i="9" s="1"/>
  <c r="D22" i="9"/>
  <c r="D25" i="9" s="1"/>
  <c r="H22" i="9"/>
  <c r="H25" i="9" s="1"/>
  <c r="L22" i="9"/>
  <c r="L25" i="9" s="1"/>
  <c r="P22" i="9"/>
  <c r="P25" i="9" s="1"/>
  <c r="V22" i="9"/>
  <c r="V25" i="9" s="1"/>
  <c r="AB22" i="9"/>
  <c r="AB25" i="9" s="1"/>
  <c r="T11" i="9"/>
  <c r="AA15" i="9"/>
  <c r="AA22" i="9" s="1"/>
  <c r="AA25" i="9" s="1"/>
  <c r="U11" i="9"/>
  <c r="AG15" i="9"/>
  <c r="N22" i="9"/>
  <c r="N25" i="9" s="1"/>
  <c r="Z15" i="9"/>
  <c r="F5" i="8"/>
  <c r="F6" i="8" s="1"/>
  <c r="AF11" i="9"/>
  <c r="AF22" i="9"/>
  <c r="R22" i="9"/>
  <c r="R25" i="9" s="1"/>
  <c r="AE22" i="9"/>
  <c r="AE25" i="9" s="1"/>
  <c r="G5" i="8"/>
  <c r="G6" i="8" s="1"/>
  <c r="D5" i="8"/>
  <c r="D6" i="8" s="1"/>
  <c r="C5" i="8"/>
  <c r="AJ25" i="9"/>
  <c r="AH25" i="9"/>
  <c r="AK25" i="9"/>
  <c r="AD22" i="9"/>
  <c r="AD25" i="9" s="1"/>
  <c r="AC25" i="9"/>
  <c r="Z11" i="9"/>
  <c r="W22" i="9"/>
  <c r="W25" i="9" s="1"/>
  <c r="U22" i="9"/>
  <c r="T22" i="9"/>
  <c r="T25" i="9" s="1"/>
  <c r="X11" i="9"/>
  <c r="X15" i="9"/>
  <c r="X22" i="9" s="1"/>
  <c r="Y15" i="9"/>
  <c r="Y22" i="9" s="1"/>
  <c r="Y25" i="9" s="1"/>
  <c r="AF25" i="9" l="1"/>
  <c r="U25" i="9"/>
  <c r="Z22" i="9"/>
  <c r="Z25" i="9" s="1"/>
  <c r="AG22" i="9"/>
  <c r="AG25" i="9" s="1"/>
  <c r="X25" i="9"/>
  <c r="E5" i="8" l="1"/>
  <c r="E6" i="8" s="1"/>
  <c r="B10" i="8" l="1"/>
  <c r="B11" i="8" s="1"/>
</calcChain>
</file>

<file path=xl/sharedStrings.xml><?xml version="1.0" encoding="utf-8"?>
<sst xmlns="http://schemas.openxmlformats.org/spreadsheetml/2006/main" count="313" uniqueCount="149">
  <si>
    <t>Periodo</t>
  </si>
  <si>
    <t>ID_Cliente</t>
  </si>
  <si>
    <t>ID_TipoIngreso</t>
  </si>
  <si>
    <t>Cantidad</t>
  </si>
  <si>
    <t>Importe</t>
  </si>
  <si>
    <t>ID_TipoEgreso</t>
  </si>
  <si>
    <t>ID_Empleado</t>
  </si>
  <si>
    <t>Precio Unitario</t>
  </si>
  <si>
    <t>Dsc_Egreso</t>
  </si>
  <si>
    <t>Razón Social</t>
  </si>
  <si>
    <t>Localidad</t>
  </si>
  <si>
    <t>Zona</t>
  </si>
  <si>
    <t>CUIT</t>
  </si>
  <si>
    <t>Semestre</t>
  </si>
  <si>
    <t>S1</t>
  </si>
  <si>
    <t>Desde</t>
  </si>
  <si>
    <t>S2</t>
  </si>
  <si>
    <t>Rosario</t>
  </si>
  <si>
    <t>Centro</t>
  </si>
  <si>
    <t>Provincia</t>
  </si>
  <si>
    <t>Santa Fe</t>
  </si>
  <si>
    <t>S3</t>
  </si>
  <si>
    <t>S4</t>
  </si>
  <si>
    <t>Remuneraciones</t>
  </si>
  <si>
    <t>Dsc_Ingreso</t>
  </si>
  <si>
    <t>Nombre</t>
  </si>
  <si>
    <t>Legajo</t>
  </si>
  <si>
    <t>Area</t>
  </si>
  <si>
    <t>Función</t>
  </si>
  <si>
    <t>Acosta, Juan Carlos</t>
  </si>
  <si>
    <t>Sistemas</t>
  </si>
  <si>
    <t>Analista</t>
  </si>
  <si>
    <t>Analista / Desarrollador</t>
  </si>
  <si>
    <t>Jornada</t>
  </si>
  <si>
    <t>SAC</t>
  </si>
  <si>
    <t>Observación</t>
  </si>
  <si>
    <t>Inv. Inicial</t>
  </si>
  <si>
    <t>Ingresos</t>
  </si>
  <si>
    <t>Egresos</t>
  </si>
  <si>
    <t>Cargas Sociales (11% Jubilación y 3% Obra Social)</t>
  </si>
  <si>
    <t>Total Cargas Sociales</t>
  </si>
  <si>
    <t>Total Remuneraciones</t>
  </si>
  <si>
    <t>Total Gral</t>
  </si>
  <si>
    <t>Semestral</t>
  </si>
  <si>
    <t>Hasta</t>
  </si>
  <si>
    <t>FNF</t>
  </si>
  <si>
    <t>FNFD</t>
  </si>
  <si>
    <t>PayBack</t>
  </si>
  <si>
    <t>VAN</t>
  </si>
  <si>
    <t>VAN / Inversión</t>
  </si>
  <si>
    <t>Importe Inversión</t>
  </si>
  <si>
    <t>Marketing</t>
  </si>
  <si>
    <t>RyD</t>
  </si>
  <si>
    <t>Servicios</t>
  </si>
  <si>
    <t>Alquileres</t>
  </si>
  <si>
    <t>Compras</t>
  </si>
  <si>
    <t>Otros gastos</t>
  </si>
  <si>
    <t>S5</t>
  </si>
  <si>
    <t>S6</t>
  </si>
  <si>
    <t>Consultoria</t>
  </si>
  <si>
    <t>Venta software</t>
  </si>
  <si>
    <t>Capacitacion</t>
  </si>
  <si>
    <t>Mantenimiento</t>
  </si>
  <si>
    <t>Licencias</t>
  </si>
  <si>
    <t>Papeleria Soles SRL</t>
  </si>
  <si>
    <t>Editorial Pepe SA</t>
  </si>
  <si>
    <t>Cordoba</t>
  </si>
  <si>
    <t>Imprenta Farolito SRL</t>
  </si>
  <si>
    <t>Sur</t>
  </si>
  <si>
    <t>Imprenta Luna SRL</t>
  </si>
  <si>
    <t>Norte</t>
  </si>
  <si>
    <t>Imprenta Campana SA</t>
  </si>
  <si>
    <t>Buenos Aires</t>
  </si>
  <si>
    <t>Campana</t>
  </si>
  <si>
    <t>22-25689458-4</t>
  </si>
  <si>
    <t>24-31254564-3</t>
  </si>
  <si>
    <t>24-22321598-6</t>
  </si>
  <si>
    <t>24-32569785-5</t>
  </si>
  <si>
    <t>19-32568754-6</t>
  </si>
  <si>
    <t>20-34568765-3</t>
  </si>
  <si>
    <t>San Luis</t>
  </si>
  <si>
    <t xml:space="preserve">San Luis </t>
  </si>
  <si>
    <t>Tienda Jorgito SRL</t>
  </si>
  <si>
    <t>24-31587452-6</t>
  </si>
  <si>
    <t>Tienda Rolo SA</t>
  </si>
  <si>
    <t>La Plata</t>
  </si>
  <si>
    <t>23-31456454-3</t>
  </si>
  <si>
    <t>Tienda Miguel SRL</t>
  </si>
  <si>
    <t>20-34123432-4</t>
  </si>
  <si>
    <t>Libros Coco SA</t>
  </si>
  <si>
    <t>Oeste</t>
  </si>
  <si>
    <t>24-10245853-4</t>
  </si>
  <si>
    <t>Ventas Locas SA</t>
  </si>
  <si>
    <t>Barreto, Sebastian</t>
  </si>
  <si>
    <t>Full Time</t>
  </si>
  <si>
    <t>Francesconi, Andres</t>
  </si>
  <si>
    <t>Programador</t>
  </si>
  <si>
    <t>TIR</t>
  </si>
  <si>
    <t>Inversion proveniente de ahorros</t>
  </si>
  <si>
    <t>Semestre_r</t>
  </si>
  <si>
    <t>Importe_r</t>
  </si>
  <si>
    <t>S0</t>
  </si>
  <si>
    <t>Riesgo</t>
  </si>
  <si>
    <t>Severidad</t>
  </si>
  <si>
    <t>Escenario económico caótico en el país.</t>
  </si>
  <si>
    <t>Interrupciones en el servicio de Internet.</t>
  </si>
  <si>
    <t>Mala administracion del proyecto.</t>
  </si>
  <si>
    <t>Baja de miembro del equipo.</t>
  </si>
  <si>
    <t>Cambios tecnologicos que pongan el proyecto obsoleto.</t>
  </si>
  <si>
    <r>
      <t>Probabilidad</t>
    </r>
    <r>
      <rPr>
        <b/>
        <sz val="8"/>
        <color theme="0"/>
        <rFont val="Arial"/>
        <family val="2"/>
      </rPr>
      <t>(*1)</t>
    </r>
  </si>
  <si>
    <r>
      <t>Impacto</t>
    </r>
    <r>
      <rPr>
        <b/>
        <sz val="8"/>
        <color theme="0"/>
        <rFont val="Arial"/>
        <family val="2"/>
      </rPr>
      <t>(*2)</t>
    </r>
  </si>
  <si>
    <t>Numero</t>
  </si>
  <si>
    <t>Desarrollo de estrategias de respuesta a amenzas</t>
  </si>
  <si>
    <t>Mitigacion</t>
  </si>
  <si>
    <t>Evitar</t>
  </si>
  <si>
    <t>Aceptar</t>
  </si>
  <si>
    <t>Transferir</t>
  </si>
  <si>
    <t>Minimizar 
probabilidad</t>
  </si>
  <si>
    <t>Minimizar 
impacto</t>
  </si>
  <si>
    <t>Estrategia</t>
  </si>
  <si>
    <t>Ventajas</t>
  </si>
  <si>
    <t>Desventajas</t>
  </si>
  <si>
    <t>Dolarizar la mayor cantidad de activos posibles.
Desarrollar sistema parametrizable para comercializar en el exterior.</t>
  </si>
  <si>
    <t>Posibilidad de capturar mercados extranjeros.</t>
  </si>
  <si>
    <t>Demanda de tiempo extra para que el sistema sea parametrizable.</t>
  </si>
  <si>
    <r>
      <t xml:space="preserve">Riesgo  N°
</t>
    </r>
    <r>
      <rPr>
        <b/>
        <sz val="22"/>
        <color theme="0"/>
        <rFont val="Calibri"/>
        <family val="2"/>
        <scheme val="minor"/>
      </rPr>
      <t>1</t>
    </r>
  </si>
  <si>
    <r>
      <t xml:space="preserve">Riesgo  N°
</t>
    </r>
    <r>
      <rPr>
        <b/>
        <sz val="22"/>
        <color theme="0"/>
        <rFont val="Calibri"/>
        <family val="2"/>
        <scheme val="minor"/>
      </rPr>
      <t>2</t>
    </r>
  </si>
  <si>
    <t>Firmar contrato con proveedor de Internet y responsabilizarlo por las perdidas.</t>
  </si>
  <si>
    <t>Costos de perdida de productividad cubierta.</t>
  </si>
  <si>
    <t>En caso de ocurrir no se cubre el costo de entregar el proyecto en tiempo.
Demanda de gestion con proveedores.</t>
  </si>
  <si>
    <r>
      <t xml:space="preserve">Riesgo  N°
</t>
    </r>
    <r>
      <rPr>
        <b/>
        <sz val="22"/>
        <color theme="0"/>
        <rFont val="Calibri"/>
        <family val="2"/>
        <scheme val="minor"/>
      </rPr>
      <t>3</t>
    </r>
  </si>
  <si>
    <t>Desarrollo de estrategias de respuesta a amenazas</t>
  </si>
  <si>
    <t>Mitigación</t>
  </si>
  <si>
    <t>Capacitación a los integrantes del proyecto sobre funciones de PM.</t>
  </si>
  <si>
    <t>Todos los integrantes tendrán nociones y buenas practicas en administración de proyectos reduciendo problemas de administración.</t>
  </si>
  <si>
    <t>Mayores costos de capacitación.</t>
  </si>
  <si>
    <r>
      <t xml:space="preserve">Riesgo  N°
</t>
    </r>
    <r>
      <rPr>
        <b/>
        <sz val="22"/>
        <color theme="0"/>
        <rFont val="Calibri"/>
        <family val="2"/>
        <scheme val="minor"/>
      </rPr>
      <t>4</t>
    </r>
  </si>
  <si>
    <t>Empleados mas motivados y con menores posibilidades de abandonar el proyecto.</t>
  </si>
  <si>
    <t>Ofrecer un sueldo competitivo.
Colaborar para la generación de un entorno amigable.
Ofrecer capacitaciones e incentivos.</t>
  </si>
  <si>
    <t>Mayores gastos.
La reducción en la probabilidad es incierta.</t>
  </si>
  <si>
    <r>
      <t xml:space="preserve">Riesgo  N°
</t>
    </r>
    <r>
      <rPr>
        <b/>
        <sz val="22"/>
        <color theme="0"/>
        <rFont val="Calibri"/>
        <family val="2"/>
        <scheme val="minor"/>
      </rPr>
      <t>5</t>
    </r>
  </si>
  <si>
    <t>No se demandan gastos ni acciones adicionales.</t>
  </si>
  <si>
    <t>En caso un un cambio radical en las tecnologías de la información hay pocas acciones de contingencia que puedan tomarse.</t>
  </si>
  <si>
    <t>La ocurrencia del riesgo tendría consecuencias criticas en el proyecto.</t>
  </si>
  <si>
    <t>Notebook (2), PC (1), Muebles (2), Infraestructura, Facilidades</t>
  </si>
  <si>
    <t>Licencias, Cursos</t>
  </si>
  <si>
    <t>Internet, suministro electrico, agua, gas</t>
  </si>
  <si>
    <t>TD: 20%</t>
  </si>
  <si>
    <t>Observacion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</si>
</sst>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8"/>
      <color theme="0"/>
      <name val="Arial"/>
      <family val="2"/>
    </font>
    <font>
      <b/>
      <sz val="2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14" fontId="0" fillId="0" borderId="0" xfId="0" applyNumberFormat="1"/>
    <xf numFmtId="0" fontId="1" fillId="0" borderId="0" xfId="0" applyFont="1"/>
    <xf numFmtId="4" fontId="0" fillId="0" borderId="0" xfId="0" applyNumberFormat="1"/>
    <xf numFmtId="0" fontId="0" fillId="2" borderId="0" xfId="0" applyFill="1"/>
    <xf numFmtId="4" fontId="0" fillId="2" borderId="0" xfId="0" applyNumberFormat="1" applyFill="1"/>
    <xf numFmtId="4" fontId="1" fillId="2" borderId="0" xfId="0" applyNumberFormat="1" applyFont="1" applyFill="1"/>
    <xf numFmtId="0" fontId="0" fillId="3" borderId="0" xfId="0" applyFill="1"/>
    <xf numFmtId="9" fontId="0" fillId="3" borderId="0" xfId="0" applyNumberFormat="1" applyFill="1"/>
    <xf numFmtId="0" fontId="0" fillId="4" borderId="0" xfId="0" applyFill="1"/>
    <xf numFmtId="17" fontId="1" fillId="4" borderId="0" xfId="0" applyNumberFormat="1" applyFont="1" applyFill="1"/>
    <xf numFmtId="0" fontId="1" fillId="4" borderId="0" xfId="0" applyFont="1" applyFill="1"/>
    <xf numFmtId="2" fontId="0" fillId="0" borderId="0" xfId="0" applyNumberFormat="1"/>
    <xf numFmtId="9" fontId="0" fillId="4" borderId="0" xfId="0" applyNumberFormat="1" applyFill="1"/>
    <xf numFmtId="17" fontId="1" fillId="3" borderId="0" xfId="0" applyNumberFormat="1" applyFont="1" applyFill="1"/>
    <xf numFmtId="0" fontId="1" fillId="3" borderId="0" xfId="0" applyFont="1" applyFill="1"/>
    <xf numFmtId="2" fontId="0" fillId="3" borderId="0" xfId="0" applyNumberFormat="1" applyFill="1"/>
    <xf numFmtId="2" fontId="1" fillId="3" borderId="0" xfId="0" applyNumberFormat="1" applyFont="1" applyFill="1"/>
    <xf numFmtId="10" fontId="0" fillId="0" borderId="0" xfId="0" applyNumberFormat="1"/>
    <xf numFmtId="0" fontId="0" fillId="5" borderId="0" xfId="0" applyFill="1"/>
    <xf numFmtId="9" fontId="0" fillId="5" borderId="0" xfId="0" applyNumberFormat="1" applyFill="1"/>
    <xf numFmtId="17" fontId="1" fillId="5" borderId="0" xfId="0" applyNumberFormat="1" applyFont="1" applyFill="1"/>
    <xf numFmtId="0" fontId="1" fillId="5" borderId="0" xfId="0" applyFont="1" applyFill="1"/>
    <xf numFmtId="2" fontId="0" fillId="5" borderId="0" xfId="0" applyNumberFormat="1" applyFill="1"/>
    <xf numFmtId="0" fontId="0" fillId="6" borderId="0" xfId="0" applyFill="1"/>
    <xf numFmtId="9" fontId="0" fillId="6" borderId="0" xfId="0" applyNumberFormat="1" applyFill="1"/>
    <xf numFmtId="17" fontId="1" fillId="6" borderId="0" xfId="0" applyNumberFormat="1" applyFont="1" applyFill="1"/>
    <xf numFmtId="0" fontId="1" fillId="6" borderId="0" xfId="0" applyFont="1" applyFill="1"/>
    <xf numFmtId="0" fontId="0" fillId="7" borderId="0" xfId="0" applyFill="1"/>
    <xf numFmtId="9" fontId="0" fillId="7" borderId="0" xfId="0" applyNumberFormat="1" applyFill="1"/>
    <xf numFmtId="17" fontId="1" fillId="7" borderId="0" xfId="0" applyNumberFormat="1" applyFont="1" applyFill="1"/>
    <xf numFmtId="0" fontId="1" fillId="7" borderId="0" xfId="0" applyFont="1" applyFill="1"/>
    <xf numFmtId="0" fontId="0" fillId="8" borderId="0" xfId="0" applyFill="1"/>
    <xf numFmtId="17" fontId="1" fillId="8" borderId="0" xfId="0" applyNumberFormat="1" applyFont="1" applyFill="1"/>
    <xf numFmtId="0" fontId="1" fillId="8" borderId="0" xfId="0" applyFont="1" applyFill="1"/>
    <xf numFmtId="9" fontId="0" fillId="0" borderId="0" xfId="0" applyNumberFormat="1"/>
    <xf numFmtId="0" fontId="0" fillId="0" borderId="0" xfId="0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4" fillId="9" borderId="1" xfId="0" applyFont="1" applyFill="1" applyBorder="1" applyAlignment="1">
      <alignment wrapText="1"/>
    </xf>
    <xf numFmtId="0" fontId="4" fillId="9" borderId="1" xfId="0" applyFont="1" applyFill="1" applyBorder="1"/>
    <xf numFmtId="0" fontId="0" fillId="0" borderId="0" xfId="0" applyAlignment="1"/>
    <xf numFmtId="0" fontId="2" fillId="9" borderId="1" xfId="0" applyFont="1" applyFill="1" applyBorder="1" applyAlignment="1">
      <alignment wrapText="1"/>
    </xf>
    <xf numFmtId="0" fontId="2" fillId="9" borderId="1" xfId="0" applyFont="1" applyFill="1" applyBorder="1" applyAlignment="1">
      <alignment vertical="center"/>
    </xf>
    <xf numFmtId="0" fontId="0" fillId="0" borderId="1" xfId="0" applyBorder="1" applyAlignment="1">
      <alignment horizontal="left" vertical="top" wrapText="1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top" wrapText="1"/>
    </xf>
    <xf numFmtId="0" fontId="2" fillId="9" borderId="1" xfId="0" applyFont="1" applyFill="1" applyBorder="1" applyAlignment="1">
      <alignment horizontal="center" vertical="top"/>
    </xf>
    <xf numFmtId="0" fontId="2" fillId="9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workbookViewId="0">
      <selection activeCell="D13" sqref="D13"/>
    </sheetView>
  </sheetViews>
  <sheetFormatPr baseColWidth="10" defaultRowHeight="15" x14ac:dyDescent="0.25"/>
  <cols>
    <col min="2" max="2" width="13.140625" bestFit="1" customWidth="1"/>
    <col min="3" max="3" width="21.5703125" bestFit="1" customWidth="1"/>
    <col min="4" max="4" width="18.28515625" customWidth="1"/>
    <col min="5" max="5" width="12.140625" bestFit="1" customWidth="1"/>
  </cols>
  <sheetData>
    <row r="1" spans="1:6" x14ac:dyDescent="0.25">
      <c r="A1" s="2" t="s">
        <v>1</v>
      </c>
      <c r="B1" s="2" t="s">
        <v>12</v>
      </c>
      <c r="C1" s="2" t="s">
        <v>9</v>
      </c>
      <c r="D1" s="2" t="s">
        <v>19</v>
      </c>
      <c r="E1" s="2" t="s">
        <v>10</v>
      </c>
      <c r="F1" s="2" t="s">
        <v>11</v>
      </c>
    </row>
    <row r="2" spans="1:6" x14ac:dyDescent="0.25">
      <c r="A2">
        <v>1</v>
      </c>
      <c r="B2" t="s">
        <v>79</v>
      </c>
      <c r="C2" t="s">
        <v>64</v>
      </c>
      <c r="D2" t="s">
        <v>20</v>
      </c>
      <c r="E2" t="s">
        <v>17</v>
      </c>
      <c r="F2" t="s">
        <v>18</v>
      </c>
    </row>
    <row r="3" spans="1:6" x14ac:dyDescent="0.25">
      <c r="A3">
        <v>2</v>
      </c>
      <c r="B3" t="s">
        <v>78</v>
      </c>
      <c r="C3" t="s">
        <v>65</v>
      </c>
      <c r="D3" t="s">
        <v>66</v>
      </c>
      <c r="E3" t="s">
        <v>66</v>
      </c>
      <c r="F3" t="s">
        <v>18</v>
      </c>
    </row>
    <row r="4" spans="1:6" x14ac:dyDescent="0.25">
      <c r="A4">
        <v>3</v>
      </c>
      <c r="B4" t="s">
        <v>77</v>
      </c>
      <c r="C4" t="s">
        <v>67</v>
      </c>
      <c r="D4" t="s">
        <v>20</v>
      </c>
      <c r="E4" t="s">
        <v>17</v>
      </c>
      <c r="F4" t="s">
        <v>68</v>
      </c>
    </row>
    <row r="5" spans="1:6" x14ac:dyDescent="0.25">
      <c r="A5">
        <v>4</v>
      </c>
      <c r="B5" t="s">
        <v>76</v>
      </c>
      <c r="C5" t="s">
        <v>69</v>
      </c>
      <c r="D5" t="s">
        <v>20</v>
      </c>
      <c r="E5" t="s">
        <v>17</v>
      </c>
      <c r="F5" t="s">
        <v>70</v>
      </c>
    </row>
    <row r="6" spans="1:6" x14ac:dyDescent="0.25">
      <c r="A6">
        <v>5</v>
      </c>
      <c r="B6" t="s">
        <v>75</v>
      </c>
      <c r="C6" t="s">
        <v>71</v>
      </c>
      <c r="D6" t="s">
        <v>72</v>
      </c>
      <c r="E6" t="s">
        <v>73</v>
      </c>
      <c r="F6" t="s">
        <v>18</v>
      </c>
    </row>
    <row r="7" spans="1:6" x14ac:dyDescent="0.25">
      <c r="A7">
        <v>6</v>
      </c>
      <c r="B7" t="s">
        <v>74</v>
      </c>
      <c r="C7" t="s">
        <v>82</v>
      </c>
      <c r="D7" t="s">
        <v>80</v>
      </c>
      <c r="E7" t="s">
        <v>81</v>
      </c>
      <c r="F7" t="s">
        <v>18</v>
      </c>
    </row>
    <row r="8" spans="1:6" x14ac:dyDescent="0.25">
      <c r="A8">
        <v>7</v>
      </c>
      <c r="B8" t="s">
        <v>83</v>
      </c>
      <c r="C8" t="s">
        <v>84</v>
      </c>
      <c r="D8" t="s">
        <v>72</v>
      </c>
      <c r="E8" t="s">
        <v>85</v>
      </c>
      <c r="F8" t="s">
        <v>18</v>
      </c>
    </row>
    <row r="9" spans="1:6" x14ac:dyDescent="0.25">
      <c r="A9">
        <v>8</v>
      </c>
      <c r="B9" t="s">
        <v>86</v>
      </c>
      <c r="C9" t="s">
        <v>87</v>
      </c>
      <c r="D9" t="s">
        <v>20</v>
      </c>
      <c r="E9" t="s">
        <v>20</v>
      </c>
      <c r="F9" t="s">
        <v>18</v>
      </c>
    </row>
    <row r="10" spans="1:6" x14ac:dyDescent="0.25">
      <c r="A10">
        <v>9</v>
      </c>
      <c r="B10" t="s">
        <v>88</v>
      </c>
      <c r="C10" t="s">
        <v>89</v>
      </c>
      <c r="D10" t="s">
        <v>17</v>
      </c>
      <c r="E10" t="s">
        <v>17</v>
      </c>
      <c r="F10" t="s">
        <v>90</v>
      </c>
    </row>
    <row r="11" spans="1:6" x14ac:dyDescent="0.25">
      <c r="A11">
        <v>10</v>
      </c>
      <c r="B11" t="s">
        <v>91</v>
      </c>
      <c r="C11" t="s">
        <v>92</v>
      </c>
      <c r="D11" t="s">
        <v>17</v>
      </c>
      <c r="E11" t="s">
        <v>17</v>
      </c>
      <c r="F11" t="s">
        <v>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5"/>
  <sheetViews>
    <sheetView tabSelected="1" topLeftCell="A10" workbookViewId="0">
      <selection activeCell="K21" sqref="K21"/>
    </sheetView>
  </sheetViews>
  <sheetFormatPr baseColWidth="10" defaultRowHeight="15" x14ac:dyDescent="0.25"/>
  <cols>
    <col min="1" max="1" width="15.5703125" customWidth="1"/>
    <col min="2" max="2" width="12.42578125" bestFit="1" customWidth="1"/>
    <col min="4" max="4" width="11.42578125" style="4"/>
    <col min="5" max="6" width="11.7109375" style="4" bestFit="1" customWidth="1"/>
    <col min="7" max="7" width="11.42578125" style="4"/>
    <col min="8" max="9" width="11.7109375" style="4" bestFit="1" customWidth="1"/>
  </cols>
  <sheetData>
    <row r="1" spans="1:12" x14ac:dyDescent="0.25">
      <c r="D1" s="4" t="s">
        <v>14</v>
      </c>
      <c r="E1" s="4" t="s">
        <v>16</v>
      </c>
      <c r="F1" s="4" t="s">
        <v>21</v>
      </c>
      <c r="G1" s="4" t="s">
        <v>22</v>
      </c>
      <c r="H1" s="4" t="s">
        <v>57</v>
      </c>
      <c r="I1" s="4" t="s">
        <v>58</v>
      </c>
    </row>
    <row r="2" spans="1:12" x14ac:dyDescent="0.25">
      <c r="A2" t="s">
        <v>36</v>
      </c>
      <c r="B2" s="3">
        <v>550000</v>
      </c>
      <c r="D2" s="5"/>
      <c r="E2" s="5"/>
      <c r="F2" s="5"/>
      <c r="G2" s="5"/>
      <c r="H2" s="5"/>
      <c r="I2" s="5"/>
    </row>
    <row r="3" spans="1:12" x14ac:dyDescent="0.25">
      <c r="A3" t="s">
        <v>37</v>
      </c>
      <c r="C3" s="3"/>
      <c r="D3" s="5">
        <v>250000</v>
      </c>
      <c r="E3" s="5">
        <f>+SUM(Ingresos!H5:H8)</f>
        <v>300000</v>
      </c>
      <c r="F3" s="5">
        <f>SUM(Ingresos!H9:H15)</f>
        <v>1143000</v>
      </c>
      <c r="G3" s="5">
        <f>SUM(Ingresos!H16:H19)</f>
        <v>665000</v>
      </c>
      <c r="H3" s="5">
        <f>SUM(Ingresos!H20:H26)</f>
        <v>1404000</v>
      </c>
      <c r="I3" s="5">
        <f>SUM(Ingresos!H27:H33)</f>
        <v>1200000</v>
      </c>
    </row>
    <row r="4" spans="1:12" x14ac:dyDescent="0.25">
      <c r="A4" t="s">
        <v>38</v>
      </c>
      <c r="C4" s="3">
        <f>+Inversiones!B2</f>
        <v>550000</v>
      </c>
      <c r="D4" s="5">
        <f>+SUM(Egresos!H2:H9)</f>
        <v>492500</v>
      </c>
      <c r="E4" s="5">
        <f>+SUM(Egresos!H10:H15)</f>
        <v>349700</v>
      </c>
      <c r="F4" s="5">
        <f>+SUM(Egresos!H16:H21)</f>
        <v>397430</v>
      </c>
      <c r="G4" s="5">
        <f>+SUM(Egresos!H22:H27)</f>
        <v>436259.25</v>
      </c>
      <c r="H4" s="5">
        <f>+SUM(Egresos!H28:H34)</f>
        <v>481128.66499999998</v>
      </c>
      <c r="I4" s="5">
        <f>+SUM(Egresos!H35:H40)</f>
        <v>485005.43759999995</v>
      </c>
      <c r="L4" s="5"/>
    </row>
    <row r="5" spans="1:12" x14ac:dyDescent="0.25">
      <c r="A5" t="s">
        <v>45</v>
      </c>
      <c r="C5" s="3">
        <f>-C4</f>
        <v>-550000</v>
      </c>
      <c r="D5" s="6">
        <f>+D3-D4</f>
        <v>-242500</v>
      </c>
      <c r="E5" s="6">
        <f t="shared" ref="E5:G5" si="0">+E3-E4</f>
        <v>-49700</v>
      </c>
      <c r="F5" s="6">
        <f t="shared" si="0"/>
        <v>745570</v>
      </c>
      <c r="G5" s="6">
        <f t="shared" si="0"/>
        <v>228740.75</v>
      </c>
      <c r="H5" s="6">
        <f t="shared" ref="H5:I5" si="1">+H3-H4</f>
        <v>922871.33499999996</v>
      </c>
      <c r="I5" s="6">
        <f t="shared" si="1"/>
        <v>714994.56240000005</v>
      </c>
    </row>
    <row r="6" spans="1:12" x14ac:dyDescent="0.25">
      <c r="A6" t="s">
        <v>46</v>
      </c>
      <c r="C6" s="3"/>
      <c r="D6">
        <f>+D5/(1+0.2)</f>
        <v>-202083.33333333334</v>
      </c>
      <c r="E6">
        <f>+E5/POWER(1+0.2,2)</f>
        <v>-34513.888888888891</v>
      </c>
      <c r="F6">
        <f>+F5/POWER(1+0.2,3)</f>
        <v>431464.12037037039</v>
      </c>
      <c r="G6">
        <f>+G5/POWER(1+0.2,4)</f>
        <v>110310.93267746914</v>
      </c>
      <c r="H6">
        <f>+H5/POWER(1+0.2,5)</f>
        <v>370881.29139338993</v>
      </c>
      <c r="I6">
        <f>+I5/POWER(1+0.2,6)</f>
        <v>239450.23228523668</v>
      </c>
    </row>
    <row r="7" spans="1:12" x14ac:dyDescent="0.25">
      <c r="A7" t="s">
        <v>147</v>
      </c>
      <c r="B7" t="s">
        <v>43</v>
      </c>
      <c r="C7" s="3"/>
    </row>
    <row r="8" spans="1:12" x14ac:dyDescent="0.25">
      <c r="A8" t="s">
        <v>47</v>
      </c>
      <c r="B8" s="12">
        <v>2.5499999999999998</v>
      </c>
      <c r="C8" s="3"/>
    </row>
    <row r="9" spans="1:12" x14ac:dyDescent="0.25">
      <c r="C9" s="3"/>
      <c r="K9" s="3">
        <v>-550000</v>
      </c>
    </row>
    <row r="10" spans="1:12" x14ac:dyDescent="0.25">
      <c r="A10" t="s">
        <v>48</v>
      </c>
      <c r="B10" s="3">
        <f>+SUM(D6:I6)-B2</f>
        <v>365509.35450424394</v>
      </c>
      <c r="K10">
        <f>-242500</f>
        <v>-242500</v>
      </c>
    </row>
    <row r="11" spans="1:12" x14ac:dyDescent="0.25">
      <c r="A11" t="s">
        <v>49</v>
      </c>
      <c r="B11" s="18">
        <f>+B10/B2</f>
        <v>0.66456246273498898</v>
      </c>
      <c r="K11">
        <v>-49700</v>
      </c>
    </row>
    <row r="12" spans="1:12" x14ac:dyDescent="0.25">
      <c r="A12" t="s">
        <v>97</v>
      </c>
      <c r="B12" s="35">
        <f>IRR(K9:K15)</f>
        <v>0.32120386829518033</v>
      </c>
      <c r="K12">
        <v>745570</v>
      </c>
    </row>
    <row r="13" spans="1:12" x14ac:dyDescent="0.25">
      <c r="K13">
        <v>228740.75</v>
      </c>
    </row>
    <row r="14" spans="1:12" x14ac:dyDescent="0.25">
      <c r="K14">
        <v>922871.33499999996</v>
      </c>
    </row>
    <row r="15" spans="1:12" x14ac:dyDescent="0.25">
      <c r="K15">
        <v>714994.56240000005</v>
      </c>
    </row>
    <row r="19" spans="10:16" x14ac:dyDescent="0.25">
      <c r="J19" t="s">
        <v>101</v>
      </c>
      <c r="K19" t="s">
        <v>14</v>
      </c>
      <c r="L19" t="s">
        <v>16</v>
      </c>
      <c r="M19" t="s">
        <v>21</v>
      </c>
      <c r="N19" t="s">
        <v>22</v>
      </c>
      <c r="O19" t="s">
        <v>57</v>
      </c>
      <c r="P19" t="s">
        <v>58</v>
      </c>
    </row>
    <row r="20" spans="10:16" x14ac:dyDescent="0.25">
      <c r="J20">
        <v>-550000</v>
      </c>
    </row>
    <row r="21" spans="10:16" x14ac:dyDescent="0.25">
      <c r="J21">
        <v>-550000</v>
      </c>
      <c r="K21">
        <v>-232608.69565217392</v>
      </c>
      <c r="L21">
        <v>-219054.82041587905</v>
      </c>
      <c r="M21">
        <v>357077.34034683992</v>
      </c>
      <c r="N21">
        <v>16432.617093277975</v>
      </c>
      <c r="O21">
        <v>341993.62464057625</v>
      </c>
      <c r="P21">
        <v>225888.81803925274</v>
      </c>
    </row>
    <row r="23" spans="10:16" x14ac:dyDescent="0.25">
      <c r="J23">
        <v>2</v>
      </c>
    </row>
    <row r="24" spans="10:16" x14ac:dyDescent="0.25">
      <c r="J24">
        <f>ABS(INDEX(K21:P21,1,J23))</f>
        <v>219054.82041587905</v>
      </c>
    </row>
    <row r="25" spans="10:16" x14ac:dyDescent="0.25">
      <c r="J25">
        <f>INDEX(D4:I4,1,J23+1)</f>
        <v>397430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6"/>
  <sheetViews>
    <sheetView workbookViewId="0">
      <selection activeCell="B9" sqref="B9"/>
    </sheetView>
  </sheetViews>
  <sheetFormatPr baseColWidth="10" defaultRowHeight="15" x14ac:dyDescent="0.25"/>
  <cols>
    <col min="1" max="1" width="9" bestFit="1" customWidth="1"/>
    <col min="2" max="2" width="39.28515625" style="36" bestFit="1" customWidth="1"/>
    <col min="3" max="3" width="17.28515625" bestFit="1" customWidth="1"/>
    <col min="4" max="4" width="12.85546875" bestFit="1" customWidth="1"/>
  </cols>
  <sheetData>
    <row r="1" spans="1:5" x14ac:dyDescent="0.25">
      <c r="A1" s="40" t="s">
        <v>111</v>
      </c>
      <c r="B1" s="39" t="s">
        <v>102</v>
      </c>
      <c r="C1" s="40" t="s">
        <v>109</v>
      </c>
      <c r="D1" s="40" t="s">
        <v>110</v>
      </c>
      <c r="E1" s="40" t="s">
        <v>103</v>
      </c>
    </row>
    <row r="2" spans="1:5" x14ac:dyDescent="0.25">
      <c r="A2" s="38">
        <v>1</v>
      </c>
      <c r="B2" s="37" t="s">
        <v>104</v>
      </c>
      <c r="C2" s="38">
        <v>0.02</v>
      </c>
      <c r="D2" s="38">
        <v>1000000</v>
      </c>
      <c r="E2" s="38">
        <f>C2*D2</f>
        <v>20000</v>
      </c>
    </row>
    <row r="3" spans="1:5" x14ac:dyDescent="0.25">
      <c r="A3" s="38">
        <v>2</v>
      </c>
      <c r="B3" s="37" t="s">
        <v>105</v>
      </c>
      <c r="C3" s="38">
        <v>0.15</v>
      </c>
      <c r="D3" s="38">
        <v>40000</v>
      </c>
      <c r="E3" s="38">
        <f t="shared" ref="E3:E6" si="0">C3*D3</f>
        <v>6000</v>
      </c>
    </row>
    <row r="4" spans="1:5" x14ac:dyDescent="0.25">
      <c r="A4" s="38">
        <v>3</v>
      </c>
      <c r="B4" s="37" t="s">
        <v>106</v>
      </c>
      <c r="C4" s="38">
        <v>0.1</v>
      </c>
      <c r="D4" s="38">
        <v>400000</v>
      </c>
      <c r="E4" s="38">
        <f t="shared" si="0"/>
        <v>40000</v>
      </c>
    </row>
    <row r="5" spans="1:5" x14ac:dyDescent="0.25">
      <c r="A5" s="38">
        <v>4</v>
      </c>
      <c r="B5" s="37" t="s">
        <v>107</v>
      </c>
      <c r="C5" s="38">
        <v>0.3</v>
      </c>
      <c r="D5" s="38">
        <v>130000</v>
      </c>
      <c r="E5" s="38">
        <f t="shared" si="0"/>
        <v>39000</v>
      </c>
    </row>
    <row r="6" spans="1:5" ht="29.25" x14ac:dyDescent="0.25">
      <c r="A6" s="38">
        <v>5</v>
      </c>
      <c r="B6" s="37" t="s">
        <v>108</v>
      </c>
      <c r="C6" s="38">
        <v>5.0000000000000001E-3</v>
      </c>
      <c r="D6" s="38">
        <v>2000000</v>
      </c>
      <c r="E6" s="38">
        <f t="shared" si="0"/>
        <v>10000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38"/>
  <sheetViews>
    <sheetView topLeftCell="A33" workbookViewId="0">
      <selection activeCell="A33" sqref="A33:F38"/>
    </sheetView>
  </sheetViews>
  <sheetFormatPr baseColWidth="10" defaultRowHeight="15" x14ac:dyDescent="0.25"/>
  <cols>
    <col min="2" max="2" width="26.5703125" customWidth="1"/>
    <col min="3" max="3" width="24" customWidth="1"/>
    <col min="4" max="4" width="23" customWidth="1"/>
    <col min="5" max="5" width="23.7109375" customWidth="1"/>
    <col min="6" max="6" width="22.28515625" customWidth="1"/>
  </cols>
  <sheetData>
    <row r="1" spans="1:7" ht="18.75" customHeight="1" x14ac:dyDescent="0.25">
      <c r="A1" s="46" t="s">
        <v>125</v>
      </c>
      <c r="B1" s="45" t="s">
        <v>112</v>
      </c>
      <c r="C1" s="45"/>
      <c r="D1" s="45"/>
      <c r="E1" s="45"/>
      <c r="F1" s="45"/>
    </row>
    <row r="2" spans="1:7" ht="16.5" customHeight="1" x14ac:dyDescent="0.25">
      <c r="A2" s="47"/>
      <c r="B2" s="48" t="s">
        <v>114</v>
      </c>
      <c r="C2" s="48" t="s">
        <v>115</v>
      </c>
      <c r="D2" s="45" t="s">
        <v>113</v>
      </c>
      <c r="E2" s="45"/>
      <c r="F2" s="48" t="s">
        <v>116</v>
      </c>
      <c r="G2" s="41"/>
    </row>
    <row r="3" spans="1:7" ht="30" x14ac:dyDescent="0.25">
      <c r="A3" s="47"/>
      <c r="B3" s="48"/>
      <c r="C3" s="48"/>
      <c r="D3" s="42" t="s">
        <v>117</v>
      </c>
      <c r="E3" s="42" t="s">
        <v>118</v>
      </c>
      <c r="F3" s="48"/>
      <c r="G3" s="41"/>
    </row>
    <row r="4" spans="1:7" ht="108" customHeight="1" x14ac:dyDescent="0.25">
      <c r="A4" s="43" t="s">
        <v>119</v>
      </c>
      <c r="B4" s="44"/>
      <c r="C4" s="44"/>
      <c r="D4" s="44"/>
      <c r="E4" s="44" t="s">
        <v>122</v>
      </c>
      <c r="F4" s="44"/>
    </row>
    <row r="5" spans="1:7" ht="66" customHeight="1" x14ac:dyDescent="0.25">
      <c r="A5" s="43" t="s">
        <v>120</v>
      </c>
      <c r="B5" s="44"/>
      <c r="C5" s="44"/>
      <c r="D5" s="44"/>
      <c r="E5" s="44" t="s">
        <v>123</v>
      </c>
      <c r="F5" s="44"/>
    </row>
    <row r="6" spans="1:7" ht="63.75" customHeight="1" x14ac:dyDescent="0.25">
      <c r="A6" s="43" t="s">
        <v>121</v>
      </c>
      <c r="B6" s="44"/>
      <c r="C6" s="44"/>
      <c r="D6" s="44"/>
      <c r="E6" s="44" t="s">
        <v>124</v>
      </c>
      <c r="F6" s="44"/>
    </row>
    <row r="9" spans="1:7" x14ac:dyDescent="0.25">
      <c r="A9" s="46" t="s">
        <v>126</v>
      </c>
      <c r="B9" s="45" t="s">
        <v>112</v>
      </c>
      <c r="C9" s="45"/>
      <c r="D9" s="45"/>
      <c r="E9" s="45"/>
      <c r="F9" s="45"/>
    </row>
    <row r="10" spans="1:7" x14ac:dyDescent="0.25">
      <c r="A10" s="47"/>
      <c r="B10" s="48" t="s">
        <v>114</v>
      </c>
      <c r="C10" s="48" t="s">
        <v>115</v>
      </c>
      <c r="D10" s="45" t="s">
        <v>113</v>
      </c>
      <c r="E10" s="45"/>
      <c r="F10" s="48" t="s">
        <v>116</v>
      </c>
    </row>
    <row r="11" spans="1:7" ht="30" x14ac:dyDescent="0.25">
      <c r="A11" s="47"/>
      <c r="B11" s="48"/>
      <c r="C11" s="48"/>
      <c r="D11" s="42" t="s">
        <v>117</v>
      </c>
      <c r="E11" s="42" t="s">
        <v>118</v>
      </c>
      <c r="F11" s="48"/>
    </row>
    <row r="12" spans="1:7" ht="66.75" customHeight="1" x14ac:dyDescent="0.25">
      <c r="A12" s="43" t="s">
        <v>119</v>
      </c>
      <c r="B12" s="44"/>
      <c r="C12" s="44"/>
      <c r="D12" s="44"/>
      <c r="E12" s="44"/>
      <c r="F12" s="44" t="s">
        <v>127</v>
      </c>
    </row>
    <row r="13" spans="1:7" ht="60.75" customHeight="1" x14ac:dyDescent="0.25">
      <c r="A13" s="43" t="s">
        <v>120</v>
      </c>
      <c r="B13" s="44"/>
      <c r="C13" s="44"/>
      <c r="D13" s="44"/>
      <c r="E13" s="44"/>
      <c r="F13" s="44" t="s">
        <v>128</v>
      </c>
    </row>
    <row r="14" spans="1:7" ht="94.5" customHeight="1" x14ac:dyDescent="0.25">
      <c r="A14" s="43" t="s">
        <v>121</v>
      </c>
      <c r="B14" s="44"/>
      <c r="C14" s="44"/>
      <c r="D14" s="44"/>
      <c r="E14" s="44"/>
      <c r="F14" s="44" t="s">
        <v>129</v>
      </c>
    </row>
    <row r="17" spans="1:6" x14ac:dyDescent="0.25">
      <c r="A17" s="46" t="s">
        <v>130</v>
      </c>
      <c r="B17" s="45" t="s">
        <v>131</v>
      </c>
      <c r="C17" s="45"/>
      <c r="D17" s="45"/>
      <c r="E17" s="45"/>
      <c r="F17" s="45"/>
    </row>
    <row r="18" spans="1:6" x14ac:dyDescent="0.25">
      <c r="A18" s="47"/>
      <c r="B18" s="48" t="s">
        <v>114</v>
      </c>
      <c r="C18" s="48" t="s">
        <v>115</v>
      </c>
      <c r="D18" s="45" t="s">
        <v>132</v>
      </c>
      <c r="E18" s="45"/>
      <c r="F18" s="48" t="s">
        <v>116</v>
      </c>
    </row>
    <row r="19" spans="1:6" ht="30" x14ac:dyDescent="0.25">
      <c r="A19" s="47"/>
      <c r="B19" s="48"/>
      <c r="C19" s="48"/>
      <c r="D19" s="42" t="s">
        <v>117</v>
      </c>
      <c r="E19" s="42" t="s">
        <v>118</v>
      </c>
      <c r="F19" s="48"/>
    </row>
    <row r="20" spans="1:6" ht="45" x14ac:dyDescent="0.25">
      <c r="A20" s="43" t="s">
        <v>119</v>
      </c>
      <c r="B20" s="44"/>
      <c r="C20" s="44"/>
      <c r="D20" s="44" t="s">
        <v>133</v>
      </c>
      <c r="E20" s="44"/>
      <c r="F20" s="44"/>
    </row>
    <row r="21" spans="1:6" ht="105" x14ac:dyDescent="0.25">
      <c r="A21" s="43" t="s">
        <v>120</v>
      </c>
      <c r="B21" s="44"/>
      <c r="C21" s="44"/>
      <c r="D21" s="44" t="s">
        <v>134</v>
      </c>
      <c r="E21" s="44"/>
      <c r="F21" s="44"/>
    </row>
    <row r="22" spans="1:6" ht="30" x14ac:dyDescent="0.25">
      <c r="A22" s="43" t="s">
        <v>121</v>
      </c>
      <c r="B22" s="44"/>
      <c r="C22" s="44"/>
      <c r="D22" s="44" t="s">
        <v>135</v>
      </c>
      <c r="E22" s="44"/>
      <c r="F22" s="44"/>
    </row>
    <row r="25" spans="1:6" x14ac:dyDescent="0.25">
      <c r="A25" s="46" t="s">
        <v>136</v>
      </c>
      <c r="B25" s="45" t="s">
        <v>131</v>
      </c>
      <c r="C25" s="45"/>
      <c r="D25" s="45"/>
      <c r="E25" s="45"/>
      <c r="F25" s="45"/>
    </row>
    <row r="26" spans="1:6" x14ac:dyDescent="0.25">
      <c r="A26" s="47"/>
      <c r="B26" s="48" t="s">
        <v>114</v>
      </c>
      <c r="C26" s="48" t="s">
        <v>115</v>
      </c>
      <c r="D26" s="45" t="s">
        <v>132</v>
      </c>
      <c r="E26" s="45"/>
      <c r="F26" s="48" t="s">
        <v>116</v>
      </c>
    </row>
    <row r="27" spans="1:6" ht="30" x14ac:dyDescent="0.25">
      <c r="A27" s="47"/>
      <c r="B27" s="48"/>
      <c r="C27" s="48"/>
      <c r="D27" s="42" t="s">
        <v>117</v>
      </c>
      <c r="E27" s="42" t="s">
        <v>118</v>
      </c>
      <c r="F27" s="48"/>
    </row>
    <row r="28" spans="1:6" ht="105" x14ac:dyDescent="0.25">
      <c r="A28" s="43" t="s">
        <v>119</v>
      </c>
      <c r="B28" s="44"/>
      <c r="C28" s="44"/>
      <c r="D28" s="44" t="s">
        <v>138</v>
      </c>
      <c r="E28" s="44"/>
      <c r="F28" s="44"/>
    </row>
    <row r="29" spans="1:6" ht="75" x14ac:dyDescent="0.25">
      <c r="A29" s="43" t="s">
        <v>120</v>
      </c>
      <c r="B29" s="44"/>
      <c r="C29" s="44"/>
      <c r="D29" s="44" t="s">
        <v>137</v>
      </c>
      <c r="E29" s="44"/>
      <c r="F29" s="44"/>
    </row>
    <row r="30" spans="1:6" ht="45" x14ac:dyDescent="0.25">
      <c r="A30" s="43" t="s">
        <v>121</v>
      </c>
      <c r="B30" s="44"/>
      <c r="C30" s="44"/>
      <c r="D30" s="44" t="s">
        <v>139</v>
      </c>
      <c r="E30" s="44"/>
      <c r="F30" s="44"/>
    </row>
    <row r="33" spans="1:6" x14ac:dyDescent="0.25">
      <c r="A33" s="46" t="s">
        <v>140</v>
      </c>
      <c r="B33" s="45" t="s">
        <v>131</v>
      </c>
      <c r="C33" s="45"/>
      <c r="D33" s="45"/>
      <c r="E33" s="45"/>
      <c r="F33" s="45"/>
    </row>
    <row r="34" spans="1:6" x14ac:dyDescent="0.25">
      <c r="A34" s="47"/>
      <c r="B34" s="48" t="s">
        <v>114</v>
      </c>
      <c r="C34" s="48" t="s">
        <v>115</v>
      </c>
      <c r="D34" s="45" t="s">
        <v>132</v>
      </c>
      <c r="E34" s="45"/>
      <c r="F34" s="48" t="s">
        <v>116</v>
      </c>
    </row>
    <row r="35" spans="1:6" ht="30" x14ac:dyDescent="0.25">
      <c r="A35" s="47"/>
      <c r="B35" s="48"/>
      <c r="C35" s="48"/>
      <c r="D35" s="42" t="s">
        <v>117</v>
      </c>
      <c r="E35" s="42" t="s">
        <v>118</v>
      </c>
      <c r="F35" s="48"/>
    </row>
    <row r="36" spans="1:6" ht="90" x14ac:dyDescent="0.25">
      <c r="A36" s="43" t="s">
        <v>119</v>
      </c>
      <c r="B36" s="44"/>
      <c r="C36" s="44" t="s">
        <v>142</v>
      </c>
      <c r="D36" s="44"/>
      <c r="E36" s="44"/>
      <c r="F36" s="44"/>
    </row>
    <row r="37" spans="1:6" ht="30" x14ac:dyDescent="0.25">
      <c r="A37" s="43" t="s">
        <v>120</v>
      </c>
      <c r="B37" s="44"/>
      <c r="C37" s="44" t="s">
        <v>141</v>
      </c>
      <c r="D37" s="44"/>
      <c r="E37" s="44"/>
      <c r="F37" s="44"/>
    </row>
    <row r="38" spans="1:6" ht="45" x14ac:dyDescent="0.25">
      <c r="A38" s="43" t="s">
        <v>121</v>
      </c>
      <c r="B38" s="44"/>
      <c r="C38" s="44" t="s">
        <v>143</v>
      </c>
      <c r="D38" s="44"/>
      <c r="E38" s="44"/>
      <c r="F38" s="44"/>
    </row>
  </sheetData>
  <mergeCells count="30">
    <mergeCell ref="A33:A35"/>
    <mergeCell ref="B33:F33"/>
    <mergeCell ref="B34:B35"/>
    <mergeCell ref="C34:C35"/>
    <mergeCell ref="D34:E34"/>
    <mergeCell ref="F34:F35"/>
    <mergeCell ref="A25:A27"/>
    <mergeCell ref="B25:F25"/>
    <mergeCell ref="B26:B27"/>
    <mergeCell ref="C26:C27"/>
    <mergeCell ref="D26:E26"/>
    <mergeCell ref="F26:F27"/>
    <mergeCell ref="A17:A19"/>
    <mergeCell ref="B17:F17"/>
    <mergeCell ref="B18:B19"/>
    <mergeCell ref="C18:C19"/>
    <mergeCell ref="D18:E18"/>
    <mergeCell ref="F18:F19"/>
    <mergeCell ref="A9:A11"/>
    <mergeCell ref="B9:F9"/>
    <mergeCell ref="B10:B11"/>
    <mergeCell ref="C10:C11"/>
    <mergeCell ref="D10:E10"/>
    <mergeCell ref="F10:F11"/>
    <mergeCell ref="B1:F1"/>
    <mergeCell ref="A1:A3"/>
    <mergeCell ref="D2:E2"/>
    <mergeCell ref="C2:C3"/>
    <mergeCell ref="B2:B3"/>
    <mergeCell ref="F2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A7" sqref="A7"/>
    </sheetView>
  </sheetViews>
  <sheetFormatPr baseColWidth="10" defaultRowHeight="15" x14ac:dyDescent="0.25"/>
  <cols>
    <col min="1" max="1" width="14.28515625" bestFit="1" customWidth="1"/>
    <col min="2" max="2" width="19.140625" bestFit="1" customWidth="1"/>
  </cols>
  <sheetData>
    <row r="1" spans="1:2" x14ac:dyDescent="0.25">
      <c r="A1" s="2" t="s">
        <v>2</v>
      </c>
      <c r="B1" s="2" t="s">
        <v>24</v>
      </c>
    </row>
    <row r="2" spans="1:2" x14ac:dyDescent="0.25">
      <c r="A2">
        <v>1</v>
      </c>
      <c r="B2" t="s">
        <v>59</v>
      </c>
    </row>
    <row r="3" spans="1:2" x14ac:dyDescent="0.25">
      <c r="A3">
        <v>2</v>
      </c>
      <c r="B3" t="s">
        <v>60</v>
      </c>
    </row>
    <row r="4" spans="1:2" x14ac:dyDescent="0.25">
      <c r="A4">
        <v>3</v>
      </c>
      <c r="B4" t="s">
        <v>61</v>
      </c>
    </row>
    <row r="5" spans="1:2" x14ac:dyDescent="0.25">
      <c r="A5">
        <v>4</v>
      </c>
      <c r="B5" t="s">
        <v>62</v>
      </c>
    </row>
    <row r="6" spans="1:2" x14ac:dyDescent="0.25">
      <c r="A6">
        <v>5</v>
      </c>
      <c r="B6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9"/>
  <sheetViews>
    <sheetView workbookViewId="0">
      <selection activeCell="H27" sqref="H27:H33"/>
    </sheetView>
  </sheetViews>
  <sheetFormatPr baseColWidth="10" defaultRowHeight="15" x14ac:dyDescent="0.25"/>
  <cols>
    <col min="2" max="2" width="13.85546875" customWidth="1"/>
    <col min="3" max="3" width="13.5703125" customWidth="1"/>
    <col min="4" max="4" width="14.5703125" customWidth="1"/>
    <col min="5" max="5" width="17.85546875" customWidth="1"/>
    <col min="6" max="6" width="15.28515625" customWidth="1"/>
    <col min="7" max="7" width="18.28515625" customWidth="1"/>
  </cols>
  <sheetData>
    <row r="1" spans="1:8" x14ac:dyDescent="0.25">
      <c r="A1" s="2" t="s">
        <v>13</v>
      </c>
      <c r="B1" s="2" t="s">
        <v>15</v>
      </c>
      <c r="C1" s="2" t="s">
        <v>44</v>
      </c>
      <c r="D1" s="2" t="s">
        <v>1</v>
      </c>
      <c r="E1" s="2" t="s">
        <v>2</v>
      </c>
      <c r="F1" s="2" t="s">
        <v>3</v>
      </c>
      <c r="G1" s="2" t="s">
        <v>7</v>
      </c>
      <c r="H1" s="2" t="s">
        <v>4</v>
      </c>
    </row>
    <row r="2" spans="1:8" x14ac:dyDescent="0.25">
      <c r="A2" t="s">
        <v>14</v>
      </c>
      <c r="B2" s="1">
        <v>42736</v>
      </c>
      <c r="C2" s="1">
        <v>42916</v>
      </c>
      <c r="D2">
        <v>1</v>
      </c>
      <c r="E2">
        <v>1</v>
      </c>
      <c r="F2">
        <v>5</v>
      </c>
      <c r="G2">
        <v>25000</v>
      </c>
      <c r="H2">
        <f t="shared" ref="H2:H33" si="0">F2*G2</f>
        <v>125000</v>
      </c>
    </row>
    <row r="3" spans="1:8" x14ac:dyDescent="0.25">
      <c r="A3" t="s">
        <v>14</v>
      </c>
      <c r="B3" s="1">
        <v>42736</v>
      </c>
      <c r="C3" s="1">
        <v>42916</v>
      </c>
      <c r="D3">
        <v>2</v>
      </c>
      <c r="E3">
        <v>1</v>
      </c>
      <c r="F3">
        <v>3</v>
      </c>
      <c r="G3">
        <v>25000</v>
      </c>
      <c r="H3">
        <f t="shared" si="0"/>
        <v>75000</v>
      </c>
    </row>
    <row r="4" spans="1:8" x14ac:dyDescent="0.25">
      <c r="A4" t="s">
        <v>14</v>
      </c>
      <c r="B4" s="1">
        <v>42736</v>
      </c>
      <c r="C4" s="1">
        <v>42916</v>
      </c>
      <c r="D4">
        <v>1</v>
      </c>
      <c r="E4">
        <v>1</v>
      </c>
      <c r="F4">
        <v>2</v>
      </c>
      <c r="G4">
        <v>25000</v>
      </c>
      <c r="H4">
        <f t="shared" si="0"/>
        <v>50000</v>
      </c>
    </row>
    <row r="5" spans="1:8" x14ac:dyDescent="0.25">
      <c r="A5" t="s">
        <v>16</v>
      </c>
      <c r="B5" s="1">
        <v>42917</v>
      </c>
      <c r="C5" s="1">
        <v>43100</v>
      </c>
      <c r="D5">
        <v>1</v>
      </c>
      <c r="E5">
        <v>1</v>
      </c>
      <c r="F5">
        <v>2</v>
      </c>
      <c r="G5">
        <v>25000</v>
      </c>
      <c r="H5">
        <f t="shared" si="0"/>
        <v>50000</v>
      </c>
    </row>
    <row r="6" spans="1:8" x14ac:dyDescent="0.25">
      <c r="A6" t="s">
        <v>16</v>
      </c>
      <c r="B6" s="1">
        <v>42917</v>
      </c>
      <c r="C6" s="1">
        <v>43100</v>
      </c>
      <c r="D6">
        <v>3</v>
      </c>
      <c r="E6">
        <v>1</v>
      </c>
      <c r="F6">
        <v>1</v>
      </c>
      <c r="G6">
        <v>25000</v>
      </c>
      <c r="H6">
        <f t="shared" si="0"/>
        <v>25000</v>
      </c>
    </row>
    <row r="7" spans="1:8" x14ac:dyDescent="0.25">
      <c r="A7" t="s">
        <v>16</v>
      </c>
      <c r="B7" s="1">
        <v>42917</v>
      </c>
      <c r="C7" s="1">
        <v>43100</v>
      </c>
      <c r="D7">
        <v>4</v>
      </c>
      <c r="E7">
        <v>1</v>
      </c>
      <c r="F7">
        <v>4</v>
      </c>
      <c r="G7">
        <v>25000</v>
      </c>
      <c r="H7">
        <f t="shared" si="0"/>
        <v>100000</v>
      </c>
    </row>
    <row r="8" spans="1:8" x14ac:dyDescent="0.25">
      <c r="A8" t="s">
        <v>16</v>
      </c>
      <c r="B8" s="1">
        <v>42917</v>
      </c>
      <c r="C8" s="1">
        <v>43100</v>
      </c>
      <c r="D8">
        <v>1</v>
      </c>
      <c r="E8">
        <v>1</v>
      </c>
      <c r="F8">
        <v>5</v>
      </c>
      <c r="G8">
        <v>25000</v>
      </c>
      <c r="H8">
        <f t="shared" si="0"/>
        <v>125000</v>
      </c>
    </row>
    <row r="9" spans="1:8" x14ac:dyDescent="0.25">
      <c r="A9" t="s">
        <v>21</v>
      </c>
      <c r="B9" s="1">
        <v>43101</v>
      </c>
      <c r="C9" s="1">
        <v>43281</v>
      </c>
      <c r="D9">
        <v>5</v>
      </c>
      <c r="E9">
        <v>2</v>
      </c>
      <c r="F9">
        <v>1</v>
      </c>
      <c r="G9">
        <v>450000</v>
      </c>
      <c r="H9">
        <f t="shared" si="0"/>
        <v>450000</v>
      </c>
    </row>
    <row r="10" spans="1:8" x14ac:dyDescent="0.25">
      <c r="A10" t="s">
        <v>21</v>
      </c>
      <c r="B10" s="1">
        <v>43101</v>
      </c>
      <c r="C10" s="1">
        <v>43281</v>
      </c>
      <c r="D10">
        <v>5</v>
      </c>
      <c r="E10">
        <v>3</v>
      </c>
      <c r="F10">
        <v>5</v>
      </c>
      <c r="G10">
        <v>15000</v>
      </c>
      <c r="H10">
        <f t="shared" si="0"/>
        <v>75000</v>
      </c>
    </row>
    <row r="11" spans="1:8" x14ac:dyDescent="0.25">
      <c r="A11" t="s">
        <v>21</v>
      </c>
      <c r="B11" s="1">
        <v>43101</v>
      </c>
      <c r="C11" s="1">
        <v>43281</v>
      </c>
      <c r="D11">
        <v>5</v>
      </c>
      <c r="E11">
        <v>4</v>
      </c>
      <c r="F11">
        <v>1</v>
      </c>
      <c r="G11">
        <v>18000</v>
      </c>
      <c r="H11">
        <f t="shared" si="0"/>
        <v>18000</v>
      </c>
    </row>
    <row r="12" spans="1:8" x14ac:dyDescent="0.25">
      <c r="A12" t="s">
        <v>21</v>
      </c>
      <c r="B12" s="1">
        <v>43101</v>
      </c>
      <c r="C12" s="1">
        <v>43281</v>
      </c>
      <c r="D12">
        <v>5</v>
      </c>
      <c r="E12">
        <v>5</v>
      </c>
      <c r="F12">
        <v>1</v>
      </c>
      <c r="G12">
        <v>25000</v>
      </c>
      <c r="H12">
        <f t="shared" si="0"/>
        <v>25000</v>
      </c>
    </row>
    <row r="13" spans="1:8" x14ac:dyDescent="0.25">
      <c r="A13" t="s">
        <v>21</v>
      </c>
      <c r="B13" s="1">
        <v>43101</v>
      </c>
      <c r="C13" s="1">
        <v>43281</v>
      </c>
      <c r="D13">
        <v>6</v>
      </c>
      <c r="E13">
        <v>1</v>
      </c>
      <c r="F13">
        <v>2</v>
      </c>
      <c r="G13">
        <v>25000</v>
      </c>
      <c r="H13">
        <f t="shared" si="0"/>
        <v>50000</v>
      </c>
    </row>
    <row r="14" spans="1:8" x14ac:dyDescent="0.25">
      <c r="A14" t="s">
        <v>21</v>
      </c>
      <c r="B14" s="1">
        <v>43101</v>
      </c>
      <c r="C14" s="1">
        <v>43281</v>
      </c>
      <c r="D14">
        <v>1</v>
      </c>
      <c r="E14">
        <v>2</v>
      </c>
      <c r="F14">
        <v>1</v>
      </c>
      <c r="G14">
        <v>450000</v>
      </c>
      <c r="H14">
        <f t="shared" si="0"/>
        <v>450000</v>
      </c>
    </row>
    <row r="15" spans="1:8" x14ac:dyDescent="0.25">
      <c r="A15" t="s">
        <v>21</v>
      </c>
      <c r="B15" s="1">
        <v>43101</v>
      </c>
      <c r="C15" s="1">
        <v>43281</v>
      </c>
      <c r="D15">
        <v>1</v>
      </c>
      <c r="E15">
        <v>5</v>
      </c>
      <c r="F15">
        <v>3</v>
      </c>
      <c r="G15">
        <v>25000</v>
      </c>
      <c r="H15">
        <f t="shared" si="0"/>
        <v>75000</v>
      </c>
    </row>
    <row r="16" spans="1:8" x14ac:dyDescent="0.25">
      <c r="A16" t="s">
        <v>22</v>
      </c>
      <c r="B16" s="1">
        <v>43282</v>
      </c>
      <c r="C16" s="1">
        <v>43465</v>
      </c>
      <c r="D16">
        <v>1</v>
      </c>
      <c r="E16">
        <v>4</v>
      </c>
      <c r="F16">
        <v>4</v>
      </c>
      <c r="G16">
        <v>18000</v>
      </c>
      <c r="H16">
        <f t="shared" si="0"/>
        <v>72000</v>
      </c>
    </row>
    <row r="17" spans="1:8" x14ac:dyDescent="0.25">
      <c r="A17" t="s">
        <v>22</v>
      </c>
      <c r="B17" s="1">
        <v>43282</v>
      </c>
      <c r="C17" s="1">
        <v>43465</v>
      </c>
      <c r="D17">
        <v>6</v>
      </c>
      <c r="E17">
        <v>1</v>
      </c>
      <c r="F17">
        <v>5</v>
      </c>
      <c r="G17">
        <v>25000</v>
      </c>
      <c r="H17">
        <f t="shared" si="0"/>
        <v>125000</v>
      </c>
    </row>
    <row r="18" spans="1:8" x14ac:dyDescent="0.25">
      <c r="A18" t="s">
        <v>22</v>
      </c>
      <c r="B18" s="1">
        <v>43282</v>
      </c>
      <c r="C18" s="1">
        <v>43465</v>
      </c>
      <c r="D18">
        <v>6</v>
      </c>
      <c r="E18">
        <v>2</v>
      </c>
      <c r="F18">
        <v>1</v>
      </c>
      <c r="G18">
        <v>450000</v>
      </c>
      <c r="H18">
        <f t="shared" ref="H18:H19" si="1">F18*G18</f>
        <v>450000</v>
      </c>
    </row>
    <row r="19" spans="1:8" x14ac:dyDescent="0.25">
      <c r="A19" t="s">
        <v>22</v>
      </c>
      <c r="B19" s="1">
        <v>43282</v>
      </c>
      <c r="C19" s="1">
        <v>43465</v>
      </c>
      <c r="D19">
        <v>5</v>
      </c>
      <c r="E19">
        <v>4</v>
      </c>
      <c r="F19">
        <v>1</v>
      </c>
      <c r="G19">
        <v>18000</v>
      </c>
      <c r="H19">
        <f t="shared" si="1"/>
        <v>18000</v>
      </c>
    </row>
    <row r="20" spans="1:8" x14ac:dyDescent="0.25">
      <c r="A20" t="s">
        <v>57</v>
      </c>
      <c r="B20" s="1">
        <v>43466</v>
      </c>
      <c r="C20" s="1">
        <v>43646</v>
      </c>
      <c r="D20">
        <v>7</v>
      </c>
      <c r="E20">
        <v>2</v>
      </c>
      <c r="F20">
        <v>1</v>
      </c>
      <c r="G20">
        <v>450000</v>
      </c>
      <c r="H20">
        <f t="shared" si="0"/>
        <v>450000</v>
      </c>
    </row>
    <row r="21" spans="1:8" x14ac:dyDescent="0.25">
      <c r="A21" t="s">
        <v>57</v>
      </c>
      <c r="B21" s="1">
        <v>43466</v>
      </c>
      <c r="C21" s="1">
        <v>43646</v>
      </c>
      <c r="D21">
        <v>7</v>
      </c>
      <c r="E21">
        <v>5</v>
      </c>
      <c r="F21">
        <v>5</v>
      </c>
      <c r="G21">
        <v>25000</v>
      </c>
      <c r="H21">
        <f t="shared" si="0"/>
        <v>125000</v>
      </c>
    </row>
    <row r="22" spans="1:8" x14ac:dyDescent="0.25">
      <c r="A22" t="s">
        <v>57</v>
      </c>
      <c r="B22" s="1">
        <v>43466</v>
      </c>
      <c r="C22" s="1">
        <v>43646</v>
      </c>
      <c r="D22">
        <v>7</v>
      </c>
      <c r="E22">
        <v>3</v>
      </c>
      <c r="F22">
        <v>4</v>
      </c>
      <c r="G22">
        <v>15000</v>
      </c>
      <c r="H22">
        <f t="shared" si="0"/>
        <v>60000</v>
      </c>
    </row>
    <row r="23" spans="1:8" x14ac:dyDescent="0.25">
      <c r="A23" t="s">
        <v>57</v>
      </c>
      <c r="B23" s="1">
        <v>43466</v>
      </c>
      <c r="C23" s="1">
        <v>43646</v>
      </c>
      <c r="D23">
        <v>8</v>
      </c>
      <c r="E23">
        <v>2</v>
      </c>
      <c r="F23">
        <v>1</v>
      </c>
      <c r="G23">
        <v>450000</v>
      </c>
      <c r="H23">
        <f t="shared" si="0"/>
        <v>450000</v>
      </c>
    </row>
    <row r="24" spans="1:8" x14ac:dyDescent="0.25">
      <c r="A24" t="s">
        <v>57</v>
      </c>
      <c r="B24" s="1">
        <v>43466</v>
      </c>
      <c r="C24" s="1">
        <v>43646</v>
      </c>
      <c r="D24">
        <v>8</v>
      </c>
      <c r="E24">
        <v>5</v>
      </c>
      <c r="F24">
        <v>7</v>
      </c>
      <c r="G24">
        <v>25000</v>
      </c>
      <c r="H24">
        <f t="shared" si="0"/>
        <v>175000</v>
      </c>
    </row>
    <row r="25" spans="1:8" x14ac:dyDescent="0.25">
      <c r="A25" t="s">
        <v>57</v>
      </c>
      <c r="B25" s="1">
        <v>43466</v>
      </c>
      <c r="C25" s="1">
        <v>43646</v>
      </c>
      <c r="D25">
        <v>8</v>
      </c>
      <c r="E25">
        <v>3</v>
      </c>
      <c r="F25">
        <v>6</v>
      </c>
      <c r="G25">
        <v>15000</v>
      </c>
      <c r="H25">
        <f t="shared" si="0"/>
        <v>90000</v>
      </c>
    </row>
    <row r="26" spans="1:8" x14ac:dyDescent="0.25">
      <c r="A26" t="s">
        <v>57</v>
      </c>
      <c r="B26" s="1">
        <v>43466</v>
      </c>
      <c r="C26" s="1">
        <v>43646</v>
      </c>
      <c r="D26">
        <v>1</v>
      </c>
      <c r="E26">
        <v>4</v>
      </c>
      <c r="F26">
        <v>3</v>
      </c>
      <c r="G26">
        <v>18000</v>
      </c>
      <c r="H26">
        <f t="shared" si="0"/>
        <v>54000</v>
      </c>
    </row>
    <row r="27" spans="1:8" x14ac:dyDescent="0.25">
      <c r="A27" t="s">
        <v>58</v>
      </c>
      <c r="B27" s="1">
        <v>43647</v>
      </c>
      <c r="C27" s="1">
        <v>43830</v>
      </c>
      <c r="D27">
        <v>9</v>
      </c>
      <c r="E27">
        <v>2</v>
      </c>
      <c r="F27">
        <v>1</v>
      </c>
      <c r="G27">
        <v>450000</v>
      </c>
      <c r="H27">
        <f t="shared" si="0"/>
        <v>450000</v>
      </c>
    </row>
    <row r="28" spans="1:8" x14ac:dyDescent="0.25">
      <c r="A28" t="s">
        <v>58</v>
      </c>
      <c r="B28" s="1">
        <v>43647</v>
      </c>
      <c r="C28" s="1">
        <v>43830</v>
      </c>
      <c r="D28">
        <v>9</v>
      </c>
      <c r="E28">
        <v>3</v>
      </c>
      <c r="F28">
        <v>1</v>
      </c>
      <c r="G28">
        <v>15000</v>
      </c>
      <c r="H28">
        <f t="shared" si="0"/>
        <v>15000</v>
      </c>
    </row>
    <row r="29" spans="1:8" x14ac:dyDescent="0.25">
      <c r="A29" t="s">
        <v>58</v>
      </c>
      <c r="B29" s="1">
        <v>43647</v>
      </c>
      <c r="C29" s="1">
        <v>43830</v>
      </c>
      <c r="D29">
        <v>9</v>
      </c>
      <c r="E29">
        <v>5</v>
      </c>
      <c r="F29">
        <v>1</v>
      </c>
      <c r="G29">
        <v>25000</v>
      </c>
      <c r="H29">
        <f t="shared" si="0"/>
        <v>25000</v>
      </c>
    </row>
    <row r="30" spans="1:8" x14ac:dyDescent="0.25">
      <c r="A30" t="s">
        <v>58</v>
      </c>
      <c r="B30" s="1">
        <v>43647</v>
      </c>
      <c r="C30" s="1">
        <v>43830</v>
      </c>
      <c r="D30">
        <v>10</v>
      </c>
      <c r="E30">
        <v>2</v>
      </c>
      <c r="F30">
        <v>1</v>
      </c>
      <c r="G30">
        <v>450000</v>
      </c>
      <c r="H30">
        <f t="shared" si="0"/>
        <v>450000</v>
      </c>
    </row>
    <row r="31" spans="1:8" x14ac:dyDescent="0.25">
      <c r="A31" t="s">
        <v>58</v>
      </c>
      <c r="B31" s="1">
        <v>43647</v>
      </c>
      <c r="C31" s="1">
        <v>43830</v>
      </c>
      <c r="D31">
        <v>10</v>
      </c>
      <c r="E31">
        <v>3</v>
      </c>
      <c r="F31">
        <v>4</v>
      </c>
      <c r="G31">
        <v>15000</v>
      </c>
      <c r="H31">
        <f t="shared" si="0"/>
        <v>60000</v>
      </c>
    </row>
    <row r="32" spans="1:8" x14ac:dyDescent="0.25">
      <c r="A32" t="s">
        <v>58</v>
      </c>
      <c r="B32" s="1">
        <v>43647</v>
      </c>
      <c r="C32" s="1">
        <v>43830</v>
      </c>
      <c r="D32">
        <v>10</v>
      </c>
      <c r="E32">
        <v>5</v>
      </c>
      <c r="F32">
        <v>6</v>
      </c>
      <c r="G32">
        <v>25000</v>
      </c>
      <c r="H32">
        <f t="shared" si="0"/>
        <v>150000</v>
      </c>
    </row>
    <row r="33" spans="1:8" x14ac:dyDescent="0.25">
      <c r="A33" t="s">
        <v>58</v>
      </c>
      <c r="B33" s="1">
        <v>43647</v>
      </c>
      <c r="C33" s="1">
        <v>43830</v>
      </c>
      <c r="D33">
        <v>10</v>
      </c>
      <c r="E33">
        <v>1</v>
      </c>
      <c r="F33">
        <v>2</v>
      </c>
      <c r="G33">
        <v>25000</v>
      </c>
      <c r="H33">
        <f t="shared" si="0"/>
        <v>50000</v>
      </c>
    </row>
    <row r="34" spans="1:8" x14ac:dyDescent="0.25">
      <c r="B34" s="1"/>
      <c r="C34" s="1"/>
    </row>
    <row r="35" spans="1:8" x14ac:dyDescent="0.25">
      <c r="B35" s="1"/>
      <c r="C35" s="1"/>
    </row>
    <row r="36" spans="1:8" x14ac:dyDescent="0.25">
      <c r="B36" s="1"/>
      <c r="C36" s="1"/>
    </row>
    <row r="37" spans="1:8" x14ac:dyDescent="0.25">
      <c r="B37" s="1"/>
      <c r="C37" s="1"/>
    </row>
    <row r="38" spans="1:8" x14ac:dyDescent="0.25">
      <c r="B38" s="1"/>
      <c r="C38" s="1"/>
    </row>
    <row r="39" spans="1:8" x14ac:dyDescent="0.25">
      <c r="B39" s="1"/>
      <c r="C39" s="1"/>
    </row>
    <row r="40" spans="1:8" x14ac:dyDescent="0.25">
      <c r="B40" s="1"/>
      <c r="C40" s="1"/>
    </row>
    <row r="41" spans="1:8" x14ac:dyDescent="0.25">
      <c r="B41" s="1"/>
      <c r="C41" s="1"/>
    </row>
    <row r="42" spans="1:8" x14ac:dyDescent="0.25">
      <c r="B42" s="1"/>
      <c r="C42" s="1"/>
    </row>
    <row r="43" spans="1:8" x14ac:dyDescent="0.25">
      <c r="B43" s="1"/>
      <c r="C43" s="1"/>
    </row>
    <row r="44" spans="1:8" x14ac:dyDescent="0.25">
      <c r="B44" s="1"/>
      <c r="C44" s="1"/>
    </row>
    <row r="45" spans="1:8" x14ac:dyDescent="0.25">
      <c r="B45" s="1"/>
      <c r="C45" s="1"/>
    </row>
    <row r="46" spans="1:8" x14ac:dyDescent="0.25">
      <c r="B46" s="1"/>
      <c r="C46" s="1"/>
    </row>
    <row r="47" spans="1:8" x14ac:dyDescent="0.25">
      <c r="B47" s="1"/>
      <c r="C47" s="1"/>
    </row>
    <row r="48" spans="1:8" x14ac:dyDescent="0.25">
      <c r="B48" s="1"/>
      <c r="C48" s="1"/>
    </row>
    <row r="49" spans="2:3" x14ac:dyDescent="0.25">
      <c r="B49" s="1"/>
      <c r="C49" s="1"/>
    </row>
    <row r="50" spans="2:3" x14ac:dyDescent="0.25">
      <c r="B50" s="1"/>
      <c r="C50" s="1"/>
    </row>
    <row r="51" spans="2:3" x14ac:dyDescent="0.25">
      <c r="B51" s="1"/>
      <c r="C51" s="1"/>
    </row>
    <row r="52" spans="2:3" x14ac:dyDescent="0.25">
      <c r="B52" s="1"/>
      <c r="C52" s="1"/>
    </row>
    <row r="53" spans="2:3" x14ac:dyDescent="0.25">
      <c r="B53" s="1"/>
      <c r="C53" s="1"/>
    </row>
    <row r="54" spans="2:3" x14ac:dyDescent="0.25">
      <c r="B54" s="1"/>
      <c r="C54" s="1"/>
    </row>
    <row r="55" spans="2:3" x14ac:dyDescent="0.25">
      <c r="B55" s="1"/>
      <c r="C55" s="1"/>
    </row>
    <row r="56" spans="2:3" x14ac:dyDescent="0.25">
      <c r="B56" s="1"/>
      <c r="C56" s="1"/>
    </row>
    <row r="57" spans="2:3" x14ac:dyDescent="0.25">
      <c r="B57" s="1"/>
      <c r="C57" s="1"/>
    </row>
    <row r="58" spans="2:3" x14ac:dyDescent="0.25">
      <c r="B58" s="1"/>
      <c r="C58" s="1"/>
    </row>
    <row r="59" spans="2:3" x14ac:dyDescent="0.25">
      <c r="B59" s="1"/>
      <c r="C59" s="1"/>
    </row>
    <row r="60" spans="2:3" x14ac:dyDescent="0.25">
      <c r="B60" s="1"/>
      <c r="C60" s="1"/>
    </row>
    <row r="61" spans="2:3" x14ac:dyDescent="0.25">
      <c r="B61" s="1"/>
      <c r="C61" s="1"/>
    </row>
    <row r="62" spans="2:3" x14ac:dyDescent="0.25">
      <c r="B62" s="1"/>
      <c r="C62" s="1"/>
    </row>
    <row r="63" spans="2:3" x14ac:dyDescent="0.25">
      <c r="B63" s="1"/>
      <c r="C63" s="1"/>
    </row>
    <row r="64" spans="2:3" x14ac:dyDescent="0.25">
      <c r="B64" s="1"/>
      <c r="C64" s="1"/>
    </row>
    <row r="65" spans="2:3" x14ac:dyDescent="0.25">
      <c r="B65" s="1"/>
      <c r="C65" s="1"/>
    </row>
    <row r="66" spans="2:3" x14ac:dyDescent="0.25">
      <c r="B66" s="1"/>
      <c r="C66" s="1"/>
    </row>
    <row r="67" spans="2:3" x14ac:dyDescent="0.25">
      <c r="B67" s="1"/>
      <c r="C67" s="1"/>
    </row>
    <row r="68" spans="2:3" x14ac:dyDescent="0.25">
      <c r="B68" s="1"/>
      <c r="C68" s="1"/>
    </row>
    <row r="69" spans="2:3" x14ac:dyDescent="0.25">
      <c r="B69" s="1"/>
      <c r="C69" s="1"/>
    </row>
  </sheetData>
  <autoFilter ref="A1:H69" xr:uid="{C6E96770-5FA0-4F50-BDF3-CE69EC039BF2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25"/>
  <sheetViews>
    <sheetView workbookViewId="0">
      <selection activeCell="E21" sqref="E21"/>
    </sheetView>
  </sheetViews>
  <sheetFormatPr baseColWidth="10" defaultRowHeight="15" x14ac:dyDescent="0.25"/>
  <cols>
    <col min="1" max="1" width="23.140625" customWidth="1"/>
    <col min="2" max="7" width="8.7109375" style="32" customWidth="1"/>
    <col min="8" max="13" width="8.7109375" style="24" customWidth="1"/>
    <col min="14" max="19" width="8.7109375" style="9" customWidth="1"/>
    <col min="20" max="21" width="8.7109375" style="28" customWidth="1"/>
    <col min="22" max="25" width="11.42578125" style="28"/>
    <col min="26" max="31" width="11.42578125" style="19"/>
    <col min="32" max="37" width="11.42578125" style="7"/>
  </cols>
  <sheetData>
    <row r="1" spans="1:37" x14ac:dyDescent="0.25">
      <c r="A1" s="2" t="s">
        <v>23</v>
      </c>
      <c r="H1" s="24" t="s">
        <v>34</v>
      </c>
      <c r="N1" s="9" t="s">
        <v>34</v>
      </c>
      <c r="T1" s="28" t="s">
        <v>34</v>
      </c>
      <c r="Z1" s="19" t="s">
        <v>34</v>
      </c>
      <c r="AF1" s="7" t="s">
        <v>34</v>
      </c>
    </row>
    <row r="2" spans="1:37" x14ac:dyDescent="0.25">
      <c r="H2" s="25">
        <v>0.15</v>
      </c>
      <c r="N2" s="13">
        <v>0.15</v>
      </c>
      <c r="T2" s="29">
        <v>0.1</v>
      </c>
      <c r="Z2" s="20">
        <v>0.08</v>
      </c>
      <c r="AF2" s="8">
        <v>7.0000000000000007E-2</v>
      </c>
    </row>
    <row r="3" spans="1:37" x14ac:dyDescent="0.25">
      <c r="A3" s="2" t="s">
        <v>6</v>
      </c>
      <c r="B3" s="33">
        <v>42736</v>
      </c>
      <c r="C3" s="33">
        <v>42767</v>
      </c>
      <c r="D3" s="33">
        <v>42795</v>
      </c>
      <c r="E3" s="33">
        <v>42826</v>
      </c>
      <c r="F3" s="33">
        <v>42856</v>
      </c>
      <c r="G3" s="33">
        <v>42887</v>
      </c>
      <c r="H3" s="26">
        <v>42917</v>
      </c>
      <c r="I3" s="26">
        <v>42948</v>
      </c>
      <c r="J3" s="26">
        <v>42979</v>
      </c>
      <c r="K3" s="26">
        <v>43009</v>
      </c>
      <c r="L3" s="26">
        <v>43040</v>
      </c>
      <c r="M3" s="26">
        <v>43070</v>
      </c>
      <c r="N3" s="10">
        <v>43101</v>
      </c>
      <c r="O3" s="10">
        <v>43132</v>
      </c>
      <c r="P3" s="10">
        <v>43160</v>
      </c>
      <c r="Q3" s="10">
        <v>43191</v>
      </c>
      <c r="R3" s="10">
        <v>43221</v>
      </c>
      <c r="S3" s="10">
        <v>43252</v>
      </c>
      <c r="T3" s="30">
        <v>43282</v>
      </c>
      <c r="U3" s="30">
        <v>43313</v>
      </c>
      <c r="V3" s="30">
        <v>43344</v>
      </c>
      <c r="W3" s="30">
        <v>43374</v>
      </c>
      <c r="X3" s="30">
        <v>43405</v>
      </c>
      <c r="Y3" s="30">
        <v>43435</v>
      </c>
      <c r="Z3" s="21">
        <v>43466</v>
      </c>
      <c r="AA3" s="21">
        <v>43497</v>
      </c>
      <c r="AB3" s="21">
        <v>43525</v>
      </c>
      <c r="AC3" s="21">
        <v>43556</v>
      </c>
      <c r="AD3" s="21">
        <v>43586</v>
      </c>
      <c r="AE3" s="21">
        <v>43617</v>
      </c>
      <c r="AF3" s="14">
        <v>43647</v>
      </c>
      <c r="AG3" s="14">
        <v>43678</v>
      </c>
      <c r="AH3" s="14">
        <v>43709</v>
      </c>
      <c r="AI3" s="14">
        <v>43739</v>
      </c>
      <c r="AJ3" s="14">
        <v>43770</v>
      </c>
      <c r="AK3" s="14">
        <v>43800</v>
      </c>
    </row>
    <row r="4" spans="1:37" x14ac:dyDescent="0.25">
      <c r="A4">
        <v>1</v>
      </c>
      <c r="B4" s="32">
        <v>25000</v>
      </c>
      <c r="C4" s="32">
        <v>25000</v>
      </c>
      <c r="D4" s="32">
        <v>25000</v>
      </c>
      <c r="E4" s="32">
        <v>25000</v>
      </c>
      <c r="F4" s="32">
        <v>25000</v>
      </c>
      <c r="G4" s="32">
        <v>25000</v>
      </c>
      <c r="H4" s="24">
        <f>((G4/2)+G4)+ (G4*0.15)</f>
        <v>41250</v>
      </c>
      <c r="I4" s="24">
        <f>G4+G4*0.15</f>
        <v>28750</v>
      </c>
      <c r="J4" s="24">
        <v>28750</v>
      </c>
      <c r="K4" s="24">
        <v>28750</v>
      </c>
      <c r="L4" s="24">
        <v>28750</v>
      </c>
      <c r="M4" s="24">
        <v>28750</v>
      </c>
      <c r="N4" s="9">
        <f>(M4+M4/2)+(M4*0.15)</f>
        <v>47437.5</v>
      </c>
      <c r="O4" s="9">
        <f>M4+(M4*0.15)</f>
        <v>33062.5</v>
      </c>
      <c r="P4" s="9">
        <v>33062.5</v>
      </c>
      <c r="Q4" s="9">
        <v>33062.5</v>
      </c>
      <c r="R4" s="9">
        <v>33062.5</v>
      </c>
      <c r="S4" s="9">
        <v>33062.5</v>
      </c>
      <c r="T4" s="28">
        <f>+(S4/2)+S4+(S4*0.1)</f>
        <v>52900</v>
      </c>
      <c r="U4" s="28">
        <f>+S4+(S4*0.1)</f>
        <v>36368.75</v>
      </c>
      <c r="V4" s="28">
        <v>36368.75</v>
      </c>
      <c r="W4" s="28">
        <v>36368.75</v>
      </c>
      <c r="X4" s="28">
        <v>36368.75</v>
      </c>
      <c r="Y4" s="28">
        <v>36368.75</v>
      </c>
      <c r="Z4" s="19">
        <f>+(Y4/2)+Y4+(Y4*0.08)</f>
        <v>57462.625</v>
      </c>
      <c r="AA4" s="19">
        <f>+Y4+(Y4*0.08)</f>
        <v>39278.25</v>
      </c>
      <c r="AB4" s="19">
        <v>39278.25</v>
      </c>
      <c r="AC4" s="19">
        <v>39278.25</v>
      </c>
      <c r="AD4" s="19">
        <v>39278.25</v>
      </c>
      <c r="AE4" s="19">
        <v>39278.25</v>
      </c>
      <c r="AF4" s="16">
        <f>+(AE4/2)+AE4+(AE4*0.07)</f>
        <v>61666.852500000001</v>
      </c>
      <c r="AG4" s="16">
        <f>+AE4+(AE4*0.07)</f>
        <v>42027.727500000001</v>
      </c>
      <c r="AH4" s="16">
        <v>42027.73</v>
      </c>
      <c r="AI4" s="16">
        <v>42027.73</v>
      </c>
      <c r="AJ4" s="16">
        <v>42027.73</v>
      </c>
      <c r="AK4" s="16">
        <v>42027.73</v>
      </c>
    </row>
    <row r="5" spans="1:37" x14ac:dyDescent="0.25">
      <c r="A5">
        <v>2</v>
      </c>
      <c r="B5" s="32">
        <v>18000</v>
      </c>
      <c r="C5" s="32">
        <v>18000</v>
      </c>
      <c r="D5" s="32">
        <v>18000</v>
      </c>
      <c r="E5" s="32">
        <v>18000</v>
      </c>
      <c r="F5" s="32">
        <v>18000</v>
      </c>
      <c r="G5" s="32">
        <v>18000</v>
      </c>
      <c r="H5" s="24">
        <f>((G5/2)+G5)+ (G5*0.15)</f>
        <v>29700</v>
      </c>
      <c r="I5" s="24">
        <f>G5+G5*0.15</f>
        <v>20700</v>
      </c>
      <c r="J5" s="24">
        <v>20700</v>
      </c>
      <c r="K5" s="24">
        <v>20700</v>
      </c>
      <c r="L5" s="24">
        <v>20700</v>
      </c>
      <c r="M5" s="24">
        <v>20700</v>
      </c>
      <c r="N5" s="9">
        <f>(M5+M5/2)+(M5*0.15)</f>
        <v>34155</v>
      </c>
      <c r="O5" s="9">
        <f>M5+(M5*0.15)</f>
        <v>23805</v>
      </c>
      <c r="P5" s="9">
        <v>23805</v>
      </c>
      <c r="Q5" s="9">
        <v>23805</v>
      </c>
      <c r="R5" s="9">
        <v>23805</v>
      </c>
      <c r="S5" s="9">
        <v>23805</v>
      </c>
      <c r="T5" s="28">
        <f>+(S5/2)+S5+(S5*0.1)</f>
        <v>38088</v>
      </c>
      <c r="U5" s="28">
        <f>+S5+(S5*0.1)</f>
        <v>26185.5</v>
      </c>
      <c r="V5" s="28">
        <v>26185.5</v>
      </c>
      <c r="W5" s="28">
        <v>26185.5</v>
      </c>
      <c r="X5" s="28">
        <v>26185.5</v>
      </c>
      <c r="Y5" s="28">
        <v>26185.5</v>
      </c>
      <c r="Z5" s="19">
        <f>+(Y5/2)+Y5+(Y5*0.08)</f>
        <v>41373.089999999997</v>
      </c>
      <c r="AA5" s="19">
        <f>+Y5+(Y5*0.08)</f>
        <v>28280.34</v>
      </c>
      <c r="AB5" s="19">
        <v>28280.34</v>
      </c>
      <c r="AC5" s="19">
        <v>28280.34</v>
      </c>
      <c r="AD5" s="19">
        <v>28280.34</v>
      </c>
      <c r="AE5" s="19">
        <v>28280.34</v>
      </c>
      <c r="AF5" s="16">
        <f>+(AE5/2)+AE5+(AE5*0.07)</f>
        <v>44400.133800000003</v>
      </c>
      <c r="AG5" s="16">
        <f>+AE5+(AE5*0.07)</f>
        <v>30259.963800000001</v>
      </c>
      <c r="AH5" s="16">
        <v>30259.96</v>
      </c>
      <c r="AI5" s="16">
        <v>30259.96</v>
      </c>
      <c r="AJ5" s="16">
        <v>30259.96</v>
      </c>
      <c r="AK5" s="16">
        <v>30259.96</v>
      </c>
    </row>
    <row r="6" spans="1:37" x14ac:dyDescent="0.25">
      <c r="AF6" s="16"/>
      <c r="AG6" s="16"/>
    </row>
    <row r="9" spans="1:37" x14ac:dyDescent="0.25">
      <c r="AF9" s="16"/>
      <c r="AG9" s="16"/>
    </row>
    <row r="11" spans="1:37" x14ac:dyDescent="0.25">
      <c r="A11" s="2" t="s">
        <v>41</v>
      </c>
      <c r="B11" s="34">
        <f>+SUM(B4:B10)</f>
        <v>43000</v>
      </c>
      <c r="C11" s="34">
        <f t="shared" ref="C11:AK11" si="0">+SUM(C4:C10)</f>
        <v>43000</v>
      </c>
      <c r="D11" s="34">
        <f t="shared" si="0"/>
        <v>43000</v>
      </c>
      <c r="E11" s="34">
        <f t="shared" si="0"/>
        <v>43000</v>
      </c>
      <c r="F11" s="34">
        <f t="shared" si="0"/>
        <v>43000</v>
      </c>
      <c r="G11" s="34">
        <f t="shared" si="0"/>
        <v>43000</v>
      </c>
      <c r="H11" s="27">
        <f t="shared" si="0"/>
        <v>70950</v>
      </c>
      <c r="I11" s="27">
        <f t="shared" si="0"/>
        <v>49450</v>
      </c>
      <c r="J11" s="27">
        <f t="shared" si="0"/>
        <v>49450</v>
      </c>
      <c r="K11" s="27">
        <f t="shared" si="0"/>
        <v>49450</v>
      </c>
      <c r="L11" s="27">
        <f t="shared" si="0"/>
        <v>49450</v>
      </c>
      <c r="M11" s="27">
        <f t="shared" si="0"/>
        <v>49450</v>
      </c>
      <c r="N11" s="11">
        <f t="shared" si="0"/>
        <v>81592.5</v>
      </c>
      <c r="O11" s="11">
        <f t="shared" si="0"/>
        <v>56867.5</v>
      </c>
      <c r="P11" s="11">
        <f t="shared" si="0"/>
        <v>56867.5</v>
      </c>
      <c r="Q11" s="11">
        <f t="shared" si="0"/>
        <v>56867.5</v>
      </c>
      <c r="R11" s="11">
        <f t="shared" si="0"/>
        <v>56867.5</v>
      </c>
      <c r="S11" s="11">
        <f t="shared" si="0"/>
        <v>56867.5</v>
      </c>
      <c r="T11" s="31">
        <f t="shared" si="0"/>
        <v>90988</v>
      </c>
      <c r="U11" s="31">
        <f t="shared" si="0"/>
        <v>62554.25</v>
      </c>
      <c r="V11" s="31">
        <f t="shared" si="0"/>
        <v>62554.25</v>
      </c>
      <c r="W11" s="31">
        <f t="shared" si="0"/>
        <v>62554.25</v>
      </c>
      <c r="X11" s="31">
        <f t="shared" si="0"/>
        <v>62554.25</v>
      </c>
      <c r="Y11" s="31">
        <f t="shared" si="0"/>
        <v>62554.25</v>
      </c>
      <c r="Z11" s="22">
        <f t="shared" si="0"/>
        <v>98835.714999999997</v>
      </c>
      <c r="AA11" s="22">
        <f t="shared" si="0"/>
        <v>67558.59</v>
      </c>
      <c r="AB11" s="22">
        <f t="shared" si="0"/>
        <v>67558.59</v>
      </c>
      <c r="AC11" s="22">
        <f t="shared" si="0"/>
        <v>67558.59</v>
      </c>
      <c r="AD11" s="22">
        <f t="shared" si="0"/>
        <v>67558.59</v>
      </c>
      <c r="AE11" s="22">
        <f t="shared" si="0"/>
        <v>67558.59</v>
      </c>
      <c r="AF11" s="17">
        <f t="shared" si="0"/>
        <v>106066.9863</v>
      </c>
      <c r="AG11" s="17">
        <f t="shared" si="0"/>
        <v>72287.691300000006</v>
      </c>
      <c r="AH11" s="17">
        <f t="shared" si="0"/>
        <v>72287.69</v>
      </c>
      <c r="AI11" s="17">
        <f t="shared" si="0"/>
        <v>72287.69</v>
      </c>
      <c r="AJ11" s="17">
        <f t="shared" si="0"/>
        <v>72287.69</v>
      </c>
      <c r="AK11" s="17">
        <f t="shared" si="0"/>
        <v>72287.69</v>
      </c>
    </row>
    <row r="13" spans="1:37" x14ac:dyDescent="0.25">
      <c r="A13" s="2" t="s">
        <v>39</v>
      </c>
    </row>
    <row r="14" spans="1:37" x14ac:dyDescent="0.25">
      <c r="A14" s="2" t="str">
        <f>+A3</f>
        <v>ID_Empleado</v>
      </c>
      <c r="B14" s="33">
        <v>42736</v>
      </c>
      <c r="C14" s="33">
        <v>42767</v>
      </c>
      <c r="D14" s="33">
        <v>42795</v>
      </c>
      <c r="E14" s="33">
        <v>42826</v>
      </c>
      <c r="F14" s="33">
        <v>42856</v>
      </c>
      <c r="G14" s="33">
        <v>42887</v>
      </c>
      <c r="H14" s="26">
        <v>42917</v>
      </c>
      <c r="I14" s="26">
        <v>42948</v>
      </c>
      <c r="J14" s="26">
        <v>42979</v>
      </c>
      <c r="K14" s="26">
        <v>43009</v>
      </c>
      <c r="L14" s="26">
        <v>43040</v>
      </c>
      <c r="M14" s="26">
        <v>43070</v>
      </c>
      <c r="N14" s="10">
        <v>43101</v>
      </c>
      <c r="O14" s="10">
        <v>43132</v>
      </c>
      <c r="P14" s="10">
        <v>43160</v>
      </c>
      <c r="Q14" s="10">
        <v>43191</v>
      </c>
      <c r="R14" s="10">
        <v>43221</v>
      </c>
      <c r="S14" s="10">
        <v>43252</v>
      </c>
      <c r="T14" s="30">
        <v>43282</v>
      </c>
      <c r="U14" s="30">
        <v>43313</v>
      </c>
      <c r="V14" s="30">
        <v>43344</v>
      </c>
      <c r="W14" s="30">
        <v>43374</v>
      </c>
      <c r="X14" s="30">
        <v>43405</v>
      </c>
      <c r="Y14" s="30">
        <v>43435</v>
      </c>
      <c r="Z14" s="21">
        <v>43466</v>
      </c>
      <c r="AA14" s="21">
        <v>43497</v>
      </c>
      <c r="AB14" s="21">
        <v>43525</v>
      </c>
      <c r="AC14" s="21">
        <v>43556</v>
      </c>
      <c r="AD14" s="21">
        <v>43586</v>
      </c>
      <c r="AE14" s="21">
        <v>43617</v>
      </c>
      <c r="AF14" s="14">
        <v>43647</v>
      </c>
      <c r="AG14" s="14">
        <v>43678</v>
      </c>
      <c r="AH14" s="14">
        <v>43709</v>
      </c>
      <c r="AI14" s="14">
        <v>43739</v>
      </c>
      <c r="AJ14" s="14">
        <v>43770</v>
      </c>
      <c r="AK14" s="14">
        <v>43800</v>
      </c>
    </row>
    <row r="15" spans="1:37" x14ac:dyDescent="0.25">
      <c r="A15">
        <v>1</v>
      </c>
      <c r="B15" s="32">
        <f>+(B4*0.11)+(B4*0.03)</f>
        <v>3500</v>
      </c>
      <c r="C15" s="32">
        <f t="shared" ref="C15:S15" si="1">+(C4*0.11)+(C4*0.03)</f>
        <v>3500</v>
      </c>
      <c r="D15" s="32">
        <f t="shared" si="1"/>
        <v>3500</v>
      </c>
      <c r="E15" s="32">
        <f t="shared" si="1"/>
        <v>3500</v>
      </c>
      <c r="F15" s="32">
        <f t="shared" si="1"/>
        <v>3500</v>
      </c>
      <c r="G15" s="32">
        <f t="shared" si="1"/>
        <v>3500</v>
      </c>
      <c r="H15" s="24">
        <f t="shared" si="1"/>
        <v>5775</v>
      </c>
      <c r="I15" s="24">
        <f t="shared" si="1"/>
        <v>4025</v>
      </c>
      <c r="J15" s="24">
        <f t="shared" si="1"/>
        <v>4025</v>
      </c>
      <c r="K15" s="24">
        <f t="shared" si="1"/>
        <v>4025</v>
      </c>
      <c r="L15" s="24">
        <f t="shared" si="1"/>
        <v>4025</v>
      </c>
      <c r="M15" s="24">
        <f t="shared" si="1"/>
        <v>4025</v>
      </c>
      <c r="N15" s="9">
        <f t="shared" si="1"/>
        <v>6641.25</v>
      </c>
      <c r="O15" s="9">
        <f t="shared" si="1"/>
        <v>4628.75</v>
      </c>
      <c r="P15" s="9">
        <f t="shared" si="1"/>
        <v>4628.75</v>
      </c>
      <c r="Q15" s="9">
        <f t="shared" si="1"/>
        <v>4628.75</v>
      </c>
      <c r="R15" s="9">
        <f t="shared" si="1"/>
        <v>4628.75</v>
      </c>
      <c r="S15" s="9">
        <f t="shared" si="1"/>
        <v>4628.75</v>
      </c>
      <c r="T15" s="28">
        <f>+(T4*0.11)+(T4*0.03)</f>
        <v>7406</v>
      </c>
      <c r="U15" s="28">
        <f t="shared" ref="U15:AG15" si="2">+(U4*0.11)+(U4*0.03)</f>
        <v>5091.625</v>
      </c>
      <c r="V15" s="28">
        <f>+(V4*0.11)+(V4*0.03)</f>
        <v>5091.625</v>
      </c>
      <c r="W15" s="28">
        <f t="shared" si="2"/>
        <v>5091.625</v>
      </c>
      <c r="X15" s="28">
        <f t="shared" si="2"/>
        <v>5091.625</v>
      </c>
      <c r="Y15" s="28">
        <f t="shared" si="2"/>
        <v>5091.625</v>
      </c>
      <c r="Z15" s="23">
        <f t="shared" si="2"/>
        <v>8044.7674999999999</v>
      </c>
      <c r="AA15" s="23">
        <f t="shared" si="2"/>
        <v>5498.9549999999999</v>
      </c>
      <c r="AB15" s="23">
        <f t="shared" si="2"/>
        <v>5498.9549999999999</v>
      </c>
      <c r="AC15" s="23">
        <f t="shared" si="2"/>
        <v>5498.9549999999999</v>
      </c>
      <c r="AD15" s="23">
        <f t="shared" si="2"/>
        <v>5498.9549999999999</v>
      </c>
      <c r="AE15" s="23">
        <f t="shared" si="2"/>
        <v>5498.9549999999999</v>
      </c>
      <c r="AF15" s="16">
        <f>+(AF4*0.11)+(AF4*0.03)</f>
        <v>8633.3593500000006</v>
      </c>
      <c r="AG15" s="16">
        <f t="shared" si="2"/>
        <v>5883.8818500000007</v>
      </c>
      <c r="AH15" s="16">
        <v>1919.1019679999999</v>
      </c>
      <c r="AI15" s="16">
        <v>1919.1019679999999</v>
      </c>
      <c r="AJ15" s="16">
        <v>1919.1019679999999</v>
      </c>
      <c r="AK15" s="16">
        <v>1919.1019679999999</v>
      </c>
    </row>
    <row r="16" spans="1:37" x14ac:dyDescent="0.25">
      <c r="A16">
        <v>2</v>
      </c>
      <c r="B16" s="32">
        <f>+(B5*0.11)+(B5*0.03)</f>
        <v>2520</v>
      </c>
      <c r="C16" s="32">
        <f t="shared" ref="C16:AK16" si="3">+(C5*0.11)+(C5*0.03)</f>
        <v>2520</v>
      </c>
      <c r="D16" s="32">
        <f t="shared" si="3"/>
        <v>2520</v>
      </c>
      <c r="E16" s="32">
        <f t="shared" si="3"/>
        <v>2520</v>
      </c>
      <c r="F16" s="32">
        <f t="shared" si="3"/>
        <v>2520</v>
      </c>
      <c r="G16" s="32">
        <f t="shared" si="3"/>
        <v>2520</v>
      </c>
      <c r="H16" s="24">
        <f t="shared" si="3"/>
        <v>4158</v>
      </c>
      <c r="I16" s="24">
        <f t="shared" si="3"/>
        <v>2898</v>
      </c>
      <c r="J16" s="24">
        <f t="shared" si="3"/>
        <v>2898</v>
      </c>
      <c r="K16" s="24">
        <f t="shared" si="3"/>
        <v>2898</v>
      </c>
      <c r="L16" s="24">
        <f t="shared" si="3"/>
        <v>2898</v>
      </c>
      <c r="M16" s="24">
        <f t="shared" si="3"/>
        <v>2898</v>
      </c>
      <c r="N16" s="9">
        <f t="shared" si="3"/>
        <v>4781.7</v>
      </c>
      <c r="O16" s="9">
        <f t="shared" si="3"/>
        <v>3332.7000000000003</v>
      </c>
      <c r="P16" s="9">
        <f t="shared" si="3"/>
        <v>3332.7000000000003</v>
      </c>
      <c r="Q16" s="9">
        <f t="shared" si="3"/>
        <v>3332.7000000000003</v>
      </c>
      <c r="R16" s="9">
        <f t="shared" si="3"/>
        <v>3332.7000000000003</v>
      </c>
      <c r="S16" s="9">
        <f t="shared" si="3"/>
        <v>3332.7000000000003</v>
      </c>
      <c r="T16" s="28">
        <f t="shared" si="3"/>
        <v>5332.32</v>
      </c>
      <c r="U16" s="28">
        <f t="shared" si="3"/>
        <v>3665.9700000000003</v>
      </c>
      <c r="V16" s="28">
        <f t="shared" si="3"/>
        <v>3665.9700000000003</v>
      </c>
      <c r="W16" s="28">
        <f t="shared" si="3"/>
        <v>3665.9700000000003</v>
      </c>
      <c r="X16" s="28">
        <f t="shared" si="3"/>
        <v>3665.9700000000003</v>
      </c>
      <c r="Y16" s="28">
        <f t="shared" si="3"/>
        <v>3665.9700000000003</v>
      </c>
      <c r="Z16" s="19">
        <f t="shared" si="3"/>
        <v>5792.2325999999994</v>
      </c>
      <c r="AA16" s="19">
        <f t="shared" si="3"/>
        <v>3959.2475999999997</v>
      </c>
      <c r="AB16" s="19">
        <f t="shared" si="3"/>
        <v>3959.2475999999997</v>
      </c>
      <c r="AC16" s="19">
        <f t="shared" si="3"/>
        <v>3959.2475999999997</v>
      </c>
      <c r="AD16" s="19">
        <f t="shared" si="3"/>
        <v>3959.2475999999997</v>
      </c>
      <c r="AE16" s="19">
        <f t="shared" si="3"/>
        <v>3959.2475999999997</v>
      </c>
      <c r="AF16" s="7">
        <f t="shared" si="3"/>
        <v>6216.0187320000005</v>
      </c>
      <c r="AG16" s="7">
        <f t="shared" si="3"/>
        <v>4236.3949320000002</v>
      </c>
      <c r="AH16" s="7">
        <f t="shared" si="3"/>
        <v>4236.3944000000001</v>
      </c>
      <c r="AI16" s="7">
        <f t="shared" si="3"/>
        <v>4236.3944000000001</v>
      </c>
      <c r="AJ16" s="7">
        <f t="shared" si="3"/>
        <v>4236.3944000000001</v>
      </c>
      <c r="AK16" s="7">
        <f t="shared" si="3"/>
        <v>4236.3944000000001</v>
      </c>
    </row>
    <row r="17" spans="1:37" x14ac:dyDescent="0.25">
      <c r="Z17" s="23"/>
      <c r="AA17" s="23"/>
      <c r="AB17" s="23"/>
      <c r="AC17" s="23"/>
      <c r="AD17" s="23"/>
      <c r="AE17" s="23"/>
      <c r="AF17" s="16"/>
      <c r="AG17" s="16"/>
    </row>
    <row r="20" spans="1:37" x14ac:dyDescent="0.25">
      <c r="Z20" s="23"/>
      <c r="AA20" s="23"/>
      <c r="AB20" s="23"/>
      <c r="AC20" s="23"/>
      <c r="AD20" s="23"/>
      <c r="AE20" s="23"/>
      <c r="AF20" s="16"/>
      <c r="AG20" s="16"/>
      <c r="AH20" s="16"/>
      <c r="AI20" s="16"/>
      <c r="AJ20" s="16"/>
      <c r="AK20" s="16"/>
    </row>
    <row r="21" spans="1:37" x14ac:dyDescent="0.25">
      <c r="AH21" s="16"/>
      <c r="AI21" s="16"/>
      <c r="AJ21" s="16"/>
      <c r="AK21" s="16"/>
    </row>
    <row r="22" spans="1:37" x14ac:dyDescent="0.25">
      <c r="A22" s="2" t="s">
        <v>40</v>
      </c>
      <c r="B22" s="34">
        <f>+SUM(B15:B21)</f>
        <v>6020</v>
      </c>
      <c r="C22" s="34">
        <f t="shared" ref="C22:S22" si="4">+SUM(C15:C21)</f>
        <v>6020</v>
      </c>
      <c r="D22" s="34">
        <f t="shared" si="4"/>
        <v>6020</v>
      </c>
      <c r="E22" s="34">
        <f t="shared" si="4"/>
        <v>6020</v>
      </c>
      <c r="F22" s="34">
        <f t="shared" si="4"/>
        <v>6020</v>
      </c>
      <c r="G22" s="34">
        <f t="shared" si="4"/>
        <v>6020</v>
      </c>
      <c r="H22" s="27">
        <f t="shared" si="4"/>
        <v>9933</v>
      </c>
      <c r="I22" s="27">
        <f t="shared" si="4"/>
        <v>6923</v>
      </c>
      <c r="J22" s="27">
        <f t="shared" si="4"/>
        <v>6923</v>
      </c>
      <c r="K22" s="27">
        <f t="shared" si="4"/>
        <v>6923</v>
      </c>
      <c r="L22" s="27">
        <f t="shared" si="4"/>
        <v>6923</v>
      </c>
      <c r="M22" s="27">
        <f t="shared" si="4"/>
        <v>6923</v>
      </c>
      <c r="N22" s="11">
        <f t="shared" si="4"/>
        <v>11422.95</v>
      </c>
      <c r="O22" s="11">
        <f t="shared" si="4"/>
        <v>7961.4500000000007</v>
      </c>
      <c r="P22" s="11">
        <f t="shared" si="4"/>
        <v>7961.4500000000007</v>
      </c>
      <c r="Q22" s="11">
        <f t="shared" si="4"/>
        <v>7961.4500000000007</v>
      </c>
      <c r="R22" s="11">
        <f t="shared" si="4"/>
        <v>7961.4500000000007</v>
      </c>
      <c r="S22" s="11">
        <f t="shared" si="4"/>
        <v>7961.4500000000007</v>
      </c>
      <c r="T22" s="31">
        <f t="shared" ref="T22" si="5">+SUM(T15:T21)</f>
        <v>12738.32</v>
      </c>
      <c r="U22" s="31">
        <f t="shared" ref="U22" si="6">+SUM(U15:U21)</f>
        <v>8757.5950000000012</v>
      </c>
      <c r="V22" s="31">
        <f t="shared" ref="V22" si="7">+SUM(V15:V21)</f>
        <v>8757.5950000000012</v>
      </c>
      <c r="W22" s="31">
        <f t="shared" ref="W22" si="8">+SUM(W15:W21)</f>
        <v>8757.5950000000012</v>
      </c>
      <c r="X22" s="31">
        <f t="shared" ref="X22" si="9">+SUM(X15:X21)</f>
        <v>8757.5950000000012</v>
      </c>
      <c r="Y22" s="31">
        <f t="shared" ref="Y22" si="10">+SUM(Y15:Y21)</f>
        <v>8757.5950000000012</v>
      </c>
      <c r="Z22" s="22">
        <f t="shared" ref="Z22" si="11">+SUM(Z15:Z21)</f>
        <v>13837.000099999999</v>
      </c>
      <c r="AA22" s="22">
        <f t="shared" ref="AA22" si="12">+SUM(AA15:AA21)</f>
        <v>9458.2026000000005</v>
      </c>
      <c r="AB22" s="22">
        <f t="shared" ref="AB22" si="13">+SUM(AB15:AB21)</f>
        <v>9458.2026000000005</v>
      </c>
      <c r="AC22" s="22">
        <f t="shared" ref="AC22" si="14">+SUM(AC15:AC21)</f>
        <v>9458.2026000000005</v>
      </c>
      <c r="AD22" s="22">
        <f t="shared" ref="AD22" si="15">+SUM(AD15:AD21)</f>
        <v>9458.2026000000005</v>
      </c>
      <c r="AE22" s="22">
        <f t="shared" ref="AE22" si="16">+SUM(AE15:AE21)</f>
        <v>9458.2026000000005</v>
      </c>
      <c r="AF22" s="15">
        <f t="shared" ref="AF22" si="17">+SUM(AF15:AF21)</f>
        <v>14849.378082000001</v>
      </c>
      <c r="AG22" s="15">
        <f t="shared" ref="AG22" si="18">+SUM(AG15:AG21)</f>
        <v>10120.276782000001</v>
      </c>
      <c r="AH22" s="15">
        <f t="shared" ref="AH22" si="19">+SUM(AH15:AH21)</f>
        <v>6155.4963680000001</v>
      </c>
      <c r="AI22" s="15">
        <f t="shared" ref="AI22" si="20">+SUM(AI15:AI21)</f>
        <v>6155.4963680000001</v>
      </c>
      <c r="AJ22" s="15">
        <f t="shared" ref="AJ22" si="21">+SUM(AJ15:AJ21)</f>
        <v>6155.4963680000001</v>
      </c>
      <c r="AK22" s="15">
        <f t="shared" ref="AK22" si="22">+SUM(AK15:AK21)</f>
        <v>6155.4963680000001</v>
      </c>
    </row>
    <row r="25" spans="1:37" x14ac:dyDescent="0.25">
      <c r="A25" t="s">
        <v>42</v>
      </c>
      <c r="B25" s="32">
        <f>+B22+B11</f>
        <v>49020</v>
      </c>
      <c r="C25" s="32">
        <f t="shared" ref="C25:AK25" si="23">+C22+C11</f>
        <v>49020</v>
      </c>
      <c r="D25" s="32">
        <f t="shared" si="23"/>
        <v>49020</v>
      </c>
      <c r="E25" s="32">
        <f t="shared" si="23"/>
        <v>49020</v>
      </c>
      <c r="F25" s="32">
        <f t="shared" si="23"/>
        <v>49020</v>
      </c>
      <c r="G25" s="32">
        <f t="shared" si="23"/>
        <v>49020</v>
      </c>
      <c r="H25" s="24">
        <f t="shared" si="23"/>
        <v>80883</v>
      </c>
      <c r="I25" s="24">
        <f t="shared" si="23"/>
        <v>56373</v>
      </c>
      <c r="J25" s="24">
        <f t="shared" si="23"/>
        <v>56373</v>
      </c>
      <c r="K25" s="24">
        <f t="shared" si="23"/>
        <v>56373</v>
      </c>
      <c r="L25" s="24">
        <f t="shared" si="23"/>
        <v>56373</v>
      </c>
      <c r="M25" s="24">
        <f t="shared" si="23"/>
        <v>56373</v>
      </c>
      <c r="N25" s="9">
        <f t="shared" si="23"/>
        <v>93015.45</v>
      </c>
      <c r="O25" s="9">
        <f t="shared" si="23"/>
        <v>64828.95</v>
      </c>
      <c r="P25" s="9">
        <f t="shared" si="23"/>
        <v>64828.95</v>
      </c>
      <c r="Q25" s="9">
        <f t="shared" si="23"/>
        <v>64828.95</v>
      </c>
      <c r="R25" s="9">
        <f t="shared" si="23"/>
        <v>64828.95</v>
      </c>
      <c r="S25" s="9">
        <f t="shared" si="23"/>
        <v>64828.95</v>
      </c>
      <c r="T25" s="28">
        <f t="shared" si="23"/>
        <v>103726.32</v>
      </c>
      <c r="U25" s="28">
        <f t="shared" si="23"/>
        <v>71311.845000000001</v>
      </c>
      <c r="V25" s="28">
        <f t="shared" si="23"/>
        <v>71311.845000000001</v>
      </c>
      <c r="W25" s="28">
        <f t="shared" si="23"/>
        <v>71311.845000000001</v>
      </c>
      <c r="X25" s="28">
        <f t="shared" si="23"/>
        <v>71311.845000000001</v>
      </c>
      <c r="Y25" s="28">
        <f t="shared" si="23"/>
        <v>71311.845000000001</v>
      </c>
      <c r="Z25" s="19">
        <f t="shared" si="23"/>
        <v>112672.7151</v>
      </c>
      <c r="AA25" s="19">
        <f t="shared" si="23"/>
        <v>77016.792600000001</v>
      </c>
      <c r="AB25" s="19">
        <f t="shared" si="23"/>
        <v>77016.792600000001</v>
      </c>
      <c r="AC25" s="19">
        <f t="shared" si="23"/>
        <v>77016.792600000001</v>
      </c>
      <c r="AD25" s="19">
        <f t="shared" si="23"/>
        <v>77016.792600000001</v>
      </c>
      <c r="AE25" s="19">
        <f t="shared" si="23"/>
        <v>77016.792600000001</v>
      </c>
      <c r="AF25" s="7">
        <f t="shared" si="23"/>
        <v>120916.364382</v>
      </c>
      <c r="AG25" s="7">
        <f t="shared" si="23"/>
        <v>82407.968082000007</v>
      </c>
      <c r="AH25" s="7">
        <f t="shared" si="23"/>
        <v>78443.186367999995</v>
      </c>
      <c r="AI25" s="7">
        <f t="shared" si="23"/>
        <v>78443.186367999995</v>
      </c>
      <c r="AJ25" s="7">
        <f t="shared" si="23"/>
        <v>78443.186367999995</v>
      </c>
      <c r="AK25" s="7">
        <f t="shared" si="23"/>
        <v>78443.186367999995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"/>
  <sheetViews>
    <sheetView workbookViewId="0">
      <selection activeCell="C5" sqref="C5"/>
    </sheetView>
  </sheetViews>
  <sheetFormatPr baseColWidth="10" defaultRowHeight="15" x14ac:dyDescent="0.25"/>
  <sheetData>
    <row r="1" spans="1:2" x14ac:dyDescent="0.25">
      <c r="A1" t="s">
        <v>99</v>
      </c>
      <c r="B1" t="s">
        <v>100</v>
      </c>
    </row>
    <row r="2" spans="1:2" x14ac:dyDescent="0.25">
      <c r="A2" t="s">
        <v>14</v>
      </c>
      <c r="B2">
        <v>294120</v>
      </c>
    </row>
    <row r="3" spans="1:2" x14ac:dyDescent="0.25">
      <c r="A3" t="s">
        <v>16</v>
      </c>
      <c r="B3">
        <v>362748</v>
      </c>
    </row>
    <row r="4" spans="1:2" x14ac:dyDescent="0.25">
      <c r="A4" t="s">
        <v>21</v>
      </c>
      <c r="B4">
        <v>417160.2</v>
      </c>
    </row>
    <row r="5" spans="1:2" x14ac:dyDescent="0.25">
      <c r="A5" t="s">
        <v>22</v>
      </c>
      <c r="B5">
        <v>460285.54</v>
      </c>
    </row>
    <row r="6" spans="1:2" x14ac:dyDescent="0.25">
      <c r="A6" t="s">
        <v>57</v>
      </c>
      <c r="B6">
        <v>497756.68</v>
      </c>
    </row>
    <row r="7" spans="1:2" x14ac:dyDescent="0.25">
      <c r="A7" t="s">
        <v>58</v>
      </c>
      <c r="B7">
        <v>517097.1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8"/>
  <sheetViews>
    <sheetView workbookViewId="0">
      <selection activeCell="B7" sqref="B7"/>
    </sheetView>
  </sheetViews>
  <sheetFormatPr baseColWidth="10" defaultRowHeight="15" x14ac:dyDescent="0.25"/>
  <cols>
    <col min="1" max="1" width="13.5703125" bestFit="1" customWidth="1"/>
    <col min="2" max="2" width="24.85546875" bestFit="1" customWidth="1"/>
  </cols>
  <sheetData>
    <row r="1" spans="1:2" x14ac:dyDescent="0.25">
      <c r="A1" s="2" t="s">
        <v>5</v>
      </c>
      <c r="B1" s="2" t="s">
        <v>8</v>
      </c>
    </row>
    <row r="2" spans="1:2" x14ac:dyDescent="0.25">
      <c r="A2">
        <v>1</v>
      </c>
      <c r="B2" t="s">
        <v>23</v>
      </c>
    </row>
    <row r="3" spans="1:2" x14ac:dyDescent="0.25">
      <c r="A3">
        <v>2</v>
      </c>
      <c r="B3" t="s">
        <v>51</v>
      </c>
    </row>
    <row r="4" spans="1:2" x14ac:dyDescent="0.25">
      <c r="A4">
        <v>3</v>
      </c>
      <c r="B4" t="s">
        <v>52</v>
      </c>
    </row>
    <row r="5" spans="1:2" x14ac:dyDescent="0.25">
      <c r="A5">
        <v>4</v>
      </c>
      <c r="B5" t="s">
        <v>53</v>
      </c>
    </row>
    <row r="6" spans="1:2" x14ac:dyDescent="0.25">
      <c r="A6">
        <v>5</v>
      </c>
      <c r="B6" t="s">
        <v>54</v>
      </c>
    </row>
    <row r="7" spans="1:2" x14ac:dyDescent="0.25">
      <c r="A7">
        <v>6</v>
      </c>
      <c r="B7" t="s">
        <v>55</v>
      </c>
    </row>
    <row r="8" spans="1:2" x14ac:dyDescent="0.25">
      <c r="A8">
        <v>7</v>
      </c>
      <c r="B8" t="s">
        <v>56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40"/>
  <sheetViews>
    <sheetView workbookViewId="0">
      <selection activeCell="H2" sqref="H2:H41"/>
    </sheetView>
  </sheetViews>
  <sheetFormatPr baseColWidth="10" defaultRowHeight="15" x14ac:dyDescent="0.25"/>
  <cols>
    <col min="4" max="4" width="14.5703125" customWidth="1"/>
    <col min="5" max="6" width="13.28515625" customWidth="1"/>
    <col min="7" max="7" width="14.140625" bestFit="1" customWidth="1"/>
    <col min="9" max="9" width="56.5703125" bestFit="1" customWidth="1"/>
    <col min="10" max="10" width="10.28515625" customWidth="1"/>
    <col min="17" max="17" width="14.42578125" customWidth="1"/>
  </cols>
  <sheetData>
    <row r="1" spans="1:19" x14ac:dyDescent="0.25">
      <c r="A1" t="s">
        <v>0</v>
      </c>
      <c r="B1" s="2" t="s">
        <v>15</v>
      </c>
      <c r="C1" s="2" t="s">
        <v>44</v>
      </c>
      <c r="D1" t="s">
        <v>5</v>
      </c>
      <c r="E1" t="s">
        <v>6</v>
      </c>
      <c r="F1" t="s">
        <v>3</v>
      </c>
      <c r="G1" t="s">
        <v>7</v>
      </c>
      <c r="H1" t="s">
        <v>4</v>
      </c>
      <c r="I1" t="s">
        <v>148</v>
      </c>
    </row>
    <row r="2" spans="1:19" x14ac:dyDescent="0.25">
      <c r="A2" t="s">
        <v>14</v>
      </c>
      <c r="B2" s="1">
        <v>42736</v>
      </c>
      <c r="C2" s="1">
        <v>42916</v>
      </c>
      <c r="D2">
        <v>1</v>
      </c>
      <c r="E2">
        <v>1</v>
      </c>
      <c r="F2">
        <v>1</v>
      </c>
      <c r="G2">
        <f>+SUM(Remuneraciones!B4:G4)</f>
        <v>150000</v>
      </c>
      <c r="H2">
        <f>F2*G2</f>
        <v>150000</v>
      </c>
      <c r="O2">
        <v>1</v>
      </c>
      <c r="P2">
        <v>1201</v>
      </c>
      <c r="Q2" t="s">
        <v>29</v>
      </c>
      <c r="R2" t="s">
        <v>30</v>
      </c>
      <c r="S2" t="s">
        <v>32</v>
      </c>
    </row>
    <row r="3" spans="1:19" x14ac:dyDescent="0.25">
      <c r="A3" t="s">
        <v>14</v>
      </c>
      <c r="B3" s="1">
        <v>42736</v>
      </c>
      <c r="C3" s="1">
        <v>42916</v>
      </c>
      <c r="D3">
        <v>1</v>
      </c>
      <c r="E3">
        <v>2</v>
      </c>
      <c r="F3">
        <v>1</v>
      </c>
      <c r="G3">
        <f>+SUM(Remuneraciones!B5:G5)</f>
        <v>108000</v>
      </c>
      <c r="H3">
        <f>F3*G3</f>
        <v>108000</v>
      </c>
    </row>
    <row r="4" spans="1:19" x14ac:dyDescent="0.25">
      <c r="A4" t="s">
        <v>14</v>
      </c>
      <c r="B4" s="1">
        <v>42736</v>
      </c>
      <c r="C4" s="1">
        <v>42916</v>
      </c>
      <c r="D4">
        <v>2</v>
      </c>
      <c r="F4">
        <v>2</v>
      </c>
      <c r="G4">
        <v>14000</v>
      </c>
      <c r="H4">
        <f t="shared" ref="H4" si="0">F4*G4</f>
        <v>28000</v>
      </c>
    </row>
    <row r="5" spans="1:19" x14ac:dyDescent="0.25">
      <c r="A5" t="s">
        <v>14</v>
      </c>
      <c r="B5" s="1">
        <v>42736</v>
      </c>
      <c r="C5" s="1">
        <v>42916</v>
      </c>
      <c r="D5">
        <v>3</v>
      </c>
      <c r="F5">
        <v>1</v>
      </c>
      <c r="G5">
        <v>5000</v>
      </c>
      <c r="H5">
        <f t="shared" ref="H5" si="1">F5*G5</f>
        <v>5000</v>
      </c>
    </row>
    <row r="6" spans="1:19" x14ac:dyDescent="0.25">
      <c r="A6" t="s">
        <v>14</v>
      </c>
      <c r="B6" s="1">
        <v>42736</v>
      </c>
      <c r="C6" s="1">
        <v>42916</v>
      </c>
      <c r="D6">
        <v>4</v>
      </c>
      <c r="F6">
        <v>5</v>
      </c>
      <c r="G6">
        <v>1000</v>
      </c>
      <c r="H6">
        <f t="shared" ref="H6" si="2">F6*G6</f>
        <v>5000</v>
      </c>
      <c r="I6" t="s">
        <v>146</v>
      </c>
    </row>
    <row r="7" spans="1:19" x14ac:dyDescent="0.25">
      <c r="A7" t="s">
        <v>14</v>
      </c>
      <c r="B7" s="1">
        <v>42736</v>
      </c>
      <c r="C7" s="1">
        <v>42916</v>
      </c>
      <c r="D7">
        <v>5</v>
      </c>
      <c r="F7">
        <v>1</v>
      </c>
      <c r="G7">
        <v>7500</v>
      </c>
      <c r="H7">
        <f t="shared" ref="H7" si="3">F7*G7</f>
        <v>7500</v>
      </c>
    </row>
    <row r="8" spans="1:19" x14ac:dyDescent="0.25">
      <c r="A8" t="s">
        <v>14</v>
      </c>
      <c r="B8" s="1">
        <v>42736</v>
      </c>
      <c r="C8" s="1">
        <v>42916</v>
      </c>
      <c r="D8">
        <v>6</v>
      </c>
      <c r="F8">
        <v>1</v>
      </c>
      <c r="G8">
        <v>129000</v>
      </c>
      <c r="H8">
        <f t="shared" ref="H8:H9" si="4">F8*G8</f>
        <v>129000</v>
      </c>
      <c r="I8" t="s">
        <v>144</v>
      </c>
    </row>
    <row r="9" spans="1:19" x14ac:dyDescent="0.25">
      <c r="A9" t="s">
        <v>14</v>
      </c>
      <c r="B9" s="1">
        <v>42736</v>
      </c>
      <c r="C9" s="1">
        <v>42916</v>
      </c>
      <c r="D9">
        <v>7</v>
      </c>
      <c r="F9">
        <v>1</v>
      </c>
      <c r="G9">
        <v>60000</v>
      </c>
      <c r="H9">
        <f t="shared" si="4"/>
        <v>60000</v>
      </c>
      <c r="I9" t="s">
        <v>145</v>
      </c>
    </row>
    <row r="10" spans="1:19" x14ac:dyDescent="0.25">
      <c r="A10" t="s">
        <v>16</v>
      </c>
      <c r="B10" s="1">
        <v>42917</v>
      </c>
      <c r="C10" s="1">
        <v>43100</v>
      </c>
      <c r="D10">
        <v>1</v>
      </c>
      <c r="E10">
        <v>1</v>
      </c>
      <c r="F10">
        <v>1</v>
      </c>
      <c r="G10">
        <f>+SUM(Remuneraciones!H4:M4)</f>
        <v>185000</v>
      </c>
      <c r="H10">
        <f>F10*G10</f>
        <v>185000</v>
      </c>
    </row>
    <row r="11" spans="1:19" x14ac:dyDescent="0.25">
      <c r="A11" t="s">
        <v>16</v>
      </c>
      <c r="B11" s="1">
        <v>42917</v>
      </c>
      <c r="C11" s="1">
        <v>43100</v>
      </c>
      <c r="D11">
        <v>1</v>
      </c>
      <c r="E11">
        <v>2</v>
      </c>
      <c r="F11">
        <v>1</v>
      </c>
      <c r="G11">
        <f>+SUM(Remuneraciones!H5:M5)</f>
        <v>133200</v>
      </c>
      <c r="H11">
        <f>F11*G11</f>
        <v>133200</v>
      </c>
    </row>
    <row r="12" spans="1:19" x14ac:dyDescent="0.25">
      <c r="A12" t="s">
        <v>16</v>
      </c>
      <c r="B12" s="1">
        <v>42917</v>
      </c>
      <c r="C12" s="1">
        <v>43100</v>
      </c>
      <c r="D12">
        <v>2</v>
      </c>
      <c r="F12">
        <v>1</v>
      </c>
      <c r="G12">
        <v>14000</v>
      </c>
      <c r="H12">
        <f t="shared" ref="H12:H15" si="5">F12*G12</f>
        <v>14000</v>
      </c>
    </row>
    <row r="13" spans="1:19" x14ac:dyDescent="0.25">
      <c r="A13" t="s">
        <v>16</v>
      </c>
      <c r="B13" s="1">
        <v>42917</v>
      </c>
      <c r="C13" s="1">
        <v>43100</v>
      </c>
      <c r="D13">
        <v>3</v>
      </c>
      <c r="F13">
        <v>1</v>
      </c>
      <c r="G13">
        <v>5000</v>
      </c>
      <c r="H13">
        <f t="shared" si="5"/>
        <v>5000</v>
      </c>
    </row>
    <row r="14" spans="1:19" x14ac:dyDescent="0.25">
      <c r="A14" t="s">
        <v>16</v>
      </c>
      <c r="B14" s="1">
        <v>42917</v>
      </c>
      <c r="C14" s="1">
        <v>43100</v>
      </c>
      <c r="D14">
        <v>4</v>
      </c>
      <c r="F14">
        <v>5</v>
      </c>
      <c r="G14">
        <v>1000</v>
      </c>
      <c r="H14">
        <f t="shared" si="5"/>
        <v>5000</v>
      </c>
      <c r="I14" t="s">
        <v>146</v>
      </c>
    </row>
    <row r="15" spans="1:19" x14ac:dyDescent="0.25">
      <c r="A15" t="s">
        <v>16</v>
      </c>
      <c r="B15" s="1">
        <v>42917</v>
      </c>
      <c r="C15" s="1">
        <v>43100</v>
      </c>
      <c r="D15">
        <v>5</v>
      </c>
      <c r="F15">
        <v>1</v>
      </c>
      <c r="G15">
        <v>7500</v>
      </c>
      <c r="H15">
        <f t="shared" si="5"/>
        <v>7500</v>
      </c>
    </row>
    <row r="16" spans="1:19" x14ac:dyDescent="0.25">
      <c r="A16" t="s">
        <v>21</v>
      </c>
      <c r="B16" s="1">
        <v>43101</v>
      </c>
      <c r="C16" s="1">
        <v>43281</v>
      </c>
      <c r="D16">
        <v>1</v>
      </c>
      <c r="E16">
        <v>1</v>
      </c>
      <c r="F16">
        <v>1</v>
      </c>
      <c r="G16">
        <f>+SUM(Remuneraciones!N4:S4)</f>
        <v>212750</v>
      </c>
      <c r="H16">
        <f>F16*G16</f>
        <v>212750</v>
      </c>
    </row>
    <row r="17" spans="1:9" x14ac:dyDescent="0.25">
      <c r="A17" t="s">
        <v>21</v>
      </c>
      <c r="B17" s="1">
        <v>43101</v>
      </c>
      <c r="C17" s="1">
        <v>43281</v>
      </c>
      <c r="D17">
        <v>1</v>
      </c>
      <c r="E17">
        <v>2</v>
      </c>
      <c r="F17">
        <v>1</v>
      </c>
      <c r="G17">
        <f>+SUM(Remuneraciones!N5:S5)</f>
        <v>153180</v>
      </c>
      <c r="H17">
        <f>F17*G17</f>
        <v>153180</v>
      </c>
    </row>
    <row r="18" spans="1:9" x14ac:dyDescent="0.25">
      <c r="A18" t="s">
        <v>21</v>
      </c>
      <c r="B18" s="1">
        <v>43101</v>
      </c>
      <c r="C18" s="1">
        <v>43281</v>
      </c>
      <c r="D18">
        <v>2</v>
      </c>
      <c r="F18">
        <v>1</v>
      </c>
      <c r="G18">
        <v>14000</v>
      </c>
      <c r="H18">
        <f t="shared" ref="H18:H21" si="6">F18*G18</f>
        <v>14000</v>
      </c>
    </row>
    <row r="19" spans="1:9" x14ac:dyDescent="0.25">
      <c r="A19" t="s">
        <v>21</v>
      </c>
      <c r="B19" s="1">
        <v>43101</v>
      </c>
      <c r="C19" s="1">
        <v>43281</v>
      </c>
      <c r="D19">
        <v>3</v>
      </c>
      <c r="F19">
        <v>1</v>
      </c>
      <c r="G19">
        <v>5000</v>
      </c>
      <c r="H19">
        <f t="shared" si="6"/>
        <v>5000</v>
      </c>
    </row>
    <row r="20" spans="1:9" x14ac:dyDescent="0.25">
      <c r="A20" t="s">
        <v>21</v>
      </c>
      <c r="B20" s="1">
        <v>43101</v>
      </c>
      <c r="C20" s="1">
        <v>43281</v>
      </c>
      <c r="D20">
        <v>4</v>
      </c>
      <c r="F20">
        <v>5</v>
      </c>
      <c r="G20">
        <v>1000</v>
      </c>
      <c r="H20">
        <f t="shared" si="6"/>
        <v>5000</v>
      </c>
      <c r="I20" t="s">
        <v>146</v>
      </c>
    </row>
    <row r="21" spans="1:9" x14ac:dyDescent="0.25">
      <c r="A21" t="s">
        <v>21</v>
      </c>
      <c r="B21" s="1">
        <v>43101</v>
      </c>
      <c r="C21" s="1">
        <v>43281</v>
      </c>
      <c r="D21">
        <v>5</v>
      </c>
      <c r="F21">
        <v>1</v>
      </c>
      <c r="G21">
        <v>7500</v>
      </c>
      <c r="H21">
        <f t="shared" si="6"/>
        <v>7500</v>
      </c>
    </row>
    <row r="22" spans="1:9" x14ac:dyDescent="0.25">
      <c r="A22" t="s">
        <v>22</v>
      </c>
      <c r="B22" s="1">
        <v>43282</v>
      </c>
      <c r="C22" s="1">
        <v>43465</v>
      </c>
      <c r="D22">
        <v>1</v>
      </c>
      <c r="E22">
        <v>1</v>
      </c>
      <c r="F22">
        <v>1</v>
      </c>
      <c r="G22">
        <f>+SUM(Remuneraciones!T4:Y4)</f>
        <v>234743.75</v>
      </c>
      <c r="H22">
        <f>F22*G22</f>
        <v>234743.75</v>
      </c>
    </row>
    <row r="23" spans="1:9" x14ac:dyDescent="0.25">
      <c r="A23" t="s">
        <v>22</v>
      </c>
      <c r="B23" s="1">
        <v>43282</v>
      </c>
      <c r="C23" s="1">
        <v>43465</v>
      </c>
      <c r="D23">
        <v>1</v>
      </c>
      <c r="E23">
        <v>2</v>
      </c>
      <c r="F23">
        <v>1</v>
      </c>
      <c r="G23">
        <f>+SUM(Remuneraciones!T5:Y5)</f>
        <v>169015.5</v>
      </c>
      <c r="H23">
        <f>F23*G23</f>
        <v>169015.5</v>
      </c>
    </row>
    <row r="24" spans="1:9" x14ac:dyDescent="0.25">
      <c r="A24" t="s">
        <v>22</v>
      </c>
      <c r="B24" s="1">
        <v>43282</v>
      </c>
      <c r="C24" s="1">
        <v>43465</v>
      </c>
      <c r="D24">
        <v>2</v>
      </c>
      <c r="F24">
        <v>1</v>
      </c>
      <c r="G24">
        <v>14000</v>
      </c>
      <c r="H24">
        <f t="shared" ref="H24:H27" si="7">F24*G24</f>
        <v>14000</v>
      </c>
    </row>
    <row r="25" spans="1:9" x14ac:dyDescent="0.25">
      <c r="A25" t="s">
        <v>22</v>
      </c>
      <c r="B25" s="1">
        <v>43282</v>
      </c>
      <c r="C25" s="1">
        <v>43465</v>
      </c>
      <c r="D25">
        <v>3</v>
      </c>
      <c r="F25">
        <v>1</v>
      </c>
      <c r="G25">
        <v>5000</v>
      </c>
      <c r="H25">
        <f t="shared" si="7"/>
        <v>5000</v>
      </c>
    </row>
    <row r="26" spans="1:9" x14ac:dyDescent="0.25">
      <c r="A26" t="s">
        <v>22</v>
      </c>
      <c r="B26" s="1">
        <v>43282</v>
      </c>
      <c r="C26" s="1">
        <v>43465</v>
      </c>
      <c r="D26">
        <v>4</v>
      </c>
      <c r="F26">
        <v>6</v>
      </c>
      <c r="G26">
        <v>1000</v>
      </c>
      <c r="H26">
        <f t="shared" si="7"/>
        <v>6000</v>
      </c>
      <c r="I26" t="s">
        <v>146</v>
      </c>
    </row>
    <row r="27" spans="1:9" x14ac:dyDescent="0.25">
      <c r="A27" t="s">
        <v>22</v>
      </c>
      <c r="B27" s="1">
        <v>43282</v>
      </c>
      <c r="C27" s="1">
        <v>43465</v>
      </c>
      <c r="D27">
        <v>5</v>
      </c>
      <c r="F27">
        <v>1</v>
      </c>
      <c r="G27">
        <v>7500</v>
      </c>
      <c r="H27">
        <f t="shared" si="7"/>
        <v>7500</v>
      </c>
    </row>
    <row r="28" spans="1:9" x14ac:dyDescent="0.25">
      <c r="A28" t="s">
        <v>57</v>
      </c>
      <c r="B28" s="1">
        <v>43466</v>
      </c>
      <c r="C28" s="1">
        <v>43646</v>
      </c>
      <c r="D28">
        <v>1</v>
      </c>
      <c r="E28">
        <v>1</v>
      </c>
      <c r="F28">
        <v>1</v>
      </c>
      <c r="G28">
        <f>+SUM(Remuneraciones!Z4:AE4)</f>
        <v>253853.875</v>
      </c>
      <c r="H28">
        <f>F28*G28</f>
        <v>253853.875</v>
      </c>
    </row>
    <row r="29" spans="1:9" x14ac:dyDescent="0.25">
      <c r="A29" t="s">
        <v>57</v>
      </c>
      <c r="B29" s="1">
        <v>43466</v>
      </c>
      <c r="C29" s="1">
        <v>43646</v>
      </c>
      <c r="D29">
        <v>1</v>
      </c>
      <c r="E29">
        <v>2</v>
      </c>
      <c r="F29">
        <v>1</v>
      </c>
      <c r="G29">
        <f>+SUM(Remuneraciones!Z5:AE5)</f>
        <v>182774.78999999998</v>
      </c>
      <c r="H29">
        <f>F29*G29</f>
        <v>182774.78999999998</v>
      </c>
    </row>
    <row r="30" spans="1:9" x14ac:dyDescent="0.25">
      <c r="A30" t="s">
        <v>57</v>
      </c>
      <c r="B30" s="1">
        <v>43466</v>
      </c>
      <c r="C30" s="1">
        <v>43646</v>
      </c>
      <c r="D30">
        <v>2</v>
      </c>
      <c r="F30">
        <v>1</v>
      </c>
      <c r="G30">
        <v>14000</v>
      </c>
      <c r="H30">
        <f t="shared" ref="H30:H34" si="8">F30*G30</f>
        <v>14000</v>
      </c>
    </row>
    <row r="31" spans="1:9" x14ac:dyDescent="0.25">
      <c r="A31" t="s">
        <v>57</v>
      </c>
      <c r="B31" s="1">
        <v>43466</v>
      </c>
      <c r="C31" s="1">
        <v>43646</v>
      </c>
      <c r="D31">
        <v>3</v>
      </c>
      <c r="F31">
        <v>1</v>
      </c>
      <c r="G31">
        <v>5000</v>
      </c>
      <c r="H31">
        <f t="shared" si="8"/>
        <v>5000</v>
      </c>
    </row>
    <row r="32" spans="1:9" x14ac:dyDescent="0.25">
      <c r="A32" t="s">
        <v>57</v>
      </c>
      <c r="B32" s="1">
        <v>43466</v>
      </c>
      <c r="C32" s="1">
        <v>43646</v>
      </c>
      <c r="D32">
        <v>4</v>
      </c>
      <c r="F32">
        <v>6</v>
      </c>
      <c r="G32">
        <v>1000</v>
      </c>
      <c r="H32">
        <f t="shared" si="8"/>
        <v>6000</v>
      </c>
      <c r="I32" t="s">
        <v>146</v>
      </c>
    </row>
    <row r="33" spans="1:9" x14ac:dyDescent="0.25">
      <c r="A33" t="s">
        <v>57</v>
      </c>
      <c r="B33" s="1">
        <v>43466</v>
      </c>
      <c r="C33" s="1">
        <v>43646</v>
      </c>
      <c r="D33">
        <v>5</v>
      </c>
      <c r="F33">
        <v>1</v>
      </c>
      <c r="G33">
        <v>7500</v>
      </c>
      <c r="H33">
        <f t="shared" si="8"/>
        <v>7500</v>
      </c>
    </row>
    <row r="34" spans="1:9" x14ac:dyDescent="0.25">
      <c r="A34" t="s">
        <v>57</v>
      </c>
      <c r="B34" s="1">
        <v>43466</v>
      </c>
      <c r="C34" s="1">
        <v>43646</v>
      </c>
      <c r="D34">
        <v>6</v>
      </c>
      <c r="F34">
        <v>4</v>
      </c>
      <c r="G34">
        <v>3000</v>
      </c>
      <c r="H34">
        <f t="shared" si="8"/>
        <v>12000</v>
      </c>
    </row>
    <row r="35" spans="1:9" x14ac:dyDescent="0.25">
      <c r="A35" t="s">
        <v>58</v>
      </c>
      <c r="B35" s="1">
        <v>43647</v>
      </c>
      <c r="C35" s="1">
        <v>43830</v>
      </c>
      <c r="D35">
        <v>1</v>
      </c>
      <c r="E35">
        <v>1</v>
      </c>
      <c r="F35">
        <v>1</v>
      </c>
      <c r="G35" s="12">
        <f>+SUM(Remuneraciones!AF4:AK4)</f>
        <v>271805.5</v>
      </c>
      <c r="H35">
        <f>F35*G35</f>
        <v>271805.5</v>
      </c>
    </row>
    <row r="36" spans="1:9" x14ac:dyDescent="0.25">
      <c r="A36" t="s">
        <v>58</v>
      </c>
      <c r="B36" s="1">
        <v>43647</v>
      </c>
      <c r="C36" s="1">
        <v>43830</v>
      </c>
      <c r="D36">
        <v>1</v>
      </c>
      <c r="E36">
        <v>2</v>
      </c>
      <c r="F36">
        <v>1</v>
      </c>
      <c r="G36" s="12">
        <f>+SUM(Remuneraciones!AF5:AK5)</f>
        <v>195699.93759999998</v>
      </c>
      <c r="H36">
        <f>F36*G36</f>
        <v>195699.93759999998</v>
      </c>
    </row>
    <row r="37" spans="1:9" x14ac:dyDescent="0.25">
      <c r="A37" t="s">
        <v>58</v>
      </c>
      <c r="B37" s="1">
        <v>43647</v>
      </c>
      <c r="C37" s="1">
        <v>43830</v>
      </c>
      <c r="D37">
        <v>3</v>
      </c>
      <c r="F37">
        <v>1</v>
      </c>
      <c r="G37">
        <v>5000</v>
      </c>
      <c r="H37">
        <f t="shared" ref="H37:H40" si="9">F37*G37</f>
        <v>5000</v>
      </c>
    </row>
    <row r="38" spans="1:9" x14ac:dyDescent="0.25">
      <c r="A38" t="s">
        <v>58</v>
      </c>
      <c r="B38" s="1">
        <v>43647</v>
      </c>
      <c r="C38" s="1">
        <v>43830</v>
      </c>
      <c r="D38">
        <v>4</v>
      </c>
      <c r="F38">
        <v>3</v>
      </c>
      <c r="G38">
        <v>1000</v>
      </c>
      <c r="H38">
        <f t="shared" si="9"/>
        <v>3000</v>
      </c>
      <c r="I38" t="s">
        <v>146</v>
      </c>
    </row>
    <row r="39" spans="1:9" x14ac:dyDescent="0.25">
      <c r="A39" t="s">
        <v>58</v>
      </c>
      <c r="B39" s="1">
        <v>43647</v>
      </c>
      <c r="C39" s="1">
        <v>43830</v>
      </c>
      <c r="D39">
        <v>5</v>
      </c>
      <c r="F39">
        <v>1</v>
      </c>
      <c r="G39">
        <v>7500</v>
      </c>
      <c r="H39">
        <f t="shared" si="9"/>
        <v>7500</v>
      </c>
    </row>
    <row r="40" spans="1:9" x14ac:dyDescent="0.25">
      <c r="A40" t="s">
        <v>58</v>
      </c>
      <c r="B40" s="1">
        <v>43647</v>
      </c>
      <c r="C40" s="1">
        <v>43830</v>
      </c>
      <c r="D40">
        <v>7</v>
      </c>
      <c r="F40">
        <v>2</v>
      </c>
      <c r="G40">
        <v>1000</v>
      </c>
      <c r="H40">
        <f t="shared" si="9"/>
        <v>2000</v>
      </c>
    </row>
  </sheetData>
  <autoFilter ref="A1:AA40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"/>
  <sheetViews>
    <sheetView workbookViewId="0">
      <selection activeCell="C4" sqref="C4"/>
    </sheetView>
  </sheetViews>
  <sheetFormatPr baseColWidth="10" defaultRowHeight="15" x14ac:dyDescent="0.25"/>
  <cols>
    <col min="1" max="1" width="12.7109375" bestFit="1" customWidth="1"/>
    <col min="2" max="2" width="12.7109375" customWidth="1"/>
    <col min="3" max="3" width="25.28515625" customWidth="1"/>
    <col min="4" max="4" width="19.42578125" customWidth="1"/>
    <col min="5" max="5" width="23.85546875" bestFit="1" customWidth="1"/>
  </cols>
  <sheetData>
    <row r="1" spans="1:6" x14ac:dyDescent="0.25">
      <c r="A1" s="2" t="s">
        <v>6</v>
      </c>
      <c r="B1" s="2" t="s">
        <v>26</v>
      </c>
      <c r="C1" s="2" t="s">
        <v>25</v>
      </c>
      <c r="D1" s="2" t="s">
        <v>27</v>
      </c>
      <c r="E1" s="2" t="s">
        <v>28</v>
      </c>
      <c r="F1" s="2" t="s">
        <v>33</v>
      </c>
    </row>
    <row r="2" spans="1:6" x14ac:dyDescent="0.25">
      <c r="A2">
        <v>1</v>
      </c>
      <c r="B2">
        <v>70210</v>
      </c>
      <c r="C2" t="s">
        <v>93</v>
      </c>
      <c r="D2" t="s">
        <v>30</v>
      </c>
      <c r="E2" t="s">
        <v>31</v>
      </c>
      <c r="F2" t="s">
        <v>94</v>
      </c>
    </row>
    <row r="3" spans="1:6" x14ac:dyDescent="0.25">
      <c r="A3">
        <v>2</v>
      </c>
      <c r="B3">
        <v>70205</v>
      </c>
      <c r="C3" t="s">
        <v>95</v>
      </c>
      <c r="D3" t="s">
        <v>30</v>
      </c>
      <c r="E3" t="s">
        <v>96</v>
      </c>
      <c r="F3" t="s">
        <v>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6"/>
  <sheetViews>
    <sheetView workbookViewId="0">
      <selection activeCell="C6" sqref="C6"/>
    </sheetView>
  </sheetViews>
  <sheetFormatPr baseColWidth="10" defaultRowHeight="15" x14ac:dyDescent="0.25"/>
  <cols>
    <col min="2" max="2" width="17" bestFit="1" customWidth="1"/>
    <col min="3" max="3" width="31" bestFit="1" customWidth="1"/>
  </cols>
  <sheetData>
    <row r="1" spans="1:3" x14ac:dyDescent="0.25">
      <c r="A1" s="2" t="s">
        <v>0</v>
      </c>
      <c r="B1" s="2" t="s">
        <v>50</v>
      </c>
      <c r="C1" s="2" t="s">
        <v>35</v>
      </c>
    </row>
    <row r="2" spans="1:3" x14ac:dyDescent="0.25">
      <c r="A2" t="s">
        <v>14</v>
      </c>
      <c r="B2">
        <v>550000</v>
      </c>
      <c r="C2" t="s">
        <v>98</v>
      </c>
    </row>
    <row r="8" spans="1:3" x14ac:dyDescent="0.25">
      <c r="B8" s="2"/>
    </row>
    <row r="16" spans="1:3" x14ac:dyDescent="0.25">
      <c r="B16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Clientes</vt:lpstr>
      <vt:lpstr>Tipos_Ingresos</vt:lpstr>
      <vt:lpstr>Ingresos</vt:lpstr>
      <vt:lpstr>Remuneraciones</vt:lpstr>
      <vt:lpstr>Remuneraciones_proy</vt:lpstr>
      <vt:lpstr>Tipos_Egresos</vt:lpstr>
      <vt:lpstr>Egresos</vt:lpstr>
      <vt:lpstr>Personal</vt:lpstr>
      <vt:lpstr>Inversiones</vt:lpstr>
      <vt:lpstr>Flujos Fondos</vt:lpstr>
      <vt:lpstr>Riesgos</vt:lpstr>
      <vt:lpstr>Plan riesgos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Desarrollo_SKI</dc:creator>
  <cp:lastModifiedBy>sebastian barreto</cp:lastModifiedBy>
  <dcterms:created xsi:type="dcterms:W3CDTF">2014-10-17T21:48:45Z</dcterms:created>
  <dcterms:modified xsi:type="dcterms:W3CDTF">2017-11-05T19:41:13Z</dcterms:modified>
</cp:coreProperties>
</file>