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6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7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8.xml" ContentType="application/vnd.openxmlformats-officedocument.spreadsheetml.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tables/table9.xml" ContentType="application/vnd.openxmlformats-officedocument.spreadsheetml.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hidePivotFieldList="1"/>
  <bookViews>
    <workbookView xWindow="0" yWindow="0" windowWidth="19416" windowHeight="11016" tabRatio="1000" firstSheet="1" activeTab="15"/>
  </bookViews>
  <sheets>
    <sheet name="Menu" sheetId="1" r:id="rId1"/>
    <sheet name="Despesas " sheetId="2" r:id="rId2"/>
    <sheet name="Controlo de  Mercadorias" sheetId="6" r:id="rId3"/>
    <sheet name="Investimentos" sheetId="7" r:id="rId4"/>
    <sheet name="Controlo de Stock" sheetId="8" r:id="rId5"/>
    <sheet name="Resultados" sheetId="4" r:id="rId6"/>
    <sheet name="Vendas" sheetId="3" r:id="rId7"/>
    <sheet name="Semana 1" sheetId="10" r:id="rId8"/>
    <sheet name="Análise Semana 1" sheetId="15" r:id="rId9"/>
    <sheet name="Semana 2" sheetId="11" r:id="rId10"/>
    <sheet name="Análise Semana 2" sheetId="16" r:id="rId11"/>
    <sheet name="Semana 3" sheetId="12" r:id="rId12"/>
    <sheet name="Análise Semana 3" sheetId="17" r:id="rId13"/>
    <sheet name="Semana 4" sheetId="13" r:id="rId14"/>
    <sheet name="Análise Semana 4" sheetId="18" r:id="rId15"/>
    <sheet name="Semana 5" sheetId="14" r:id="rId16"/>
    <sheet name="Análise Semana 5" sheetId="19" r:id="rId17"/>
    <sheet name="cálculos" sheetId="5" r:id="rId18"/>
  </sheets>
  <definedNames>
    <definedName name="_xlnm._FilterDatabase" localSheetId="17" hidden="1">cálculos!$N$2:$Q$2</definedName>
    <definedName name="_xlnm.Print_Area" localSheetId="5">Resultados!$C$4:$E$31</definedName>
  </definedNames>
  <calcPr calcId="145621"/>
  <pivotCaches>
    <pivotCache cacheId="0" r:id="rId19"/>
    <pivotCache cacheId="1" r:id="rId20"/>
    <pivotCache cacheId="2" r:id="rId21"/>
    <pivotCache cacheId="3" r:id="rId22"/>
    <pivotCache cacheId="4" r:id="rId2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8" l="1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E5" i="14"/>
  <c r="G5" i="14"/>
  <c r="H5" i="14" s="1"/>
  <c r="K5" i="14"/>
  <c r="E5" i="11"/>
  <c r="G5" i="11"/>
  <c r="H5" i="11" s="1"/>
  <c r="K5" i="11"/>
  <c r="C6" i="14"/>
  <c r="E5" i="10"/>
  <c r="G5" i="10"/>
  <c r="H5" i="10" s="1"/>
  <c r="K5" i="10"/>
  <c r="F5" i="6"/>
  <c r="H5" i="6"/>
  <c r="J5" i="6"/>
  <c r="L5" i="10" l="1"/>
  <c r="M5" i="10" s="1"/>
  <c r="L5" i="11"/>
  <c r="M5" i="11" s="1"/>
  <c r="L5" i="14"/>
  <c r="M5" i="14" s="1"/>
  <c r="E7" i="8" l="1"/>
  <c r="K5" i="12"/>
  <c r="K6" i="12"/>
  <c r="K7" i="12"/>
  <c r="K8" i="12"/>
  <c r="K9" i="12"/>
  <c r="K10" i="12"/>
  <c r="K11" i="12"/>
  <c r="K12" i="12"/>
  <c r="K13" i="12"/>
  <c r="K14" i="12"/>
  <c r="K15" i="12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M7" i="10"/>
  <c r="M8" i="10"/>
  <c r="M9" i="10"/>
  <c r="M10" i="10"/>
  <c r="M11" i="10"/>
  <c r="M12" i="10"/>
  <c r="M13" i="10"/>
  <c r="M14" i="10"/>
  <c r="M15" i="10"/>
  <c r="M16" i="10"/>
  <c r="M7" i="13"/>
  <c r="H6" i="6" l="1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E24" i="4"/>
  <c r="E22" i="4"/>
  <c r="E17" i="4"/>
  <c r="M21" i="14"/>
  <c r="M34" i="13"/>
  <c r="M20" i="12"/>
  <c r="M21" i="10"/>
  <c r="M21" i="11"/>
  <c r="H16" i="5"/>
  <c r="G23" i="5"/>
  <c r="G22" i="5"/>
  <c r="G21" i="5"/>
  <c r="G20" i="5"/>
  <c r="G19" i="5"/>
  <c r="G18" i="5"/>
  <c r="G17" i="5"/>
  <c r="G16" i="5"/>
  <c r="F16" i="5" a="1"/>
  <c r="F19" i="5" s="1"/>
  <c r="F22" i="5" l="1"/>
  <c r="F18" i="5"/>
  <c r="F21" i="5"/>
  <c r="F17" i="5"/>
  <c r="F20" i="5"/>
  <c r="F16" i="5"/>
  <c r="F23" i="5"/>
  <c r="C12" i="3"/>
  <c r="M16" i="14"/>
  <c r="K16" i="14"/>
  <c r="G16" i="14"/>
  <c r="H16" i="14" s="1"/>
  <c r="E16" i="14"/>
  <c r="M15" i="14"/>
  <c r="K15" i="14"/>
  <c r="G15" i="14"/>
  <c r="H15" i="14" s="1"/>
  <c r="E15" i="14"/>
  <c r="M14" i="14"/>
  <c r="K14" i="14"/>
  <c r="G14" i="14"/>
  <c r="H14" i="14" s="1"/>
  <c r="E14" i="14"/>
  <c r="M13" i="14"/>
  <c r="K13" i="14"/>
  <c r="G13" i="14"/>
  <c r="H13" i="14" s="1"/>
  <c r="E13" i="14"/>
  <c r="M12" i="14"/>
  <c r="K12" i="14"/>
  <c r="G12" i="14"/>
  <c r="H12" i="14" s="1"/>
  <c r="E12" i="14"/>
  <c r="M11" i="14"/>
  <c r="K11" i="14"/>
  <c r="G11" i="14"/>
  <c r="H11" i="14" s="1"/>
  <c r="E11" i="14"/>
  <c r="M10" i="14"/>
  <c r="K10" i="14"/>
  <c r="G10" i="14"/>
  <c r="H10" i="14" s="1"/>
  <c r="E10" i="14"/>
  <c r="M9" i="14"/>
  <c r="K9" i="14"/>
  <c r="G9" i="14"/>
  <c r="H9" i="14" s="1"/>
  <c r="E9" i="14"/>
  <c r="M8" i="14"/>
  <c r="K8" i="14"/>
  <c r="G8" i="14"/>
  <c r="H8" i="14" s="1"/>
  <c r="E8" i="14"/>
  <c r="M7" i="14"/>
  <c r="K7" i="14"/>
  <c r="G7" i="14"/>
  <c r="H7" i="14" s="1"/>
  <c r="E7" i="14"/>
  <c r="K6" i="14"/>
  <c r="G6" i="14"/>
  <c r="H6" i="14" s="1"/>
  <c r="E6" i="14"/>
  <c r="M5" i="13"/>
  <c r="M6" i="13"/>
  <c r="M11" i="13"/>
  <c r="M13" i="13"/>
  <c r="M14" i="13"/>
  <c r="M15" i="13"/>
  <c r="M19" i="13"/>
  <c r="M20" i="13"/>
  <c r="M23" i="13"/>
  <c r="M27" i="13"/>
  <c r="M28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G16" i="13"/>
  <c r="H16" i="13" s="1"/>
  <c r="L16" i="13" s="1"/>
  <c r="G17" i="13"/>
  <c r="H17" i="13" s="1"/>
  <c r="G18" i="13"/>
  <c r="H18" i="13" s="1"/>
  <c r="G19" i="13"/>
  <c r="H19" i="13" s="1"/>
  <c r="G20" i="13"/>
  <c r="H20" i="13" s="1"/>
  <c r="G21" i="13"/>
  <c r="H21" i="13" s="1"/>
  <c r="G22" i="13"/>
  <c r="H22" i="13" s="1"/>
  <c r="G23" i="13"/>
  <c r="H23" i="13" s="1"/>
  <c r="G24" i="13"/>
  <c r="H24" i="13" s="1"/>
  <c r="L24" i="13" s="1"/>
  <c r="G25" i="13"/>
  <c r="H25" i="13" s="1"/>
  <c r="G26" i="13"/>
  <c r="H26" i="13" s="1"/>
  <c r="G27" i="13"/>
  <c r="H27" i="13" s="1"/>
  <c r="G28" i="13"/>
  <c r="H28" i="13" s="1"/>
  <c r="L28" i="13" s="1"/>
  <c r="G29" i="13"/>
  <c r="H29" i="13" s="1"/>
  <c r="M20" i="14" l="1"/>
  <c r="L6" i="14"/>
  <c r="M6" i="14" s="1"/>
  <c r="L7" i="14"/>
  <c r="L8" i="14"/>
  <c r="L9" i="14"/>
  <c r="L10" i="14"/>
  <c r="L11" i="14"/>
  <c r="L12" i="14"/>
  <c r="L13" i="14"/>
  <c r="L14" i="14"/>
  <c r="L15" i="14"/>
  <c r="L16" i="14"/>
  <c r="L20" i="13"/>
  <c r="L27" i="13"/>
  <c r="L23" i="13"/>
  <c r="M24" i="13" s="1"/>
  <c r="L19" i="13"/>
  <c r="L26" i="13"/>
  <c r="M26" i="13" s="1"/>
  <c r="L22" i="13"/>
  <c r="M22" i="13" s="1"/>
  <c r="L18" i="13"/>
  <c r="M18" i="13" s="1"/>
  <c r="L29" i="13"/>
  <c r="L25" i="13"/>
  <c r="M25" i="13" s="1"/>
  <c r="L21" i="13"/>
  <c r="L17" i="13"/>
  <c r="M17" i="13" s="1"/>
  <c r="M19" i="14" l="1"/>
  <c r="D10" i="3" s="1"/>
  <c r="M29" i="13"/>
  <c r="M21" i="13"/>
  <c r="E16" i="10"/>
  <c r="E15" i="10"/>
  <c r="E14" i="10"/>
  <c r="E13" i="10"/>
  <c r="E12" i="10"/>
  <c r="E11" i="10"/>
  <c r="E10" i="10"/>
  <c r="E9" i="10"/>
  <c r="E7" i="10"/>
  <c r="E6" i="10"/>
  <c r="E8" i="10"/>
  <c r="E7" i="13"/>
  <c r="E5" i="13"/>
  <c r="E6" i="13"/>
  <c r="G15" i="13"/>
  <c r="H15" i="13" s="1"/>
  <c r="E15" i="13"/>
  <c r="G14" i="13"/>
  <c r="H14" i="13" s="1"/>
  <c r="E14" i="13"/>
  <c r="G13" i="13"/>
  <c r="H13" i="13" s="1"/>
  <c r="E13" i="13"/>
  <c r="G12" i="13"/>
  <c r="H12" i="13" s="1"/>
  <c r="E12" i="13"/>
  <c r="G11" i="13"/>
  <c r="H11" i="13" s="1"/>
  <c r="E11" i="13"/>
  <c r="G10" i="13"/>
  <c r="H10" i="13" s="1"/>
  <c r="L10" i="13" s="1"/>
  <c r="M10" i="13" s="1"/>
  <c r="E10" i="13"/>
  <c r="G9" i="13"/>
  <c r="H9" i="13" s="1"/>
  <c r="L9" i="13" s="1"/>
  <c r="M9" i="13" s="1"/>
  <c r="E9" i="13"/>
  <c r="G8" i="13"/>
  <c r="H8" i="13" s="1"/>
  <c r="E8" i="13"/>
  <c r="G7" i="13"/>
  <c r="H7" i="13" s="1"/>
  <c r="G6" i="13"/>
  <c r="H6" i="13" s="1"/>
  <c r="L6" i="13" s="1"/>
  <c r="G5" i="13"/>
  <c r="H5" i="13" s="1"/>
  <c r="M15" i="12"/>
  <c r="G15" i="12"/>
  <c r="H15" i="12" s="1"/>
  <c r="E15" i="12"/>
  <c r="M14" i="12"/>
  <c r="G14" i="12"/>
  <c r="H14" i="12" s="1"/>
  <c r="E14" i="12"/>
  <c r="M13" i="12"/>
  <c r="G13" i="12"/>
  <c r="H13" i="12" s="1"/>
  <c r="E13" i="12"/>
  <c r="M12" i="12"/>
  <c r="G12" i="12"/>
  <c r="H12" i="12" s="1"/>
  <c r="E12" i="12"/>
  <c r="M11" i="12"/>
  <c r="G11" i="12"/>
  <c r="H11" i="12" s="1"/>
  <c r="E11" i="12"/>
  <c r="M10" i="12"/>
  <c r="G10" i="12"/>
  <c r="H10" i="12" s="1"/>
  <c r="E10" i="12"/>
  <c r="M9" i="12"/>
  <c r="G9" i="12"/>
  <c r="H9" i="12" s="1"/>
  <c r="E9" i="12"/>
  <c r="M8" i="12"/>
  <c r="G8" i="12"/>
  <c r="H8" i="12" s="1"/>
  <c r="E8" i="12"/>
  <c r="M7" i="12"/>
  <c r="G7" i="12"/>
  <c r="H7" i="12" s="1"/>
  <c r="E7" i="12"/>
  <c r="G6" i="12"/>
  <c r="H6" i="12" s="1"/>
  <c r="L6" i="12" s="1"/>
  <c r="E6" i="12"/>
  <c r="G5" i="12"/>
  <c r="H5" i="12" s="1"/>
  <c r="E5" i="12"/>
  <c r="M16" i="11"/>
  <c r="K16" i="11"/>
  <c r="G16" i="11"/>
  <c r="H16" i="11" s="1"/>
  <c r="E16" i="11"/>
  <c r="M15" i="11"/>
  <c r="K15" i="11"/>
  <c r="G15" i="11"/>
  <c r="H15" i="11" s="1"/>
  <c r="E15" i="11"/>
  <c r="M14" i="11"/>
  <c r="K14" i="11"/>
  <c r="G14" i="11"/>
  <c r="H14" i="11" s="1"/>
  <c r="E14" i="11"/>
  <c r="M13" i="11"/>
  <c r="K13" i="11"/>
  <c r="G13" i="11"/>
  <c r="H13" i="11" s="1"/>
  <c r="E13" i="11"/>
  <c r="M12" i="11"/>
  <c r="K12" i="11"/>
  <c r="G12" i="11"/>
  <c r="H12" i="11" s="1"/>
  <c r="E12" i="11"/>
  <c r="M11" i="11"/>
  <c r="K11" i="11"/>
  <c r="G11" i="11"/>
  <c r="H11" i="11" s="1"/>
  <c r="E11" i="11"/>
  <c r="M10" i="11"/>
  <c r="K10" i="11"/>
  <c r="G10" i="11"/>
  <c r="H10" i="11" s="1"/>
  <c r="E10" i="11"/>
  <c r="M9" i="11"/>
  <c r="K9" i="11"/>
  <c r="G9" i="11"/>
  <c r="H9" i="11" s="1"/>
  <c r="E9" i="11"/>
  <c r="M8" i="11"/>
  <c r="K8" i="11"/>
  <c r="G8" i="11"/>
  <c r="H8" i="11" s="1"/>
  <c r="E8" i="11"/>
  <c r="K7" i="11"/>
  <c r="G7" i="11"/>
  <c r="H7" i="11" s="1"/>
  <c r="E7" i="11"/>
  <c r="K6" i="11"/>
  <c r="G6" i="11"/>
  <c r="H6" i="11" s="1"/>
  <c r="E6" i="11"/>
  <c r="K6" i="10"/>
  <c r="K7" i="10"/>
  <c r="K8" i="10"/>
  <c r="K9" i="10"/>
  <c r="K10" i="10"/>
  <c r="K11" i="10"/>
  <c r="K12" i="10"/>
  <c r="K13" i="10"/>
  <c r="K14" i="10"/>
  <c r="K15" i="10"/>
  <c r="K16" i="10"/>
  <c r="G6" i="10"/>
  <c r="H6" i="10" s="1"/>
  <c r="G7" i="10"/>
  <c r="H7" i="10" s="1"/>
  <c r="G8" i="10"/>
  <c r="H8" i="10" s="1"/>
  <c r="G9" i="10"/>
  <c r="H9" i="10" s="1"/>
  <c r="G10" i="10"/>
  <c r="H10" i="10" s="1"/>
  <c r="G11" i="10"/>
  <c r="H11" i="10" s="1"/>
  <c r="G12" i="10"/>
  <c r="H12" i="10" s="1"/>
  <c r="G13" i="10"/>
  <c r="H13" i="10" s="1"/>
  <c r="G14" i="10"/>
  <c r="H14" i="10" s="1"/>
  <c r="G15" i="10"/>
  <c r="H15" i="10" s="1"/>
  <c r="G16" i="10"/>
  <c r="H16" i="10" s="1"/>
  <c r="L8" i="12" l="1"/>
  <c r="L6" i="11"/>
  <c r="M6" i="11" s="1"/>
  <c r="D55" i="3" s="1"/>
  <c r="L7" i="11"/>
  <c r="L14" i="10"/>
  <c r="M19" i="12"/>
  <c r="D29" i="3"/>
  <c r="L9" i="12"/>
  <c r="L10" i="12"/>
  <c r="L11" i="12"/>
  <c r="L12" i="12"/>
  <c r="L10" i="10"/>
  <c r="M20" i="11"/>
  <c r="L13" i="12"/>
  <c r="M20" i="10"/>
  <c r="L8" i="11"/>
  <c r="L9" i="11"/>
  <c r="L10" i="11"/>
  <c r="L11" i="11"/>
  <c r="L12" i="11"/>
  <c r="L13" i="11"/>
  <c r="L14" i="11"/>
  <c r="L15" i="11"/>
  <c r="L16" i="11"/>
  <c r="L7" i="12"/>
  <c r="L14" i="12"/>
  <c r="L15" i="12"/>
  <c r="L8" i="13"/>
  <c r="L7" i="13"/>
  <c r="L11" i="13"/>
  <c r="L12" i="13"/>
  <c r="L13" i="13"/>
  <c r="L14" i="13"/>
  <c r="L15" i="13"/>
  <c r="M33" i="13"/>
  <c r="L5" i="12"/>
  <c r="M5" i="12" s="1"/>
  <c r="L5" i="13"/>
  <c r="M6" i="12"/>
  <c r="M7" i="11"/>
  <c r="L16" i="10"/>
  <c r="L13" i="10"/>
  <c r="L9" i="10"/>
  <c r="L12" i="10"/>
  <c r="L8" i="10"/>
  <c r="L11" i="10"/>
  <c r="L15" i="10"/>
  <c r="L7" i="10"/>
  <c r="L6" i="10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H10" i="5"/>
  <c r="H8" i="5"/>
  <c r="M6" i="10" l="1"/>
  <c r="M18" i="12"/>
  <c r="M19" i="11"/>
  <c r="D7" i="3" s="1"/>
  <c r="M12" i="13"/>
  <c r="M8" i="13"/>
  <c r="D56" i="3" s="1"/>
  <c r="D31" i="3"/>
  <c r="E6" i="4" s="1"/>
  <c r="M16" i="13"/>
  <c r="M32" i="13"/>
  <c r="D9" i="3" s="1"/>
  <c r="M19" i="10"/>
  <c r="D6" i="3" s="1"/>
  <c r="E6" i="8"/>
  <c r="G6" i="8" s="1"/>
  <c r="H6" i="8" s="1"/>
  <c r="G7" i="8"/>
  <c r="H7" i="8" s="1"/>
  <c r="E8" i="8"/>
  <c r="G8" i="8" s="1"/>
  <c r="H8" i="8" s="1"/>
  <c r="E9" i="8"/>
  <c r="G9" i="8" s="1"/>
  <c r="H9" i="8" s="1"/>
  <c r="E10" i="8"/>
  <c r="G10" i="8" s="1"/>
  <c r="H10" i="8" s="1"/>
  <c r="E11" i="8"/>
  <c r="G11" i="8" s="1"/>
  <c r="H11" i="8" s="1"/>
  <c r="E12" i="8"/>
  <c r="G12" i="8" s="1"/>
  <c r="H12" i="8" s="1"/>
  <c r="E13" i="8"/>
  <c r="G13" i="8" s="1"/>
  <c r="H13" i="8" s="1"/>
  <c r="E14" i="8"/>
  <c r="G14" i="8" s="1"/>
  <c r="H14" i="8" s="1"/>
  <c r="E15" i="8"/>
  <c r="G15" i="8" s="1"/>
  <c r="H15" i="8" s="1"/>
  <c r="E16" i="8"/>
  <c r="G16" i="8" s="1"/>
  <c r="H16" i="8" s="1"/>
  <c r="E17" i="8"/>
  <c r="G17" i="8" s="1"/>
  <c r="H17" i="8" s="1"/>
  <c r="E18" i="8"/>
  <c r="G18" i="8" s="1"/>
  <c r="H18" i="8" s="1"/>
  <c r="E19" i="8"/>
  <c r="G19" i="8" s="1"/>
  <c r="H19" i="8" s="1"/>
  <c r="E20" i="8"/>
  <c r="G20" i="8" s="1"/>
  <c r="H20" i="8" s="1"/>
  <c r="E21" i="8"/>
  <c r="G21" i="8" s="1"/>
  <c r="H21" i="8" s="1"/>
  <c r="E22" i="8"/>
  <c r="G22" i="8" s="1"/>
  <c r="H22" i="8" s="1"/>
  <c r="E23" i="8"/>
  <c r="G23" i="8" s="1"/>
  <c r="H23" i="8" s="1"/>
  <c r="E24" i="8"/>
  <c r="G24" i="8" s="1"/>
  <c r="H24" i="8" s="1"/>
  <c r="E25" i="8"/>
  <c r="G25" i="8" s="1"/>
  <c r="H25" i="8" s="1"/>
  <c r="E26" i="8"/>
  <c r="G26" i="8" s="1"/>
  <c r="H26" i="8" s="1"/>
  <c r="E27" i="8"/>
  <c r="G27" i="8" s="1"/>
  <c r="H27" i="8" s="1"/>
  <c r="E28" i="8"/>
  <c r="G28" i="8" s="1"/>
  <c r="H28" i="8" s="1"/>
  <c r="E29" i="8"/>
  <c r="G29" i="8" s="1"/>
  <c r="H29" i="8" s="1"/>
  <c r="E11" i="7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D54" i="3" l="1"/>
  <c r="D53" i="3"/>
  <c r="D30" i="3"/>
  <c r="D8" i="3"/>
  <c r="D12" i="3" s="1"/>
  <c r="E5" i="4" s="1"/>
  <c r="E4" i="4" s="1"/>
  <c r="E9" i="4" s="1"/>
  <c r="E13" i="4" s="1"/>
  <c r="D42" i="3"/>
  <c r="J29" i="6"/>
  <c r="G36" i="2"/>
  <c r="G25" i="2"/>
  <c r="G18" i="2"/>
  <c r="G6" i="2"/>
  <c r="G37" i="2" l="1"/>
  <c r="G38" i="2" s="1"/>
  <c r="E16" i="4"/>
  <c r="E15" i="4" s="1"/>
  <c r="E20" i="4" s="1"/>
  <c r="E27" i="4" s="1"/>
  <c r="E29" i="4" s="1"/>
  <c r="E31" i="4" s="1"/>
</calcChain>
</file>

<file path=xl/comments1.xml><?xml version="1.0" encoding="utf-8"?>
<comments xmlns="http://schemas.openxmlformats.org/spreadsheetml/2006/main">
  <authors>
    <author>Bernardo Pires</author>
  </authors>
  <commentList>
    <comment ref="C12" authorId="0">
      <text>
        <r>
          <rPr>
            <b/>
            <sz val="9"/>
            <color indexed="81"/>
            <rFont val="Tahoma"/>
            <family val="2"/>
          </rPr>
          <t>Bernardo Pires:</t>
        </r>
        <r>
          <rPr>
            <sz val="9"/>
            <color indexed="81"/>
            <rFont val="Tahoma"/>
            <family val="2"/>
          </rPr>
          <t xml:space="preserve">
Colocar descrição da despesa na coluna de observação</t>
        </r>
      </text>
    </comment>
    <comment ref="C23" authorId="0">
      <text>
        <r>
          <rPr>
            <b/>
            <sz val="9"/>
            <color indexed="81"/>
            <rFont val="Tahoma"/>
            <family val="2"/>
          </rPr>
          <t>Bernardo Pires:</t>
        </r>
        <r>
          <rPr>
            <sz val="9"/>
            <color indexed="81"/>
            <rFont val="Tahoma"/>
            <family val="2"/>
          </rPr>
          <t xml:space="preserve">
Colocar descrição da despesa na coluna de observação</t>
        </r>
      </text>
    </comment>
    <comment ref="C31" authorId="0">
      <text>
        <r>
          <rPr>
            <b/>
            <sz val="9"/>
            <color indexed="81"/>
            <rFont val="Tahoma"/>
            <family val="2"/>
          </rPr>
          <t>Bernardo Pires:</t>
        </r>
        <r>
          <rPr>
            <sz val="9"/>
            <color indexed="81"/>
            <rFont val="Tahoma"/>
            <family val="2"/>
          </rPr>
          <t xml:space="preserve">
Colocar descrição da despesa na coluna de observação</t>
        </r>
      </text>
    </comment>
    <comment ref="B33" authorId="0">
      <text>
        <r>
          <rPr>
            <b/>
            <sz val="9"/>
            <color indexed="81"/>
            <rFont val="Tahoma"/>
            <family val="2"/>
          </rPr>
          <t>Bernardo Pires:</t>
        </r>
        <r>
          <rPr>
            <sz val="9"/>
            <color indexed="81"/>
            <rFont val="Tahoma"/>
            <family val="2"/>
          </rPr>
          <t xml:space="preserve">
Colocar descrição da despesa na coluna de observação</t>
        </r>
      </text>
    </comment>
  </commentList>
</comments>
</file>

<file path=xl/comments2.xml><?xml version="1.0" encoding="utf-8"?>
<comments xmlns="http://schemas.openxmlformats.org/spreadsheetml/2006/main">
  <authors>
    <author>Bernardo Pires</author>
  </authors>
  <commentList>
    <comment ref="C9" authorId="0">
      <text>
        <r>
          <rPr>
            <b/>
            <sz val="9"/>
            <color indexed="81"/>
            <rFont val="Tahoma"/>
            <family val="2"/>
          </rPr>
          <t>Bernardo Pires:</t>
        </r>
        <r>
          <rPr>
            <sz val="9"/>
            <color indexed="81"/>
            <rFont val="Tahoma"/>
            <family val="2"/>
          </rPr>
          <t xml:space="preserve">
Imposto Considerado 15%
</t>
        </r>
      </text>
    </comment>
    <comment ref="C29" authorId="0">
      <text>
        <r>
          <rPr>
            <b/>
            <sz val="9"/>
            <color indexed="81"/>
            <rFont val="Tahoma"/>
            <family val="2"/>
          </rPr>
          <t>Bernardo Pires:</t>
        </r>
        <r>
          <rPr>
            <sz val="9"/>
            <color indexed="81"/>
            <rFont val="Tahoma"/>
            <family val="2"/>
          </rPr>
          <t xml:space="preserve">
Imposto Considerado 30%</t>
        </r>
      </text>
    </comment>
  </commentList>
</comments>
</file>

<file path=xl/sharedStrings.xml><?xml version="1.0" encoding="utf-8"?>
<sst xmlns="http://schemas.openxmlformats.org/spreadsheetml/2006/main" count="452" uniqueCount="161">
  <si>
    <t>Manutenção de Equipamentos</t>
  </si>
  <si>
    <t>Impostos</t>
  </si>
  <si>
    <t>Compra de Materiais</t>
  </si>
  <si>
    <t>Limpeza</t>
  </si>
  <si>
    <t>Seguros</t>
  </si>
  <si>
    <t>Outros</t>
  </si>
  <si>
    <t>Receita Líquida</t>
  </si>
  <si>
    <t>Faturamento Bruto</t>
  </si>
  <si>
    <t>Salários</t>
  </si>
  <si>
    <t>Bonificações</t>
  </si>
  <si>
    <t>Vales (Refeição, Transporte)</t>
  </si>
  <si>
    <t>Informática</t>
  </si>
  <si>
    <t>Escritório Contábil</t>
  </si>
  <si>
    <t>Escritório Advocacia</t>
  </si>
  <si>
    <t>Entregas</t>
  </si>
  <si>
    <t>Marketing</t>
  </si>
  <si>
    <t>Arroz</t>
  </si>
  <si>
    <t>Feijão</t>
  </si>
  <si>
    <t>Tomate</t>
  </si>
  <si>
    <t>Alface</t>
  </si>
  <si>
    <t>Carne</t>
  </si>
  <si>
    <t>Frango</t>
  </si>
  <si>
    <t>Peixe</t>
  </si>
  <si>
    <t>Queijo</t>
  </si>
  <si>
    <t>Vinho</t>
  </si>
  <si>
    <t>Suco</t>
  </si>
  <si>
    <t>Cenoura</t>
  </si>
  <si>
    <t>Vagem</t>
  </si>
  <si>
    <t>Amendoim</t>
  </si>
  <si>
    <t>Cerveja</t>
  </si>
  <si>
    <t>Vodka</t>
  </si>
  <si>
    <t>Couve</t>
  </si>
  <si>
    <t>Caixa de Fósforo</t>
  </si>
  <si>
    <t>Bala</t>
  </si>
  <si>
    <t>Chocolate</t>
  </si>
  <si>
    <t>Cigarro</t>
  </si>
  <si>
    <t>Barra de Cereal</t>
  </si>
  <si>
    <t>Despesas</t>
  </si>
  <si>
    <t>Despesas de Funcionamento</t>
  </si>
  <si>
    <t>Items Despesas</t>
  </si>
  <si>
    <t>Data</t>
  </si>
  <si>
    <t>Observação</t>
  </si>
  <si>
    <t>Valor intermediário</t>
  </si>
  <si>
    <t>Valor Final</t>
  </si>
  <si>
    <t>Aluguer de Loja</t>
  </si>
  <si>
    <t>Água</t>
  </si>
  <si>
    <t>Energia</t>
  </si>
  <si>
    <t>Gás</t>
  </si>
  <si>
    <t>Telefone</t>
  </si>
  <si>
    <t xml:space="preserve">Despesas Funcionamento </t>
  </si>
  <si>
    <t>Serviços (Terceiros)</t>
  </si>
  <si>
    <t>Férias,Licença de Maternidade</t>
  </si>
  <si>
    <t>Funcionários</t>
  </si>
  <si>
    <t>Total de Despesasde Funcionamento</t>
  </si>
  <si>
    <t>Compras de Mercadorias</t>
  </si>
  <si>
    <t>Fornecedor</t>
  </si>
  <si>
    <t>Mercadoria</t>
  </si>
  <si>
    <t>Unidades de Medida</t>
  </si>
  <si>
    <t>Quantidade</t>
  </si>
  <si>
    <t>Preço Unitário</t>
  </si>
  <si>
    <t>Desconto</t>
  </si>
  <si>
    <t>Valor pago</t>
  </si>
  <si>
    <t>Produtos</t>
  </si>
  <si>
    <t>Preço de Compra Unitário</t>
  </si>
  <si>
    <t>Preço de Venda Unitário</t>
  </si>
  <si>
    <t>Medida</t>
  </si>
  <si>
    <t>Unidade</t>
  </si>
  <si>
    <t>Pacote</t>
  </si>
  <si>
    <t>Kg</t>
  </si>
  <si>
    <t>Leite</t>
  </si>
  <si>
    <t>Litro</t>
  </si>
  <si>
    <t>Lata</t>
  </si>
  <si>
    <t>Barra</t>
  </si>
  <si>
    <t>Maço</t>
  </si>
  <si>
    <t>Pão de Forma</t>
  </si>
  <si>
    <t>Refrigerante</t>
  </si>
  <si>
    <t>Garrafa</t>
  </si>
  <si>
    <t>Regiões de Entrega</t>
  </si>
  <si>
    <t>Centro</t>
  </si>
  <si>
    <t>Loja</t>
  </si>
  <si>
    <t>Zona Norte</t>
  </si>
  <si>
    <t>Zona Oeste</t>
  </si>
  <si>
    <t>Zona Sul</t>
  </si>
  <si>
    <t>Fornecedor de Verduras</t>
  </si>
  <si>
    <t>Fornecedor de Grãos e Sementes</t>
  </si>
  <si>
    <t>Fornecedor de Bebidas</t>
  </si>
  <si>
    <t>Fornecedor de Cigarro</t>
  </si>
  <si>
    <t>Fornecedor de Doces</t>
  </si>
  <si>
    <t>Padaria</t>
  </si>
  <si>
    <t>Fornecedor de Frango</t>
  </si>
  <si>
    <t>Fornecedor de Peixe</t>
  </si>
  <si>
    <t>Fornecedor de Legumes</t>
  </si>
  <si>
    <t>Fornecedor de Carne</t>
  </si>
  <si>
    <r>
      <rPr>
        <b/>
        <sz val="14"/>
        <color theme="1"/>
        <rFont val="Calibri"/>
        <family val="2"/>
        <scheme val="minor"/>
      </rPr>
      <t>Total</t>
    </r>
    <r>
      <rPr>
        <sz val="14"/>
        <color theme="1"/>
        <rFont val="Calibri"/>
        <family val="2"/>
        <scheme val="minor"/>
      </rPr>
      <t xml:space="preserve"> </t>
    </r>
    <r>
      <rPr>
        <b/>
        <sz val="14"/>
        <color theme="1"/>
        <rFont val="Calibri"/>
        <family val="2"/>
        <scheme val="minor"/>
      </rPr>
      <t>de Compra de Mercadorias</t>
    </r>
  </si>
  <si>
    <r>
      <rPr>
        <b/>
        <sz val="14"/>
        <color theme="1"/>
        <rFont val="Calibri"/>
        <family val="2"/>
        <scheme val="minor"/>
      </rPr>
      <t>Total</t>
    </r>
    <r>
      <rPr>
        <sz val="14"/>
        <color theme="1"/>
        <rFont val="Calibri"/>
        <family val="2"/>
        <scheme val="minor"/>
      </rPr>
      <t xml:space="preserve"> </t>
    </r>
    <r>
      <rPr>
        <b/>
        <sz val="14"/>
        <color theme="1"/>
        <rFont val="Calibri"/>
        <family val="2"/>
        <scheme val="minor"/>
      </rPr>
      <t>de Despesas</t>
    </r>
  </si>
  <si>
    <t>Investimentos</t>
  </si>
  <si>
    <t>Investimento</t>
  </si>
  <si>
    <t>Descrição</t>
  </si>
  <si>
    <t>Valor</t>
  </si>
  <si>
    <t>Investimento Inicial</t>
  </si>
  <si>
    <t>Equipamentos(Balanças,Carrinhos,Cortador de Queijo, etc)</t>
  </si>
  <si>
    <t>Estrututa(Estantes,Prateleiras,etc)</t>
  </si>
  <si>
    <t>Documentação, Sistema de Informação, Estrutura inicial, Sistemas de Refrigeração, Equipamentos</t>
  </si>
  <si>
    <r>
      <rPr>
        <b/>
        <sz val="14"/>
        <color theme="1"/>
        <rFont val="Calibri"/>
        <family val="2"/>
        <scheme val="minor"/>
      </rPr>
      <t>Total</t>
    </r>
    <r>
      <rPr>
        <sz val="14"/>
        <color theme="1"/>
        <rFont val="Calibri"/>
        <family val="2"/>
        <scheme val="minor"/>
      </rPr>
      <t xml:space="preserve"> </t>
    </r>
    <r>
      <rPr>
        <b/>
        <sz val="14"/>
        <color theme="1"/>
        <rFont val="Calibri"/>
        <family val="2"/>
        <scheme val="minor"/>
      </rPr>
      <t>de Investimentos</t>
    </r>
  </si>
  <si>
    <t>Controlo de Stock</t>
  </si>
  <si>
    <t>Produto</t>
  </si>
  <si>
    <t>Quantidade Comprada</t>
  </si>
  <si>
    <t>Data de Última compra</t>
  </si>
  <si>
    <t>Quantidade Vendida</t>
  </si>
  <si>
    <t>Quantidade Atual</t>
  </si>
  <si>
    <t>Situação</t>
  </si>
  <si>
    <t>Quantidade Inicial</t>
  </si>
  <si>
    <t>Vendas Semana 1</t>
  </si>
  <si>
    <t>ID da Venda</t>
  </si>
  <si>
    <t>Subtotal</t>
  </si>
  <si>
    <t>Entrega</t>
  </si>
  <si>
    <t>Valor de Entrega</t>
  </si>
  <si>
    <t>Total</t>
  </si>
  <si>
    <t>Total para Cliente</t>
  </si>
  <si>
    <t>Preço de Entrega</t>
  </si>
  <si>
    <t>Receita de Vendas na Semana</t>
  </si>
  <si>
    <t>Receita de Entregas</t>
  </si>
  <si>
    <t>Vendas Semana 4</t>
  </si>
  <si>
    <t>Vendas Semana 3</t>
  </si>
  <si>
    <t>Vendas Semana 2</t>
  </si>
  <si>
    <t>15/05/2015</t>
  </si>
  <si>
    <t>Ticket Médio</t>
  </si>
  <si>
    <t>Quantidade de Vendas por Região</t>
  </si>
  <si>
    <t>Total de Vendas Semana 1</t>
  </si>
  <si>
    <t>Total de Vendas Semana 2</t>
  </si>
  <si>
    <t>Total de Vendas Semana 3</t>
  </si>
  <si>
    <t>Total de Vendas Semana 4</t>
  </si>
  <si>
    <t>Total de Vendas Semana 5</t>
  </si>
  <si>
    <t>Julho</t>
  </si>
  <si>
    <t>Vendas por Entregas (%)</t>
  </si>
  <si>
    <t>Vendas por Entregas (Euros)</t>
  </si>
  <si>
    <t>Receitas Entregas (Euros)</t>
  </si>
  <si>
    <t>vamos ver quantos numeros diferentes temos aquí</t>
  </si>
  <si>
    <t>Número de Vendas</t>
  </si>
  <si>
    <t>Número de Clientes</t>
  </si>
  <si>
    <t>Resultados</t>
  </si>
  <si>
    <t>Total de Receitas</t>
  </si>
  <si>
    <t>Imposto sobre a Receita</t>
  </si>
  <si>
    <t>Total de Despesas</t>
  </si>
  <si>
    <t>Resultado Bruto</t>
  </si>
  <si>
    <t>Depreciação e Amortização</t>
  </si>
  <si>
    <t>Resultado antes do Imposto</t>
  </si>
  <si>
    <t>Imposto</t>
  </si>
  <si>
    <t>Resultado Líquido</t>
  </si>
  <si>
    <t>Receitas Mercadoria</t>
  </si>
  <si>
    <t xml:space="preserve">Receita das Entregas </t>
  </si>
  <si>
    <t>Despesas Mercadoria</t>
  </si>
  <si>
    <t>Despesas Funcionamento</t>
  </si>
  <si>
    <t xml:space="preserve">Vendas </t>
  </si>
  <si>
    <t>Vendas Semana 5</t>
  </si>
  <si>
    <t>Etiquetas de fila</t>
  </si>
  <si>
    <t>(en blanco)</t>
  </si>
  <si>
    <t>Total general</t>
  </si>
  <si>
    <t>Cuenta de Quantidade</t>
  </si>
  <si>
    <t>Suma de Total</t>
  </si>
  <si>
    <t>Suma de Valor de Entrega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</si>
</sst>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164" formatCode="_([$€-2]\ * #,##0.00_);_([$€-2]\ * \(#,##0.00\);_([$€-2]\ * &quot;-&quot;??_);_(@_)"/>
    <numFmt numFmtId="165" formatCode="_ * #,##0.00_)\ [$€-1]_ ;_ * \(#,##0.00\)\ [$€-1]_ ;_ * &quot;-&quot;??_)\ [$€-1]_ ;_ @_ 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9"/>
      <name val="Calibri"/>
      <family val="2"/>
      <scheme val="minor"/>
    </font>
    <font>
      <sz val="14"/>
      <color theme="9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6"/>
      <color theme="9" tint="-0.249977111117893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  <font>
      <sz val="14"/>
      <color theme="9" tint="-0.499984740745262"/>
      <name val="Calibri"/>
      <family val="2"/>
      <scheme val="minor"/>
    </font>
    <font>
      <b/>
      <sz val="18"/>
      <color theme="9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9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theme="9"/>
      </bottom>
      <diagonal/>
    </border>
    <border>
      <left/>
      <right/>
      <top/>
      <bottom style="medium">
        <color theme="9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/>
      <right/>
      <top/>
      <bottom style="thin">
        <color auto="1"/>
      </bottom>
      <diagonal/>
    </border>
    <border>
      <left/>
      <right/>
      <top style="medium">
        <color theme="9"/>
      </top>
      <bottom/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1">
    <xf numFmtId="0" fontId="0" fillId="0" borderId="0" xfId="0"/>
    <xf numFmtId="0" fontId="0" fillId="2" borderId="0" xfId="0" applyFill="1"/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left" vertic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0" borderId="0" xfId="0" applyFont="1"/>
    <xf numFmtId="164" fontId="0" fillId="0" borderId="0" xfId="0" applyNumberFormat="1"/>
    <xf numFmtId="164" fontId="0" fillId="0" borderId="0" xfId="1" applyNumberFormat="1" applyFont="1"/>
    <xf numFmtId="0" fontId="0" fillId="4" borderId="0" xfId="0" applyFill="1"/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/>
    </xf>
    <xf numFmtId="9" fontId="0" fillId="0" borderId="0" xfId="2" applyFont="1"/>
    <xf numFmtId="14" fontId="0" fillId="0" borderId="0" xfId="0" applyNumberFormat="1"/>
    <xf numFmtId="0" fontId="6" fillId="6" borderId="1" xfId="0" applyFont="1" applyFill="1" applyBorder="1"/>
    <xf numFmtId="164" fontId="7" fillId="6" borderId="1" xfId="0" applyNumberFormat="1" applyFont="1" applyFill="1" applyBorder="1"/>
    <xf numFmtId="0" fontId="7" fillId="5" borderId="0" xfId="0" applyFont="1" applyFill="1"/>
    <xf numFmtId="0" fontId="6" fillId="5" borderId="0" xfId="0" applyFont="1" applyFill="1"/>
    <xf numFmtId="164" fontId="7" fillId="5" borderId="0" xfId="0" applyNumberFormat="1" applyFont="1" applyFill="1"/>
    <xf numFmtId="164" fontId="6" fillId="6" borderId="1" xfId="0" applyNumberFormat="1" applyFont="1" applyFill="1" applyBorder="1"/>
    <xf numFmtId="0" fontId="6" fillId="3" borderId="2" xfId="0" applyFont="1" applyFill="1" applyBorder="1"/>
    <xf numFmtId="164" fontId="7" fillId="3" borderId="2" xfId="0" applyNumberFormat="1" applyFont="1" applyFill="1" applyBorder="1"/>
    <xf numFmtId="0" fontId="0" fillId="0" borderId="0" xfId="0" applyAlignment="1">
      <alignment wrapText="1"/>
    </xf>
    <xf numFmtId="0" fontId="4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/>
    </xf>
    <xf numFmtId="0" fontId="0" fillId="7" borderId="0" xfId="0" applyFill="1"/>
    <xf numFmtId="0" fontId="4" fillId="7" borderId="0" xfId="0" applyFont="1" applyFill="1" applyAlignment="1">
      <alignment horizontal="left" vertical="center"/>
    </xf>
    <xf numFmtId="0" fontId="0" fillId="7" borderId="0" xfId="0" applyFill="1" applyAlignment="1">
      <alignment horizontal="left"/>
    </xf>
    <xf numFmtId="0" fontId="0" fillId="0" borderId="3" xfId="0" applyBorder="1"/>
    <xf numFmtId="0" fontId="0" fillId="0" borderId="0" xfId="0" applyBorder="1"/>
    <xf numFmtId="10" fontId="0" fillId="0" borderId="0" xfId="0" applyNumberFormat="1"/>
    <xf numFmtId="9" fontId="0" fillId="0" borderId="0" xfId="0" applyNumberFormat="1"/>
    <xf numFmtId="0" fontId="8" fillId="3" borderId="0" xfId="0" applyFont="1" applyFill="1" applyBorder="1"/>
    <xf numFmtId="0" fontId="9" fillId="3" borderId="0" xfId="0" applyFont="1" applyFill="1" applyBorder="1"/>
    <xf numFmtId="0" fontId="8" fillId="3" borderId="4" xfId="0" applyFont="1" applyFill="1" applyBorder="1"/>
    <xf numFmtId="0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4" xfId="0" applyBorder="1"/>
    <xf numFmtId="0" fontId="0" fillId="0" borderId="12" xfId="0" applyBorder="1"/>
    <xf numFmtId="0" fontId="10" fillId="0" borderId="0" xfId="0" applyFont="1" applyBorder="1"/>
    <xf numFmtId="0" fontId="10" fillId="0" borderId="5" xfId="0" applyFont="1" applyBorder="1"/>
    <xf numFmtId="164" fontId="10" fillId="0" borderId="5" xfId="0" applyNumberFormat="1" applyFont="1" applyBorder="1"/>
    <xf numFmtId="0" fontId="0" fillId="0" borderId="0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0" fillId="0" borderId="10" xfId="0" applyFill="1" applyBorder="1"/>
    <xf numFmtId="0" fontId="12" fillId="0" borderId="0" xfId="0" applyFont="1" applyFill="1" applyBorder="1"/>
    <xf numFmtId="0" fontId="10" fillId="0" borderId="14" xfId="0" applyFont="1" applyBorder="1"/>
    <xf numFmtId="164" fontId="10" fillId="0" borderId="14" xfId="0" applyNumberFormat="1" applyFont="1" applyBorder="1"/>
    <xf numFmtId="0" fontId="8" fillId="3" borderId="15" xfId="0" applyFont="1" applyFill="1" applyBorder="1"/>
    <xf numFmtId="0" fontId="9" fillId="3" borderId="15" xfId="0" applyFont="1" applyFill="1" applyBorder="1"/>
    <xf numFmtId="0" fontId="8" fillId="3" borderId="7" xfId="0" applyFont="1" applyFill="1" applyBorder="1"/>
    <xf numFmtId="0" fontId="9" fillId="3" borderId="7" xfId="0" applyFont="1" applyFill="1" applyBorder="1"/>
    <xf numFmtId="164" fontId="11" fillId="0" borderId="0" xfId="0" applyNumberFormat="1" applyFont="1" applyBorder="1"/>
    <xf numFmtId="9" fontId="10" fillId="0" borderId="0" xfId="2" applyFont="1" applyFill="1" applyBorder="1"/>
    <xf numFmtId="164" fontId="13" fillId="3" borderId="4" xfId="0" applyNumberFormat="1" applyFont="1" applyFill="1" applyBorder="1"/>
    <xf numFmtId="164" fontId="13" fillId="3" borderId="15" xfId="0" applyNumberFormat="1" applyFont="1" applyFill="1" applyBorder="1"/>
    <xf numFmtId="0" fontId="10" fillId="0" borderId="0" xfId="0" applyFont="1"/>
    <xf numFmtId="164" fontId="14" fillId="3" borderId="15" xfId="0" applyNumberFormat="1" applyFont="1" applyFill="1" applyBorder="1"/>
    <xf numFmtId="164" fontId="14" fillId="3" borderId="0" xfId="0" applyNumberFormat="1" applyFont="1" applyFill="1" applyBorder="1"/>
    <xf numFmtId="0" fontId="13" fillId="3" borderId="7" xfId="0" applyNumberFormat="1" applyFont="1" applyFill="1" applyBorder="1"/>
    <xf numFmtId="0" fontId="10" fillId="0" borderId="4" xfId="0" applyFont="1" applyBorder="1"/>
    <xf numFmtId="0" fontId="15" fillId="0" borderId="4" xfId="0" applyFont="1" applyBorder="1" applyAlignment="1">
      <alignment horizontal="right"/>
    </xf>
    <xf numFmtId="164" fontId="2" fillId="0" borderId="0" xfId="0" applyNumberFormat="1" applyFont="1"/>
    <xf numFmtId="0" fontId="2" fillId="0" borderId="13" xfId="0" applyFont="1" applyBorder="1"/>
    <xf numFmtId="164" fontId="2" fillId="0" borderId="13" xfId="0" applyNumberFormat="1" applyFont="1" applyBorder="1"/>
    <xf numFmtId="0" fontId="2" fillId="0" borderId="16" xfId="0" applyFont="1" applyBorder="1"/>
    <xf numFmtId="164" fontId="2" fillId="0" borderId="16" xfId="0" applyNumberFormat="1" applyFont="1" applyBorder="1"/>
    <xf numFmtId="0" fontId="13" fillId="3" borderId="0" xfId="0" applyNumberFormat="1" applyFont="1" applyFill="1" applyBorder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</cellXfs>
  <cellStyles count="3">
    <cellStyle name="Moneda" xfId="1" builtinId="4"/>
    <cellStyle name="Normal" xfId="0" builtinId="0"/>
    <cellStyle name="Porcentaje" xfId="2" builtinId="5"/>
  </cellStyles>
  <dxfs count="57"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14" formatCode="0.00%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0" formatCode="General"/>
    </dxf>
    <dxf>
      <numFmt numFmtId="19" formatCode="m/d/yyyy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14" formatCode="0.00%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0" formatCode="General"/>
    </dxf>
    <dxf>
      <numFmt numFmtId="19" formatCode="m/d/yyyy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14" formatCode="0.00%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0" formatCode="General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14" formatCode="0.00%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0" formatCode="General"/>
    </dxf>
    <dxf>
      <numFmt numFmtId="19" formatCode="m/d/yyyy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14" formatCode="0.00%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0" formatCode="General"/>
    </dxf>
    <dxf>
      <numFmt numFmtId="19" formatCode="m/d/yyyy"/>
    </dxf>
    <dxf>
      <font>
        <color theme="9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font>
        <color theme="5" tint="0.39994506668294322"/>
      </font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numFmt numFmtId="164" formatCode="_([$€-2]\ * #,##0.00_);_([$€-2]\ * \(#,##0.00\);_([$€-2]\ * &quot;-&quot;??_);_(@_)"/>
    </dxf>
    <dxf>
      <alignment horizontal="general" vertical="bottom" textRotation="0" wrapText="1" indent="0" justifyLastLine="0" shrinkToFit="0" readingOrder="0"/>
    </dxf>
    <dxf>
      <numFmt numFmtId="19" formatCode="m/d/yyyy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0" formatCode="General"/>
    </dxf>
    <dxf>
      <numFmt numFmtId="19" formatCode="m/d/yyyy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</c:spPr>
          <c:invertIfNegative val="0"/>
          <c:cat>
            <c:strRef>
              <c:f>Vendas!$C$6:$C$10</c:f>
              <c:strCache>
                <c:ptCount val="5"/>
                <c:pt idx="0">
                  <c:v>Total de Vendas Semana 1</c:v>
                </c:pt>
                <c:pt idx="1">
                  <c:v>Total de Vendas Semana 2</c:v>
                </c:pt>
                <c:pt idx="2">
                  <c:v>Total de Vendas Semana 3</c:v>
                </c:pt>
                <c:pt idx="3">
                  <c:v>Total de Vendas Semana 4</c:v>
                </c:pt>
                <c:pt idx="4">
                  <c:v>Total de Vendas Semana 5</c:v>
                </c:pt>
              </c:strCache>
            </c:strRef>
          </c:cat>
          <c:val>
            <c:numRef>
              <c:f>Vendas!$D$6:$D$10</c:f>
              <c:numCache>
                <c:formatCode>_([$€-2]\ * #,##0.00_);_([$€-2]\ * \(#,##0.00\);_([$€-2]\ * "-"??_);_(@_)</c:formatCode>
                <c:ptCount val="5"/>
                <c:pt idx="0">
                  <c:v>1604.99</c:v>
                </c:pt>
                <c:pt idx="1">
                  <c:v>526.55999999999995</c:v>
                </c:pt>
                <c:pt idx="2">
                  <c:v>109.8</c:v>
                </c:pt>
                <c:pt idx="3">
                  <c:v>670.87000000000012</c:v>
                </c:pt>
                <c:pt idx="4">
                  <c:v>457.14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2575744"/>
        <c:axId val="172598016"/>
      </c:barChart>
      <c:catAx>
        <c:axId val="172575744"/>
        <c:scaling>
          <c:orientation val="minMax"/>
        </c:scaling>
        <c:delete val="0"/>
        <c:axPos val="b"/>
        <c:majorTickMark val="out"/>
        <c:minorTickMark val="none"/>
        <c:tickLblPos val="nextTo"/>
        <c:crossAx val="172598016"/>
        <c:crosses val="autoZero"/>
        <c:auto val="1"/>
        <c:lblAlgn val="ctr"/>
        <c:lblOffset val="100"/>
        <c:noMultiLvlLbl val="0"/>
      </c:catAx>
      <c:valAx>
        <c:axId val="172598016"/>
        <c:scaling>
          <c:orientation val="minMax"/>
        </c:scaling>
        <c:delete val="0"/>
        <c:axPos val="l"/>
        <c:numFmt formatCode="_([$€-2]\ * #,##0.00_);_([$€-2]\ * \(#,##0.00\);_([$€-2]\ * &quot;-&quot;??_);_(@_)" sourceLinked="1"/>
        <c:majorTickMark val="out"/>
        <c:minorTickMark val="none"/>
        <c:tickLblPos val="nextTo"/>
        <c:crossAx val="1725757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n>
            <a:solidFill>
              <a:schemeClr val="accent6">
                <a:lumMod val="75000"/>
              </a:schemeClr>
            </a:solidFill>
          </a:ln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0643909943335562"/>
          <c:y val="0.19842068128580698"/>
          <c:w val="0.56666867545487787"/>
          <c:h val="0.711136624051025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</c:spPr>
          <c:invertIfNegative val="0"/>
          <c:cat>
            <c:strRef>
              <c:f>Vendas!$C$30:$C$31</c:f>
              <c:strCache>
                <c:ptCount val="2"/>
                <c:pt idx="0">
                  <c:v>Vendas por Entregas (Euros)</c:v>
                </c:pt>
                <c:pt idx="1">
                  <c:v>Receitas Entregas (Euros)</c:v>
                </c:pt>
              </c:strCache>
            </c:strRef>
          </c:cat>
          <c:val>
            <c:numRef>
              <c:f>Vendas!$D$30:$D$31</c:f>
              <c:numCache>
                <c:formatCode>_([$€-2]\ * #,##0.00_);_([$€-2]\ * \(#,##0.00\);_([$€-2]\ * "-"??_);_(@_)</c:formatCode>
                <c:ptCount val="2"/>
                <c:pt idx="0">
                  <c:v>2456.87</c:v>
                </c:pt>
                <c:pt idx="1">
                  <c:v>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625344"/>
        <c:axId val="173626880"/>
      </c:barChart>
      <c:catAx>
        <c:axId val="173625344"/>
        <c:scaling>
          <c:orientation val="minMax"/>
        </c:scaling>
        <c:delete val="0"/>
        <c:axPos val="l"/>
        <c:majorTickMark val="out"/>
        <c:minorTickMark val="none"/>
        <c:tickLblPos val="nextTo"/>
        <c:crossAx val="173626880"/>
        <c:crosses val="autoZero"/>
        <c:auto val="1"/>
        <c:lblAlgn val="ctr"/>
        <c:lblOffset val="100"/>
        <c:noMultiLvlLbl val="0"/>
      </c:catAx>
      <c:valAx>
        <c:axId val="173626880"/>
        <c:scaling>
          <c:orientation val="minMax"/>
        </c:scaling>
        <c:delete val="0"/>
        <c:axPos val="b"/>
        <c:majorGridlines/>
        <c:numFmt formatCode="_([$€-2]\ * #,##0.00_);_([$€-2]\ * \(#,##0.00\);_([$€-2]\ * &quot;-&quot;??_);_(@_)" sourceLinked="1"/>
        <c:majorTickMark val="out"/>
        <c:minorTickMark val="none"/>
        <c:tickLblPos val="nextTo"/>
        <c:crossAx val="1736253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391125174773716"/>
          <c:y val="2.5898090324916283E-2"/>
          <c:w val="0.58632202516741483"/>
          <c:h val="0.86533043714363289"/>
        </c:manualLayout>
      </c:layout>
      <c:pieChart>
        <c:varyColors val="1"/>
        <c:ser>
          <c:idx val="0"/>
          <c:order val="0"/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Vendas!$C$53:$C$56</c:f>
              <c:strCache>
                <c:ptCount val="4"/>
                <c:pt idx="0">
                  <c:v>Loja</c:v>
                </c:pt>
                <c:pt idx="1">
                  <c:v>Zona Norte</c:v>
                </c:pt>
                <c:pt idx="2">
                  <c:v>Zona Oeste</c:v>
                </c:pt>
                <c:pt idx="3">
                  <c:v>Zona Sul</c:v>
                </c:pt>
              </c:strCache>
            </c:strRef>
          </c:cat>
          <c:val>
            <c:numRef>
              <c:f>Vendas!$D$53:$D$56</c:f>
              <c:numCache>
                <c:formatCode>General</c:formatCode>
                <c:ptCount val="4"/>
                <c:pt idx="0">
                  <c:v>9</c:v>
                </c:pt>
                <c:pt idx="1">
                  <c:v>4</c:v>
                </c:pt>
                <c:pt idx="2">
                  <c:v>2</c:v>
                </c:pt>
                <c:pt idx="3">
                  <c:v>4</c:v>
                </c:pt>
              </c:numCache>
            </c:numRef>
          </c:val>
        </c:ser>
        <c:ser>
          <c:idx val="1"/>
          <c:order val="1"/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Vendas!$C$53:$C$56</c:f>
              <c:strCache>
                <c:ptCount val="4"/>
                <c:pt idx="0">
                  <c:v>Loja</c:v>
                </c:pt>
                <c:pt idx="1">
                  <c:v>Zona Norte</c:v>
                </c:pt>
                <c:pt idx="2">
                  <c:v>Zona Oeste</c:v>
                </c:pt>
                <c:pt idx="3">
                  <c:v>Zona Sul</c:v>
                </c:pt>
              </c:strCache>
            </c:strRef>
          </c:cat>
          <c:val>
            <c:numRef>
              <c:f>Vendas!$E$53:$E$56</c:f>
              <c:numCache>
                <c:formatCode>General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Investimentos!A1"/><Relationship Id="rId3" Type="http://schemas.openxmlformats.org/officeDocument/2006/relationships/hyperlink" Target="#'Despesas '!A1"/><Relationship Id="rId7" Type="http://schemas.openxmlformats.org/officeDocument/2006/relationships/hyperlink" Target="#'Controlo de Stock'!A1"/><Relationship Id="rId2" Type="http://schemas.microsoft.com/office/2007/relationships/hdphoto" Target="../media/hdphoto1.wdp"/><Relationship Id="rId1" Type="http://schemas.openxmlformats.org/officeDocument/2006/relationships/image" Target="../media/image1.jpeg"/><Relationship Id="rId6" Type="http://schemas.openxmlformats.org/officeDocument/2006/relationships/hyperlink" Target="#Vendas!A1"/><Relationship Id="rId5" Type="http://schemas.openxmlformats.org/officeDocument/2006/relationships/hyperlink" Target="#Resultados!A1"/><Relationship Id="rId4" Type="http://schemas.openxmlformats.org/officeDocument/2006/relationships/hyperlink" Target="#'Controlo de  Mercadoria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Despesas '!A1"/><Relationship Id="rId2" Type="http://schemas.openxmlformats.org/officeDocument/2006/relationships/hyperlink" Target="#'Controlo de Stock'!A1"/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'Despesas '!A1"/><Relationship Id="rId1" Type="http://schemas.openxmlformats.org/officeDocument/2006/relationships/hyperlink" Target="#'Controlo de Stock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Vendas!A1"/><Relationship Id="rId1" Type="http://schemas.openxmlformats.org/officeDocument/2006/relationships/hyperlink" Target="#'Controlo de  Mercadoria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Controlo de  Mercadorias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Semana 3'!A1"/><Relationship Id="rId3" Type="http://schemas.openxmlformats.org/officeDocument/2006/relationships/chart" Target="../charts/chart3.xml"/><Relationship Id="rId7" Type="http://schemas.openxmlformats.org/officeDocument/2006/relationships/hyperlink" Target="#'Semana 1'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Menu!A1"/><Relationship Id="rId11" Type="http://schemas.openxmlformats.org/officeDocument/2006/relationships/hyperlink" Target="#'Semana 5'!A1"/><Relationship Id="rId5" Type="http://schemas.openxmlformats.org/officeDocument/2006/relationships/hyperlink" Target="#'Despesas '!A1"/><Relationship Id="rId10" Type="http://schemas.openxmlformats.org/officeDocument/2006/relationships/hyperlink" Target="#'Semana 4'!A1"/><Relationship Id="rId4" Type="http://schemas.openxmlformats.org/officeDocument/2006/relationships/hyperlink" Target="#Vendas!A68"/><Relationship Id="rId9" Type="http://schemas.openxmlformats.org/officeDocument/2006/relationships/hyperlink" Target="#'Semana 2'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'Semana 1'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Semana 2'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'Semana 3'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'Semana 4'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'Semana 5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29</xdr:col>
      <xdr:colOff>204430</xdr:colOff>
      <xdr:row>49</xdr:row>
      <xdr:rowOff>15240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7882830" cy="8976360"/>
        </a:xfrm>
        <a:prstGeom prst="rect">
          <a:avLst/>
        </a:prstGeom>
      </xdr:spPr>
    </xdr:pic>
    <xdr:clientData/>
  </xdr:twoCellAnchor>
  <xdr:twoCellAnchor>
    <xdr:from>
      <xdr:col>1</xdr:col>
      <xdr:colOff>342900</xdr:colOff>
      <xdr:row>27</xdr:row>
      <xdr:rowOff>152400</xdr:rowOff>
    </xdr:from>
    <xdr:to>
      <xdr:col>4</xdr:col>
      <xdr:colOff>175260</xdr:colOff>
      <xdr:row>31</xdr:row>
      <xdr:rowOff>53340</xdr:rowOff>
    </xdr:to>
    <xdr:sp macro="" textlink="">
      <xdr:nvSpPr>
        <xdr:cNvPr id="2" name="1 Rectángulo redondeado">
          <a:hlinkClick xmlns:r="http://schemas.openxmlformats.org/officeDocument/2006/relationships" r:id="rId3"/>
        </xdr:cNvPr>
        <xdr:cNvSpPr/>
      </xdr:nvSpPr>
      <xdr:spPr>
        <a:xfrm>
          <a:off x="952500" y="5090160"/>
          <a:ext cx="1661160" cy="632460"/>
        </a:xfrm>
        <a:prstGeom prst="roundRect">
          <a:avLst/>
        </a:prstGeom>
        <a:solidFill>
          <a:schemeClr val="accent4"/>
        </a:solidFill>
        <a:effectLst>
          <a:innerShdw blurRad="63500" dist="50800" dir="18900000">
            <a:prstClr val="black">
              <a:alpha val="50000"/>
            </a:prstClr>
          </a:inn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>
              <a:solidFill>
                <a:srgbClr val="002060"/>
              </a:solidFill>
            </a:rPr>
            <a:t>Despesas </a:t>
          </a:r>
        </a:p>
      </xdr:txBody>
    </xdr:sp>
    <xdr:clientData/>
  </xdr:twoCellAnchor>
  <xdr:twoCellAnchor>
    <xdr:from>
      <xdr:col>4</xdr:col>
      <xdr:colOff>571500</xdr:colOff>
      <xdr:row>27</xdr:row>
      <xdr:rowOff>152400</xdr:rowOff>
    </xdr:from>
    <xdr:to>
      <xdr:col>7</xdr:col>
      <xdr:colOff>403860</xdr:colOff>
      <xdr:row>31</xdr:row>
      <xdr:rowOff>53340</xdr:rowOff>
    </xdr:to>
    <xdr:sp macro="" textlink="">
      <xdr:nvSpPr>
        <xdr:cNvPr id="3" name="2 Rectángulo redondeado">
          <a:hlinkClick xmlns:r="http://schemas.openxmlformats.org/officeDocument/2006/relationships" r:id="rId4"/>
        </xdr:cNvPr>
        <xdr:cNvSpPr/>
      </xdr:nvSpPr>
      <xdr:spPr>
        <a:xfrm>
          <a:off x="3009900" y="5090160"/>
          <a:ext cx="1661160" cy="632460"/>
        </a:xfrm>
        <a:prstGeom prst="roundRect">
          <a:avLst/>
        </a:prstGeom>
        <a:solidFill>
          <a:schemeClr val="accent4"/>
        </a:solidFill>
        <a:effectLst>
          <a:innerShdw blurRad="63500" dist="50800" dir="18900000">
            <a:prstClr val="black">
              <a:alpha val="50000"/>
            </a:prstClr>
          </a:inn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>
              <a:solidFill>
                <a:srgbClr val="002060"/>
              </a:solidFill>
            </a:rPr>
            <a:t>Controlo de Mercadorias</a:t>
          </a:r>
        </a:p>
        <a:p>
          <a:pPr algn="l"/>
          <a:endParaRPr lang="es-ES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190500</xdr:colOff>
      <xdr:row>27</xdr:row>
      <xdr:rowOff>175260</xdr:rowOff>
    </xdr:from>
    <xdr:to>
      <xdr:col>17</xdr:col>
      <xdr:colOff>22860</xdr:colOff>
      <xdr:row>31</xdr:row>
      <xdr:rowOff>76200</xdr:rowOff>
    </xdr:to>
    <xdr:sp macro="" textlink="">
      <xdr:nvSpPr>
        <xdr:cNvPr id="4" name="3 Rectángulo redondeado">
          <a:hlinkClick xmlns:r="http://schemas.openxmlformats.org/officeDocument/2006/relationships" r:id="rId5"/>
        </xdr:cNvPr>
        <xdr:cNvSpPr/>
      </xdr:nvSpPr>
      <xdr:spPr>
        <a:xfrm>
          <a:off x="8724900" y="5113020"/>
          <a:ext cx="1661160" cy="632460"/>
        </a:xfrm>
        <a:prstGeom prst="roundRect">
          <a:avLst/>
        </a:prstGeom>
        <a:solidFill>
          <a:schemeClr val="accent4"/>
        </a:solidFill>
        <a:effectLst>
          <a:innerShdw blurRad="63500" dist="50800" dir="18900000">
            <a:prstClr val="black">
              <a:alpha val="50000"/>
            </a:prstClr>
          </a:inn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s-ES" sz="1200" b="1">
            <a:solidFill>
              <a:srgbClr val="002060"/>
            </a:solidFill>
          </a:endParaRPr>
        </a:p>
        <a:p>
          <a:pPr lvl="0" algn="ctr"/>
          <a:r>
            <a:rPr lang="es-ES" sz="1200" b="1">
              <a:solidFill>
                <a:srgbClr val="002060"/>
              </a:solidFill>
            </a:rPr>
            <a:t>Resultados</a:t>
          </a:r>
        </a:p>
        <a:p>
          <a:pPr algn="ctr"/>
          <a:endParaRPr lang="es-ES" sz="1400" b="1">
            <a:solidFill>
              <a:srgbClr val="002060"/>
            </a:solidFill>
          </a:endParaRPr>
        </a:p>
        <a:p>
          <a:pPr algn="ctr"/>
          <a:endParaRPr lang="es-ES" sz="160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251460</xdr:colOff>
      <xdr:row>28</xdr:row>
      <xdr:rowOff>0</xdr:rowOff>
    </xdr:from>
    <xdr:to>
      <xdr:col>20</xdr:col>
      <xdr:colOff>83820</xdr:colOff>
      <xdr:row>31</xdr:row>
      <xdr:rowOff>83820</xdr:rowOff>
    </xdr:to>
    <xdr:sp macro="" textlink="">
      <xdr:nvSpPr>
        <xdr:cNvPr id="5" name="4 Rectángulo redondeado">
          <a:hlinkClick xmlns:r="http://schemas.openxmlformats.org/officeDocument/2006/relationships" r:id="rId6"/>
        </xdr:cNvPr>
        <xdr:cNvSpPr/>
      </xdr:nvSpPr>
      <xdr:spPr>
        <a:xfrm>
          <a:off x="10614660" y="5120640"/>
          <a:ext cx="1661160" cy="632460"/>
        </a:xfrm>
        <a:prstGeom prst="roundRect">
          <a:avLst/>
        </a:prstGeom>
        <a:solidFill>
          <a:schemeClr val="accent4"/>
        </a:solidFill>
        <a:effectLst>
          <a:innerShdw blurRad="63500" dist="50800" dir="18900000">
            <a:prstClr val="black">
              <a:alpha val="50000"/>
            </a:prstClr>
          </a:inn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S" sz="1200" b="1">
            <a:solidFill>
              <a:srgbClr val="002060"/>
            </a:solidFill>
          </a:endParaRPr>
        </a:p>
        <a:p>
          <a:pPr algn="ctr"/>
          <a:r>
            <a:rPr lang="es-ES" sz="1200" b="1">
              <a:solidFill>
                <a:srgbClr val="002060"/>
              </a:solidFill>
            </a:rPr>
            <a:t>Vendas</a:t>
          </a:r>
        </a:p>
        <a:p>
          <a:pPr algn="ctr"/>
          <a:endParaRPr lang="es-ES" sz="1200" b="1">
            <a:solidFill>
              <a:srgbClr val="002060"/>
            </a:solidFill>
          </a:endParaRPr>
        </a:p>
        <a:p>
          <a:pPr algn="ctr"/>
          <a:endParaRPr lang="es-ES" sz="120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91440</xdr:colOff>
      <xdr:row>27</xdr:row>
      <xdr:rowOff>175260</xdr:rowOff>
    </xdr:from>
    <xdr:to>
      <xdr:col>13</xdr:col>
      <xdr:colOff>533400</xdr:colOff>
      <xdr:row>31</xdr:row>
      <xdr:rowOff>76200</xdr:rowOff>
    </xdr:to>
    <xdr:sp macro="" textlink="">
      <xdr:nvSpPr>
        <xdr:cNvPr id="6" name="5 Rectángulo redondeado">
          <a:hlinkClick xmlns:r="http://schemas.openxmlformats.org/officeDocument/2006/relationships" r:id="rId7"/>
        </xdr:cNvPr>
        <xdr:cNvSpPr/>
      </xdr:nvSpPr>
      <xdr:spPr>
        <a:xfrm>
          <a:off x="6797040" y="5113020"/>
          <a:ext cx="1661160" cy="632460"/>
        </a:xfrm>
        <a:prstGeom prst="roundRect">
          <a:avLst/>
        </a:prstGeom>
        <a:solidFill>
          <a:schemeClr val="accent4"/>
        </a:solidFill>
        <a:effectLst>
          <a:innerShdw blurRad="63500" dist="50800" dir="18900000">
            <a:prstClr val="black">
              <a:alpha val="50000"/>
            </a:prstClr>
          </a:inn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>
              <a:solidFill>
                <a:srgbClr val="002060"/>
              </a:solidFill>
            </a:rPr>
            <a:t>Controlo de stock</a:t>
          </a:r>
        </a:p>
      </xdr:txBody>
    </xdr:sp>
    <xdr:clientData/>
  </xdr:twoCellAnchor>
  <xdr:twoCellAnchor>
    <xdr:from>
      <xdr:col>8</xdr:col>
      <xdr:colOff>15240</xdr:colOff>
      <xdr:row>27</xdr:row>
      <xdr:rowOff>152400</xdr:rowOff>
    </xdr:from>
    <xdr:to>
      <xdr:col>10</xdr:col>
      <xdr:colOff>457200</xdr:colOff>
      <xdr:row>31</xdr:row>
      <xdr:rowOff>53340</xdr:rowOff>
    </xdr:to>
    <xdr:sp macro="" textlink="">
      <xdr:nvSpPr>
        <xdr:cNvPr id="7" name="6 Rectángulo redondeado">
          <a:hlinkClick xmlns:r="http://schemas.openxmlformats.org/officeDocument/2006/relationships" r:id="rId8"/>
        </xdr:cNvPr>
        <xdr:cNvSpPr/>
      </xdr:nvSpPr>
      <xdr:spPr>
        <a:xfrm>
          <a:off x="4892040" y="5090160"/>
          <a:ext cx="1661160" cy="632460"/>
        </a:xfrm>
        <a:prstGeom prst="roundRect">
          <a:avLst/>
        </a:prstGeom>
        <a:solidFill>
          <a:schemeClr val="accent4"/>
        </a:solidFill>
        <a:effectLst>
          <a:innerShdw blurRad="63500" dist="50800" dir="18900000">
            <a:prstClr val="black">
              <a:alpha val="50000"/>
            </a:prstClr>
          </a:inn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S" sz="1200" b="1">
            <a:solidFill>
              <a:srgbClr val="002060"/>
            </a:solidFill>
          </a:endParaRPr>
        </a:p>
        <a:p>
          <a:pPr algn="ctr"/>
          <a:r>
            <a:rPr lang="es-ES" sz="1200" b="1">
              <a:solidFill>
                <a:srgbClr val="002060"/>
              </a:solidFill>
            </a:rPr>
            <a:t>Investimentos</a:t>
          </a:r>
        </a:p>
        <a:p>
          <a:pPr algn="ctr"/>
          <a:endParaRPr lang="es-ES" sz="1200" b="1">
            <a:solidFill>
              <a:srgbClr val="002060"/>
            </a:solidFill>
          </a:endParaRPr>
        </a:p>
        <a:p>
          <a:pPr algn="ctr"/>
          <a:endParaRPr lang="es-ES" sz="1200" b="1">
            <a:solidFill>
              <a:srgbClr val="002060"/>
            </a:solidFill>
          </a:endParaRPr>
        </a:p>
        <a:p>
          <a:pPr algn="ctr"/>
          <a:endParaRPr lang="es-ES" sz="1200" b="1">
            <a:solidFill>
              <a:srgbClr val="002060"/>
            </a:solidFill>
          </a:endParaRPr>
        </a:p>
        <a:p>
          <a:pPr algn="ctr"/>
          <a:endParaRPr lang="es-ES" sz="120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142875</xdr:colOff>
      <xdr:row>0</xdr:row>
      <xdr:rowOff>66675</xdr:rowOff>
    </xdr:from>
    <xdr:to>
      <xdr:col>6</xdr:col>
      <xdr:colOff>1333500</xdr:colOff>
      <xdr:row>1</xdr:row>
      <xdr:rowOff>266700</xdr:rowOff>
    </xdr:to>
    <xdr:sp macro="" textlink="">
      <xdr:nvSpPr>
        <xdr:cNvPr id="2" name="1 Rectángulo redondeado">
          <a:hlinkClick xmlns:r="http://schemas.openxmlformats.org/officeDocument/2006/relationships" r:id="rId1"/>
        </xdr:cNvPr>
        <xdr:cNvSpPr/>
      </xdr:nvSpPr>
      <xdr:spPr>
        <a:xfrm>
          <a:off x="9439275" y="66675"/>
          <a:ext cx="1190625" cy="38100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MENU</a:t>
          </a:r>
        </a:p>
      </xdr:txBody>
    </xdr:sp>
    <xdr:clientData/>
  </xdr:twoCellAnchor>
  <xdr:twoCellAnchor>
    <xdr:from>
      <xdr:col>5</xdr:col>
      <xdr:colOff>219075</xdr:colOff>
      <xdr:row>0</xdr:row>
      <xdr:rowOff>57150</xdr:rowOff>
    </xdr:from>
    <xdr:to>
      <xdr:col>6</xdr:col>
      <xdr:colOff>19050</xdr:colOff>
      <xdr:row>1</xdr:row>
      <xdr:rowOff>257175</xdr:rowOff>
    </xdr:to>
    <xdr:sp macro="" textlink="">
      <xdr:nvSpPr>
        <xdr:cNvPr id="3" name="2 Rectángulo redondeado">
          <a:hlinkClick xmlns:r="http://schemas.openxmlformats.org/officeDocument/2006/relationships" r:id="rId2"/>
        </xdr:cNvPr>
        <xdr:cNvSpPr/>
      </xdr:nvSpPr>
      <xdr:spPr>
        <a:xfrm>
          <a:off x="7581900" y="57150"/>
          <a:ext cx="1733550" cy="38100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CONTROLO</a:t>
          </a:r>
          <a:r>
            <a:rPr lang="es-ES" sz="1100" b="1" baseline="0"/>
            <a:t> DE STOCK</a:t>
          </a:r>
        </a:p>
      </xdr:txBody>
    </xdr:sp>
    <xdr:clientData/>
  </xdr:twoCellAnchor>
  <xdr:twoCellAnchor>
    <xdr:from>
      <xdr:col>3</xdr:col>
      <xdr:colOff>800100</xdr:colOff>
      <xdr:row>0</xdr:row>
      <xdr:rowOff>57150</xdr:rowOff>
    </xdr:from>
    <xdr:to>
      <xdr:col>5</xdr:col>
      <xdr:colOff>66675</xdr:colOff>
      <xdr:row>1</xdr:row>
      <xdr:rowOff>257175</xdr:rowOff>
    </xdr:to>
    <xdr:sp macro="" textlink="">
      <xdr:nvSpPr>
        <xdr:cNvPr id="4" name="3 Rectángulo redondeado">
          <a:hlinkClick xmlns:r="http://schemas.openxmlformats.org/officeDocument/2006/relationships" r:id="rId3"/>
        </xdr:cNvPr>
        <xdr:cNvSpPr/>
      </xdr:nvSpPr>
      <xdr:spPr>
        <a:xfrm>
          <a:off x="6238875" y="57150"/>
          <a:ext cx="1190625" cy="38100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DESPESAS</a:t>
          </a:r>
        </a:p>
        <a:p>
          <a:pPr algn="ctr"/>
          <a:endParaRPr lang="es-ES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1377315</xdr:colOff>
      <xdr:row>0</xdr:row>
      <xdr:rowOff>106680</xdr:rowOff>
    </xdr:from>
    <xdr:to>
      <xdr:col>7</xdr:col>
      <xdr:colOff>662940</xdr:colOff>
      <xdr:row>1</xdr:row>
      <xdr:rowOff>306705</xdr:rowOff>
    </xdr:to>
    <xdr:sp macro="" textlink="">
      <xdr:nvSpPr>
        <xdr:cNvPr id="5" name="4 Rectángulo redondeado">
          <a:hlinkClick xmlns:r="http://schemas.openxmlformats.org/officeDocument/2006/relationships" r:id="rId1"/>
        </xdr:cNvPr>
        <xdr:cNvSpPr/>
      </xdr:nvSpPr>
      <xdr:spPr>
        <a:xfrm>
          <a:off x="6749415" y="106680"/>
          <a:ext cx="1602105" cy="382905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 baseline="0"/>
            <a:t>CONTROLO DE STOCK</a:t>
          </a:r>
        </a:p>
      </xdr:txBody>
    </xdr:sp>
    <xdr:clientData/>
  </xdr:twoCellAnchor>
  <xdr:twoCellAnchor>
    <xdr:from>
      <xdr:col>7</xdr:col>
      <xdr:colOff>796290</xdr:colOff>
      <xdr:row>0</xdr:row>
      <xdr:rowOff>106680</xdr:rowOff>
    </xdr:from>
    <xdr:to>
      <xdr:col>9</xdr:col>
      <xdr:colOff>110490</xdr:colOff>
      <xdr:row>1</xdr:row>
      <xdr:rowOff>306705</xdr:rowOff>
    </xdr:to>
    <xdr:sp macro="" textlink="">
      <xdr:nvSpPr>
        <xdr:cNvPr id="6" name="5 Rectángulo redondeado">
          <a:hlinkClick xmlns:r="http://schemas.openxmlformats.org/officeDocument/2006/relationships" r:id="rId2"/>
        </xdr:cNvPr>
        <xdr:cNvSpPr/>
      </xdr:nvSpPr>
      <xdr:spPr>
        <a:xfrm>
          <a:off x="8484870" y="106680"/>
          <a:ext cx="1120140" cy="382905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DESPESAS</a:t>
          </a:r>
        </a:p>
        <a:p>
          <a:pPr algn="ctr"/>
          <a:endParaRPr lang="es-ES" sz="1100" b="1"/>
        </a:p>
      </xdr:txBody>
    </xdr:sp>
    <xdr:clientData/>
  </xdr:twoCellAnchor>
  <xdr:twoCellAnchor>
    <xdr:from>
      <xdr:col>9</xdr:col>
      <xdr:colOff>262889</xdr:colOff>
      <xdr:row>0</xdr:row>
      <xdr:rowOff>106680</xdr:rowOff>
    </xdr:from>
    <xdr:to>
      <xdr:col>9</xdr:col>
      <xdr:colOff>1453514</xdr:colOff>
      <xdr:row>1</xdr:row>
      <xdr:rowOff>306705</xdr:rowOff>
    </xdr:to>
    <xdr:sp macro="" textlink="">
      <xdr:nvSpPr>
        <xdr:cNvPr id="7" name="6 Rectángulo redondeado">
          <a:hlinkClick xmlns:r="http://schemas.openxmlformats.org/officeDocument/2006/relationships" r:id="rId3"/>
        </xdr:cNvPr>
        <xdr:cNvSpPr/>
      </xdr:nvSpPr>
      <xdr:spPr>
        <a:xfrm>
          <a:off x="9757409" y="106680"/>
          <a:ext cx="1190625" cy="382905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MENU</a:t>
          </a:r>
        </a:p>
      </xdr:txBody>
    </xdr:sp>
    <xdr:clientData/>
  </xdr:twoCellAnchor>
  <xdr:twoCellAnchor>
    <xdr:from>
      <xdr:col>1</xdr:col>
      <xdr:colOff>590550</xdr:colOff>
      <xdr:row>2</xdr:row>
      <xdr:rowOff>304800</xdr:rowOff>
    </xdr:from>
    <xdr:to>
      <xdr:col>3</xdr:col>
      <xdr:colOff>990600</xdr:colOff>
      <xdr:row>2</xdr:row>
      <xdr:rowOff>624840</xdr:rowOff>
    </xdr:to>
    <xdr:sp macro="[0]!Macro4" textlink="">
      <xdr:nvSpPr>
        <xdr:cNvPr id="9" name="8 Rectángulo redondeado"/>
        <xdr:cNvSpPr/>
      </xdr:nvSpPr>
      <xdr:spPr>
        <a:xfrm>
          <a:off x="1200150" y="838200"/>
          <a:ext cx="1600200" cy="32004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 baseline="0"/>
            <a:t>Inserir  Compra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937260</xdr:colOff>
      <xdr:row>0</xdr:row>
      <xdr:rowOff>60960</xdr:rowOff>
    </xdr:from>
    <xdr:to>
      <xdr:col>6</xdr:col>
      <xdr:colOff>1203960</xdr:colOff>
      <xdr:row>1</xdr:row>
      <xdr:rowOff>266700</xdr:rowOff>
    </xdr:to>
    <xdr:sp macro="" textlink="">
      <xdr:nvSpPr>
        <xdr:cNvPr id="2" name="1 Rectángulo redondeado">
          <a:hlinkClick xmlns:r="http://schemas.openxmlformats.org/officeDocument/2006/relationships" r:id="rId1"/>
        </xdr:cNvPr>
        <xdr:cNvSpPr/>
      </xdr:nvSpPr>
      <xdr:spPr>
        <a:xfrm>
          <a:off x="7482840" y="60960"/>
          <a:ext cx="1722120" cy="3886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Compras</a:t>
          </a:r>
          <a:r>
            <a:rPr lang="es-ES" sz="1200"/>
            <a:t> </a:t>
          </a:r>
          <a:r>
            <a:rPr lang="es-ES" sz="1200" b="1"/>
            <a:t>Mercadorias</a:t>
          </a:r>
        </a:p>
      </xdr:txBody>
    </xdr:sp>
    <xdr:clientData/>
  </xdr:twoCellAnchor>
  <xdr:twoCellAnchor>
    <xdr:from>
      <xdr:col>6</xdr:col>
      <xdr:colOff>1310640</xdr:colOff>
      <xdr:row>0</xdr:row>
      <xdr:rowOff>68580</xdr:rowOff>
    </xdr:from>
    <xdr:to>
      <xdr:col>7</xdr:col>
      <xdr:colOff>1135380</xdr:colOff>
      <xdr:row>1</xdr:row>
      <xdr:rowOff>274320</xdr:rowOff>
    </xdr:to>
    <xdr:sp macro="" textlink="">
      <xdr:nvSpPr>
        <xdr:cNvPr id="3" name="2 Rectángulo redondeado">
          <a:hlinkClick xmlns:r="http://schemas.openxmlformats.org/officeDocument/2006/relationships" r:id="rId2"/>
        </xdr:cNvPr>
        <xdr:cNvSpPr/>
      </xdr:nvSpPr>
      <xdr:spPr>
        <a:xfrm>
          <a:off x="9311640" y="68580"/>
          <a:ext cx="1150620" cy="3886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Vendas</a:t>
          </a:r>
        </a:p>
      </xdr:txBody>
    </xdr:sp>
    <xdr:clientData/>
  </xdr:twoCellAnchor>
  <xdr:twoCellAnchor>
    <xdr:from>
      <xdr:col>7</xdr:col>
      <xdr:colOff>1249680</xdr:colOff>
      <xdr:row>0</xdr:row>
      <xdr:rowOff>76200</xdr:rowOff>
    </xdr:from>
    <xdr:to>
      <xdr:col>9</xdr:col>
      <xdr:colOff>472440</xdr:colOff>
      <xdr:row>1</xdr:row>
      <xdr:rowOff>281940</xdr:rowOff>
    </xdr:to>
    <xdr:sp macro="" textlink="">
      <xdr:nvSpPr>
        <xdr:cNvPr id="4" name="3 Rectángulo redondeado">
          <a:hlinkClick xmlns:r="http://schemas.openxmlformats.org/officeDocument/2006/relationships" r:id="rId3"/>
        </xdr:cNvPr>
        <xdr:cNvSpPr/>
      </xdr:nvSpPr>
      <xdr:spPr>
        <a:xfrm>
          <a:off x="10576560" y="76200"/>
          <a:ext cx="1150620" cy="3886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Menu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78317</xdr:colOff>
      <xdr:row>0</xdr:row>
      <xdr:rowOff>85725</xdr:rowOff>
    </xdr:from>
    <xdr:to>
      <xdr:col>7</xdr:col>
      <xdr:colOff>415926</xdr:colOff>
      <xdr:row>1</xdr:row>
      <xdr:rowOff>285750</xdr:rowOff>
    </xdr:to>
    <xdr:sp macro="" textlink="">
      <xdr:nvSpPr>
        <xdr:cNvPr id="2" name="1 Rectángulo redondeado">
          <a:hlinkClick xmlns:r="http://schemas.openxmlformats.org/officeDocument/2006/relationships" r:id="rId1"/>
        </xdr:cNvPr>
        <xdr:cNvSpPr/>
      </xdr:nvSpPr>
      <xdr:spPr>
        <a:xfrm>
          <a:off x="6267450" y="85725"/>
          <a:ext cx="1556809" cy="38629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C.</a:t>
          </a:r>
          <a:r>
            <a:rPr lang="es-ES" sz="1100" b="1" baseline="0"/>
            <a:t>MERCADORIAS</a:t>
          </a:r>
        </a:p>
      </xdr:txBody>
    </xdr:sp>
    <xdr:clientData/>
  </xdr:twoCellAnchor>
  <xdr:twoCellAnchor>
    <xdr:from>
      <xdr:col>10</xdr:col>
      <xdr:colOff>76201</xdr:colOff>
      <xdr:row>0</xdr:row>
      <xdr:rowOff>85725</xdr:rowOff>
    </xdr:from>
    <xdr:to>
      <xdr:col>11</xdr:col>
      <xdr:colOff>590551</xdr:colOff>
      <xdr:row>1</xdr:row>
      <xdr:rowOff>285750</xdr:rowOff>
    </xdr:to>
    <xdr:sp macro="" textlink="">
      <xdr:nvSpPr>
        <xdr:cNvPr id="3" name="2 Rectángulo redondeado">
          <a:hlinkClick xmlns:r="http://schemas.openxmlformats.org/officeDocument/2006/relationships" r:id="rId2"/>
        </xdr:cNvPr>
        <xdr:cNvSpPr/>
      </xdr:nvSpPr>
      <xdr:spPr>
        <a:xfrm>
          <a:off x="9313334" y="85725"/>
          <a:ext cx="1123950" cy="38629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DESPESAS</a:t>
          </a:r>
        </a:p>
        <a:p>
          <a:pPr algn="ctr"/>
          <a:endParaRPr lang="es-ES" sz="1100" b="1"/>
        </a:p>
      </xdr:txBody>
    </xdr:sp>
    <xdr:clientData/>
  </xdr:twoCellAnchor>
  <xdr:twoCellAnchor>
    <xdr:from>
      <xdr:col>7</xdr:col>
      <xdr:colOff>581025</xdr:colOff>
      <xdr:row>0</xdr:row>
      <xdr:rowOff>85725</xdr:rowOff>
    </xdr:from>
    <xdr:to>
      <xdr:col>9</xdr:col>
      <xdr:colOff>552450</xdr:colOff>
      <xdr:row>1</xdr:row>
      <xdr:rowOff>285750</xdr:rowOff>
    </xdr:to>
    <xdr:sp macro="" textlink="">
      <xdr:nvSpPr>
        <xdr:cNvPr id="5" name="4 Rectángulo redondeado">
          <a:hlinkClick xmlns:r="http://schemas.openxmlformats.org/officeDocument/2006/relationships" r:id="rId3"/>
        </xdr:cNvPr>
        <xdr:cNvSpPr/>
      </xdr:nvSpPr>
      <xdr:spPr>
        <a:xfrm>
          <a:off x="7989358" y="85725"/>
          <a:ext cx="1190625" cy="38629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MENU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281940</xdr:colOff>
      <xdr:row>5</xdr:row>
      <xdr:rowOff>49530</xdr:rowOff>
    </xdr:from>
    <xdr:to>
      <xdr:col>11</xdr:col>
      <xdr:colOff>586740</xdr:colOff>
      <xdr:row>20</xdr:row>
      <xdr:rowOff>38100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104776</xdr:colOff>
      <xdr:row>26</xdr:row>
      <xdr:rowOff>38100</xdr:rowOff>
    </xdr:from>
    <xdr:to>
      <xdr:col>11</xdr:col>
      <xdr:colOff>542926</xdr:colOff>
      <xdr:row>42</xdr:row>
      <xdr:rowOff>152400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171450</xdr:colOff>
      <xdr:row>48</xdr:row>
      <xdr:rowOff>38100</xdr:rowOff>
    </xdr:from>
    <xdr:to>
      <xdr:col>11</xdr:col>
      <xdr:colOff>590550</xdr:colOff>
      <xdr:row>62</xdr:row>
      <xdr:rowOff>152400</xdr:rowOff>
    </xdr:to>
    <xdr:graphicFrame macro="">
      <xdr:nvGraphicFramePr>
        <xdr:cNvPr id="4" name="3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47625</xdr:colOff>
      <xdr:row>0</xdr:row>
      <xdr:rowOff>85725</xdr:rowOff>
    </xdr:from>
    <xdr:to>
      <xdr:col>7</xdr:col>
      <xdr:colOff>428625</xdr:colOff>
      <xdr:row>1</xdr:row>
      <xdr:rowOff>285750</xdr:rowOff>
    </xdr:to>
    <xdr:sp macro="" textlink="">
      <xdr:nvSpPr>
        <xdr:cNvPr id="5" name="4 Rectángulo redondeado">
          <a:hlinkClick xmlns:r="http://schemas.openxmlformats.org/officeDocument/2006/relationships" r:id="rId4"/>
        </xdr:cNvPr>
        <xdr:cNvSpPr/>
      </xdr:nvSpPr>
      <xdr:spPr>
        <a:xfrm>
          <a:off x="7734300" y="85725"/>
          <a:ext cx="1600200" cy="381000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 baseline="0"/>
            <a:t>IR PARA SEMANAS</a:t>
          </a:r>
        </a:p>
      </xdr:txBody>
    </xdr:sp>
    <xdr:clientData/>
  </xdr:twoCellAnchor>
  <xdr:twoCellAnchor>
    <xdr:from>
      <xdr:col>7</xdr:col>
      <xdr:colOff>561975</xdr:colOff>
      <xdr:row>0</xdr:row>
      <xdr:rowOff>85725</xdr:rowOff>
    </xdr:from>
    <xdr:to>
      <xdr:col>9</xdr:col>
      <xdr:colOff>466725</xdr:colOff>
      <xdr:row>1</xdr:row>
      <xdr:rowOff>285750</xdr:rowOff>
    </xdr:to>
    <xdr:sp macro="" textlink="">
      <xdr:nvSpPr>
        <xdr:cNvPr id="6" name="5 Rectángulo redondeado">
          <a:hlinkClick xmlns:r="http://schemas.openxmlformats.org/officeDocument/2006/relationships" r:id="rId5"/>
        </xdr:cNvPr>
        <xdr:cNvSpPr/>
      </xdr:nvSpPr>
      <xdr:spPr>
        <a:xfrm>
          <a:off x="9467850" y="85725"/>
          <a:ext cx="1123950" cy="381000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DESPESAS</a:t>
          </a:r>
        </a:p>
        <a:p>
          <a:pPr algn="ctr"/>
          <a:endParaRPr lang="es-ES" sz="1100" b="1"/>
        </a:p>
      </xdr:txBody>
    </xdr:sp>
    <xdr:clientData/>
  </xdr:twoCellAnchor>
  <xdr:twoCellAnchor>
    <xdr:from>
      <xdr:col>10</xdr:col>
      <xdr:colOff>9524</xdr:colOff>
      <xdr:row>0</xdr:row>
      <xdr:rowOff>85725</xdr:rowOff>
    </xdr:from>
    <xdr:to>
      <xdr:col>11</xdr:col>
      <xdr:colOff>590549</xdr:colOff>
      <xdr:row>1</xdr:row>
      <xdr:rowOff>285750</xdr:rowOff>
    </xdr:to>
    <xdr:sp macro="" textlink="">
      <xdr:nvSpPr>
        <xdr:cNvPr id="7" name="6 Rectángulo redondeado">
          <a:hlinkClick xmlns:r="http://schemas.openxmlformats.org/officeDocument/2006/relationships" r:id="rId6"/>
        </xdr:cNvPr>
        <xdr:cNvSpPr/>
      </xdr:nvSpPr>
      <xdr:spPr>
        <a:xfrm>
          <a:off x="10744199" y="85725"/>
          <a:ext cx="1190625" cy="381000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MENU</a:t>
          </a:r>
        </a:p>
      </xdr:txBody>
    </xdr:sp>
    <xdr:clientData/>
  </xdr:twoCellAnchor>
  <xdr:twoCellAnchor>
    <xdr:from>
      <xdr:col>1</xdr:col>
      <xdr:colOff>561975</xdr:colOff>
      <xdr:row>64</xdr:row>
      <xdr:rowOff>0</xdr:rowOff>
    </xdr:from>
    <xdr:to>
      <xdr:col>2</xdr:col>
      <xdr:colOff>123825</xdr:colOff>
      <xdr:row>66</xdr:row>
      <xdr:rowOff>19050</xdr:rowOff>
    </xdr:to>
    <xdr:sp macro="" textlink="">
      <xdr:nvSpPr>
        <xdr:cNvPr id="8" name="7 Rectángulo redondeado">
          <a:hlinkClick xmlns:r="http://schemas.openxmlformats.org/officeDocument/2006/relationships" r:id="rId7"/>
        </xdr:cNvPr>
        <xdr:cNvSpPr/>
      </xdr:nvSpPr>
      <xdr:spPr>
        <a:xfrm>
          <a:off x="2266950" y="12144375"/>
          <a:ext cx="1600200" cy="381000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aseline="0"/>
            <a:t>SEMANA 1</a:t>
          </a:r>
        </a:p>
      </xdr:txBody>
    </xdr:sp>
    <xdr:clientData/>
  </xdr:twoCellAnchor>
  <xdr:twoCellAnchor>
    <xdr:from>
      <xdr:col>3</xdr:col>
      <xdr:colOff>142874</xdr:colOff>
      <xdr:row>64</xdr:row>
      <xdr:rowOff>0</xdr:rowOff>
    </xdr:from>
    <xdr:to>
      <xdr:col>4</xdr:col>
      <xdr:colOff>428624</xdr:colOff>
      <xdr:row>66</xdr:row>
      <xdr:rowOff>19050</xdr:rowOff>
    </xdr:to>
    <xdr:sp macro="" textlink="">
      <xdr:nvSpPr>
        <xdr:cNvPr id="9" name="8 Rectángulo redondeado">
          <a:hlinkClick xmlns:r="http://schemas.openxmlformats.org/officeDocument/2006/relationships" r:id="rId8"/>
        </xdr:cNvPr>
        <xdr:cNvSpPr/>
      </xdr:nvSpPr>
      <xdr:spPr>
        <a:xfrm>
          <a:off x="5857874" y="12144375"/>
          <a:ext cx="1647825" cy="381000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SEMANA 3</a:t>
          </a:r>
        </a:p>
        <a:p>
          <a:pPr algn="ctr"/>
          <a:endParaRPr lang="es-ES" sz="1100"/>
        </a:p>
      </xdr:txBody>
    </xdr:sp>
    <xdr:clientData/>
  </xdr:twoCellAnchor>
  <xdr:twoCellAnchor>
    <xdr:from>
      <xdr:col>2</xdr:col>
      <xdr:colOff>276224</xdr:colOff>
      <xdr:row>64</xdr:row>
      <xdr:rowOff>9525</xdr:rowOff>
    </xdr:from>
    <xdr:to>
      <xdr:col>3</xdr:col>
      <xdr:colOff>12954</xdr:colOff>
      <xdr:row>66</xdr:row>
      <xdr:rowOff>28575</xdr:rowOff>
    </xdr:to>
    <xdr:sp macro="" textlink="">
      <xdr:nvSpPr>
        <xdr:cNvPr id="13" name="12 Rectángulo redondeado">
          <a:hlinkClick xmlns:r="http://schemas.openxmlformats.org/officeDocument/2006/relationships" r:id="rId9"/>
        </xdr:cNvPr>
        <xdr:cNvSpPr/>
      </xdr:nvSpPr>
      <xdr:spPr>
        <a:xfrm>
          <a:off x="4019549" y="12153900"/>
          <a:ext cx="1708405" cy="381000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SEMANA</a:t>
          </a:r>
          <a:r>
            <a:rPr lang="es-ES" sz="1100" baseline="0"/>
            <a:t> 2</a:t>
          </a:r>
          <a:endParaRPr lang="es-ES" sz="1100"/>
        </a:p>
      </xdr:txBody>
    </xdr:sp>
    <xdr:clientData/>
  </xdr:twoCellAnchor>
  <xdr:twoCellAnchor>
    <xdr:from>
      <xdr:col>5</xdr:col>
      <xdr:colOff>28574</xdr:colOff>
      <xdr:row>64</xdr:row>
      <xdr:rowOff>0</xdr:rowOff>
    </xdr:from>
    <xdr:to>
      <xdr:col>7</xdr:col>
      <xdr:colOff>561975</xdr:colOff>
      <xdr:row>66</xdr:row>
      <xdr:rowOff>19050</xdr:rowOff>
    </xdr:to>
    <xdr:sp macro="" textlink="">
      <xdr:nvSpPr>
        <xdr:cNvPr id="15" name="14 Rectángulo redondeado">
          <a:hlinkClick xmlns:r="http://schemas.openxmlformats.org/officeDocument/2006/relationships" r:id="rId10"/>
        </xdr:cNvPr>
        <xdr:cNvSpPr/>
      </xdr:nvSpPr>
      <xdr:spPr>
        <a:xfrm>
          <a:off x="7715249" y="12144375"/>
          <a:ext cx="1752601" cy="381000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SEMANA</a:t>
          </a:r>
          <a:r>
            <a:rPr lang="es-ES" sz="1100" baseline="0"/>
            <a:t> 4</a:t>
          </a:r>
          <a:endParaRPr lang="es-ES" sz="1100"/>
        </a:p>
      </xdr:txBody>
    </xdr:sp>
    <xdr:clientData/>
  </xdr:twoCellAnchor>
  <xdr:twoCellAnchor>
    <xdr:from>
      <xdr:col>8</xdr:col>
      <xdr:colOff>161924</xdr:colOff>
      <xdr:row>64</xdr:row>
      <xdr:rowOff>0</xdr:rowOff>
    </xdr:from>
    <xdr:to>
      <xdr:col>11</xdr:col>
      <xdr:colOff>85725</xdr:colOff>
      <xdr:row>66</xdr:row>
      <xdr:rowOff>19050</xdr:rowOff>
    </xdr:to>
    <xdr:sp macro="" textlink="">
      <xdr:nvSpPr>
        <xdr:cNvPr id="16" name="15 Rectángulo redondeado">
          <a:hlinkClick xmlns:r="http://schemas.openxmlformats.org/officeDocument/2006/relationships" r:id="rId11"/>
        </xdr:cNvPr>
        <xdr:cNvSpPr/>
      </xdr:nvSpPr>
      <xdr:spPr>
        <a:xfrm>
          <a:off x="9677399" y="12144375"/>
          <a:ext cx="1752601" cy="381000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SEMANA 5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235373</xdr:colOff>
      <xdr:row>6</xdr:row>
      <xdr:rowOff>140547</xdr:rowOff>
    </xdr:from>
    <xdr:to>
      <xdr:col>0</xdr:col>
      <xdr:colOff>1812713</xdr:colOff>
      <xdr:row>8</xdr:row>
      <xdr:rowOff>148167</xdr:rowOff>
    </xdr:to>
    <xdr:sp macro="[0]!excluir_registo_vendas" textlink="">
      <xdr:nvSpPr>
        <xdr:cNvPr id="3" name="2 Rectángulo redondeado"/>
        <xdr:cNvSpPr/>
      </xdr:nvSpPr>
      <xdr:spPr>
        <a:xfrm>
          <a:off x="235373" y="1723814"/>
          <a:ext cx="1577340" cy="380153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Excluir Registo</a:t>
          </a:r>
        </a:p>
      </xdr:txBody>
    </xdr:sp>
    <xdr:clientData/>
  </xdr:twoCellAnchor>
  <xdr:twoCellAnchor>
    <xdr:from>
      <xdr:col>0</xdr:col>
      <xdr:colOff>253999</xdr:colOff>
      <xdr:row>4</xdr:row>
      <xdr:rowOff>1</xdr:rowOff>
    </xdr:from>
    <xdr:to>
      <xdr:col>0</xdr:col>
      <xdr:colOff>1831339</xdr:colOff>
      <xdr:row>6</xdr:row>
      <xdr:rowOff>7620</xdr:rowOff>
    </xdr:to>
    <xdr:sp macro="[0]!Inserir_Venda" textlink="">
      <xdr:nvSpPr>
        <xdr:cNvPr id="4" name="3 Rectángulo redondeado"/>
        <xdr:cNvSpPr/>
      </xdr:nvSpPr>
      <xdr:spPr>
        <a:xfrm>
          <a:off x="253999" y="1210734"/>
          <a:ext cx="1577340" cy="380153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Inserir Venda</a:t>
          </a:r>
        </a:p>
      </xdr:txBody>
    </xdr:sp>
    <xdr:clientData/>
  </xdr:twoCellAnchor>
  <xdr:twoCellAnchor>
    <xdr:from>
      <xdr:col>0</xdr:col>
      <xdr:colOff>237066</xdr:colOff>
      <xdr:row>9</xdr:row>
      <xdr:rowOff>93134</xdr:rowOff>
    </xdr:from>
    <xdr:to>
      <xdr:col>0</xdr:col>
      <xdr:colOff>1814406</xdr:colOff>
      <xdr:row>11</xdr:row>
      <xdr:rowOff>100754</xdr:rowOff>
    </xdr:to>
    <xdr:sp macro="[0]!Inserir_Produto" textlink="">
      <xdr:nvSpPr>
        <xdr:cNvPr id="5" name="4 Rectángulo redondeado"/>
        <xdr:cNvSpPr/>
      </xdr:nvSpPr>
      <xdr:spPr>
        <a:xfrm>
          <a:off x="237066" y="2235201"/>
          <a:ext cx="1577340" cy="380153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Inserir Produto</a:t>
          </a:r>
        </a:p>
      </xdr:txBody>
    </xdr:sp>
    <xdr:clientData/>
  </xdr:twoCellAnchor>
  <xdr:twoCellAnchor>
    <xdr:from>
      <xdr:col>12</xdr:col>
      <xdr:colOff>135467</xdr:colOff>
      <xdr:row>0</xdr:row>
      <xdr:rowOff>76200</xdr:rowOff>
    </xdr:from>
    <xdr:to>
      <xdr:col>12</xdr:col>
      <xdr:colOff>1326092</xdr:colOff>
      <xdr:row>1</xdr:row>
      <xdr:rowOff>270933</xdr:rowOff>
    </xdr:to>
    <xdr:sp macro="" textlink="">
      <xdr:nvSpPr>
        <xdr:cNvPr id="6" name="5 Rectángulo redondeado">
          <a:hlinkClick xmlns:r="http://schemas.openxmlformats.org/officeDocument/2006/relationships" r:id="rId1"/>
        </xdr:cNvPr>
        <xdr:cNvSpPr/>
      </xdr:nvSpPr>
      <xdr:spPr>
        <a:xfrm>
          <a:off x="14562667" y="76200"/>
          <a:ext cx="1190625" cy="381000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MENU</a:t>
          </a:r>
        </a:p>
      </xdr:txBody>
    </xdr:sp>
    <xdr:clientData/>
  </xdr:twoCellAnchor>
  <xdr:twoCellAnchor>
    <xdr:from>
      <xdr:col>11</xdr:col>
      <xdr:colOff>101600</xdr:colOff>
      <xdr:row>0</xdr:row>
      <xdr:rowOff>67733</xdr:rowOff>
    </xdr:from>
    <xdr:to>
      <xdr:col>12</xdr:col>
      <xdr:colOff>30692</xdr:colOff>
      <xdr:row>1</xdr:row>
      <xdr:rowOff>262466</xdr:rowOff>
    </xdr:to>
    <xdr:sp macro="" textlink="">
      <xdr:nvSpPr>
        <xdr:cNvPr id="7" name="6 Rectángulo redondeado">
          <a:hlinkClick xmlns:r="http://schemas.openxmlformats.org/officeDocument/2006/relationships" r:id="rId2"/>
        </xdr:cNvPr>
        <xdr:cNvSpPr/>
      </xdr:nvSpPr>
      <xdr:spPr>
        <a:xfrm>
          <a:off x="13267267" y="67733"/>
          <a:ext cx="1190625" cy="381000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VENDAS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0</xdr:row>
      <xdr:rowOff>30480</xdr:rowOff>
    </xdr:from>
    <xdr:to>
      <xdr:col>6</xdr:col>
      <xdr:colOff>1253490</xdr:colOff>
      <xdr:row>1</xdr:row>
      <xdr:rowOff>167640</xdr:rowOff>
    </xdr:to>
    <xdr:sp macro="[0]!Macro4" textlink="">
      <xdr:nvSpPr>
        <xdr:cNvPr id="2" name="1 Rectángulo redondeado">
          <a:hlinkClick xmlns:r="http://schemas.openxmlformats.org/officeDocument/2006/relationships" r:id="rId1"/>
        </xdr:cNvPr>
        <xdr:cNvSpPr/>
      </xdr:nvSpPr>
      <xdr:spPr>
        <a:xfrm>
          <a:off x="5021580" y="30480"/>
          <a:ext cx="2350770" cy="32004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 baseline="0"/>
            <a:t>Semana 1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358140</xdr:colOff>
      <xdr:row>6</xdr:row>
      <xdr:rowOff>177800</xdr:rowOff>
    </xdr:from>
    <xdr:to>
      <xdr:col>0</xdr:col>
      <xdr:colOff>1935480</xdr:colOff>
      <xdr:row>9</xdr:row>
      <xdr:rowOff>9313</xdr:rowOff>
    </xdr:to>
    <xdr:sp macro="[0]!excluir_registo_vendas" textlink="">
      <xdr:nvSpPr>
        <xdr:cNvPr id="2" name="1 Rectángulo redondeado"/>
        <xdr:cNvSpPr/>
      </xdr:nvSpPr>
      <xdr:spPr>
        <a:xfrm>
          <a:off x="358140" y="1747520"/>
          <a:ext cx="1577340" cy="380153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Excluir Registo</a:t>
          </a:r>
        </a:p>
      </xdr:txBody>
    </xdr:sp>
    <xdr:clientData/>
  </xdr:twoCellAnchor>
  <xdr:twoCellAnchor>
    <xdr:from>
      <xdr:col>0</xdr:col>
      <xdr:colOff>376766</xdr:colOff>
      <xdr:row>4</xdr:row>
      <xdr:rowOff>30480</xdr:rowOff>
    </xdr:from>
    <xdr:to>
      <xdr:col>0</xdr:col>
      <xdr:colOff>1954106</xdr:colOff>
      <xdr:row>6</xdr:row>
      <xdr:rowOff>44873</xdr:rowOff>
    </xdr:to>
    <xdr:sp macro="[0]!Inserir_Venda" textlink="">
      <xdr:nvSpPr>
        <xdr:cNvPr id="3" name="2 Rectángulo redondeado"/>
        <xdr:cNvSpPr/>
      </xdr:nvSpPr>
      <xdr:spPr>
        <a:xfrm>
          <a:off x="376766" y="1234440"/>
          <a:ext cx="1577340" cy="380153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Inserir Venda</a:t>
          </a:r>
        </a:p>
      </xdr:txBody>
    </xdr:sp>
    <xdr:clientData/>
  </xdr:twoCellAnchor>
  <xdr:twoCellAnchor>
    <xdr:from>
      <xdr:col>0</xdr:col>
      <xdr:colOff>359833</xdr:colOff>
      <xdr:row>9</xdr:row>
      <xdr:rowOff>140547</xdr:rowOff>
    </xdr:from>
    <xdr:to>
      <xdr:col>0</xdr:col>
      <xdr:colOff>1937173</xdr:colOff>
      <xdr:row>11</xdr:row>
      <xdr:rowOff>154940</xdr:rowOff>
    </xdr:to>
    <xdr:sp macro="[0]!Inserir_Produto" textlink="">
      <xdr:nvSpPr>
        <xdr:cNvPr id="4" name="3 Rectángulo redondeado"/>
        <xdr:cNvSpPr/>
      </xdr:nvSpPr>
      <xdr:spPr>
        <a:xfrm>
          <a:off x="359833" y="2258907"/>
          <a:ext cx="1577340" cy="380153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Inserir Produto</a:t>
          </a:r>
        </a:p>
      </xdr:txBody>
    </xdr:sp>
    <xdr:clientData/>
  </xdr:twoCellAnchor>
  <xdr:twoCellAnchor>
    <xdr:from>
      <xdr:col>11</xdr:col>
      <xdr:colOff>750147</xdr:colOff>
      <xdr:row>0</xdr:row>
      <xdr:rowOff>84667</xdr:rowOff>
    </xdr:from>
    <xdr:to>
      <xdr:col>12</xdr:col>
      <xdr:colOff>1186392</xdr:colOff>
      <xdr:row>1</xdr:row>
      <xdr:rowOff>277495</xdr:rowOff>
    </xdr:to>
    <xdr:sp macro="" textlink="">
      <xdr:nvSpPr>
        <xdr:cNvPr id="5" name="4 Rectángulo redondeado">
          <a:hlinkClick xmlns:r="http://schemas.openxmlformats.org/officeDocument/2006/relationships" r:id="rId1"/>
        </xdr:cNvPr>
        <xdr:cNvSpPr/>
      </xdr:nvSpPr>
      <xdr:spPr>
        <a:xfrm>
          <a:off x="12439227" y="84667"/>
          <a:ext cx="1190625" cy="375708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MENU</a:t>
          </a:r>
        </a:p>
      </xdr:txBody>
    </xdr:sp>
    <xdr:clientData/>
  </xdr:twoCellAnchor>
  <xdr:twoCellAnchor>
    <xdr:from>
      <xdr:col>10</xdr:col>
      <xdr:colOff>632460</xdr:colOff>
      <xdr:row>0</xdr:row>
      <xdr:rowOff>76200</xdr:rowOff>
    </xdr:from>
    <xdr:to>
      <xdr:col>11</xdr:col>
      <xdr:colOff>645372</xdr:colOff>
      <xdr:row>1</xdr:row>
      <xdr:rowOff>269028</xdr:rowOff>
    </xdr:to>
    <xdr:sp macro="" textlink="">
      <xdr:nvSpPr>
        <xdr:cNvPr id="6" name="5 Rectángulo redondeado">
          <a:hlinkClick xmlns:r="http://schemas.openxmlformats.org/officeDocument/2006/relationships" r:id="rId2"/>
        </xdr:cNvPr>
        <xdr:cNvSpPr/>
      </xdr:nvSpPr>
      <xdr:spPr>
        <a:xfrm>
          <a:off x="11148060" y="76200"/>
          <a:ext cx="1186392" cy="375708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VENDAS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</xdr:colOff>
      <xdr:row>0</xdr:row>
      <xdr:rowOff>38100</xdr:rowOff>
    </xdr:from>
    <xdr:to>
      <xdr:col>6</xdr:col>
      <xdr:colOff>1223010</xdr:colOff>
      <xdr:row>1</xdr:row>
      <xdr:rowOff>175260</xdr:rowOff>
    </xdr:to>
    <xdr:sp macro="[0]!Macro4" textlink="">
      <xdr:nvSpPr>
        <xdr:cNvPr id="2" name="1 Rectángulo redondeado">
          <a:hlinkClick xmlns:r="http://schemas.openxmlformats.org/officeDocument/2006/relationships" r:id="rId1"/>
        </xdr:cNvPr>
        <xdr:cNvSpPr/>
      </xdr:nvSpPr>
      <xdr:spPr>
        <a:xfrm>
          <a:off x="4991100" y="38100"/>
          <a:ext cx="2350770" cy="32004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 baseline="0"/>
            <a:t>Semana 2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6</xdr:row>
      <xdr:rowOff>147320</xdr:rowOff>
    </xdr:from>
    <xdr:to>
      <xdr:col>0</xdr:col>
      <xdr:colOff>1844040</xdr:colOff>
      <xdr:row>8</xdr:row>
      <xdr:rowOff>161713</xdr:rowOff>
    </xdr:to>
    <xdr:sp macro="[0]!excluir_registo_vendas" textlink="">
      <xdr:nvSpPr>
        <xdr:cNvPr id="2" name="1 Rectángulo redondeado"/>
        <xdr:cNvSpPr/>
      </xdr:nvSpPr>
      <xdr:spPr>
        <a:xfrm>
          <a:off x="266700" y="1717040"/>
          <a:ext cx="1577340" cy="380153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Excluir Registo</a:t>
          </a:r>
        </a:p>
      </xdr:txBody>
    </xdr:sp>
    <xdr:clientData/>
  </xdr:twoCellAnchor>
  <xdr:twoCellAnchor>
    <xdr:from>
      <xdr:col>0</xdr:col>
      <xdr:colOff>285326</xdr:colOff>
      <xdr:row>4</xdr:row>
      <xdr:rowOff>0</xdr:rowOff>
    </xdr:from>
    <xdr:to>
      <xdr:col>0</xdr:col>
      <xdr:colOff>1862666</xdr:colOff>
      <xdr:row>6</xdr:row>
      <xdr:rowOff>14393</xdr:rowOff>
    </xdr:to>
    <xdr:sp macro="[0]!Inserir_Venda" textlink="">
      <xdr:nvSpPr>
        <xdr:cNvPr id="3" name="2 Rectángulo redondeado"/>
        <xdr:cNvSpPr/>
      </xdr:nvSpPr>
      <xdr:spPr>
        <a:xfrm>
          <a:off x="285326" y="1203960"/>
          <a:ext cx="1577340" cy="380153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Inserir Venda</a:t>
          </a:r>
        </a:p>
      </xdr:txBody>
    </xdr:sp>
    <xdr:clientData/>
  </xdr:twoCellAnchor>
  <xdr:twoCellAnchor>
    <xdr:from>
      <xdr:col>0</xdr:col>
      <xdr:colOff>268393</xdr:colOff>
      <xdr:row>9</xdr:row>
      <xdr:rowOff>110067</xdr:rowOff>
    </xdr:from>
    <xdr:to>
      <xdr:col>0</xdr:col>
      <xdr:colOff>1845733</xdr:colOff>
      <xdr:row>11</xdr:row>
      <xdr:rowOff>124460</xdr:rowOff>
    </xdr:to>
    <xdr:sp macro="[0]!Inserir_Produto" textlink="">
      <xdr:nvSpPr>
        <xdr:cNvPr id="4" name="3 Rectángulo redondeado"/>
        <xdr:cNvSpPr/>
      </xdr:nvSpPr>
      <xdr:spPr>
        <a:xfrm>
          <a:off x="268393" y="2228427"/>
          <a:ext cx="1577340" cy="380153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Inserir Produto</a:t>
          </a:r>
        </a:p>
      </xdr:txBody>
    </xdr:sp>
    <xdr:clientData/>
  </xdr:twoCellAnchor>
  <xdr:twoCellAnchor>
    <xdr:from>
      <xdr:col>12</xdr:col>
      <xdr:colOff>14817</xdr:colOff>
      <xdr:row>0</xdr:row>
      <xdr:rowOff>122767</xdr:rowOff>
    </xdr:from>
    <xdr:to>
      <xdr:col>12</xdr:col>
      <xdr:colOff>1205442</xdr:colOff>
      <xdr:row>1</xdr:row>
      <xdr:rowOff>317500</xdr:rowOff>
    </xdr:to>
    <xdr:sp macro="" textlink="">
      <xdr:nvSpPr>
        <xdr:cNvPr id="5" name="4 Rectángulo redondeado">
          <a:hlinkClick xmlns:r="http://schemas.openxmlformats.org/officeDocument/2006/relationships" r:id="rId1"/>
        </xdr:cNvPr>
        <xdr:cNvSpPr/>
      </xdr:nvSpPr>
      <xdr:spPr>
        <a:xfrm>
          <a:off x="11873442" y="122767"/>
          <a:ext cx="1190625" cy="375708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MENU</a:t>
          </a:r>
        </a:p>
      </xdr:txBody>
    </xdr:sp>
    <xdr:clientData/>
  </xdr:twoCellAnchor>
  <xdr:twoCellAnchor>
    <xdr:from>
      <xdr:col>10</xdr:col>
      <xdr:colOff>523875</xdr:colOff>
      <xdr:row>0</xdr:row>
      <xdr:rowOff>114300</xdr:rowOff>
    </xdr:from>
    <xdr:to>
      <xdr:col>11</xdr:col>
      <xdr:colOff>538692</xdr:colOff>
      <xdr:row>1</xdr:row>
      <xdr:rowOff>309033</xdr:rowOff>
    </xdr:to>
    <xdr:sp macro="" textlink="">
      <xdr:nvSpPr>
        <xdr:cNvPr id="6" name="5 Rectángulo redondeado">
          <a:hlinkClick xmlns:r="http://schemas.openxmlformats.org/officeDocument/2006/relationships" r:id="rId2"/>
        </xdr:cNvPr>
        <xdr:cNvSpPr/>
      </xdr:nvSpPr>
      <xdr:spPr>
        <a:xfrm>
          <a:off x="10582275" y="114300"/>
          <a:ext cx="1186392" cy="375708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VENDAS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</xdr:colOff>
      <xdr:row>0</xdr:row>
      <xdr:rowOff>38100</xdr:rowOff>
    </xdr:from>
    <xdr:to>
      <xdr:col>6</xdr:col>
      <xdr:colOff>1230630</xdr:colOff>
      <xdr:row>1</xdr:row>
      <xdr:rowOff>175260</xdr:rowOff>
    </xdr:to>
    <xdr:sp macro="[0]!Macro4" textlink="">
      <xdr:nvSpPr>
        <xdr:cNvPr id="2" name="1 Rectángulo redondeado">
          <a:hlinkClick xmlns:r="http://schemas.openxmlformats.org/officeDocument/2006/relationships" r:id="rId1"/>
        </xdr:cNvPr>
        <xdr:cNvSpPr/>
      </xdr:nvSpPr>
      <xdr:spPr>
        <a:xfrm>
          <a:off x="4998720" y="38100"/>
          <a:ext cx="2350770" cy="32004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 baseline="0"/>
            <a:t>Semana 3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389466</xdr:colOff>
      <xdr:row>6</xdr:row>
      <xdr:rowOff>106680</xdr:rowOff>
    </xdr:from>
    <xdr:to>
      <xdr:col>0</xdr:col>
      <xdr:colOff>1966806</xdr:colOff>
      <xdr:row>8</xdr:row>
      <xdr:rowOff>114300</xdr:rowOff>
    </xdr:to>
    <xdr:sp macro="[0]!excluir_registo_vendas" textlink="">
      <xdr:nvSpPr>
        <xdr:cNvPr id="2" name="1 Rectángulo redondeado"/>
        <xdr:cNvSpPr/>
      </xdr:nvSpPr>
      <xdr:spPr>
        <a:xfrm>
          <a:off x="389466" y="1689947"/>
          <a:ext cx="1577340" cy="380153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Excluir Registo</a:t>
          </a:r>
        </a:p>
      </xdr:txBody>
    </xdr:sp>
    <xdr:clientData/>
  </xdr:twoCellAnchor>
  <xdr:twoCellAnchor>
    <xdr:from>
      <xdr:col>0</xdr:col>
      <xdr:colOff>408092</xdr:colOff>
      <xdr:row>3</xdr:row>
      <xdr:rowOff>152400</xdr:rowOff>
    </xdr:from>
    <xdr:to>
      <xdr:col>0</xdr:col>
      <xdr:colOff>1985432</xdr:colOff>
      <xdr:row>5</xdr:row>
      <xdr:rowOff>160020</xdr:rowOff>
    </xdr:to>
    <xdr:sp macro="[0]!Inserir_Venda" textlink="">
      <xdr:nvSpPr>
        <xdr:cNvPr id="3" name="2 Rectángulo redondeado"/>
        <xdr:cNvSpPr/>
      </xdr:nvSpPr>
      <xdr:spPr>
        <a:xfrm>
          <a:off x="408092" y="1176867"/>
          <a:ext cx="1577340" cy="380153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Inserir Venda</a:t>
          </a:r>
        </a:p>
      </xdr:txBody>
    </xdr:sp>
    <xdr:clientData/>
  </xdr:twoCellAnchor>
  <xdr:twoCellAnchor>
    <xdr:from>
      <xdr:col>0</xdr:col>
      <xdr:colOff>391159</xdr:colOff>
      <xdr:row>9</xdr:row>
      <xdr:rowOff>59267</xdr:rowOff>
    </xdr:from>
    <xdr:to>
      <xdr:col>0</xdr:col>
      <xdr:colOff>1968499</xdr:colOff>
      <xdr:row>11</xdr:row>
      <xdr:rowOff>66887</xdr:rowOff>
    </xdr:to>
    <xdr:sp macro="[0]!Inserir_Produto" textlink="">
      <xdr:nvSpPr>
        <xdr:cNvPr id="4" name="3 Rectángulo redondeado"/>
        <xdr:cNvSpPr/>
      </xdr:nvSpPr>
      <xdr:spPr>
        <a:xfrm>
          <a:off x="391159" y="2201334"/>
          <a:ext cx="1577340" cy="380153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Inserir Produto</a:t>
          </a:r>
        </a:p>
      </xdr:txBody>
    </xdr:sp>
    <xdr:clientData/>
  </xdr:twoCellAnchor>
  <xdr:twoCellAnchor>
    <xdr:from>
      <xdr:col>12</xdr:col>
      <xdr:colOff>14817</xdr:colOff>
      <xdr:row>0</xdr:row>
      <xdr:rowOff>103717</xdr:rowOff>
    </xdr:from>
    <xdr:to>
      <xdr:col>12</xdr:col>
      <xdr:colOff>1205442</xdr:colOff>
      <xdr:row>1</xdr:row>
      <xdr:rowOff>298450</xdr:rowOff>
    </xdr:to>
    <xdr:sp macro="" textlink="">
      <xdr:nvSpPr>
        <xdr:cNvPr id="5" name="4 Rectángulo redondeado">
          <a:hlinkClick xmlns:r="http://schemas.openxmlformats.org/officeDocument/2006/relationships" r:id="rId1"/>
        </xdr:cNvPr>
        <xdr:cNvSpPr/>
      </xdr:nvSpPr>
      <xdr:spPr>
        <a:xfrm>
          <a:off x="13626042" y="103717"/>
          <a:ext cx="1190625" cy="375708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MENU</a:t>
          </a:r>
        </a:p>
      </xdr:txBody>
    </xdr:sp>
    <xdr:clientData/>
  </xdr:twoCellAnchor>
  <xdr:twoCellAnchor>
    <xdr:from>
      <xdr:col>10</xdr:col>
      <xdr:colOff>581025</xdr:colOff>
      <xdr:row>0</xdr:row>
      <xdr:rowOff>95250</xdr:rowOff>
    </xdr:from>
    <xdr:to>
      <xdr:col>11</xdr:col>
      <xdr:colOff>595842</xdr:colOff>
      <xdr:row>1</xdr:row>
      <xdr:rowOff>289983</xdr:rowOff>
    </xdr:to>
    <xdr:sp macro="" textlink="">
      <xdr:nvSpPr>
        <xdr:cNvPr id="6" name="5 Rectángulo redondeado">
          <a:hlinkClick xmlns:r="http://schemas.openxmlformats.org/officeDocument/2006/relationships" r:id="rId2"/>
        </xdr:cNvPr>
        <xdr:cNvSpPr/>
      </xdr:nvSpPr>
      <xdr:spPr>
        <a:xfrm>
          <a:off x="12334875" y="95250"/>
          <a:ext cx="1186392" cy="375708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VENDAS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8466</xdr:colOff>
      <xdr:row>0</xdr:row>
      <xdr:rowOff>33866</xdr:rowOff>
    </xdr:from>
    <xdr:to>
      <xdr:col>6</xdr:col>
      <xdr:colOff>1156970</xdr:colOff>
      <xdr:row>1</xdr:row>
      <xdr:rowOff>167639</xdr:rowOff>
    </xdr:to>
    <xdr:sp macro="[0]!Macro4" textlink="">
      <xdr:nvSpPr>
        <xdr:cNvPr id="2" name="1 Rectángulo redondeado">
          <a:hlinkClick xmlns:r="http://schemas.openxmlformats.org/officeDocument/2006/relationships" r:id="rId1"/>
        </xdr:cNvPr>
        <xdr:cNvSpPr/>
      </xdr:nvSpPr>
      <xdr:spPr>
        <a:xfrm>
          <a:off x="4995333" y="33866"/>
          <a:ext cx="2350770" cy="32004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 baseline="0"/>
            <a:t>Semana 4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213360</xdr:colOff>
      <xdr:row>6</xdr:row>
      <xdr:rowOff>132080</xdr:rowOff>
    </xdr:from>
    <xdr:to>
      <xdr:col>0</xdr:col>
      <xdr:colOff>1790700</xdr:colOff>
      <xdr:row>8</xdr:row>
      <xdr:rowOff>146473</xdr:rowOff>
    </xdr:to>
    <xdr:sp macro="[0]!excluir_registo_vendas" textlink="">
      <xdr:nvSpPr>
        <xdr:cNvPr id="2" name="1 Rectángulo redondeado"/>
        <xdr:cNvSpPr/>
      </xdr:nvSpPr>
      <xdr:spPr>
        <a:xfrm>
          <a:off x="213360" y="1701800"/>
          <a:ext cx="1577340" cy="380153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Excluir Registo</a:t>
          </a:r>
        </a:p>
      </xdr:txBody>
    </xdr:sp>
    <xdr:clientData/>
  </xdr:twoCellAnchor>
  <xdr:twoCellAnchor>
    <xdr:from>
      <xdr:col>0</xdr:col>
      <xdr:colOff>231986</xdr:colOff>
      <xdr:row>3</xdr:row>
      <xdr:rowOff>167640</xdr:rowOff>
    </xdr:from>
    <xdr:to>
      <xdr:col>0</xdr:col>
      <xdr:colOff>1809326</xdr:colOff>
      <xdr:row>5</xdr:row>
      <xdr:rowOff>182033</xdr:rowOff>
    </xdr:to>
    <xdr:sp macro="[0]!Inserir_Venda" textlink="">
      <xdr:nvSpPr>
        <xdr:cNvPr id="3" name="2 Rectángulo redondeado"/>
        <xdr:cNvSpPr/>
      </xdr:nvSpPr>
      <xdr:spPr>
        <a:xfrm>
          <a:off x="231986" y="1188720"/>
          <a:ext cx="1577340" cy="380153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Inserir Venda</a:t>
          </a:r>
        </a:p>
      </xdr:txBody>
    </xdr:sp>
    <xdr:clientData/>
  </xdr:twoCellAnchor>
  <xdr:twoCellAnchor>
    <xdr:from>
      <xdr:col>0</xdr:col>
      <xdr:colOff>215053</xdr:colOff>
      <xdr:row>9</xdr:row>
      <xdr:rowOff>94827</xdr:rowOff>
    </xdr:from>
    <xdr:to>
      <xdr:col>0</xdr:col>
      <xdr:colOff>1792393</xdr:colOff>
      <xdr:row>11</xdr:row>
      <xdr:rowOff>109220</xdr:rowOff>
    </xdr:to>
    <xdr:sp macro="[0]!Inserir_Produto" textlink="">
      <xdr:nvSpPr>
        <xdr:cNvPr id="4" name="3 Rectángulo redondeado"/>
        <xdr:cNvSpPr/>
      </xdr:nvSpPr>
      <xdr:spPr>
        <a:xfrm>
          <a:off x="215053" y="2213187"/>
          <a:ext cx="1577340" cy="380153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Inserir Produto</a:t>
          </a:r>
        </a:p>
      </xdr:txBody>
    </xdr:sp>
    <xdr:clientData/>
  </xdr:twoCellAnchor>
  <xdr:twoCellAnchor>
    <xdr:from>
      <xdr:col>12</xdr:col>
      <xdr:colOff>38101</xdr:colOff>
      <xdr:row>0</xdr:row>
      <xdr:rowOff>76201</xdr:rowOff>
    </xdr:from>
    <xdr:to>
      <xdr:col>13</xdr:col>
      <xdr:colOff>1059</xdr:colOff>
      <xdr:row>1</xdr:row>
      <xdr:rowOff>265642</xdr:rowOff>
    </xdr:to>
    <xdr:sp macro="" textlink="">
      <xdr:nvSpPr>
        <xdr:cNvPr id="5" name="4 Rectángulo redondeado">
          <a:hlinkClick xmlns:r="http://schemas.openxmlformats.org/officeDocument/2006/relationships" r:id="rId1"/>
        </xdr:cNvPr>
        <xdr:cNvSpPr/>
      </xdr:nvSpPr>
      <xdr:spPr>
        <a:xfrm>
          <a:off x="13212234" y="76201"/>
          <a:ext cx="1190625" cy="375708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MENU</a:t>
          </a:r>
        </a:p>
      </xdr:txBody>
    </xdr:sp>
    <xdr:clientData/>
  </xdr:twoCellAnchor>
  <xdr:twoCellAnchor>
    <xdr:from>
      <xdr:col>10</xdr:col>
      <xdr:colOff>914400</xdr:colOff>
      <xdr:row>0</xdr:row>
      <xdr:rowOff>67734</xdr:rowOff>
    </xdr:from>
    <xdr:to>
      <xdr:col>11</xdr:col>
      <xdr:colOff>923926</xdr:colOff>
      <xdr:row>1</xdr:row>
      <xdr:rowOff>257175</xdr:rowOff>
    </xdr:to>
    <xdr:sp macro="" textlink="">
      <xdr:nvSpPr>
        <xdr:cNvPr id="6" name="5 Rectángulo redondeado">
          <a:hlinkClick xmlns:r="http://schemas.openxmlformats.org/officeDocument/2006/relationships" r:id="rId2"/>
        </xdr:cNvPr>
        <xdr:cNvSpPr/>
      </xdr:nvSpPr>
      <xdr:spPr>
        <a:xfrm>
          <a:off x="11921067" y="67734"/>
          <a:ext cx="1186392" cy="375708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VENDAS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795866</xdr:colOff>
      <xdr:row>0</xdr:row>
      <xdr:rowOff>33867</xdr:rowOff>
    </xdr:from>
    <xdr:to>
      <xdr:col>6</xdr:col>
      <xdr:colOff>1148503</xdr:colOff>
      <xdr:row>1</xdr:row>
      <xdr:rowOff>167640</xdr:rowOff>
    </xdr:to>
    <xdr:sp macro="[0]!Macro4" textlink="">
      <xdr:nvSpPr>
        <xdr:cNvPr id="2" name="1 Rectángulo redondeado">
          <a:hlinkClick xmlns:r="http://schemas.openxmlformats.org/officeDocument/2006/relationships" r:id="rId1"/>
        </xdr:cNvPr>
        <xdr:cNvSpPr/>
      </xdr:nvSpPr>
      <xdr:spPr>
        <a:xfrm>
          <a:off x="4986866" y="33867"/>
          <a:ext cx="2350770" cy="32004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 baseline="0"/>
            <a:t>Semana 5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ernardo Pires" refreshedDate="43223.723073379631" createdVersion="4" refreshedVersion="4" minRefreshableVersion="3" recordCount="12">
  <cacheSource type="worksheet">
    <worksheetSource name="Tabla47"/>
  </cacheSource>
  <cacheFields count="12">
    <cacheField name="ID da Venda" numFmtId="0">
      <sharedItems containsString="0" containsBlank="1" containsNumber="1" containsInteger="1" minValue="100" maxValue="101"/>
    </cacheField>
    <cacheField name="Data" numFmtId="14">
      <sharedItems containsDate="1" containsBlank="1" containsMixedTypes="1" minDate="2018-05-03T00:00:00" maxDate="2018-05-04T00:00:00"/>
    </cacheField>
    <cacheField name="Produtos" numFmtId="0">
      <sharedItems containsBlank="1"/>
    </cacheField>
    <cacheField name="Medida" numFmtId="0">
      <sharedItems/>
    </cacheField>
    <cacheField name="Quantidade" numFmtId="0">
      <sharedItems containsString="0" containsBlank="1" containsNumber="1" containsInteger="1" minValue="1" maxValue="20" count="3">
        <n v="20"/>
        <n v="1"/>
        <m/>
      </sharedItems>
    </cacheField>
    <cacheField name="Preço Unitário" numFmtId="164">
      <sharedItems containsSemiMixedTypes="0" containsString="0" containsNumber="1" minValue="0" maxValue="54.9"/>
    </cacheField>
    <cacheField name="Subtotal" numFmtId="164">
      <sharedItems containsSemiMixedTypes="0" containsString="0" containsNumber="1" minValue="0" maxValue="478"/>
    </cacheField>
    <cacheField name="Desconto" numFmtId="0">
      <sharedItems containsString="0" containsBlank="1" containsNumber="1" minValue="0.03" maxValue="0.03"/>
    </cacheField>
    <cacheField name="Entrega" numFmtId="0">
      <sharedItems containsBlank="1" count="2">
        <m/>
        <s v="Zona Oeste"/>
      </sharedItems>
    </cacheField>
    <cacheField name="Valor de Entrega" numFmtId="164">
      <sharedItems containsSemiMixedTypes="0" containsString="0" containsNumber="1" containsInteger="1" minValue="0" maxValue="8"/>
    </cacheField>
    <cacheField name="Total" numFmtId="164">
      <sharedItems containsSemiMixedTypes="0" containsString="0" containsNumber="1" minValue="0" maxValue="463.65999999999997"/>
    </cacheField>
    <cacheField name="Total para Cliente" numFmtId="164">
      <sharedItems containsMixedTypes="1" containsNumber="1" minValue="62.9" maxValue="463.659999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Bernardo Pires" refreshedDate="43223.723865277774" createdVersion="4" refreshedVersion="4" minRefreshableVersion="3" recordCount="11">
  <cacheSource type="worksheet">
    <worksheetSource name="Tabla478"/>
  </cacheSource>
  <cacheFields count="12">
    <cacheField name="ID da Venda" numFmtId="0">
      <sharedItems containsString="0" containsBlank="1" containsNumber="1" containsInteger="1" minValue="100" maxValue="100"/>
    </cacheField>
    <cacheField name="Data" numFmtId="0">
      <sharedItems containsNonDate="0" containsDate="1" containsString="0" containsBlank="1" minDate="1900-01-01T00:00:00" maxDate="1900-01-02T00:00:00"/>
    </cacheField>
    <cacheField name="Produtos" numFmtId="0">
      <sharedItems containsBlank="1"/>
    </cacheField>
    <cacheField name="Medida" numFmtId="0">
      <sharedItems/>
    </cacheField>
    <cacheField name="Quantidade" numFmtId="0">
      <sharedItems containsString="0" containsBlank="1" containsNumber="1" containsInteger="1" minValue="2" maxValue="2" count="2">
        <n v="2"/>
        <m/>
      </sharedItems>
    </cacheField>
    <cacheField name="Preço Unitário" numFmtId="164">
      <sharedItems containsSemiMixedTypes="0" containsString="0" containsNumber="1" minValue="0" maxValue="54.9"/>
    </cacheField>
    <cacheField name="Subtotal" numFmtId="164">
      <sharedItems containsSemiMixedTypes="0" containsString="0" containsNumber="1" minValue="0" maxValue="109.8"/>
    </cacheField>
    <cacheField name="Desconto" numFmtId="0">
      <sharedItems containsNonDate="0" containsString="0" containsBlank="1"/>
    </cacheField>
    <cacheField name="Entrega" numFmtId="0">
      <sharedItems containsBlank="1" count="2">
        <s v="Loja"/>
        <m/>
      </sharedItems>
    </cacheField>
    <cacheField name="Valor de Entrega" numFmtId="164">
      <sharedItems containsSemiMixedTypes="0" containsString="0" containsNumber="1" containsInteger="1" minValue="0" maxValue="0"/>
    </cacheField>
    <cacheField name="Total" numFmtId="164">
      <sharedItems containsSemiMixedTypes="0" containsString="0" containsNumber="1" minValue="0" maxValue="109.8"/>
    </cacheField>
    <cacheField name="Total para Cliente" numFmtId="164">
      <sharedItems containsMixedTypes="1" containsNumber="1" minValue="109.8" maxValue="109.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Bernardo Pires" refreshedDate="43223.724818402778" createdVersion="4" refreshedVersion="4" minRefreshableVersion="3" recordCount="25">
  <cacheSource type="worksheet">
    <worksheetSource name="Tabla4789"/>
  </cacheSource>
  <cacheFields count="12">
    <cacheField name="ID da Venda" numFmtId="0">
      <sharedItems containsSemiMixedTypes="0" containsString="0" containsNumber="1" containsInteger="1" minValue="1" maxValue="13"/>
    </cacheField>
    <cacheField name="Data" numFmtId="14">
      <sharedItems containsSemiMixedTypes="0" containsNonDate="0" containsDate="1" containsString="0" minDate="2015-07-02T00:00:00" maxDate="2015-07-06T00:00:00"/>
    </cacheField>
    <cacheField name="Produtos" numFmtId="0">
      <sharedItems/>
    </cacheField>
    <cacheField name="Medida" numFmtId="0">
      <sharedItems/>
    </cacheField>
    <cacheField name="Quantidade" numFmtId="0">
      <sharedItems containsSemiMixedTypes="0" containsString="0" containsNumber="1" minValue="1" maxValue="24" count="11">
        <n v="10"/>
        <n v="1"/>
        <n v="24"/>
        <n v="6"/>
        <n v="4"/>
        <n v="5"/>
        <n v="2"/>
        <n v="1.5"/>
        <n v="20"/>
        <n v="12"/>
        <n v="3"/>
      </sharedItems>
    </cacheField>
    <cacheField name="Preço Unitário" numFmtId="164">
      <sharedItems containsSemiMixedTypes="0" containsString="0" containsNumber="1" minValue="0.79" maxValue="25.9"/>
    </cacheField>
    <cacheField name="Subtotal" numFmtId="164">
      <sharedItems containsSemiMixedTypes="0" containsString="0" containsNumber="1" minValue="0.79" maxValue="159"/>
    </cacheField>
    <cacheField name="Desconto" numFmtId="0">
      <sharedItems containsNonDate="0" containsString="0" containsBlank="1"/>
    </cacheField>
    <cacheField name="Entrega" numFmtId="0">
      <sharedItems count="4">
        <s v="Zona Sul"/>
        <s v="Loja"/>
        <s v="Zona Norte"/>
        <s v="Zona Oeste"/>
      </sharedItems>
    </cacheField>
    <cacheField name="Valor de Entrega" numFmtId="164">
      <sharedItems containsSemiMixedTypes="0" containsString="0" containsNumber="1" minValue="0" maxValue="8"/>
    </cacheField>
    <cacheField name="Total" numFmtId="164">
      <sharedItems containsSemiMixedTypes="0" containsString="0" containsNumber="1" minValue="0.79" maxValue="159"/>
    </cacheField>
    <cacheField name="Total para Cliente" numFmtId="164">
      <sharedItems containsMixedTypes="1" containsNumber="1" minValue="2.19" maxValue="230.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Bernardo Pires" refreshedDate="43224.410454398145" createdVersion="4" refreshedVersion="4" minRefreshableVersion="3" recordCount="12">
  <cacheSource type="worksheet">
    <worksheetSource name="Tabla410"/>
  </cacheSource>
  <cacheFields count="12">
    <cacheField name="ID da Venda" numFmtId="0">
      <sharedItems containsString="0" containsBlank="1" containsNumber="1" containsInteger="1" minValue="6" maxValue="7"/>
    </cacheField>
    <cacheField name="Data" numFmtId="14">
      <sharedItems containsNonDate="0" containsDate="1" containsString="0" containsBlank="1" minDate="2018-05-03T00:00:00" maxDate="2018-05-05T00:00:00"/>
    </cacheField>
    <cacheField name="Produtos" numFmtId="0">
      <sharedItems containsBlank="1"/>
    </cacheField>
    <cacheField name="Medida" numFmtId="0">
      <sharedItems/>
    </cacheField>
    <cacheField name="Quantidade" numFmtId="0">
      <sharedItems containsString="0" containsBlank="1" containsNumber="1" containsInteger="1" minValue="16" maxValue="200" count="3">
        <n v="16"/>
        <n v="200"/>
        <m/>
      </sharedItems>
    </cacheField>
    <cacheField name="Preço Unitário" numFmtId="164">
      <sharedItems containsSemiMixedTypes="0" containsString="0" containsNumber="1" minValue="0" maxValue="2.19"/>
    </cacheField>
    <cacheField name="Subtotal" numFmtId="164">
      <sharedItems containsSemiMixedTypes="0" containsString="0" containsNumber="1" minValue="0" maxValue="438"/>
    </cacheField>
    <cacheField name="Desconto" numFmtId="0">
      <sharedItems containsNonDate="0" containsString="0" containsBlank="1"/>
    </cacheField>
    <cacheField name="Entrega" numFmtId="0">
      <sharedItems containsBlank="1" count="3">
        <s v="Loja"/>
        <s v="Zona Norte"/>
        <m/>
      </sharedItems>
    </cacheField>
    <cacheField name="Valor de Entrega" numFmtId="164">
      <sharedItems containsSemiMixedTypes="0" containsString="0" containsNumber="1" minValue="0" maxValue="6.5"/>
    </cacheField>
    <cacheField name="Total" numFmtId="164">
      <sharedItems containsSemiMixedTypes="0" containsString="0" containsNumber="1" minValue="0" maxValue="444.5"/>
    </cacheField>
    <cacheField name="Total para Cliente" numFmtId="164">
      <sharedItems containsMixedTypes="1" containsNumber="1" minValue="12.64" maxValue="444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Bernardo Pires" refreshedDate="43224.410483217594" createdVersion="4" refreshedVersion="4" minRefreshableVersion="3" recordCount="12">
  <cacheSource type="worksheet">
    <worksheetSource name="Tabla4"/>
  </cacheSource>
  <cacheFields count="12">
    <cacheField name="ID da Venda" numFmtId="0">
      <sharedItems containsString="0" containsBlank="1" containsNumber="1" containsInteger="1" minValue="2" maxValue="3"/>
    </cacheField>
    <cacheField name="Data" numFmtId="14">
      <sharedItems containsNonDate="0" containsDate="1" containsString="0" containsBlank="1" minDate="2015-07-02T00:00:00" maxDate="2018-05-04T00:00:00" count="3">
        <d v="2018-05-03T00:00:00"/>
        <d v="2015-07-02T00:00:00"/>
        <m/>
      </sharedItems>
    </cacheField>
    <cacheField name="Produtos" numFmtId="0">
      <sharedItems containsBlank="1" count="3">
        <s v="Carne"/>
        <s v="Bala"/>
        <m/>
      </sharedItems>
    </cacheField>
    <cacheField name="Medida" numFmtId="0">
      <sharedItems/>
    </cacheField>
    <cacheField name="Quantidade" numFmtId="0">
      <sharedItems containsString="0" containsBlank="1" containsNumber="1" containsInteger="1" minValue="1" maxValue="100" count="3">
        <n v="100"/>
        <n v="1"/>
        <m/>
      </sharedItems>
    </cacheField>
    <cacheField name="Preço Unitário" numFmtId="164">
      <sharedItems containsSemiMixedTypes="0" containsString="0" containsNumber="1" minValue="0" maxValue="15.9"/>
    </cacheField>
    <cacheField name="Subtotal" numFmtId="164">
      <sharedItems containsSemiMixedTypes="0" containsString="0" containsNumber="1" minValue="0" maxValue="1590"/>
    </cacheField>
    <cacheField name="Desconto" numFmtId="0">
      <sharedItems containsNonDate="0" containsString="0" containsBlank="1"/>
    </cacheField>
    <cacheField name="Entrega" numFmtId="0">
      <sharedItems containsBlank="1" count="3">
        <s v="Zona Sul"/>
        <s v="Zona Norte"/>
        <m/>
      </sharedItems>
    </cacheField>
    <cacheField name="Valor de Entrega" numFmtId="164">
      <sharedItems containsSemiMixedTypes="0" containsString="0" containsNumber="1" minValue="0" maxValue="6.5"/>
    </cacheField>
    <cacheField name="Total" numFmtId="164">
      <sharedItems containsSemiMixedTypes="0" containsString="0" containsNumber="1" minValue="0" maxValue="1596.5"/>
    </cacheField>
    <cacheField name="Total para Cliente" numFmtId="164">
      <sharedItems containsMixedTypes="1" containsNumber="1" minValue="0" maxValue="1596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">
  <r>
    <n v="101"/>
    <d v="2018-05-03T00:00:00"/>
    <s v="Peixe"/>
    <s v="Kg"/>
    <x v="0"/>
    <n v="23.9"/>
    <n v="478"/>
    <n v="0.03"/>
    <x v="0"/>
    <n v="0"/>
    <n v="463.65999999999997"/>
    <n v="463.65999999999997"/>
  </r>
  <r>
    <n v="100"/>
    <s v="15/05/2015"/>
    <s v="Vodka"/>
    <s v="Garrafa"/>
    <x v="1"/>
    <n v="54.9"/>
    <n v="54.9"/>
    <m/>
    <x v="1"/>
    <n v="8"/>
    <n v="62.9"/>
    <n v="62.9"/>
  </r>
  <r>
    <m/>
    <m/>
    <m/>
    <s v=""/>
    <x v="2"/>
    <n v="0"/>
    <n v="0"/>
    <m/>
    <x v="0"/>
    <n v="0"/>
    <n v="0"/>
    <s v=""/>
  </r>
  <r>
    <m/>
    <m/>
    <m/>
    <s v=""/>
    <x v="2"/>
    <n v="0"/>
    <n v="0"/>
    <m/>
    <x v="0"/>
    <n v="0"/>
    <n v="0"/>
    <s v=""/>
  </r>
  <r>
    <m/>
    <m/>
    <m/>
    <s v=""/>
    <x v="2"/>
    <n v="0"/>
    <n v="0"/>
    <m/>
    <x v="0"/>
    <n v="0"/>
    <n v="0"/>
    <s v=""/>
  </r>
  <r>
    <m/>
    <m/>
    <m/>
    <s v=""/>
    <x v="2"/>
    <n v="0"/>
    <n v="0"/>
    <m/>
    <x v="0"/>
    <n v="0"/>
    <n v="0"/>
    <s v=""/>
  </r>
  <r>
    <m/>
    <m/>
    <m/>
    <s v=""/>
    <x v="2"/>
    <n v="0"/>
    <n v="0"/>
    <m/>
    <x v="0"/>
    <n v="0"/>
    <n v="0"/>
    <s v=""/>
  </r>
  <r>
    <m/>
    <m/>
    <m/>
    <s v=""/>
    <x v="2"/>
    <n v="0"/>
    <n v="0"/>
    <m/>
    <x v="0"/>
    <n v="0"/>
    <n v="0"/>
    <s v=""/>
  </r>
  <r>
    <m/>
    <m/>
    <m/>
    <s v=""/>
    <x v="2"/>
    <n v="0"/>
    <n v="0"/>
    <m/>
    <x v="0"/>
    <n v="0"/>
    <n v="0"/>
    <s v=""/>
  </r>
  <r>
    <m/>
    <m/>
    <m/>
    <s v=""/>
    <x v="2"/>
    <n v="0"/>
    <n v="0"/>
    <m/>
    <x v="0"/>
    <n v="0"/>
    <n v="0"/>
    <s v=""/>
  </r>
  <r>
    <m/>
    <m/>
    <m/>
    <s v=""/>
    <x v="2"/>
    <n v="0"/>
    <n v="0"/>
    <m/>
    <x v="0"/>
    <n v="0"/>
    <n v="0"/>
    <s v=""/>
  </r>
  <r>
    <m/>
    <m/>
    <m/>
    <s v=""/>
    <x v="2"/>
    <n v="0"/>
    <n v="0"/>
    <m/>
    <x v="0"/>
    <n v="0"/>
    <n v="0"/>
    <s v="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">
  <r>
    <n v="100"/>
    <d v="1900-01-01T00:00:00"/>
    <s v="Vodka"/>
    <s v="Garrafa"/>
    <x v="0"/>
    <n v="54.9"/>
    <n v="109.8"/>
    <m/>
    <x v="0"/>
    <n v="0"/>
    <n v="109.8"/>
    <n v="109.8"/>
  </r>
  <r>
    <m/>
    <m/>
    <m/>
    <s v=""/>
    <x v="1"/>
    <n v="0"/>
    <n v="0"/>
    <m/>
    <x v="1"/>
    <n v="0"/>
    <n v="0"/>
    <s v=""/>
  </r>
  <r>
    <m/>
    <m/>
    <m/>
    <s v=""/>
    <x v="1"/>
    <n v="0"/>
    <n v="0"/>
    <m/>
    <x v="1"/>
    <n v="0"/>
    <n v="0"/>
    <s v=""/>
  </r>
  <r>
    <m/>
    <m/>
    <m/>
    <s v=""/>
    <x v="1"/>
    <n v="0"/>
    <n v="0"/>
    <m/>
    <x v="1"/>
    <n v="0"/>
    <n v="0"/>
    <s v=""/>
  </r>
  <r>
    <m/>
    <m/>
    <m/>
    <s v=""/>
    <x v="1"/>
    <n v="0"/>
    <n v="0"/>
    <m/>
    <x v="1"/>
    <n v="0"/>
    <n v="0"/>
    <s v=""/>
  </r>
  <r>
    <m/>
    <m/>
    <m/>
    <s v=""/>
    <x v="1"/>
    <n v="0"/>
    <n v="0"/>
    <m/>
    <x v="1"/>
    <n v="0"/>
    <n v="0"/>
    <s v=""/>
  </r>
  <r>
    <m/>
    <m/>
    <m/>
    <s v=""/>
    <x v="1"/>
    <n v="0"/>
    <n v="0"/>
    <m/>
    <x v="1"/>
    <n v="0"/>
    <n v="0"/>
    <s v=""/>
  </r>
  <r>
    <m/>
    <m/>
    <m/>
    <s v=""/>
    <x v="1"/>
    <n v="0"/>
    <n v="0"/>
    <m/>
    <x v="1"/>
    <n v="0"/>
    <n v="0"/>
    <s v=""/>
  </r>
  <r>
    <m/>
    <m/>
    <m/>
    <s v=""/>
    <x v="1"/>
    <n v="0"/>
    <n v="0"/>
    <m/>
    <x v="1"/>
    <n v="0"/>
    <n v="0"/>
    <s v=""/>
  </r>
  <r>
    <m/>
    <m/>
    <m/>
    <s v=""/>
    <x v="1"/>
    <n v="0"/>
    <n v="0"/>
    <m/>
    <x v="1"/>
    <n v="0"/>
    <n v="0"/>
    <s v=""/>
  </r>
  <r>
    <m/>
    <m/>
    <m/>
    <s v=""/>
    <x v="1"/>
    <n v="0"/>
    <n v="0"/>
    <m/>
    <x v="1"/>
    <n v="0"/>
    <n v="0"/>
    <s v="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5">
  <r>
    <n v="13"/>
    <d v="2015-07-05T00:00:00"/>
    <s v="Amendoim"/>
    <s v="Pacote"/>
    <x v="0"/>
    <n v="1.1499999999999999"/>
    <n v="11.5"/>
    <m/>
    <x v="0"/>
    <n v="0"/>
    <n v="11.5"/>
    <s v=""/>
  </r>
  <r>
    <n v="13"/>
    <d v="2015-07-05T00:00:00"/>
    <s v="Caixa de Fósforo"/>
    <s v="Pacote"/>
    <x v="1"/>
    <n v="0.79"/>
    <n v="0.79"/>
    <m/>
    <x v="0"/>
    <n v="0"/>
    <n v="0.79"/>
    <s v=""/>
  </r>
  <r>
    <n v="13"/>
    <d v="2015-07-05T00:00:00"/>
    <s v="Carne"/>
    <s v="Kg"/>
    <x v="0"/>
    <n v="15.9"/>
    <n v="159"/>
    <m/>
    <x v="0"/>
    <n v="0"/>
    <n v="159"/>
    <s v=""/>
  </r>
  <r>
    <n v="13"/>
    <d v="2015-07-05T00:00:00"/>
    <s v="Cerveja"/>
    <s v="Lata"/>
    <x v="2"/>
    <n v="2.19"/>
    <n v="52.56"/>
    <m/>
    <x v="0"/>
    <n v="6.5"/>
    <n v="59.06"/>
    <n v="230.35"/>
  </r>
  <r>
    <n v="12"/>
    <d v="2015-07-04T00:00:00"/>
    <s v="Cerveja"/>
    <s v="Lata"/>
    <x v="1"/>
    <n v="2.19"/>
    <n v="2.19"/>
    <m/>
    <x v="1"/>
    <n v="0"/>
    <n v="2.19"/>
    <n v="2.19"/>
  </r>
  <r>
    <n v="11"/>
    <d v="2015-07-04T00:00:00"/>
    <s v="Cerveja"/>
    <s v="Lata"/>
    <x v="0"/>
    <n v="2.19"/>
    <n v="21.9"/>
    <m/>
    <x v="1"/>
    <n v="0"/>
    <n v="21.9"/>
    <n v="21.9"/>
  </r>
  <r>
    <n v="10"/>
    <d v="2015-07-04T00:00:00"/>
    <s v="Feijão"/>
    <s v="Kg"/>
    <x v="3"/>
    <n v="4.28"/>
    <n v="25.68"/>
    <m/>
    <x v="1"/>
    <n v="0"/>
    <n v="25.68"/>
    <s v=""/>
  </r>
  <r>
    <n v="10"/>
    <d v="2015-07-04T00:00:00"/>
    <s v="Refrigerante"/>
    <s v="Litro"/>
    <x v="4"/>
    <n v="2.39"/>
    <n v="9.56"/>
    <m/>
    <x v="1"/>
    <n v="0"/>
    <n v="9.56"/>
    <n v="35.24"/>
  </r>
  <r>
    <n v="9"/>
    <d v="2015-07-03T00:00:00"/>
    <s v="Pão de Forma"/>
    <s v="Unidade"/>
    <x v="5"/>
    <n v="2.89"/>
    <n v="14.450000000000001"/>
    <m/>
    <x v="1"/>
    <n v="0"/>
    <n v="14.450000000000001"/>
    <s v=""/>
  </r>
  <r>
    <n v="9"/>
    <d v="2015-07-03T00:00:00"/>
    <s v="Vagem"/>
    <s v="Kg"/>
    <x v="6"/>
    <n v="9.58"/>
    <n v="19.16"/>
    <m/>
    <x v="1"/>
    <n v="0"/>
    <n v="19.16"/>
    <s v=""/>
  </r>
  <r>
    <n v="9"/>
    <d v="2015-07-03T00:00:00"/>
    <s v="Queijo"/>
    <s v="Kg"/>
    <x v="7"/>
    <n v="25.9"/>
    <n v="38.849999999999994"/>
    <m/>
    <x v="1"/>
    <n v="0"/>
    <n v="38.849999999999994"/>
    <s v=""/>
  </r>
  <r>
    <n v="9"/>
    <d v="2015-07-03T00:00:00"/>
    <s v="Feijão"/>
    <s v="Kg"/>
    <x v="4"/>
    <n v="4.28"/>
    <n v="17.12"/>
    <m/>
    <x v="1"/>
    <n v="0"/>
    <n v="17.12"/>
    <n v="89.58"/>
  </r>
  <r>
    <n v="8"/>
    <d v="2015-07-03T00:00:00"/>
    <s v="Cerveja"/>
    <s v="Lata"/>
    <x v="8"/>
    <n v="2.19"/>
    <n v="43.8"/>
    <m/>
    <x v="0"/>
    <n v="6.5"/>
    <n v="50.3"/>
    <n v="50.3"/>
  </r>
  <r>
    <n v="7"/>
    <d v="2015-07-03T00:00:00"/>
    <s v="Cerveja"/>
    <s v="Lata"/>
    <x v="8"/>
    <n v="2.19"/>
    <n v="43.8"/>
    <m/>
    <x v="1"/>
    <n v="0"/>
    <n v="43.8"/>
    <n v="43.8"/>
  </r>
  <r>
    <n v="6"/>
    <d v="2015-07-03T00:00:00"/>
    <s v="Caixa de Fósforo"/>
    <s v="Pacote"/>
    <x v="6"/>
    <n v="0.79"/>
    <n v="1.58"/>
    <m/>
    <x v="1"/>
    <n v="0"/>
    <n v="1.58"/>
    <s v=""/>
  </r>
  <r>
    <n v="6"/>
    <d v="2015-07-03T00:00:00"/>
    <s v="Carne"/>
    <s v="Kg"/>
    <x v="3"/>
    <n v="15.9"/>
    <n v="95.4"/>
    <m/>
    <x v="1"/>
    <n v="0"/>
    <n v="95.4"/>
    <s v=""/>
  </r>
  <r>
    <n v="6"/>
    <d v="2015-07-03T00:00:00"/>
    <s v="Cerveja"/>
    <s v="Lata"/>
    <x v="9"/>
    <n v="2.19"/>
    <n v="26.28"/>
    <m/>
    <x v="1"/>
    <n v="0"/>
    <n v="26.28"/>
    <n v="123.26"/>
  </r>
  <r>
    <n v="5"/>
    <d v="2015-07-02T00:00:00"/>
    <s v="Alface"/>
    <s v="Unidade"/>
    <x v="10"/>
    <n v="2.99"/>
    <n v="8.9700000000000006"/>
    <m/>
    <x v="0"/>
    <n v="6.5"/>
    <n v="15.47"/>
    <n v="15.47"/>
  </r>
  <r>
    <n v="4"/>
    <d v="2015-07-02T00:00:00"/>
    <s v="Bala"/>
    <s v="Pacote"/>
    <x v="6"/>
    <n v="1.99"/>
    <n v="3.98"/>
    <m/>
    <x v="2"/>
    <n v="0"/>
    <n v="3.98"/>
    <s v=""/>
  </r>
  <r>
    <n v="4"/>
    <d v="2015-07-02T00:00:00"/>
    <s v="Arroz"/>
    <s v="Kg"/>
    <x v="5"/>
    <n v="2.4900000000000002"/>
    <n v="12.450000000000001"/>
    <m/>
    <x v="2"/>
    <n v="6.5"/>
    <n v="18.950000000000003"/>
    <n v="22.930000000000003"/>
  </r>
  <r>
    <n v="3"/>
    <d v="2015-07-02T00:00:00"/>
    <s v="Leite"/>
    <s v="Litro"/>
    <x v="3"/>
    <n v="1.49"/>
    <n v="8.94"/>
    <m/>
    <x v="3"/>
    <n v="8"/>
    <n v="16.939999999999998"/>
    <n v="16.939999999999998"/>
  </r>
  <r>
    <n v="2"/>
    <d v="2015-07-02T00:00:00"/>
    <s v="Bala"/>
    <s v="Pacote"/>
    <x v="1"/>
    <n v="1.99"/>
    <n v="1.99"/>
    <m/>
    <x v="2"/>
    <n v="6.5"/>
    <n v="8.49"/>
    <n v="8.49"/>
  </r>
  <r>
    <n v="1"/>
    <d v="2015-07-02T00:00:00"/>
    <s v="Arroz"/>
    <s v="Kg"/>
    <x v="6"/>
    <n v="2.4900000000000002"/>
    <n v="4.9800000000000004"/>
    <m/>
    <x v="1"/>
    <n v="0"/>
    <n v="4.9800000000000004"/>
    <s v=""/>
  </r>
  <r>
    <n v="1"/>
    <d v="2015-07-02T00:00:00"/>
    <s v="Amendoim"/>
    <s v="Pacote"/>
    <x v="10"/>
    <n v="1.1499999999999999"/>
    <n v="3.4499999999999997"/>
    <m/>
    <x v="1"/>
    <n v="0"/>
    <n v="3.4499999999999997"/>
    <s v=""/>
  </r>
  <r>
    <n v="1"/>
    <d v="2015-07-02T00:00:00"/>
    <s v="Bala"/>
    <s v="Pacote"/>
    <x v="1"/>
    <n v="1.99"/>
    <n v="1.99"/>
    <m/>
    <x v="1"/>
    <n v="0"/>
    <n v="1.99"/>
    <n v="10.4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2">
  <r>
    <n v="7"/>
    <d v="2018-05-03T00:00:00"/>
    <s v="Caixa de Fósforo"/>
    <s v="Pacote"/>
    <x v="0"/>
    <n v="0.79"/>
    <n v="12.64"/>
    <m/>
    <x v="0"/>
    <n v="0"/>
    <n v="12.64"/>
    <n v="12.64"/>
  </r>
  <r>
    <n v="6"/>
    <d v="2018-05-04T00:00:00"/>
    <s v="Cerveja"/>
    <s v="Lata"/>
    <x v="1"/>
    <n v="2.19"/>
    <n v="438"/>
    <m/>
    <x v="1"/>
    <n v="6.5"/>
    <n v="444.5"/>
    <n v="444.5"/>
  </r>
  <r>
    <m/>
    <m/>
    <m/>
    <s v=""/>
    <x v="2"/>
    <n v="0"/>
    <n v="0"/>
    <m/>
    <x v="2"/>
    <n v="0"/>
    <n v="0"/>
    <s v=""/>
  </r>
  <r>
    <m/>
    <m/>
    <m/>
    <s v=""/>
    <x v="2"/>
    <n v="0"/>
    <n v="0"/>
    <m/>
    <x v="2"/>
    <n v="0"/>
    <n v="0"/>
    <s v=""/>
  </r>
  <r>
    <m/>
    <m/>
    <m/>
    <s v=""/>
    <x v="2"/>
    <n v="0"/>
    <n v="0"/>
    <m/>
    <x v="2"/>
    <n v="0"/>
    <n v="0"/>
    <s v=""/>
  </r>
  <r>
    <m/>
    <m/>
    <m/>
    <s v=""/>
    <x v="2"/>
    <n v="0"/>
    <n v="0"/>
    <m/>
    <x v="2"/>
    <n v="0"/>
    <n v="0"/>
    <s v=""/>
  </r>
  <r>
    <m/>
    <m/>
    <m/>
    <s v=""/>
    <x v="2"/>
    <n v="0"/>
    <n v="0"/>
    <m/>
    <x v="2"/>
    <n v="0"/>
    <n v="0"/>
    <s v=""/>
  </r>
  <r>
    <m/>
    <m/>
    <m/>
    <s v=""/>
    <x v="2"/>
    <n v="0"/>
    <n v="0"/>
    <m/>
    <x v="2"/>
    <n v="0"/>
    <n v="0"/>
    <s v=""/>
  </r>
  <r>
    <m/>
    <m/>
    <m/>
    <s v=""/>
    <x v="2"/>
    <n v="0"/>
    <n v="0"/>
    <m/>
    <x v="2"/>
    <n v="0"/>
    <n v="0"/>
    <s v=""/>
  </r>
  <r>
    <m/>
    <m/>
    <m/>
    <s v=""/>
    <x v="2"/>
    <n v="0"/>
    <n v="0"/>
    <m/>
    <x v="2"/>
    <n v="0"/>
    <n v="0"/>
    <s v=""/>
  </r>
  <r>
    <m/>
    <m/>
    <m/>
    <s v=""/>
    <x v="2"/>
    <n v="0"/>
    <n v="0"/>
    <m/>
    <x v="2"/>
    <n v="0"/>
    <n v="0"/>
    <s v=""/>
  </r>
  <r>
    <m/>
    <m/>
    <m/>
    <s v=""/>
    <x v="2"/>
    <n v="0"/>
    <n v="0"/>
    <m/>
    <x v="2"/>
    <n v="0"/>
    <n v="0"/>
    <s v="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2">
  <r>
    <n v="3"/>
    <x v="0"/>
    <x v="0"/>
    <s v="Kg"/>
    <x v="0"/>
    <n v="15.9"/>
    <n v="1590"/>
    <m/>
    <x v="0"/>
    <n v="6.5"/>
    <n v="1596.5"/>
    <n v="1596.5"/>
  </r>
  <r>
    <n v="2"/>
    <x v="1"/>
    <x v="1"/>
    <s v="Pacote"/>
    <x v="1"/>
    <n v="1.99"/>
    <n v="1.99"/>
    <m/>
    <x v="1"/>
    <n v="6.5"/>
    <n v="8.49"/>
    <n v="8.49"/>
  </r>
  <r>
    <m/>
    <x v="2"/>
    <x v="2"/>
    <s v=""/>
    <x v="2"/>
    <n v="0"/>
    <n v="0"/>
    <m/>
    <x v="2"/>
    <n v="0"/>
    <n v="0"/>
    <s v=""/>
  </r>
  <r>
    <m/>
    <x v="2"/>
    <x v="2"/>
    <s v=""/>
    <x v="2"/>
    <n v="0"/>
    <n v="0"/>
    <m/>
    <x v="2"/>
    <n v="0"/>
    <n v="0"/>
    <s v=""/>
  </r>
  <r>
    <m/>
    <x v="2"/>
    <x v="2"/>
    <s v=""/>
    <x v="2"/>
    <n v="0"/>
    <n v="0"/>
    <m/>
    <x v="2"/>
    <n v="0"/>
    <n v="0"/>
    <s v=""/>
  </r>
  <r>
    <m/>
    <x v="2"/>
    <x v="2"/>
    <s v=""/>
    <x v="2"/>
    <n v="0"/>
    <n v="0"/>
    <m/>
    <x v="2"/>
    <n v="0"/>
    <n v="0"/>
    <s v=""/>
  </r>
  <r>
    <m/>
    <x v="2"/>
    <x v="2"/>
    <s v=""/>
    <x v="2"/>
    <n v="0"/>
    <n v="0"/>
    <m/>
    <x v="2"/>
    <n v="0"/>
    <n v="0"/>
    <s v=""/>
  </r>
  <r>
    <m/>
    <x v="2"/>
    <x v="2"/>
    <s v=""/>
    <x v="2"/>
    <n v="0"/>
    <n v="0"/>
    <m/>
    <x v="2"/>
    <n v="0"/>
    <n v="0"/>
    <s v=""/>
  </r>
  <r>
    <m/>
    <x v="2"/>
    <x v="2"/>
    <s v=""/>
    <x v="2"/>
    <n v="0"/>
    <n v="0"/>
    <m/>
    <x v="2"/>
    <n v="0"/>
    <n v="0"/>
    <s v=""/>
  </r>
  <r>
    <m/>
    <x v="2"/>
    <x v="2"/>
    <s v=""/>
    <x v="2"/>
    <n v="0"/>
    <n v="0"/>
    <m/>
    <x v="2"/>
    <n v="0"/>
    <n v="0"/>
    <s v=""/>
  </r>
  <r>
    <m/>
    <x v="2"/>
    <x v="2"/>
    <s v=""/>
    <x v="2"/>
    <n v="0"/>
    <n v="0"/>
    <m/>
    <x v="2"/>
    <n v="0"/>
    <n v="0"/>
    <s v=""/>
  </r>
  <r>
    <m/>
    <x v="2"/>
    <x v="2"/>
    <s v=""/>
    <x v="2"/>
    <n v="0"/>
    <n v="0"/>
    <m/>
    <x v="2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Tabla dinámica2" cacheId="4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F3:H10" firstHeaderRow="0" firstDataRow="1" firstDataCol="1"/>
  <pivotFields count="12">
    <pivotField showAll="0"/>
    <pivotField showAll="0"/>
    <pivotField showAll="0"/>
    <pivotField showAll="0"/>
    <pivotField axis="axisRow" showAll="0">
      <items count="4">
        <item x="1"/>
        <item x="0"/>
        <item x="2"/>
        <item t="default"/>
      </items>
    </pivotField>
    <pivotField numFmtId="164" showAll="0"/>
    <pivotField numFmtId="164" showAll="0"/>
    <pivotField showAll="0"/>
    <pivotField axis="axisRow" showAll="0">
      <items count="4">
        <item x="1"/>
        <item x="0"/>
        <item x="2"/>
        <item t="default"/>
      </items>
    </pivotField>
    <pivotField dataField="1" numFmtId="164" showAll="0"/>
    <pivotField dataField="1" numFmtId="164" showAll="0"/>
    <pivotField showAll="0"/>
  </pivotFields>
  <rowFields count="2">
    <field x="8"/>
    <field x="4"/>
  </rowFields>
  <rowItems count="7">
    <i>
      <x/>
    </i>
    <i r="1">
      <x/>
    </i>
    <i>
      <x v="1"/>
    </i>
    <i r="1">
      <x v="1"/>
    </i>
    <i>
      <x v="2"/>
    </i>
    <i r="1"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alor de Entrega" fld="9" baseField="4" baseItem="2" numFmtId="165"/>
    <dataField name="Suma de Total" fld="10" baseField="4" baseItem="2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 dinámica1" cacheId="4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C10" firstHeaderRow="0" firstDataRow="1" firstDataCol="1"/>
  <pivotFields count="12">
    <pivotField showAll="0"/>
    <pivotField axis="axisRow" showAll="0">
      <items count="4">
        <item x="1"/>
        <item x="0"/>
        <item x="2"/>
        <item t="default"/>
      </items>
    </pivotField>
    <pivotField axis="axisRow" showAll="0">
      <items count="4">
        <item x="1"/>
        <item x="0"/>
        <item x="2"/>
        <item t="default"/>
      </items>
    </pivotField>
    <pivotField showAll="0"/>
    <pivotField dataField="1" showAll="0"/>
    <pivotField numFmtId="164" showAll="0"/>
    <pivotField numFmtId="164" showAll="0"/>
    <pivotField showAll="0"/>
    <pivotField showAll="0"/>
    <pivotField numFmtId="164" showAll="0"/>
    <pivotField dataField="1" numFmtId="164" showAll="0"/>
    <pivotField showAll="0"/>
  </pivotFields>
  <rowFields count="2">
    <field x="1"/>
    <field x="2"/>
  </rowFields>
  <rowItems count="7">
    <i>
      <x/>
    </i>
    <i r="1">
      <x/>
    </i>
    <i>
      <x v="1"/>
    </i>
    <i r="1">
      <x v="1"/>
    </i>
    <i>
      <x v="2"/>
    </i>
    <i r="1"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 de Quantidade" fld="4" subtotal="count" baseField="0" baseItem="0"/>
    <dataField name="Suma de Total" fld="10" baseField="1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 dinámica1" cacheId="4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C10" firstHeaderRow="0" firstDataRow="1" firstDataCol="1"/>
  <pivotFields count="12">
    <pivotField showAll="0"/>
    <pivotField axis="axisRow" showAll="0">
      <items count="4">
        <item x="1"/>
        <item x="0"/>
        <item x="2"/>
        <item t="default"/>
      </items>
    </pivotField>
    <pivotField axis="axisRow" showAll="0">
      <items count="4">
        <item x="1"/>
        <item x="0"/>
        <item x="2"/>
        <item t="default"/>
      </items>
    </pivotField>
    <pivotField showAll="0"/>
    <pivotField dataField="1" showAll="0"/>
    <pivotField numFmtId="164" showAll="0"/>
    <pivotField numFmtId="164" showAll="0"/>
    <pivotField showAll="0"/>
    <pivotField showAll="0"/>
    <pivotField numFmtId="164" showAll="0"/>
    <pivotField dataField="1" numFmtId="164" showAll="0"/>
    <pivotField showAll="0"/>
  </pivotFields>
  <rowFields count="2">
    <field x="1"/>
    <field x="2"/>
  </rowFields>
  <rowItems count="7">
    <i>
      <x/>
    </i>
    <i r="1">
      <x/>
    </i>
    <i>
      <x v="1"/>
    </i>
    <i r="1">
      <x v="1"/>
    </i>
    <i>
      <x v="2"/>
    </i>
    <i r="1"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 de Quantidade" fld="4" subtotal="count" baseField="0" baseItem="0"/>
    <dataField name="Suma de Total" fld="10" baseField="1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 dinámica2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F3:H9" firstHeaderRow="0" firstDataRow="1" firstDataCol="1"/>
  <pivotFields count="12">
    <pivotField showAll="0"/>
    <pivotField showAll="0"/>
    <pivotField showAll="0"/>
    <pivotField showAll="0"/>
    <pivotField axis="axisRow" showAll="0">
      <items count="4">
        <item x="1"/>
        <item x="2"/>
        <item x="0"/>
        <item t="default"/>
      </items>
    </pivotField>
    <pivotField numFmtId="164" showAll="0"/>
    <pivotField numFmtId="164" showAll="0"/>
    <pivotField showAll="0"/>
    <pivotField axis="axisRow" showAll="0">
      <items count="3">
        <item x="0"/>
        <item x="1"/>
        <item t="default"/>
      </items>
    </pivotField>
    <pivotField dataField="1" numFmtId="164" showAll="0"/>
    <pivotField dataField="1" numFmtId="164" showAll="0"/>
    <pivotField showAll="0"/>
  </pivotFields>
  <rowFields count="2">
    <field x="8"/>
    <field x="4"/>
  </rowFields>
  <rowItems count="6">
    <i>
      <x/>
    </i>
    <i r="1">
      <x v="1"/>
    </i>
    <i r="1">
      <x v="2"/>
    </i>
    <i>
      <x v="1"/>
    </i>
    <i r="1"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alor de Entrega" fld="9" baseField="4" baseItem="2" numFmtId="165"/>
    <dataField name="Suma de Total" fld="10" baseField="4" baseItem="2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a dinámica2" cacheId="1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F3:H8" firstHeaderRow="0" firstDataRow="1" firstDataCol="1"/>
  <pivotFields count="12">
    <pivotField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numFmtId="164" showAll="0"/>
    <pivotField numFmtId="164" showAll="0"/>
    <pivotField showAll="0"/>
    <pivotField axis="axisRow" showAll="0">
      <items count="3">
        <item x="1"/>
        <item x="0"/>
        <item t="default"/>
      </items>
    </pivotField>
    <pivotField dataField="1" numFmtId="164" showAll="0"/>
    <pivotField dataField="1" numFmtId="164" showAll="0"/>
    <pivotField showAll="0"/>
  </pivotFields>
  <rowFields count="2">
    <field x="8"/>
    <field x="4"/>
  </rowFields>
  <rowItems count="5">
    <i>
      <x/>
    </i>
    <i r="1">
      <x/>
    </i>
    <i>
      <x v="1"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alor de Entrega" fld="9" baseField="4" baseItem="2" numFmtId="165"/>
    <dataField name="Suma de Total" fld="10" baseField="4" baseItem="2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la dinámica1" cacheId="4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C10" firstHeaderRow="0" firstDataRow="1" firstDataCol="1"/>
  <pivotFields count="12">
    <pivotField showAll="0"/>
    <pivotField axis="axisRow" showAll="0">
      <items count="4">
        <item x="1"/>
        <item x="0"/>
        <item x="2"/>
        <item t="default"/>
      </items>
    </pivotField>
    <pivotField axis="axisRow" showAll="0">
      <items count="4">
        <item x="1"/>
        <item x="0"/>
        <item x="2"/>
        <item t="default"/>
      </items>
    </pivotField>
    <pivotField showAll="0"/>
    <pivotField dataField="1" showAll="0"/>
    <pivotField numFmtId="164" showAll="0"/>
    <pivotField numFmtId="164" showAll="0"/>
    <pivotField showAll="0"/>
    <pivotField showAll="0"/>
    <pivotField numFmtId="164" showAll="0"/>
    <pivotField dataField="1" numFmtId="164" showAll="0"/>
    <pivotField showAll="0"/>
  </pivotFields>
  <rowFields count="2">
    <field x="1"/>
    <field x="2"/>
  </rowFields>
  <rowItems count="7">
    <i>
      <x/>
    </i>
    <i r="1">
      <x/>
    </i>
    <i>
      <x v="1"/>
    </i>
    <i r="1">
      <x v="1"/>
    </i>
    <i>
      <x v="2"/>
    </i>
    <i r="1"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 de Quantidade" fld="4" subtotal="count" baseField="0" baseItem="0"/>
    <dataField name="Suma de Total" fld="10" baseField="1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la dinámica1" cacheId="4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C10" firstHeaderRow="0" firstDataRow="1" firstDataCol="1"/>
  <pivotFields count="12">
    <pivotField showAll="0"/>
    <pivotField axis="axisRow" showAll="0">
      <items count="4">
        <item x="1"/>
        <item x="0"/>
        <item x="2"/>
        <item t="default"/>
      </items>
    </pivotField>
    <pivotField axis="axisRow" showAll="0">
      <items count="4">
        <item x="1"/>
        <item x="0"/>
        <item x="2"/>
        <item t="default"/>
      </items>
    </pivotField>
    <pivotField showAll="0"/>
    <pivotField dataField="1" showAll="0"/>
    <pivotField numFmtId="164" showAll="0"/>
    <pivotField numFmtId="164" showAll="0"/>
    <pivotField showAll="0"/>
    <pivotField showAll="0"/>
    <pivotField numFmtId="164" showAll="0"/>
    <pivotField dataField="1" numFmtId="164" showAll="0"/>
    <pivotField showAll="0"/>
  </pivotFields>
  <rowFields count="2">
    <field x="1"/>
    <field x="2"/>
  </rowFields>
  <rowItems count="7">
    <i>
      <x/>
    </i>
    <i r="1">
      <x/>
    </i>
    <i>
      <x v="1"/>
    </i>
    <i r="1">
      <x v="1"/>
    </i>
    <i>
      <x v="2"/>
    </i>
    <i r="1"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 de Quantidade" fld="4" subtotal="count" baseField="0" baseItem="0"/>
    <dataField name="Suma de Total" fld="10" baseField="1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abla dinámica2" cacheId="2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F3:H27" firstHeaderRow="0" firstDataRow="1" firstDataCol="1"/>
  <pivotFields count="12">
    <pivotField showAll="0"/>
    <pivotField showAll="0"/>
    <pivotField showAll="0"/>
    <pivotField showAll="0"/>
    <pivotField axis="axisRow" showAll="0">
      <items count="12">
        <item x="6"/>
        <item x="0"/>
        <item x="1"/>
        <item x="2"/>
        <item x="3"/>
        <item x="4"/>
        <item x="5"/>
        <item x="7"/>
        <item x="8"/>
        <item x="9"/>
        <item x="10"/>
        <item t="default"/>
      </items>
    </pivotField>
    <pivotField numFmtId="164" showAll="0"/>
    <pivotField numFmtId="164" showAll="0"/>
    <pivotField showAll="0"/>
    <pivotField axis="axisRow" showAll="0">
      <items count="5">
        <item x="1"/>
        <item x="0"/>
        <item x="2"/>
        <item x="3"/>
        <item t="default"/>
      </items>
    </pivotField>
    <pivotField dataField="1" numFmtId="164" showAll="0"/>
    <pivotField dataField="1" numFmtId="164" showAll="0"/>
    <pivotField showAll="0"/>
  </pivotFields>
  <rowFields count="2">
    <field x="8"/>
    <field x="4"/>
  </rowFields>
  <rowItems count="24">
    <i>
      <x/>
    </i>
    <i r="1">
      <x/>
    </i>
    <i r="1">
      <x v="1"/>
    </i>
    <i r="1">
      <x v="2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"/>
    </i>
    <i r="1">
      <x v="1"/>
    </i>
    <i r="1">
      <x v="2"/>
    </i>
    <i r="1">
      <x v="3"/>
    </i>
    <i r="1">
      <x v="8"/>
    </i>
    <i r="1">
      <x v="10"/>
    </i>
    <i>
      <x v="2"/>
    </i>
    <i r="1">
      <x/>
    </i>
    <i r="1">
      <x v="2"/>
    </i>
    <i r="1">
      <x v="6"/>
    </i>
    <i>
      <x v="3"/>
    </i>
    <i r="1"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alor de Entrega" fld="9" baseField="4" baseItem="2" numFmtId="165"/>
    <dataField name="Suma de Total" fld="10" baseField="4" baseItem="2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Tabla dinámica2" cacheId="3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F3:H10" firstHeaderRow="0" firstDataRow="1" firstDataCol="1"/>
  <pivotFields count="12"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numFmtId="164" showAll="0"/>
    <pivotField numFmtId="164" showAll="0"/>
    <pivotField showAll="0"/>
    <pivotField axis="axisRow" showAll="0">
      <items count="4">
        <item x="0"/>
        <item x="1"/>
        <item x="2"/>
        <item t="default"/>
      </items>
    </pivotField>
    <pivotField dataField="1" numFmtId="164" showAll="0"/>
    <pivotField dataField="1" numFmtId="164" showAll="0"/>
    <pivotField showAll="0"/>
  </pivotFields>
  <rowFields count="2">
    <field x="8"/>
    <field x="4"/>
  </rowFields>
  <rowItems count="7">
    <i>
      <x/>
    </i>
    <i r="1">
      <x/>
    </i>
    <i>
      <x v="1"/>
    </i>
    <i r="1">
      <x v="1"/>
    </i>
    <i>
      <x v="2"/>
    </i>
    <i r="1"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alor de Entrega" fld="9" baseField="4" baseItem="2" numFmtId="165"/>
    <dataField name="Suma de Total" fld="10" baseField="4" baseItem="2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Tabla dinámica1" cacheId="4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C10" firstHeaderRow="0" firstDataRow="1" firstDataCol="1"/>
  <pivotFields count="12">
    <pivotField showAll="0"/>
    <pivotField axis="axisRow" showAll="0">
      <items count="4">
        <item x="1"/>
        <item x="0"/>
        <item x="2"/>
        <item t="default"/>
      </items>
    </pivotField>
    <pivotField axis="axisRow" showAll="0">
      <items count="4">
        <item x="1"/>
        <item x="0"/>
        <item x="2"/>
        <item t="default"/>
      </items>
    </pivotField>
    <pivotField showAll="0"/>
    <pivotField dataField="1" showAll="0"/>
    <pivotField numFmtId="164" showAll="0"/>
    <pivotField numFmtId="164" showAll="0"/>
    <pivotField showAll="0"/>
    <pivotField showAll="0"/>
    <pivotField numFmtId="164" showAll="0"/>
    <pivotField dataField="1" numFmtId="164" showAll="0"/>
    <pivotField showAll="0"/>
  </pivotFields>
  <rowFields count="2">
    <field x="1"/>
    <field x="2"/>
  </rowFields>
  <rowItems count="7">
    <i>
      <x/>
    </i>
    <i r="1">
      <x/>
    </i>
    <i>
      <x v="1"/>
    </i>
    <i r="1">
      <x v="1"/>
    </i>
    <i>
      <x v="2"/>
    </i>
    <i r="1"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 de Quantidade" fld="4" subtotal="count" baseField="0" baseItem="0"/>
    <dataField name="Suma de Total" fld="10" baseField="1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Tabla2" displayName="Tabla2" ref="B4:G34" totalsRowShown="0">
  <autoFilter ref="B4:G34"/>
  <tableColumns count="6">
    <tableColumn id="1" name="Despesas de Funcionamento"/>
    <tableColumn id="2" name="Items Despesas"/>
    <tableColumn id="3" name="Data"/>
    <tableColumn id="4" name="Observação"/>
    <tableColumn id="5" name="Valor intermediário" dataDxfId="56"/>
    <tableColumn id="6" name="Valor Final" dataDxfId="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C4:J27" totalsRowShown="0">
  <autoFilter ref="C4:J27"/>
  <sortState ref="C5:J26">
    <sortCondition descending="1" ref="C4:C26"/>
  </sortState>
  <tableColumns count="8">
    <tableColumn id="1" name="Data" dataDxfId="54"/>
    <tableColumn id="2" name="Fornecedor"/>
    <tableColumn id="3" name="Mercadoria"/>
    <tableColumn id="4" name="Unidades de Medida" dataDxfId="53">
      <calculatedColumnFormula>IFERROR(VLOOKUP(Tabla1[[#This Row],[Mercadoria]],cálculos!$N$3:$Q$31,4,FALSE),"")</calculatedColumnFormula>
    </tableColumn>
    <tableColumn id="5" name="Quantidade"/>
    <tableColumn id="6" name="Preço Unitário" dataDxfId="52">
      <calculatedColumnFormula>IFERROR(VLOOKUP(Tabla1[[#This Row],[Mercadoria]],cálculos!$N$3:$Q$31,2,FALSE),0)</calculatedColumnFormula>
    </tableColumn>
    <tableColumn id="7" name="Desconto" dataCellStyle="Porcentaje"/>
    <tableColumn id="8" name="Valor pago" dataDxfId="51">
      <calculatedColumnFormula>Tabla1[[#This Row],[Quantidade]]*Tabla1[[#This Row],[Preço Unitário]]*(1-Tabla1[[#This Row],[Desconto]])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B4:E9" totalsRowShown="0">
  <autoFilter ref="B4:E9"/>
  <tableColumns count="4">
    <tableColumn id="1" name="Investimento"/>
    <tableColumn id="2" name="Data" dataDxfId="50"/>
    <tableColumn id="3" name="Descrição" dataDxfId="49"/>
    <tableColumn id="4" name="Valor" dataDxfId="4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a5" displayName="Tabla5" ref="B5:H29" totalsRowShown="0">
  <autoFilter ref="B5:H29"/>
  <tableColumns count="7">
    <tableColumn id="1" name="Produto"/>
    <tableColumn id="2" name="Data de Última compra" dataDxfId="45">
      <calculatedColumnFormula>IFERROR(INDEX(Tabla1[],MATCH(Tabla5[[#This Row],[Produto]],Tabla1[Mercadoria],0),1),"")</calculatedColumnFormula>
    </tableColumn>
    <tableColumn id="3" name="Quantidade Inicial"/>
    <tableColumn id="8" name="Quantidade Comprada" dataDxfId="44">
      <calculatedColumnFormula>SUMIF(Tabla1[Mercadoria],Tabla5[[#This Row],[Produto]],Tabla1[Quantidade])</calculatedColumnFormula>
    </tableColumn>
    <tableColumn id="7" name="Quantidade Vendida" dataDxfId="43">
      <calculatedColumnFormula>SUMIF(Tabla4[Produtos],Tabla5[[#This Row],[Produto]],Tabla4[Quantidade])+SUMIF(Tabla47[Produtos],Tabla5[[#This Row],[Produto]],Tabla47[Quantidade])+SUMIF(Tabla478[Produtos],Tabla5[[#This Row],[Produto]],Tabla478[Quantidade])+SUMIF(Tabla4789[Produtos],Tabla5[[#This Row],[Produto]],Tabla4789[Quantidade])+SUMIF(Tabla410[Produtos],Tabla5[[#This Row],[Produto]],Tabla410[Quantidade])</calculatedColumnFormula>
    </tableColumn>
    <tableColumn id="4" name="Quantidade Atual" dataDxfId="42">
      <calculatedColumnFormula>Tabla5[[#This Row],[Quantidade Inicial]]+Tabla5[[#This Row],[Quantidade Comprada]]-Tabla5[[#This Row],[Quantidade Vendida]]</calculatedColumnFormula>
    </tableColumn>
    <tableColumn id="5" name="Situação" dataDxfId="41">
      <calculatedColumnFormula>IF(Tabla5[[#This Row],[Quantidade Atual]]&lt;50,IF(Tabla5[[#This Row],[Quantidade Atual]]&lt;21,"Comprar","Atenção"),"OK")</calculatedColumnFormula>
    </tableColumn>
  </tableColumns>
  <tableStyleInfo name="TableStyleMedium4" showFirstColumn="1" showLastColumn="1" showRowStripes="1" showColumnStripes="0"/>
</table>
</file>

<file path=xl/tables/table5.xml><?xml version="1.0" encoding="utf-8"?>
<table xmlns="http://schemas.openxmlformats.org/spreadsheetml/2006/main" id="4" name="Tabla4" displayName="Tabla4" ref="B4:M16" totalsRowShown="0">
  <autoFilter ref="B4:M16"/>
  <tableColumns count="12">
    <tableColumn id="1" name="ID da Venda"/>
    <tableColumn id="2" name="Data" dataDxfId="38"/>
    <tableColumn id="3" name="Produtos"/>
    <tableColumn id="4" name="Medida" dataDxfId="37">
      <calculatedColumnFormula>IFERROR(VLOOKUP(Tabla4[[#This Row],[Produtos]],cálculos!$N$3:$Q$33,4,FALSE),"")</calculatedColumnFormula>
    </tableColumn>
    <tableColumn id="5" name="Quantidade"/>
    <tableColumn id="6" name="Preço Unitário" dataDxfId="36">
      <calculatedColumnFormula>IFERROR(VLOOKUP(Tabla4[[#This Row],[Produtos]],cálculos!$N$3:$Q$33,3,FALSE),0)</calculatedColumnFormula>
    </tableColumn>
    <tableColumn id="7" name="Subtotal" dataDxfId="35">
      <calculatedColumnFormula>Tabla4[[#This Row],[Quantidade]]*Tabla4[[#This Row],[Preço Unitário]]</calculatedColumnFormula>
    </tableColumn>
    <tableColumn id="8" name="Desconto" dataDxfId="34"/>
    <tableColumn id="9" name="Entrega"/>
    <tableColumn id="10" name="Valor de Entrega" dataDxfId="33">
      <calculatedColumnFormula>IFERROR(VLOOKUP(Tabla4[[#This Row],[Entrega]],cálculos!$C$3:$D$7,2,FALSE),0)</calculatedColumnFormula>
    </tableColumn>
    <tableColumn id="11" name="Total" dataDxfId="32">
      <calculatedColumnFormula>Tabla4[[#This Row],[Subtotal]]*(1-Tabla4[[#This Row],[Desconto]])+Tabla4[[#This Row],[Valor de Entrega]]</calculatedColumnFormula>
    </tableColumn>
    <tableColumn id="12" name="Total para Cliente" dataDxfId="31">
      <calculatedColumnFormula>IF(Tabla4[[#This Row],[ID da Venda]]=B8,"",SUMIF(Tabla4[ID da Venda],Tabla4[[#This Row],[ID da Venda]],Tabla4[Total]))</calculatedColumnFormula>
    </tableColumn>
  </tableColumns>
  <tableStyleInfo name="TableStyleMedium7" showFirstColumn="1" showLastColumn="1" showRowStripes="1" showColumnStripes="0"/>
</table>
</file>

<file path=xl/tables/table6.xml><?xml version="1.0" encoding="utf-8"?>
<table xmlns="http://schemas.openxmlformats.org/spreadsheetml/2006/main" id="6" name="Tabla47" displayName="Tabla47" ref="B4:M16" totalsRowShown="0">
  <autoFilter ref="B4:M16"/>
  <tableColumns count="12">
    <tableColumn id="1" name="ID da Venda"/>
    <tableColumn id="2" name="Data" dataDxfId="30"/>
    <tableColumn id="3" name="Produtos"/>
    <tableColumn id="4" name="Medida" dataDxfId="29">
      <calculatedColumnFormula>IFERROR(VLOOKUP(Tabla47[[#This Row],[Produtos]],cálculos!$N$3:$Q$33,4,FALSE),"")</calculatedColumnFormula>
    </tableColumn>
    <tableColumn id="5" name="Quantidade"/>
    <tableColumn id="6" name="Preço Unitário" dataDxfId="28">
      <calculatedColumnFormula>IFERROR(VLOOKUP(Tabla47[[#This Row],[Produtos]],cálculos!$N$3:$Q$33,3,FALSE),0)</calculatedColumnFormula>
    </tableColumn>
    <tableColumn id="7" name="Subtotal" dataDxfId="27">
      <calculatedColumnFormula>Tabla47[[#This Row],[Quantidade]]*Tabla47[[#This Row],[Preço Unitário]]</calculatedColumnFormula>
    </tableColumn>
    <tableColumn id="8" name="Desconto" dataDxfId="26"/>
    <tableColumn id="9" name="Entrega"/>
    <tableColumn id="10" name="Valor de Entrega" dataDxfId="25">
      <calculatedColumnFormula>IFERROR(VLOOKUP(Tabla47[[#This Row],[Entrega]],cálculos!$C$3:$D$7,2,FALSE),0)</calculatedColumnFormula>
    </tableColumn>
    <tableColumn id="11" name="Total" dataDxfId="24">
      <calculatedColumnFormula>Tabla47[[#This Row],[Subtotal]]*(1-Tabla47[[#This Row],[Desconto]])+Tabla47[[#This Row],[Valor de Entrega]]</calculatedColumnFormula>
    </tableColumn>
    <tableColumn id="12" name="Total para Cliente" dataDxfId="23">
      <calculatedColumnFormula>IF(Tabla47[[#This Row],[ID da Venda]]=B6,"",SUMIF(Tabla47[ID da Venda],Tabla47[[#This Row],[ID da Venda]],Tabla47[Total]))</calculatedColumnFormula>
    </tableColumn>
  </tableColumns>
  <tableStyleInfo name="TableStyleMedium7" showFirstColumn="1" showLastColumn="1" showRowStripes="1" showColumnStripes="0"/>
</table>
</file>

<file path=xl/tables/table7.xml><?xml version="1.0" encoding="utf-8"?>
<table xmlns="http://schemas.openxmlformats.org/spreadsheetml/2006/main" id="7" name="Tabla478" displayName="Tabla478" ref="B4:M15" totalsRowShown="0">
  <autoFilter ref="B4:M15"/>
  <tableColumns count="12">
    <tableColumn id="1" name="ID da Venda"/>
    <tableColumn id="2" name="Data"/>
    <tableColumn id="3" name="Produtos"/>
    <tableColumn id="4" name="Medida" dataDxfId="22">
      <calculatedColumnFormula>IFERROR(VLOOKUP(Tabla478[[#This Row],[Produtos]],cálculos!$N$3:$Q$33,4,FALSE),"")</calculatedColumnFormula>
    </tableColumn>
    <tableColumn id="5" name="Quantidade"/>
    <tableColumn id="6" name="Preço Unitário" dataDxfId="21">
      <calculatedColumnFormula>IFERROR(VLOOKUP(Tabla478[[#This Row],[Produtos]],cálculos!$N$3:$Q$33,3,FALSE),0)</calculatedColumnFormula>
    </tableColumn>
    <tableColumn id="7" name="Subtotal" dataDxfId="20">
      <calculatedColumnFormula>Tabla478[[#This Row],[Quantidade]]*Tabla478[[#This Row],[Preço Unitário]]</calculatedColumnFormula>
    </tableColumn>
    <tableColumn id="8" name="Desconto" dataDxfId="19"/>
    <tableColumn id="9" name="Entrega"/>
    <tableColumn id="10" name="Valor de Entrega" dataDxfId="18">
      <calculatedColumnFormula>IFERROR(IF(Tabla478[[#This Row],[ID da Venda]]=B6,0,VLOOKUP(Tabla478[[#This Row],[Entrega]],cálculos!$C$3:$D$7,2,FALSE)),0)</calculatedColumnFormula>
    </tableColumn>
    <tableColumn id="11" name="Total" dataDxfId="17">
      <calculatedColumnFormula>Tabla478[[#This Row],[Subtotal]]*(1-Tabla478[[#This Row],[Desconto]])+Tabla478[[#This Row],[Valor de Entrega]]</calculatedColumnFormula>
    </tableColumn>
    <tableColumn id="12" name="Total para Cliente" dataDxfId="16">
      <calculatedColumnFormula>IF(Tabla478[[#This Row],[ID da Venda]]=B6,"",SUMIF(Tabla478[ID da Venda],Tabla478[[#This Row],[ID da Venda]],Tabla478[Total]))</calculatedColumnFormula>
    </tableColumn>
  </tableColumns>
  <tableStyleInfo name="TableStyleMedium7" showFirstColumn="1" showLastColumn="1" showRowStripes="1" showColumnStripes="0"/>
</table>
</file>

<file path=xl/tables/table8.xml><?xml version="1.0" encoding="utf-8"?>
<table xmlns="http://schemas.openxmlformats.org/spreadsheetml/2006/main" id="8" name="Tabla4789" displayName="Tabla4789" ref="B4:M29" totalsRowShown="0">
  <autoFilter ref="B4:M29"/>
  <sortState ref="B5:M29">
    <sortCondition descending="1" ref="B4:B29"/>
  </sortState>
  <tableColumns count="12">
    <tableColumn id="1" name="ID da Venda"/>
    <tableColumn id="2" name="Data" dataDxfId="15"/>
    <tableColumn id="3" name="Produtos"/>
    <tableColumn id="4" name="Medida" dataDxfId="14">
      <calculatedColumnFormula>IFERROR(VLOOKUP(Tabla4789[[#This Row],[Produtos]],cálculos!$N$3:$Q$33,4,FALSE),"")</calculatedColumnFormula>
    </tableColumn>
    <tableColumn id="5" name="Quantidade"/>
    <tableColumn id="6" name="Preço Unitário" dataDxfId="13">
      <calculatedColumnFormula>IFERROR(VLOOKUP(Tabla4789[[#This Row],[Produtos]],cálculos!$N$3:$Q$33,3,FALSE),0)</calculatedColumnFormula>
    </tableColumn>
    <tableColumn id="7" name="Subtotal" dataDxfId="12">
      <calculatedColumnFormula>Tabla4789[[#This Row],[Quantidade]]*Tabla4789[[#This Row],[Preço Unitário]]</calculatedColumnFormula>
    </tableColumn>
    <tableColumn id="8" name="Desconto" dataDxfId="11"/>
    <tableColumn id="9" name="Entrega"/>
    <tableColumn id="10" name="Valor de Entrega" dataDxfId="10">
      <calculatedColumnFormula>IFERROR(IF(Tabla4789[[#This Row],[ID da Venda]]=B6,0,VLOOKUP(Tabla4789[[#This Row],[Entrega]],cálculos!$C$3:$D$7,2,FALSE)),0)</calculatedColumnFormula>
    </tableColumn>
    <tableColumn id="11" name="Total" dataDxfId="9">
      <calculatedColumnFormula>Tabla4789[[#This Row],[Subtotal]]*(1-Tabla4789[[#This Row],[Desconto]])+Tabla4789[[#This Row],[Valor de Entrega]]</calculatedColumnFormula>
    </tableColumn>
    <tableColumn id="12" name="Total para Cliente" dataDxfId="8">
      <calculatedColumnFormula>IF(Tabla4789[[#This Row],[ID da Venda]]=B6,"",SUMIF(Tabla4789[ID da Venda],Tabla4789[[#This Row],[ID da Venda]],Tabla4789[Total]))</calculatedColumnFormula>
    </tableColumn>
  </tableColumns>
  <tableStyleInfo name="TableStyleMedium7" showFirstColumn="1" showLastColumn="1" showRowStripes="1" showColumnStripes="0"/>
</table>
</file>

<file path=xl/tables/table9.xml><?xml version="1.0" encoding="utf-8"?>
<table xmlns="http://schemas.openxmlformats.org/spreadsheetml/2006/main" id="9" name="Tabla410" displayName="Tabla410" ref="B4:M16" totalsRowShown="0">
  <autoFilter ref="B4:M16"/>
  <tableColumns count="12">
    <tableColumn id="1" name="ID da Venda"/>
    <tableColumn id="2" name="Data" dataDxfId="7">
      <calculatedColumnFormula>TODAY()</calculatedColumnFormula>
    </tableColumn>
    <tableColumn id="3" name="Produtos"/>
    <tableColumn id="4" name="Medida" dataDxfId="6">
      <calculatedColumnFormula>IFERROR(VLOOKUP(Tabla410[[#This Row],[Produtos]],cálculos!$N$3:$Q$33,4,FALSE),"")</calculatedColumnFormula>
    </tableColumn>
    <tableColumn id="5" name="Quantidade"/>
    <tableColumn id="6" name="Preço Unitário" dataDxfId="5">
      <calculatedColumnFormula>IFERROR(VLOOKUP(Tabla410[[#This Row],[Produtos]],cálculos!$N$3:$Q$33,3,FALSE),0)</calculatedColumnFormula>
    </tableColumn>
    <tableColumn id="7" name="Subtotal" dataDxfId="4">
      <calculatedColumnFormula>Tabla410[[#This Row],[Quantidade]]*Tabla410[[#This Row],[Preço Unitário]]</calculatedColumnFormula>
    </tableColumn>
    <tableColumn id="8" name="Desconto" dataDxfId="3"/>
    <tableColumn id="9" name="Entrega"/>
    <tableColumn id="10" name="Valor de Entrega" dataDxfId="2">
      <calculatedColumnFormula>IFERROR(VLOOKUP(Tabla410[[#This Row],[Entrega]],cálculos!$C$3:$D$7,2,FALSE),0)</calculatedColumnFormula>
    </tableColumn>
    <tableColumn id="11" name="Total" dataDxfId="1">
      <calculatedColumnFormula>Tabla410[[#This Row],[Subtotal]]*(1-Tabla410[[#This Row],[Desconto]])+Tabla410[[#This Row],[Valor de Entrega]]</calculatedColumnFormula>
    </tableColumn>
    <tableColumn id="12" name="Total para Cliente" dataDxfId="0">
      <calculatedColumnFormula>IF(Tabla410[[#This Row],[ID da Venda]]=B6,"",SUMIF(Tabla410[ID da Venda],Tabla410[[#This Row],[ID da Venda]],Tabla410[Total]))</calculatedColumnFormula>
    </tableColumn>
  </tableColumns>
  <tableStyleInfo name="TableStyleMedium7" showFirstColumn="1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00B0F0"/>
  </sheetPr>
  <dimension ref="A1"/>
  <sheetViews>
    <sheetView zoomScale="90" zoomScaleNormal="90" workbookViewId="0"/>
  </sheetViews>
  <sheetFormatPr baseColWidth="10" defaultColWidth="8.88671875" defaultRowHeight="14.4" x14ac:dyDescent="0.3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B1:K38"/>
  <sheetViews>
    <sheetView showGridLines="0" zoomScale="80" zoomScaleNormal="80" workbookViewId="0">
      <selection activeCell="L7" sqref="L7"/>
    </sheetView>
  </sheetViews>
  <sheetFormatPr baseColWidth="10" defaultColWidth="8.88671875" defaultRowHeight="14.4" x14ac:dyDescent="0.3"/>
  <cols>
    <col min="2" max="2" width="46.21875" bestFit="1" customWidth="1"/>
    <col min="3" max="3" width="24.109375" bestFit="1" customWidth="1"/>
    <col min="4" max="4" width="15" customWidth="1"/>
    <col min="5" max="5" width="13.109375" bestFit="1" customWidth="1"/>
    <col min="6" max="6" width="28.21875" customWidth="1"/>
    <col min="7" max="7" width="19.5546875" customWidth="1"/>
  </cols>
  <sheetData>
    <row r="1" spans="2:11" s="1" customFormat="1" x14ac:dyDescent="0.3"/>
    <row r="2" spans="2:11" s="1" customFormat="1" ht="28.05" customHeight="1" x14ac:dyDescent="0.3">
      <c r="B2" s="10" t="s">
        <v>37</v>
      </c>
      <c r="C2" s="2"/>
    </row>
    <row r="3" spans="2:11" s="5" customFormat="1" ht="28.05" customHeight="1" x14ac:dyDescent="0.3">
      <c r="B3" s="3"/>
      <c r="C3" s="4"/>
    </row>
    <row r="4" spans="2:11" x14ac:dyDescent="0.3">
      <c r="B4" t="s">
        <v>38</v>
      </c>
      <c r="C4" t="s">
        <v>39</v>
      </c>
      <c r="D4" t="s">
        <v>40</v>
      </c>
      <c r="E4" t="s">
        <v>41</v>
      </c>
      <c r="F4" t="s">
        <v>42</v>
      </c>
      <c r="G4" t="s">
        <v>43</v>
      </c>
    </row>
    <row r="5" spans="2:11" x14ac:dyDescent="0.3">
      <c r="B5" s="6" t="s">
        <v>44</v>
      </c>
      <c r="F5" s="7"/>
      <c r="G5" s="7">
        <v>1000</v>
      </c>
    </row>
    <row r="6" spans="2:11" x14ac:dyDescent="0.3">
      <c r="B6" s="6" t="s">
        <v>52</v>
      </c>
      <c r="F6" s="7"/>
      <c r="G6" s="8">
        <f>SUM(F8:F12)</f>
        <v>24047</v>
      </c>
    </row>
    <row r="7" spans="2:11" x14ac:dyDescent="0.3">
      <c r="F7" s="7"/>
      <c r="G7" s="8"/>
    </row>
    <row r="8" spans="2:11" x14ac:dyDescent="0.3">
      <c r="C8" t="s">
        <v>8</v>
      </c>
      <c r="F8" s="7">
        <v>22000</v>
      </c>
      <c r="G8" s="8"/>
    </row>
    <row r="9" spans="2:11" x14ac:dyDescent="0.3">
      <c r="C9" t="s">
        <v>9</v>
      </c>
      <c r="F9" s="7">
        <v>500</v>
      </c>
      <c r="G9" s="8"/>
      <c r="K9" s="22"/>
    </row>
    <row r="10" spans="2:11" ht="15" x14ac:dyDescent="0.25">
      <c r="C10" t="s">
        <v>1</v>
      </c>
      <c r="F10" s="7">
        <v>680</v>
      </c>
      <c r="G10" s="8"/>
    </row>
    <row r="11" spans="2:11" x14ac:dyDescent="0.3">
      <c r="C11" t="s">
        <v>10</v>
      </c>
      <c r="F11" s="7">
        <v>117</v>
      </c>
      <c r="G11" s="8"/>
    </row>
    <row r="12" spans="2:11" x14ac:dyDescent="0.3">
      <c r="C12" t="s">
        <v>5</v>
      </c>
      <c r="E12" t="s">
        <v>51</v>
      </c>
      <c r="F12" s="7">
        <v>750</v>
      </c>
      <c r="G12" s="8"/>
    </row>
    <row r="13" spans="2:11" ht="15" x14ac:dyDescent="0.25">
      <c r="F13" s="7"/>
      <c r="G13" s="8"/>
    </row>
    <row r="14" spans="2:11" x14ac:dyDescent="0.3">
      <c r="F14" s="7"/>
      <c r="G14" s="8"/>
    </row>
    <row r="15" spans="2:11" x14ac:dyDescent="0.3">
      <c r="B15" s="6" t="s">
        <v>0</v>
      </c>
      <c r="F15" s="7"/>
      <c r="G15" s="8">
        <v>900</v>
      </c>
    </row>
    <row r="16" spans="2:11" x14ac:dyDescent="0.3">
      <c r="B16" s="6" t="s">
        <v>1</v>
      </c>
      <c r="F16" s="7"/>
      <c r="G16" s="8">
        <v>2000</v>
      </c>
    </row>
    <row r="17" spans="2:7" x14ac:dyDescent="0.3">
      <c r="B17" s="6" t="s">
        <v>2</v>
      </c>
      <c r="F17" s="7"/>
      <c r="G17" s="8"/>
    </row>
    <row r="18" spans="2:7" x14ac:dyDescent="0.3">
      <c r="B18" s="6" t="s">
        <v>49</v>
      </c>
      <c r="F18" s="7"/>
      <c r="G18" s="8">
        <f>SUM(F19:F23)</f>
        <v>4900</v>
      </c>
    </row>
    <row r="19" spans="2:7" x14ac:dyDescent="0.3">
      <c r="C19" t="s">
        <v>45</v>
      </c>
      <c r="F19" s="7">
        <v>800</v>
      </c>
      <c r="G19" s="8"/>
    </row>
    <row r="20" spans="2:7" x14ac:dyDescent="0.3">
      <c r="C20" t="s">
        <v>46</v>
      </c>
      <c r="F20" s="7">
        <v>3000</v>
      </c>
      <c r="G20" s="8"/>
    </row>
    <row r="21" spans="2:7" x14ac:dyDescent="0.3">
      <c r="C21" t="s">
        <v>47</v>
      </c>
      <c r="F21" s="7">
        <v>500</v>
      </c>
      <c r="G21" s="8"/>
    </row>
    <row r="22" spans="2:7" ht="15" x14ac:dyDescent="0.25">
      <c r="C22" t="s">
        <v>48</v>
      </c>
      <c r="F22" s="7">
        <v>600</v>
      </c>
      <c r="G22" s="8"/>
    </row>
    <row r="23" spans="2:7" x14ac:dyDescent="0.3">
      <c r="C23" t="s">
        <v>5</v>
      </c>
      <c r="F23" s="7">
        <v>0</v>
      </c>
      <c r="G23" s="8"/>
    </row>
    <row r="24" spans="2:7" x14ac:dyDescent="0.3">
      <c r="B24" s="6" t="s">
        <v>3</v>
      </c>
      <c r="F24" s="7"/>
      <c r="G24" s="8">
        <v>750</v>
      </c>
    </row>
    <row r="25" spans="2:7" x14ac:dyDescent="0.3">
      <c r="B25" s="6" t="s">
        <v>50</v>
      </c>
      <c r="F25" s="7"/>
      <c r="G25" s="8">
        <f>SUM(F26:F31)</f>
        <v>11950</v>
      </c>
    </row>
    <row r="26" spans="2:7" x14ac:dyDescent="0.3">
      <c r="C26" t="s">
        <v>12</v>
      </c>
      <c r="F26" s="7">
        <v>1650</v>
      </c>
      <c r="G26" s="8"/>
    </row>
    <row r="27" spans="2:7" x14ac:dyDescent="0.3">
      <c r="C27" t="s">
        <v>13</v>
      </c>
      <c r="F27" s="7">
        <v>3000</v>
      </c>
      <c r="G27" s="8"/>
    </row>
    <row r="28" spans="2:7" x14ac:dyDescent="0.3">
      <c r="C28" t="s">
        <v>14</v>
      </c>
      <c r="F28" s="7">
        <v>3000</v>
      </c>
      <c r="G28" s="8"/>
    </row>
    <row r="29" spans="2:7" x14ac:dyDescent="0.3">
      <c r="C29" t="s">
        <v>15</v>
      </c>
      <c r="F29" s="7">
        <v>2700</v>
      </c>
      <c r="G29" s="8"/>
    </row>
    <row r="30" spans="2:7" x14ac:dyDescent="0.3">
      <c r="C30" t="s">
        <v>11</v>
      </c>
      <c r="F30" s="7">
        <v>1500</v>
      </c>
      <c r="G30" s="8"/>
    </row>
    <row r="31" spans="2:7" x14ac:dyDescent="0.3">
      <c r="C31" t="s">
        <v>5</v>
      </c>
      <c r="F31" s="7">
        <v>100</v>
      </c>
      <c r="G31" s="8"/>
    </row>
    <row r="32" spans="2:7" x14ac:dyDescent="0.3">
      <c r="B32" s="6" t="s">
        <v>4</v>
      </c>
      <c r="F32" s="7"/>
      <c r="G32" s="8">
        <v>3500</v>
      </c>
    </row>
    <row r="33" spans="2:7" x14ac:dyDescent="0.3">
      <c r="B33" t="s">
        <v>5</v>
      </c>
      <c r="F33" s="7"/>
      <c r="G33" s="8">
        <v>957</v>
      </c>
    </row>
    <row r="34" spans="2:7" x14ac:dyDescent="0.3">
      <c r="F34" s="7"/>
      <c r="G34" s="8"/>
    </row>
    <row r="36" spans="2:7" ht="18" x14ac:dyDescent="0.35">
      <c r="B36" s="16" t="s">
        <v>53</v>
      </c>
      <c r="C36" s="17"/>
      <c r="D36" s="17"/>
      <c r="E36" s="17"/>
      <c r="F36" s="17"/>
      <c r="G36" s="18">
        <f>SUM(Tabla2[Valor Final])</f>
        <v>50004</v>
      </c>
    </row>
    <row r="37" spans="2:7" ht="18" x14ac:dyDescent="0.35">
      <c r="B37" s="14" t="s">
        <v>93</v>
      </c>
      <c r="C37" s="14"/>
      <c r="D37" s="14"/>
      <c r="E37" s="14"/>
      <c r="F37" s="14"/>
      <c r="G37" s="15">
        <f>'Controlo de  Mercadorias'!J29</f>
        <v>14189.875000000002</v>
      </c>
    </row>
    <row r="38" spans="2:7" ht="18" x14ac:dyDescent="0.35">
      <c r="B38" s="20" t="s">
        <v>94</v>
      </c>
      <c r="C38" s="20"/>
      <c r="D38" s="20"/>
      <c r="E38" s="20"/>
      <c r="F38" s="20"/>
      <c r="G38" s="21">
        <f>SUM(G36:G37)</f>
        <v>64193.875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autoPageBreaks="0"/>
  </sheetPr>
  <dimension ref="B1:J29"/>
  <sheetViews>
    <sheetView showGridLines="0" zoomScaleNormal="100" workbookViewId="0">
      <selection activeCell="K3" sqref="K3"/>
    </sheetView>
  </sheetViews>
  <sheetFormatPr baseColWidth="10" defaultColWidth="8.88671875" defaultRowHeight="14.4" x14ac:dyDescent="0.3"/>
  <cols>
    <col min="3" max="3" width="19.5546875" customWidth="1"/>
    <col min="4" max="4" width="28.109375" bestFit="1" customWidth="1"/>
    <col min="5" max="5" width="12.88671875" bestFit="1" customWidth="1"/>
    <col min="6" max="6" width="20.6640625" customWidth="1"/>
    <col min="7" max="7" width="13.109375" bestFit="1" customWidth="1"/>
    <col min="8" max="8" width="15.21875" bestFit="1" customWidth="1"/>
    <col min="9" max="9" width="11.109375" bestFit="1" customWidth="1"/>
    <col min="10" max="10" width="21.5546875" customWidth="1"/>
  </cols>
  <sheetData>
    <row r="1" spans="2:10" s="1" customFormat="1" x14ac:dyDescent="0.3"/>
    <row r="2" spans="2:10" s="1" customFormat="1" ht="28.05" customHeight="1" x14ac:dyDescent="0.5">
      <c r="B2" s="10" t="s">
        <v>54</v>
      </c>
      <c r="C2" s="11"/>
    </row>
    <row r="3" spans="2:10" ht="62.4" customHeight="1" x14ac:dyDescent="0.3"/>
    <row r="4" spans="2:10" x14ac:dyDescent="0.3">
      <c r="C4" t="s">
        <v>40</v>
      </c>
      <c r="D4" t="s">
        <v>55</v>
      </c>
      <c r="E4" t="s">
        <v>56</v>
      </c>
      <c r="F4" t="s">
        <v>57</v>
      </c>
      <c r="G4" t="s">
        <v>58</v>
      </c>
      <c r="H4" t="s">
        <v>59</v>
      </c>
      <c r="I4" t="s">
        <v>60</v>
      </c>
      <c r="J4" t="s">
        <v>61</v>
      </c>
    </row>
    <row r="5" spans="2:10" x14ac:dyDescent="0.3">
      <c r="C5" s="13">
        <v>43223</v>
      </c>
      <c r="D5" t="s">
        <v>83</v>
      </c>
      <c r="E5" t="s">
        <v>26</v>
      </c>
      <c r="F5" s="35" t="str">
        <f>IFERROR(VLOOKUP(Tabla1[[#This Row],[Mercadoria]],cálculos!$N$3:$Q$31,4,FALSE),"")</f>
        <v>Kg</v>
      </c>
      <c r="G5">
        <v>10</v>
      </c>
      <c r="H5" s="7">
        <f>IFERROR(VLOOKUP(Tabla1[[#This Row],[Mercadoria]],cálculos!$N$3:$Q$31,2,FALSE),0)</f>
        <v>3.6309000000000005</v>
      </c>
      <c r="I5" s="12"/>
      <c r="J5" s="7">
        <f>Tabla1[[#This Row],[Quantidade]]*Tabla1[[#This Row],[Preço Unitário]]*(1-Tabla1[[#This Row],[Desconto]])</f>
        <v>36.309000000000005</v>
      </c>
    </row>
    <row r="6" spans="2:10" x14ac:dyDescent="0.3">
      <c r="C6" s="13">
        <v>43286</v>
      </c>
      <c r="D6" t="s">
        <v>83</v>
      </c>
      <c r="E6" t="s">
        <v>31</v>
      </c>
      <c r="F6" t="str">
        <f>IFERROR(VLOOKUP(Tabla1[[#This Row],[Mercadoria]],cálculos!$N$3:$Q$31,4,FALSE),"")</f>
        <v>Unidade</v>
      </c>
      <c r="G6">
        <v>50</v>
      </c>
      <c r="H6" s="7">
        <f>IFERROR(VLOOKUP(Tabla1[[#This Row],[Mercadoria]],cálculos!$N$3:$Q$31,2,FALSE),0)</f>
        <v>2.3660000000000001</v>
      </c>
      <c r="I6" s="12"/>
      <c r="J6" s="7">
        <f>Tabla1[[#This Row],[Quantidade]]*Tabla1[[#This Row],[Preço Unitário]]*(1-Tabla1[[#This Row],[Desconto]])</f>
        <v>118.30000000000001</v>
      </c>
    </row>
    <row r="7" spans="2:10" x14ac:dyDescent="0.3">
      <c r="C7" s="13">
        <v>43286</v>
      </c>
      <c r="D7" t="s">
        <v>84</v>
      </c>
      <c r="E7" t="s">
        <v>17</v>
      </c>
      <c r="F7" t="str">
        <f>IFERROR(VLOOKUP(Tabla1[[#This Row],[Mercadoria]],cálculos!$N$3:$Q$31,4,FALSE),"")</f>
        <v>Kg</v>
      </c>
      <c r="G7">
        <v>120</v>
      </c>
      <c r="H7" s="7">
        <f>IFERROR(VLOOKUP(Tabla1[[#This Row],[Mercadoria]],cálculos!$N$3:$Q$31,2,FALSE),0)</f>
        <v>4.0659999999999998</v>
      </c>
      <c r="I7" s="12"/>
      <c r="J7" s="7">
        <f>Tabla1[[#This Row],[Quantidade]]*Tabla1[[#This Row],[Preço Unitário]]*(1-Tabla1[[#This Row],[Desconto]])</f>
        <v>487.91999999999996</v>
      </c>
    </row>
    <row r="8" spans="2:10" x14ac:dyDescent="0.3">
      <c r="C8" s="13">
        <v>43285</v>
      </c>
      <c r="D8" t="s">
        <v>84</v>
      </c>
      <c r="E8" t="s">
        <v>17</v>
      </c>
      <c r="F8" t="str">
        <f>IFERROR(VLOOKUP(Tabla1[[#This Row],[Mercadoria]],cálculos!$N$3:$Q$31,4,FALSE),"")</f>
        <v>Kg</v>
      </c>
      <c r="G8">
        <v>150</v>
      </c>
      <c r="H8" s="7">
        <f>IFERROR(VLOOKUP(Tabla1[[#This Row],[Mercadoria]],cálculos!$N$3:$Q$31,2,FALSE),0)</f>
        <v>4.0659999999999998</v>
      </c>
      <c r="I8" s="12"/>
      <c r="J8" s="7">
        <f>Tabla1[[#This Row],[Quantidade]]*Tabla1[[#This Row],[Preço Unitário]]*(1-Tabla1[[#This Row],[Desconto]])</f>
        <v>609.9</v>
      </c>
    </row>
    <row r="9" spans="2:10" x14ac:dyDescent="0.3">
      <c r="C9" s="13">
        <v>43285</v>
      </c>
      <c r="D9" t="s">
        <v>84</v>
      </c>
      <c r="E9" t="s">
        <v>16</v>
      </c>
      <c r="F9" t="str">
        <f>IFERROR(VLOOKUP(Tabla1[[#This Row],[Mercadoria]],cálculos!$N$3:$Q$31,4,FALSE),"")</f>
        <v>Kg</v>
      </c>
      <c r="G9">
        <v>150</v>
      </c>
      <c r="H9" s="7">
        <f>IFERROR(VLOOKUP(Tabla1[[#This Row],[Mercadoria]],cálculos!$N$3:$Q$31,2,FALSE),0)</f>
        <v>2.3406000000000002</v>
      </c>
      <c r="I9" s="12"/>
      <c r="J9" s="7">
        <f>Tabla1[[#This Row],[Quantidade]]*Tabla1[[#This Row],[Preço Unitário]]*(1-Tabla1[[#This Row],[Desconto]])</f>
        <v>351.09000000000003</v>
      </c>
    </row>
    <row r="10" spans="2:10" x14ac:dyDescent="0.3">
      <c r="C10" s="13">
        <v>43285</v>
      </c>
      <c r="D10" t="s">
        <v>85</v>
      </c>
      <c r="E10" t="s">
        <v>29</v>
      </c>
      <c r="F10" t="str">
        <f>IFERROR(VLOOKUP(Tabla1[[#This Row],[Mercadoria]],cálculos!$N$3:$Q$31,4,FALSE),"")</f>
        <v>Lata</v>
      </c>
      <c r="G10">
        <v>100</v>
      </c>
      <c r="H10" s="7">
        <f>IFERROR(VLOOKUP(Tabla1[[#This Row],[Mercadoria]],cálculos!$N$3:$Q$31,2,FALSE),0)</f>
        <v>2.1023999999999998</v>
      </c>
      <c r="I10" s="12"/>
      <c r="J10" s="7">
        <f>Tabla1[[#This Row],[Quantidade]]*Tabla1[[#This Row],[Preço Unitário]]*(1-Tabla1[[#This Row],[Desconto]])</f>
        <v>210.23999999999998</v>
      </c>
    </row>
    <row r="11" spans="2:10" x14ac:dyDescent="0.3">
      <c r="C11" s="13">
        <v>43285</v>
      </c>
      <c r="D11" t="s">
        <v>85</v>
      </c>
      <c r="E11" t="s">
        <v>25</v>
      </c>
      <c r="F11" t="str">
        <f>IFERROR(VLOOKUP(Tabla1[[#This Row],[Mercadoria]],cálculos!$N$3:$Q$31,4,FALSE),"")</f>
        <v>Litro</v>
      </c>
      <c r="G11">
        <v>200</v>
      </c>
      <c r="H11" s="7">
        <f>IFERROR(VLOOKUP(Tabla1[[#This Row],[Mercadoria]],cálculos!$N$3:$Q$31,2,FALSE),0)</f>
        <v>3.2084999999999999</v>
      </c>
      <c r="I11" s="12"/>
      <c r="J11" s="7">
        <f>Tabla1[[#This Row],[Quantidade]]*Tabla1[[#This Row],[Preço Unitário]]*(1-Tabla1[[#This Row],[Desconto]])</f>
        <v>641.69999999999993</v>
      </c>
    </row>
    <row r="12" spans="2:10" x14ac:dyDescent="0.3">
      <c r="C12" s="13">
        <v>43284</v>
      </c>
      <c r="D12" t="s">
        <v>86</v>
      </c>
      <c r="E12" t="s">
        <v>35</v>
      </c>
      <c r="F12" t="str">
        <f>IFERROR(VLOOKUP(Tabla1[[#This Row],[Mercadoria]],cálculos!$N$3:$Q$31,4,FALSE),"")</f>
        <v>Maço</v>
      </c>
      <c r="G12">
        <v>100</v>
      </c>
      <c r="H12" s="7">
        <f>IFERROR(VLOOKUP(Tabla1[[#This Row],[Mercadoria]],cálculos!$N$3:$Q$31,2,FALSE),0)</f>
        <v>6.3449999999999998</v>
      </c>
      <c r="I12" s="12"/>
      <c r="J12" s="7">
        <f>Tabla1[[#This Row],[Quantidade]]*Tabla1[[#This Row],[Preço Unitário]]*(1-Tabla1[[#This Row],[Desconto]])</f>
        <v>634.5</v>
      </c>
    </row>
    <row r="13" spans="2:10" x14ac:dyDescent="0.3">
      <c r="C13" s="13">
        <v>43284</v>
      </c>
      <c r="D13" t="s">
        <v>87</v>
      </c>
      <c r="E13" t="s">
        <v>34</v>
      </c>
      <c r="F13" t="str">
        <f>IFERROR(VLOOKUP(Tabla1[[#This Row],[Mercadoria]],cálculos!$N$3:$Q$31,4,FALSE),"")</f>
        <v>Barra</v>
      </c>
      <c r="G13">
        <v>100</v>
      </c>
      <c r="H13" s="7">
        <f>IFERROR(VLOOKUP(Tabla1[[#This Row],[Mercadoria]],cálculos!$N$3:$Q$31,2,FALSE),0)</f>
        <v>4.5409000000000006</v>
      </c>
      <c r="I13" s="12"/>
      <c r="J13" s="7">
        <f>Tabla1[[#This Row],[Quantidade]]*Tabla1[[#This Row],[Preço Unitário]]*(1-Tabla1[[#This Row],[Desconto]])</f>
        <v>454.09000000000003</v>
      </c>
    </row>
    <row r="14" spans="2:10" x14ac:dyDescent="0.3">
      <c r="C14" s="13">
        <v>43284</v>
      </c>
      <c r="D14" t="s">
        <v>84</v>
      </c>
      <c r="E14" t="s">
        <v>17</v>
      </c>
      <c r="F14" t="str">
        <f>IFERROR(VLOOKUP(Tabla1[[#This Row],[Mercadoria]],cálculos!$N$3:$Q$31,4,FALSE),"")</f>
        <v>Kg</v>
      </c>
      <c r="G14">
        <v>300</v>
      </c>
      <c r="H14" s="7">
        <f>IFERROR(VLOOKUP(Tabla1[[#This Row],[Mercadoria]],cálculos!$N$3:$Q$31,2,FALSE),0)</f>
        <v>4.0659999999999998</v>
      </c>
      <c r="I14" s="12"/>
      <c r="J14" s="7">
        <f>Tabla1[[#This Row],[Quantidade]]*Tabla1[[#This Row],[Preço Unitário]]*(1-Tabla1[[#This Row],[Desconto]])</f>
        <v>1219.8</v>
      </c>
    </row>
    <row r="15" spans="2:10" x14ac:dyDescent="0.3">
      <c r="C15" s="13">
        <v>43284</v>
      </c>
      <c r="D15" t="s">
        <v>84</v>
      </c>
      <c r="E15" t="s">
        <v>28</v>
      </c>
      <c r="F15" t="str">
        <f>IFERROR(VLOOKUP(Tabla1[[#This Row],[Mercadoria]],cálculos!$N$3:$Q$31,4,FALSE),"")</f>
        <v>Pacote</v>
      </c>
      <c r="G15">
        <v>50</v>
      </c>
      <c r="H15" s="7">
        <f>IFERROR(VLOOKUP(Tabla1[[#This Row],[Mercadoria]],cálculos!$N$3:$Q$31,2,FALSE),0)</f>
        <v>1.0580000000000001</v>
      </c>
      <c r="I15" s="12"/>
      <c r="J15" s="7">
        <f>Tabla1[[#This Row],[Quantidade]]*Tabla1[[#This Row],[Preço Unitário]]*(1-Tabla1[[#This Row],[Desconto]])</f>
        <v>52.900000000000006</v>
      </c>
    </row>
    <row r="16" spans="2:10" x14ac:dyDescent="0.3">
      <c r="C16" s="13">
        <v>43284</v>
      </c>
      <c r="D16" t="s">
        <v>88</v>
      </c>
      <c r="E16" t="s">
        <v>74</v>
      </c>
      <c r="F16" t="str">
        <f>IFERROR(VLOOKUP(Tabla1[[#This Row],[Mercadoria]],cálculos!$N$3:$Q$31,4,FALSE),"")</f>
        <v>Unidade</v>
      </c>
      <c r="G16">
        <v>300</v>
      </c>
      <c r="H16" s="7">
        <f>IFERROR(VLOOKUP(Tabla1[[#This Row],[Mercadoria]],cálculos!$N$3:$Q$31,2,FALSE),0)</f>
        <v>2.6299000000000001</v>
      </c>
      <c r="I16" s="12"/>
      <c r="J16" s="7">
        <f>Tabla1[[#This Row],[Quantidade]]*Tabla1[[#This Row],[Preço Unitário]]*(1-Tabla1[[#This Row],[Desconto]])</f>
        <v>788.97</v>
      </c>
    </row>
    <row r="17" spans="3:10" x14ac:dyDescent="0.3">
      <c r="C17" s="13">
        <v>43284</v>
      </c>
      <c r="D17" t="s">
        <v>87</v>
      </c>
      <c r="E17" t="s">
        <v>33</v>
      </c>
      <c r="F17" t="str">
        <f>IFERROR(VLOOKUP(Tabla1[[#This Row],[Mercadoria]],cálculos!$N$3:$Q$31,4,FALSE),"")</f>
        <v>Pacote</v>
      </c>
      <c r="G17">
        <v>100</v>
      </c>
      <c r="H17" s="7">
        <f>IFERROR(VLOOKUP(Tabla1[[#This Row],[Mercadoria]],cálculos!$N$3:$Q$31,2,FALSE),0)</f>
        <v>1.8506999999999998</v>
      </c>
      <c r="I17" s="12"/>
      <c r="J17" s="7">
        <f>Tabla1[[#This Row],[Quantidade]]*Tabla1[[#This Row],[Preço Unitário]]*(1-Tabla1[[#This Row],[Desconto]])</f>
        <v>185.07</v>
      </c>
    </row>
    <row r="18" spans="3:10" x14ac:dyDescent="0.3">
      <c r="C18" s="13">
        <v>43284</v>
      </c>
      <c r="D18" t="s">
        <v>85</v>
      </c>
      <c r="E18" t="s">
        <v>29</v>
      </c>
      <c r="F18" t="str">
        <f>IFERROR(VLOOKUP(Tabla1[[#This Row],[Mercadoria]],cálculos!$N$3:$Q$31,4,FALSE),"")</f>
        <v>Lata</v>
      </c>
      <c r="G18">
        <v>100</v>
      </c>
      <c r="H18" s="7">
        <f>IFERROR(VLOOKUP(Tabla1[[#This Row],[Mercadoria]],cálculos!$N$3:$Q$31,2,FALSE),0)</f>
        <v>2.1023999999999998</v>
      </c>
      <c r="I18" s="12"/>
      <c r="J18" s="7">
        <f>Tabla1[[#This Row],[Quantidade]]*Tabla1[[#This Row],[Preço Unitário]]*(1-Tabla1[[#This Row],[Desconto]])</f>
        <v>210.23999999999998</v>
      </c>
    </row>
    <row r="19" spans="3:10" x14ac:dyDescent="0.3">
      <c r="C19" s="13">
        <v>43284</v>
      </c>
      <c r="D19" t="s">
        <v>89</v>
      </c>
      <c r="E19" t="s">
        <v>21</v>
      </c>
      <c r="F19" t="str">
        <f>IFERROR(VLOOKUP(Tabla1[[#This Row],[Mercadoria]],cálculos!$N$3:$Q$31,4,FALSE),"")</f>
        <v>Kg</v>
      </c>
      <c r="G19">
        <v>110</v>
      </c>
      <c r="H19" s="7">
        <f>IFERROR(VLOOKUP(Tabla1[[#This Row],[Mercadoria]],cálculos!$N$3:$Q$31,2,FALSE),0)</f>
        <v>6.4216000000000006</v>
      </c>
      <c r="I19" s="12"/>
      <c r="J19" s="7">
        <f>Tabla1[[#This Row],[Quantidade]]*Tabla1[[#This Row],[Preço Unitário]]*(1-Tabla1[[#This Row],[Desconto]])</f>
        <v>706.37600000000009</v>
      </c>
    </row>
    <row r="20" spans="3:10" x14ac:dyDescent="0.3">
      <c r="C20" s="13">
        <v>43284</v>
      </c>
      <c r="D20" t="s">
        <v>90</v>
      </c>
      <c r="E20" t="s">
        <v>22</v>
      </c>
      <c r="F20" t="str">
        <f>IFERROR(VLOOKUP(Tabla1[[#This Row],[Mercadoria]],cálculos!$N$3:$Q$31,4,FALSE),"")</f>
        <v>Kg</v>
      </c>
      <c r="G20">
        <v>50</v>
      </c>
      <c r="H20" s="7">
        <f>IFERROR(VLOOKUP(Tabla1[[#This Row],[Mercadoria]],cálculos!$N$3:$Q$31,2,FALSE),0)</f>
        <v>22.226999999999997</v>
      </c>
      <c r="I20" s="12"/>
      <c r="J20" s="7">
        <f>Tabla1[[#This Row],[Quantidade]]*Tabla1[[#This Row],[Preço Unitário]]*(1-Tabla1[[#This Row],[Desconto]])</f>
        <v>1111.3499999999999</v>
      </c>
    </row>
    <row r="21" spans="3:10" x14ac:dyDescent="0.3">
      <c r="C21" s="13">
        <v>43283</v>
      </c>
      <c r="D21" t="s">
        <v>84</v>
      </c>
      <c r="E21" t="s">
        <v>16</v>
      </c>
      <c r="F21" t="str">
        <f>IFERROR(VLOOKUP(Tabla1[[#This Row],[Mercadoria]],cálculos!$N$3:$Q$31,4,FALSE),"")</f>
        <v>Kg</v>
      </c>
      <c r="G21">
        <v>300</v>
      </c>
      <c r="H21" s="7">
        <f>IFERROR(VLOOKUP(Tabla1[[#This Row],[Mercadoria]],cálculos!$N$3:$Q$31,2,FALSE),0)</f>
        <v>2.3406000000000002</v>
      </c>
      <c r="I21" s="12"/>
      <c r="J21" s="7">
        <f>Tabla1[[#This Row],[Quantidade]]*Tabla1[[#This Row],[Preço Unitário]]*(1-Tabla1[[#This Row],[Desconto]])</f>
        <v>702.18000000000006</v>
      </c>
    </row>
    <row r="22" spans="3:10" x14ac:dyDescent="0.3">
      <c r="C22" s="13">
        <v>43283</v>
      </c>
      <c r="D22" t="s">
        <v>83</v>
      </c>
      <c r="E22" t="s">
        <v>19</v>
      </c>
      <c r="F22" t="str">
        <f>IFERROR(VLOOKUP(Tabla1[[#This Row],[Mercadoria]],cálculos!$N$3:$Q$31,4,FALSE),"")</f>
        <v>Unidade</v>
      </c>
      <c r="G22">
        <v>150</v>
      </c>
      <c r="H22" s="7">
        <f>IFERROR(VLOOKUP(Tabla1[[#This Row],[Mercadoria]],cálculos!$N$3:$Q$31,2,FALSE),0)</f>
        <v>2.8405</v>
      </c>
      <c r="I22" s="12"/>
      <c r="J22" s="7">
        <f>Tabla1[[#This Row],[Quantidade]]*Tabla1[[#This Row],[Preço Unitário]]*(1-Tabla1[[#This Row],[Desconto]])</f>
        <v>426.07499999999999</v>
      </c>
    </row>
    <row r="23" spans="3:10" x14ac:dyDescent="0.3">
      <c r="C23" s="13">
        <v>43283</v>
      </c>
      <c r="D23" t="s">
        <v>91</v>
      </c>
      <c r="E23" t="s">
        <v>26</v>
      </c>
      <c r="F23" t="str">
        <f>IFERROR(VLOOKUP(Tabla1[[#This Row],[Mercadoria]],cálculos!$N$3:$Q$31,4,FALSE),"")</f>
        <v>Kg</v>
      </c>
      <c r="G23">
        <v>150</v>
      </c>
      <c r="H23" s="7">
        <f>IFERROR(VLOOKUP(Tabla1[[#This Row],[Mercadoria]],cálculos!$N$3:$Q$31,2,FALSE),0)</f>
        <v>3.6309000000000005</v>
      </c>
      <c r="I23" s="12"/>
      <c r="J23" s="7">
        <f>Tabla1[[#This Row],[Quantidade]]*Tabla1[[#This Row],[Preço Unitário]]*(1-Tabla1[[#This Row],[Desconto]])</f>
        <v>544.6350000000001</v>
      </c>
    </row>
    <row r="24" spans="3:10" x14ac:dyDescent="0.3">
      <c r="C24" s="13">
        <v>43283</v>
      </c>
      <c r="D24" t="s">
        <v>92</v>
      </c>
      <c r="E24" t="s">
        <v>20</v>
      </c>
      <c r="F24" t="str">
        <f>IFERROR(VLOOKUP(Tabla1[[#This Row],[Mercadoria]],cálculos!$N$3:$Q$31,4,FALSE),"")</f>
        <v>Kg</v>
      </c>
      <c r="G24">
        <v>150</v>
      </c>
      <c r="H24" s="7">
        <f>IFERROR(VLOOKUP(Tabla1[[#This Row],[Mercadoria]],cálculos!$N$3:$Q$31,2,FALSE),0)</f>
        <v>14.469000000000001</v>
      </c>
      <c r="I24" s="12"/>
      <c r="J24" s="7">
        <f>Tabla1[[#This Row],[Quantidade]]*Tabla1[[#This Row],[Preço Unitário]]*(1-Tabla1[[#This Row],[Desconto]])</f>
        <v>2170.3500000000004</v>
      </c>
    </row>
    <row r="25" spans="3:10" x14ac:dyDescent="0.3">
      <c r="C25" s="13">
        <v>43283</v>
      </c>
      <c r="D25" t="s">
        <v>85</v>
      </c>
      <c r="E25" t="s">
        <v>29</v>
      </c>
      <c r="F25" t="str">
        <f>IFERROR(VLOOKUP(Tabla1[[#This Row],[Mercadoria]],cálculos!$N$3:$Q$31,4,FALSE),"")</f>
        <v>Lata</v>
      </c>
      <c r="G25">
        <v>100</v>
      </c>
      <c r="H25" s="7">
        <f>IFERROR(VLOOKUP(Tabla1[[#This Row],[Mercadoria]],cálculos!$N$3:$Q$31,2,FALSE),0)</f>
        <v>2.1023999999999998</v>
      </c>
      <c r="I25" s="12"/>
      <c r="J25" s="7">
        <f>Tabla1[[#This Row],[Quantidade]]*Tabla1[[#This Row],[Preço Unitário]]*(1-Tabla1[[#This Row],[Desconto]])</f>
        <v>210.23999999999998</v>
      </c>
    </row>
    <row r="26" spans="3:10" x14ac:dyDescent="0.3">
      <c r="C26" s="13">
        <v>43283</v>
      </c>
      <c r="D26" t="s">
        <v>85</v>
      </c>
      <c r="E26" t="s">
        <v>24</v>
      </c>
      <c r="F26" t="str">
        <f>IFERROR(VLOOKUP(Tabla1[[#This Row],[Mercadoria]],cálculos!$N$3:$Q$31,4,FALSE),"")</f>
        <v>Garrafa</v>
      </c>
      <c r="G26">
        <v>80</v>
      </c>
      <c r="H26" s="7">
        <f>IFERROR(VLOOKUP(Tabla1[[#This Row],[Mercadoria]],cálculos!$N$3:$Q$31,2,FALSE),0)</f>
        <v>26.012999999999998</v>
      </c>
      <c r="I26" s="12"/>
      <c r="J26" s="7">
        <f>Tabla1[[#This Row],[Quantidade]]*Tabla1[[#This Row],[Preço Unitário]]*(1-Tabla1[[#This Row],[Desconto]])</f>
        <v>2081.04</v>
      </c>
    </row>
    <row r="27" spans="3:10" x14ac:dyDescent="0.3">
      <c r="C27" s="13">
        <v>43283</v>
      </c>
      <c r="D27" t="s">
        <v>83</v>
      </c>
      <c r="E27" t="s">
        <v>31</v>
      </c>
      <c r="F27" t="str">
        <f>IFERROR(VLOOKUP(Tabla1[[#This Row],[Mercadoria]],cálculos!$N$3:$Q$31,4,FALSE),"")</f>
        <v>Unidade</v>
      </c>
      <c r="G27">
        <v>100</v>
      </c>
      <c r="H27" s="7">
        <f>IFERROR(VLOOKUP(Tabla1[[#This Row],[Mercadoria]],cálculos!$N$3:$Q$31,2,FALSE),0)</f>
        <v>2.3660000000000001</v>
      </c>
      <c r="I27" s="12"/>
      <c r="J27" s="7">
        <f>Tabla1[[#This Row],[Quantidade]]*Tabla1[[#This Row],[Preço Unitário]]*(1-Tabla1[[#This Row],[Desconto]])</f>
        <v>236.60000000000002</v>
      </c>
    </row>
    <row r="28" spans="3:10" x14ac:dyDescent="0.3">
      <c r="C28" s="13"/>
    </row>
    <row r="29" spans="3:10" ht="18" x14ac:dyDescent="0.35">
      <c r="C29" s="14" t="s">
        <v>93</v>
      </c>
      <c r="D29" s="14"/>
      <c r="E29" s="14"/>
      <c r="F29" s="14"/>
      <c r="G29" s="14"/>
      <c r="H29" s="14"/>
      <c r="I29" s="14"/>
      <c r="J29" s="15">
        <f>SUM(Tabla1[Valor pago])</f>
        <v>14189.875000000002</v>
      </c>
    </row>
  </sheetData>
  <pageMargins left="0.511811024" right="0.511811024" top="0.78740157499999996" bottom="0.78740157499999996" header="0.31496062000000002" footer="0.31496062000000002"/>
  <pageSetup paperSize="9" orientation="portrait" horizontalDpi="90" verticalDpi="9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cálculos!$N$3:$N$31</xm:f>
          </x14:formula1>
          <xm:sqref>E5:E27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1:E11"/>
  <sheetViews>
    <sheetView showGridLines="0" zoomScale="80" zoomScaleNormal="80" workbookViewId="0">
      <selection activeCell="B11" sqref="B11:E11"/>
    </sheetView>
  </sheetViews>
  <sheetFormatPr baseColWidth="10" defaultColWidth="8.88671875" defaultRowHeight="14.4" x14ac:dyDescent="0.3"/>
  <cols>
    <col min="2" max="2" width="49.33203125" bestFit="1" customWidth="1"/>
    <col min="3" max="3" width="19.44140625" customWidth="1"/>
    <col min="4" max="4" width="32.33203125" customWidth="1"/>
    <col min="5" max="5" width="23.6640625" customWidth="1"/>
  </cols>
  <sheetData>
    <row r="1" spans="2:5" s="1" customFormat="1" x14ac:dyDescent="0.3"/>
    <row r="2" spans="2:5" s="1" customFormat="1" ht="28.05" customHeight="1" x14ac:dyDescent="0.3">
      <c r="B2" s="10" t="s">
        <v>95</v>
      </c>
      <c r="C2" s="2"/>
    </row>
    <row r="4" spans="2:5" x14ac:dyDescent="0.3">
      <c r="B4" t="s">
        <v>96</v>
      </c>
      <c r="C4" t="s">
        <v>40</v>
      </c>
      <c r="D4" t="s">
        <v>97</v>
      </c>
      <c r="E4" t="s">
        <v>98</v>
      </c>
    </row>
    <row r="5" spans="2:5" ht="59.4" customHeight="1" x14ac:dyDescent="0.3">
      <c r="B5" t="s">
        <v>99</v>
      </c>
      <c r="C5" s="13">
        <v>43440</v>
      </c>
      <c r="D5" s="22" t="s">
        <v>102</v>
      </c>
      <c r="E5" s="7">
        <v>400000</v>
      </c>
    </row>
    <row r="6" spans="2:5" ht="59.4" customHeight="1" x14ac:dyDescent="0.3">
      <c r="B6" t="s">
        <v>11</v>
      </c>
      <c r="C6" s="13"/>
      <c r="D6" s="22"/>
      <c r="E6" s="7">
        <v>0</v>
      </c>
    </row>
    <row r="7" spans="2:5" ht="59.4" customHeight="1" x14ac:dyDescent="0.3">
      <c r="B7" t="s">
        <v>100</v>
      </c>
      <c r="C7" s="13"/>
      <c r="D7" s="22"/>
      <c r="E7" s="7">
        <v>0</v>
      </c>
    </row>
    <row r="8" spans="2:5" ht="59.4" customHeight="1" x14ac:dyDescent="0.3">
      <c r="B8" t="s">
        <v>101</v>
      </c>
      <c r="C8" s="13"/>
      <c r="D8" s="22"/>
      <c r="E8" s="7">
        <v>0</v>
      </c>
    </row>
    <row r="9" spans="2:5" ht="59.4" customHeight="1" x14ac:dyDescent="0.3">
      <c r="B9" t="s">
        <v>5</v>
      </c>
      <c r="C9" s="13"/>
      <c r="D9" s="22"/>
      <c r="E9" s="7">
        <v>0</v>
      </c>
    </row>
    <row r="11" spans="2:5" ht="18" x14ac:dyDescent="0.35">
      <c r="B11" s="14" t="s">
        <v>103</v>
      </c>
      <c r="C11" s="14"/>
      <c r="D11" s="14"/>
      <c r="E11" s="19">
        <f>SUM(Tabla3[Valor])</f>
        <v>400000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-0.499984740745262"/>
  </sheetPr>
  <dimension ref="B1:H29"/>
  <sheetViews>
    <sheetView showGridLines="0" workbookViewId="0">
      <selection activeCell="I8" sqref="I8"/>
    </sheetView>
  </sheetViews>
  <sheetFormatPr baseColWidth="10" defaultColWidth="8.88671875" defaultRowHeight="14.4" x14ac:dyDescent="0.3"/>
  <cols>
    <col min="2" max="2" width="22.88671875" customWidth="1"/>
    <col min="3" max="3" width="22.6640625" bestFit="1" customWidth="1"/>
    <col min="4" max="4" width="18.5546875" bestFit="1" customWidth="1"/>
    <col min="5" max="5" width="22.44140625" bestFit="1" customWidth="1"/>
    <col min="6" max="6" width="21.21875" customWidth="1"/>
    <col min="7" max="7" width="19.33203125" customWidth="1"/>
    <col min="8" max="8" width="19.21875" customWidth="1"/>
  </cols>
  <sheetData>
    <row r="1" spans="2:8" s="9" customFormat="1" x14ac:dyDescent="0.3"/>
    <row r="2" spans="2:8" s="9" customFormat="1" ht="28.05" customHeight="1" x14ac:dyDescent="0.3">
      <c r="B2" s="23" t="s">
        <v>104</v>
      </c>
      <c r="C2" s="24"/>
    </row>
    <row r="5" spans="2:8" x14ac:dyDescent="0.3">
      <c r="B5" t="s">
        <v>105</v>
      </c>
      <c r="C5" t="s">
        <v>107</v>
      </c>
      <c r="D5" t="s">
        <v>111</v>
      </c>
      <c r="E5" t="s">
        <v>106</v>
      </c>
      <c r="F5" t="s">
        <v>108</v>
      </c>
      <c r="G5" t="s">
        <v>109</v>
      </c>
      <c r="H5" t="s">
        <v>110</v>
      </c>
    </row>
    <row r="6" spans="2:8" x14ac:dyDescent="0.3">
      <c r="B6" t="s">
        <v>19</v>
      </c>
      <c r="C6" s="13">
        <f>IFERROR(INDEX(Tabla1[],MATCH(Tabla5[[#This Row],[Produto]],Tabla1[Mercadoria],0),1),"")</f>
        <v>43283</v>
      </c>
      <c r="D6">
        <v>15</v>
      </c>
      <c r="E6">
        <f>SUMIF(Tabla1[Mercadoria],Tabla5[[#This Row],[Produto]],Tabla1[Quantidade])</f>
        <v>150</v>
      </c>
      <c r="F6">
        <f>SUMIF(Tabla4[Produtos],Tabla5[[#This Row],[Produto]],Tabla4[Quantidade])+SUMIF(Tabla47[Produtos],Tabla5[[#This Row],[Produto]],Tabla47[Quantidade])+SUMIF(Tabla478[Produtos],Tabla5[[#This Row],[Produto]],Tabla478[Quantidade])+SUMIF(Tabla4789[Produtos],Tabla5[[#This Row],[Produto]],Tabla4789[Quantidade])+SUMIF(Tabla410[Produtos],Tabla5[[#This Row],[Produto]],Tabla410[Quantidade])</f>
        <v>3</v>
      </c>
      <c r="G6">
        <f>Tabla5[[#This Row],[Quantidade Inicial]]+Tabla5[[#This Row],[Quantidade Comprada]]-Tabla5[[#This Row],[Quantidade Vendida]]</f>
        <v>162</v>
      </c>
      <c r="H6" t="str">
        <f>IF(Tabla5[[#This Row],[Quantidade Atual]]&lt;50,IF(Tabla5[[#This Row],[Quantidade Atual]]&lt;21,"Comprar","Atenção"),"OK")</f>
        <v>OK</v>
      </c>
    </row>
    <row r="7" spans="2:8" x14ac:dyDescent="0.3">
      <c r="B7" t="s">
        <v>28</v>
      </c>
      <c r="C7" s="13">
        <f>IFERROR(INDEX(Tabla1[],MATCH(Tabla5[[#This Row],[Produto]],Tabla1[Mercadoria],0),1),"")</f>
        <v>43284</v>
      </c>
      <c r="D7">
        <v>10</v>
      </c>
      <c r="E7">
        <f>SUMIF(Tabla1[Mercadoria],Tabla5[[#This Row],[Produto]],Tabla1[Quantidade])</f>
        <v>50</v>
      </c>
      <c r="F7">
        <f>SUMIF(Tabla4[Produtos],Tabla5[[#This Row],[Produto]],Tabla4[Quantidade])+SUMIF(Tabla47[Produtos],Tabla5[[#This Row],[Produto]],Tabla47[Quantidade])+SUMIF(Tabla478[Produtos],Tabla5[[#This Row],[Produto]],Tabla478[Quantidade])+SUMIF(Tabla4789[Produtos],Tabla5[[#This Row],[Produto]],Tabla4789[Quantidade])+SUMIF(Tabla410[Produtos],Tabla5[[#This Row],[Produto]],Tabla410[Quantidade])</f>
        <v>13</v>
      </c>
      <c r="G7">
        <f>Tabla5[[#This Row],[Quantidade Inicial]]+Tabla5[[#This Row],[Quantidade Comprada]]-Tabla5[[#This Row],[Quantidade Vendida]]</f>
        <v>47</v>
      </c>
      <c r="H7" t="str">
        <f>IF(Tabla5[[#This Row],[Quantidade Atual]]&lt;50,IF(Tabla5[[#This Row],[Quantidade Atual]]&lt;21,"Comprar","Atenção"),"OK")</f>
        <v>Atenção</v>
      </c>
    </row>
    <row r="8" spans="2:8" x14ac:dyDescent="0.3">
      <c r="B8" t="s">
        <v>16</v>
      </c>
      <c r="C8" s="13">
        <f>IFERROR(INDEX(Tabla1[],MATCH(Tabla5[[#This Row],[Produto]],Tabla1[Mercadoria],0),1),"")</f>
        <v>43285</v>
      </c>
      <c r="D8">
        <v>0</v>
      </c>
      <c r="E8">
        <f>SUMIF(Tabla1[Mercadoria],Tabla5[[#This Row],[Produto]],Tabla1[Quantidade])</f>
        <v>450</v>
      </c>
      <c r="F8">
        <f>SUMIF(Tabla4[Produtos],Tabla5[[#This Row],[Produto]],Tabla4[Quantidade])+SUMIF(Tabla47[Produtos],Tabla5[[#This Row],[Produto]],Tabla47[Quantidade])+SUMIF(Tabla478[Produtos],Tabla5[[#This Row],[Produto]],Tabla478[Quantidade])+SUMIF(Tabla4789[Produtos],Tabla5[[#This Row],[Produto]],Tabla4789[Quantidade])+SUMIF(Tabla410[Produtos],Tabla5[[#This Row],[Produto]],Tabla410[Quantidade])</f>
        <v>7</v>
      </c>
      <c r="G8">
        <f>Tabla5[[#This Row],[Quantidade Inicial]]+Tabla5[[#This Row],[Quantidade Comprada]]-Tabla5[[#This Row],[Quantidade Vendida]]</f>
        <v>443</v>
      </c>
      <c r="H8" t="str">
        <f>IF(Tabla5[[#This Row],[Quantidade Atual]]&lt;50,IF(Tabla5[[#This Row],[Quantidade Atual]]&lt;21,"Comprar","Atenção"),"OK")</f>
        <v>OK</v>
      </c>
    </row>
    <row r="9" spans="2:8" x14ac:dyDescent="0.3">
      <c r="B9" t="s">
        <v>33</v>
      </c>
      <c r="C9" s="13">
        <f>IFERROR(INDEX(Tabla1[],MATCH(Tabla5[[#This Row],[Produto]],Tabla1[Mercadoria],0),1),"")</f>
        <v>43284</v>
      </c>
      <c r="D9">
        <v>0</v>
      </c>
      <c r="E9">
        <f>SUMIF(Tabla1[Mercadoria],Tabla5[[#This Row],[Produto]],Tabla1[Quantidade])</f>
        <v>100</v>
      </c>
      <c r="F9">
        <f>SUMIF(Tabla4[Produtos],Tabla5[[#This Row],[Produto]],Tabla4[Quantidade])+SUMIF(Tabla47[Produtos],Tabla5[[#This Row],[Produto]],Tabla47[Quantidade])+SUMIF(Tabla478[Produtos],Tabla5[[#This Row],[Produto]],Tabla478[Quantidade])+SUMIF(Tabla4789[Produtos],Tabla5[[#This Row],[Produto]],Tabla4789[Quantidade])+SUMIF(Tabla410[Produtos],Tabla5[[#This Row],[Produto]],Tabla410[Quantidade])</f>
        <v>5</v>
      </c>
      <c r="G9">
        <f>Tabla5[[#This Row],[Quantidade Inicial]]+Tabla5[[#This Row],[Quantidade Comprada]]-Tabla5[[#This Row],[Quantidade Vendida]]</f>
        <v>95</v>
      </c>
      <c r="H9" t="str">
        <f>IF(Tabla5[[#This Row],[Quantidade Atual]]&lt;50,IF(Tabla5[[#This Row],[Quantidade Atual]]&lt;21,"Comprar","Atenção"),"OK")</f>
        <v>OK</v>
      </c>
    </row>
    <row r="10" spans="2:8" x14ac:dyDescent="0.3">
      <c r="B10" t="s">
        <v>36</v>
      </c>
      <c r="C10" s="13" t="str">
        <f>IFERROR(INDEX(Tabla1[],MATCH(Tabla5[[#This Row],[Produto]],Tabla1[Mercadoria],0),1),"")</f>
        <v/>
      </c>
      <c r="D10">
        <v>150</v>
      </c>
      <c r="E10">
        <f>SUMIF(Tabla1[Mercadoria],Tabla5[[#This Row],[Produto]],Tabla1[Quantidade])</f>
        <v>0</v>
      </c>
      <c r="F10">
        <f>SUMIF(Tabla4[Produtos],Tabla5[[#This Row],[Produto]],Tabla4[Quantidade])+SUMIF(Tabla47[Produtos],Tabla5[[#This Row],[Produto]],Tabla47[Quantidade])+SUMIF(Tabla478[Produtos],Tabla5[[#This Row],[Produto]],Tabla478[Quantidade])+SUMIF(Tabla4789[Produtos],Tabla5[[#This Row],[Produto]],Tabla4789[Quantidade])+SUMIF(Tabla410[Produtos],Tabla5[[#This Row],[Produto]],Tabla410[Quantidade])</f>
        <v>0</v>
      </c>
      <c r="G10">
        <f>Tabla5[[#This Row],[Quantidade Inicial]]+Tabla5[[#This Row],[Quantidade Comprada]]-Tabla5[[#This Row],[Quantidade Vendida]]</f>
        <v>150</v>
      </c>
      <c r="H10" t="str">
        <f>IF(Tabla5[[#This Row],[Quantidade Atual]]&lt;50,IF(Tabla5[[#This Row],[Quantidade Atual]]&lt;21,"Comprar","Atenção"),"OK")</f>
        <v>OK</v>
      </c>
    </row>
    <row r="11" spans="2:8" x14ac:dyDescent="0.3">
      <c r="B11" t="s">
        <v>32</v>
      </c>
      <c r="C11" s="13" t="str">
        <f>IFERROR(INDEX(Tabla1[],MATCH(Tabla5[[#This Row],[Produto]],Tabla1[Mercadoria],0),1),"")</f>
        <v/>
      </c>
      <c r="D11">
        <v>15</v>
      </c>
      <c r="E11">
        <f>SUMIF(Tabla1[Mercadoria],Tabla5[[#This Row],[Produto]],Tabla1[Quantidade])</f>
        <v>0</v>
      </c>
      <c r="F11">
        <f>SUMIF(Tabla4[Produtos],Tabla5[[#This Row],[Produto]],Tabla4[Quantidade])+SUMIF(Tabla47[Produtos],Tabla5[[#This Row],[Produto]],Tabla47[Quantidade])+SUMIF(Tabla478[Produtos],Tabla5[[#This Row],[Produto]],Tabla478[Quantidade])+SUMIF(Tabla4789[Produtos],Tabla5[[#This Row],[Produto]],Tabla4789[Quantidade])+SUMIF(Tabla410[Produtos],Tabla5[[#This Row],[Produto]],Tabla410[Quantidade])</f>
        <v>19</v>
      </c>
      <c r="G11">
        <f>Tabla5[[#This Row],[Quantidade Inicial]]+Tabla5[[#This Row],[Quantidade Comprada]]-Tabla5[[#This Row],[Quantidade Vendida]]</f>
        <v>-4</v>
      </c>
      <c r="H11" t="str">
        <f>IF(Tabla5[[#This Row],[Quantidade Atual]]&lt;50,IF(Tabla5[[#This Row],[Quantidade Atual]]&lt;21,"Comprar","Atenção"),"OK")</f>
        <v>Comprar</v>
      </c>
    </row>
    <row r="12" spans="2:8" x14ac:dyDescent="0.3">
      <c r="B12" t="s">
        <v>20</v>
      </c>
      <c r="C12" s="13">
        <f>IFERROR(INDEX(Tabla1[],MATCH(Tabla5[[#This Row],[Produto]],Tabla1[Mercadoria],0),1),"")</f>
        <v>43283</v>
      </c>
      <c r="D12">
        <v>25</v>
      </c>
      <c r="E12">
        <f>SUMIF(Tabla1[Mercadoria],Tabla5[[#This Row],[Produto]],Tabla1[Quantidade])</f>
        <v>150</v>
      </c>
      <c r="F12">
        <f>SUMIF(Tabla4[Produtos],Tabla5[[#This Row],[Produto]],Tabla4[Quantidade])+SUMIF(Tabla47[Produtos],Tabla5[[#This Row],[Produto]],Tabla47[Quantidade])+SUMIF(Tabla478[Produtos],Tabla5[[#This Row],[Produto]],Tabla478[Quantidade])+SUMIF(Tabla4789[Produtos],Tabla5[[#This Row],[Produto]],Tabla4789[Quantidade])+SUMIF(Tabla410[Produtos],Tabla5[[#This Row],[Produto]],Tabla410[Quantidade])</f>
        <v>116</v>
      </c>
      <c r="G12">
        <f>Tabla5[[#This Row],[Quantidade Inicial]]+Tabla5[[#This Row],[Quantidade Comprada]]-Tabla5[[#This Row],[Quantidade Vendida]]</f>
        <v>59</v>
      </c>
      <c r="H12" t="str">
        <f>IF(Tabla5[[#This Row],[Quantidade Atual]]&lt;50,IF(Tabla5[[#This Row],[Quantidade Atual]]&lt;21,"Comprar","Atenção"),"OK")</f>
        <v>OK</v>
      </c>
    </row>
    <row r="13" spans="2:8" x14ac:dyDescent="0.3">
      <c r="B13" t="s">
        <v>26</v>
      </c>
      <c r="C13" s="13">
        <f>IFERROR(INDEX(Tabla1[],MATCH(Tabla5[[#This Row],[Produto]],Tabla1[Mercadoria],0),1),"")</f>
        <v>43223</v>
      </c>
      <c r="D13">
        <v>0</v>
      </c>
      <c r="E13">
        <f>SUMIF(Tabla1[Mercadoria],Tabla5[[#This Row],[Produto]],Tabla1[Quantidade])</f>
        <v>160</v>
      </c>
      <c r="F13">
        <f>SUMIF(Tabla4[Produtos],Tabla5[[#This Row],[Produto]],Tabla4[Quantidade])+SUMIF(Tabla47[Produtos],Tabla5[[#This Row],[Produto]],Tabla47[Quantidade])+SUMIF(Tabla478[Produtos],Tabla5[[#This Row],[Produto]],Tabla478[Quantidade])+SUMIF(Tabla4789[Produtos],Tabla5[[#This Row],[Produto]],Tabla4789[Quantidade])+SUMIF(Tabla410[Produtos],Tabla5[[#This Row],[Produto]],Tabla410[Quantidade])</f>
        <v>0</v>
      </c>
      <c r="G13">
        <f>Tabla5[[#This Row],[Quantidade Inicial]]+Tabla5[[#This Row],[Quantidade Comprada]]-Tabla5[[#This Row],[Quantidade Vendida]]</f>
        <v>160</v>
      </c>
      <c r="H13" t="str">
        <f>IF(Tabla5[[#This Row],[Quantidade Atual]]&lt;50,IF(Tabla5[[#This Row],[Quantidade Atual]]&lt;21,"Comprar","Atenção"),"OK")</f>
        <v>OK</v>
      </c>
    </row>
    <row r="14" spans="2:8" x14ac:dyDescent="0.3">
      <c r="B14" t="s">
        <v>29</v>
      </c>
      <c r="C14" s="13">
        <f>IFERROR(INDEX(Tabla1[],MATCH(Tabla5[[#This Row],[Produto]],Tabla1[Mercadoria],0),1),"")</f>
        <v>43285</v>
      </c>
      <c r="D14">
        <v>0</v>
      </c>
      <c r="E14">
        <f>SUMIF(Tabla1[Mercadoria],Tabla5[[#This Row],[Produto]],Tabla1[Quantidade])</f>
        <v>300</v>
      </c>
      <c r="F14">
        <f>SUMIF(Tabla4[Produtos],Tabla5[[#This Row],[Produto]],Tabla4[Quantidade])+SUMIF(Tabla47[Produtos],Tabla5[[#This Row],[Produto]],Tabla47[Quantidade])+SUMIF(Tabla478[Produtos],Tabla5[[#This Row],[Produto]],Tabla478[Quantidade])+SUMIF(Tabla4789[Produtos],Tabla5[[#This Row],[Produto]],Tabla4789[Quantidade])+SUMIF(Tabla410[Produtos],Tabla5[[#This Row],[Produto]],Tabla410[Quantidade])</f>
        <v>287</v>
      </c>
      <c r="G14">
        <f>Tabla5[[#This Row],[Quantidade Inicial]]+Tabla5[[#This Row],[Quantidade Comprada]]-Tabla5[[#This Row],[Quantidade Vendida]]</f>
        <v>13</v>
      </c>
      <c r="H14" t="str">
        <f>IF(Tabla5[[#This Row],[Quantidade Atual]]&lt;50,IF(Tabla5[[#This Row],[Quantidade Atual]]&lt;21,"Comprar","Atenção"),"OK")</f>
        <v>Comprar</v>
      </c>
    </row>
    <row r="15" spans="2:8" x14ac:dyDescent="0.3">
      <c r="B15" t="s">
        <v>34</v>
      </c>
      <c r="C15" s="13">
        <f>IFERROR(INDEX(Tabla1[],MATCH(Tabla5[[#This Row],[Produto]],Tabla1[Mercadoria],0),1),"")</f>
        <v>43284</v>
      </c>
      <c r="D15">
        <v>30</v>
      </c>
      <c r="E15">
        <f>SUMIF(Tabla1[Mercadoria],Tabla5[[#This Row],[Produto]],Tabla1[Quantidade])</f>
        <v>100</v>
      </c>
      <c r="F15">
        <f>SUMIF(Tabla4[Produtos],Tabla5[[#This Row],[Produto]],Tabla4[Quantidade])+SUMIF(Tabla47[Produtos],Tabla5[[#This Row],[Produto]],Tabla47[Quantidade])+SUMIF(Tabla478[Produtos],Tabla5[[#This Row],[Produto]],Tabla478[Quantidade])+SUMIF(Tabla4789[Produtos],Tabla5[[#This Row],[Produto]],Tabla4789[Quantidade])+SUMIF(Tabla410[Produtos],Tabla5[[#This Row],[Produto]],Tabla410[Quantidade])</f>
        <v>0</v>
      </c>
      <c r="G15">
        <f>Tabla5[[#This Row],[Quantidade Inicial]]+Tabla5[[#This Row],[Quantidade Comprada]]-Tabla5[[#This Row],[Quantidade Vendida]]</f>
        <v>130</v>
      </c>
      <c r="H15" t="str">
        <f>IF(Tabla5[[#This Row],[Quantidade Atual]]&lt;50,IF(Tabla5[[#This Row],[Quantidade Atual]]&lt;21,"Comprar","Atenção"),"OK")</f>
        <v>OK</v>
      </c>
    </row>
    <row r="16" spans="2:8" x14ac:dyDescent="0.3">
      <c r="B16" t="s">
        <v>35</v>
      </c>
      <c r="C16" s="13">
        <f>IFERROR(INDEX(Tabla1[],MATCH(Tabla5[[#This Row],[Produto]],Tabla1[Mercadoria],0),1),"")</f>
        <v>43284</v>
      </c>
      <c r="D16">
        <v>0</v>
      </c>
      <c r="E16">
        <f>SUMIF(Tabla1[Mercadoria],Tabla5[[#This Row],[Produto]],Tabla1[Quantidade])</f>
        <v>100</v>
      </c>
      <c r="F16">
        <f>SUMIF(Tabla4[Produtos],Tabla5[[#This Row],[Produto]],Tabla4[Quantidade])+SUMIF(Tabla47[Produtos],Tabla5[[#This Row],[Produto]],Tabla47[Quantidade])+SUMIF(Tabla478[Produtos],Tabla5[[#This Row],[Produto]],Tabla478[Quantidade])+SUMIF(Tabla4789[Produtos],Tabla5[[#This Row],[Produto]],Tabla4789[Quantidade])+SUMIF(Tabla410[Produtos],Tabla5[[#This Row],[Produto]],Tabla410[Quantidade])</f>
        <v>0</v>
      </c>
      <c r="G16">
        <f>Tabla5[[#This Row],[Quantidade Inicial]]+Tabla5[[#This Row],[Quantidade Comprada]]-Tabla5[[#This Row],[Quantidade Vendida]]</f>
        <v>100</v>
      </c>
      <c r="H16" t="str">
        <f>IF(Tabla5[[#This Row],[Quantidade Atual]]&lt;50,IF(Tabla5[[#This Row],[Quantidade Atual]]&lt;21,"Comprar","Atenção"),"OK")</f>
        <v>OK</v>
      </c>
    </row>
    <row r="17" spans="2:8" x14ac:dyDescent="0.3">
      <c r="B17" t="s">
        <v>31</v>
      </c>
      <c r="C17" s="13">
        <f>IFERROR(INDEX(Tabla1[],MATCH(Tabla5[[#This Row],[Produto]],Tabla1[Mercadoria],0),1),"")</f>
        <v>43286</v>
      </c>
      <c r="D17">
        <v>0</v>
      </c>
      <c r="E17">
        <f>SUMIF(Tabla1[Mercadoria],Tabla5[[#This Row],[Produto]],Tabla1[Quantidade])</f>
        <v>150</v>
      </c>
      <c r="F17">
        <f>SUMIF(Tabla4[Produtos],Tabla5[[#This Row],[Produto]],Tabla4[Quantidade])+SUMIF(Tabla47[Produtos],Tabla5[[#This Row],[Produto]],Tabla47[Quantidade])+SUMIF(Tabla478[Produtos],Tabla5[[#This Row],[Produto]],Tabla478[Quantidade])+SUMIF(Tabla4789[Produtos],Tabla5[[#This Row],[Produto]],Tabla4789[Quantidade])+SUMIF(Tabla410[Produtos],Tabla5[[#This Row],[Produto]],Tabla410[Quantidade])</f>
        <v>0</v>
      </c>
      <c r="G17">
        <f>Tabla5[[#This Row],[Quantidade Inicial]]+Tabla5[[#This Row],[Quantidade Comprada]]-Tabla5[[#This Row],[Quantidade Vendida]]</f>
        <v>150</v>
      </c>
      <c r="H17" t="str">
        <f>IF(Tabla5[[#This Row],[Quantidade Atual]]&lt;50,IF(Tabla5[[#This Row],[Quantidade Atual]]&lt;21,"Comprar","Atenção"),"OK")</f>
        <v>OK</v>
      </c>
    </row>
    <row r="18" spans="2:8" x14ac:dyDescent="0.3">
      <c r="B18" t="s">
        <v>17</v>
      </c>
      <c r="C18" s="13">
        <f>IFERROR(INDEX(Tabla1[],MATCH(Tabla5[[#This Row],[Produto]],Tabla1[Mercadoria],0),1),"")</f>
        <v>43286</v>
      </c>
      <c r="D18">
        <v>0</v>
      </c>
      <c r="E18">
        <f>SUMIF(Tabla1[Mercadoria],Tabla5[[#This Row],[Produto]],Tabla1[Quantidade])</f>
        <v>570</v>
      </c>
      <c r="F18">
        <f>SUMIF(Tabla4[Produtos],Tabla5[[#This Row],[Produto]],Tabla4[Quantidade])+SUMIF(Tabla47[Produtos],Tabla5[[#This Row],[Produto]],Tabla47[Quantidade])+SUMIF(Tabla478[Produtos],Tabla5[[#This Row],[Produto]],Tabla478[Quantidade])+SUMIF(Tabla4789[Produtos],Tabla5[[#This Row],[Produto]],Tabla4789[Quantidade])+SUMIF(Tabla410[Produtos],Tabla5[[#This Row],[Produto]],Tabla410[Quantidade])</f>
        <v>10</v>
      </c>
      <c r="G18">
        <f>Tabla5[[#This Row],[Quantidade Inicial]]+Tabla5[[#This Row],[Quantidade Comprada]]-Tabla5[[#This Row],[Quantidade Vendida]]</f>
        <v>560</v>
      </c>
      <c r="H18" t="str">
        <f>IF(Tabla5[[#This Row],[Quantidade Atual]]&lt;50,IF(Tabla5[[#This Row],[Quantidade Atual]]&lt;21,"Comprar","Atenção"),"OK")</f>
        <v>OK</v>
      </c>
    </row>
    <row r="19" spans="2:8" x14ac:dyDescent="0.3">
      <c r="B19" t="s">
        <v>21</v>
      </c>
      <c r="C19" s="13">
        <f>IFERROR(INDEX(Tabla1[],MATCH(Tabla5[[#This Row],[Produto]],Tabla1[Mercadoria],0),1),"")</f>
        <v>43284</v>
      </c>
      <c r="D19">
        <v>0</v>
      </c>
      <c r="E19">
        <f>SUMIF(Tabla1[Mercadoria],Tabla5[[#This Row],[Produto]],Tabla1[Quantidade])</f>
        <v>110</v>
      </c>
      <c r="F19">
        <f>SUMIF(Tabla4[Produtos],Tabla5[[#This Row],[Produto]],Tabla4[Quantidade])+SUMIF(Tabla47[Produtos],Tabla5[[#This Row],[Produto]],Tabla47[Quantidade])+SUMIF(Tabla478[Produtos],Tabla5[[#This Row],[Produto]],Tabla478[Quantidade])+SUMIF(Tabla4789[Produtos],Tabla5[[#This Row],[Produto]],Tabla4789[Quantidade])+SUMIF(Tabla410[Produtos],Tabla5[[#This Row],[Produto]],Tabla410[Quantidade])</f>
        <v>0</v>
      </c>
      <c r="G19">
        <f>Tabla5[[#This Row],[Quantidade Inicial]]+Tabla5[[#This Row],[Quantidade Comprada]]-Tabla5[[#This Row],[Quantidade Vendida]]</f>
        <v>110</v>
      </c>
      <c r="H19" t="str">
        <f>IF(Tabla5[[#This Row],[Quantidade Atual]]&lt;50,IF(Tabla5[[#This Row],[Quantidade Atual]]&lt;21,"Comprar","Atenção"),"OK")</f>
        <v>OK</v>
      </c>
    </row>
    <row r="20" spans="2:8" x14ac:dyDescent="0.3">
      <c r="B20" t="s">
        <v>69</v>
      </c>
      <c r="C20" s="13" t="str">
        <f>IFERROR(INDEX(Tabla1[],MATCH(Tabla5[[#This Row],[Produto]],Tabla1[Mercadoria],0),1),"")</f>
        <v/>
      </c>
      <c r="D20">
        <v>39</v>
      </c>
      <c r="E20">
        <f>SUMIF(Tabla1[Mercadoria],Tabla5[[#This Row],[Produto]],Tabla1[Quantidade])</f>
        <v>0</v>
      </c>
      <c r="F20">
        <f>SUMIF(Tabla4[Produtos],Tabla5[[#This Row],[Produto]],Tabla4[Quantidade])+SUMIF(Tabla47[Produtos],Tabla5[[#This Row],[Produto]],Tabla47[Quantidade])+SUMIF(Tabla478[Produtos],Tabla5[[#This Row],[Produto]],Tabla478[Quantidade])+SUMIF(Tabla4789[Produtos],Tabla5[[#This Row],[Produto]],Tabla4789[Quantidade])+SUMIF(Tabla410[Produtos],Tabla5[[#This Row],[Produto]],Tabla410[Quantidade])</f>
        <v>6</v>
      </c>
      <c r="G20">
        <f>Tabla5[[#This Row],[Quantidade Inicial]]+Tabla5[[#This Row],[Quantidade Comprada]]-Tabla5[[#This Row],[Quantidade Vendida]]</f>
        <v>33</v>
      </c>
      <c r="H20" t="str">
        <f>IF(Tabla5[[#This Row],[Quantidade Atual]]&lt;50,IF(Tabla5[[#This Row],[Quantidade Atual]]&lt;21,"Comprar","Atenção"),"OK")</f>
        <v>Atenção</v>
      </c>
    </row>
    <row r="21" spans="2:8" x14ac:dyDescent="0.3">
      <c r="B21" t="s">
        <v>74</v>
      </c>
      <c r="C21" s="13">
        <f>IFERROR(INDEX(Tabla1[],MATCH(Tabla5[[#This Row],[Produto]],Tabla1[Mercadoria],0),1),"")</f>
        <v>43284</v>
      </c>
      <c r="D21">
        <v>0</v>
      </c>
      <c r="E21">
        <f>SUMIF(Tabla1[Mercadoria],Tabla5[[#This Row],[Produto]],Tabla1[Quantidade])</f>
        <v>300</v>
      </c>
      <c r="F21">
        <f>SUMIF(Tabla4[Produtos],Tabla5[[#This Row],[Produto]],Tabla4[Quantidade])+SUMIF(Tabla47[Produtos],Tabla5[[#This Row],[Produto]],Tabla47[Quantidade])+SUMIF(Tabla478[Produtos],Tabla5[[#This Row],[Produto]],Tabla478[Quantidade])+SUMIF(Tabla4789[Produtos],Tabla5[[#This Row],[Produto]],Tabla4789[Quantidade])+SUMIF(Tabla410[Produtos],Tabla5[[#This Row],[Produto]],Tabla410[Quantidade])</f>
        <v>5</v>
      </c>
      <c r="G21">
        <f>Tabla5[[#This Row],[Quantidade Inicial]]+Tabla5[[#This Row],[Quantidade Comprada]]-Tabla5[[#This Row],[Quantidade Vendida]]</f>
        <v>295</v>
      </c>
      <c r="H21" t="str">
        <f>IF(Tabla5[[#This Row],[Quantidade Atual]]&lt;50,IF(Tabla5[[#This Row],[Quantidade Atual]]&lt;21,"Comprar","Atenção"),"OK")</f>
        <v>OK</v>
      </c>
    </row>
    <row r="22" spans="2:8" x14ac:dyDescent="0.3">
      <c r="B22" t="s">
        <v>22</v>
      </c>
      <c r="C22" s="13">
        <f>IFERROR(INDEX(Tabla1[],MATCH(Tabla5[[#This Row],[Produto]],Tabla1[Mercadoria],0),1),"")</f>
        <v>43284</v>
      </c>
      <c r="D22">
        <v>0</v>
      </c>
      <c r="E22">
        <f>SUMIF(Tabla1[Mercadoria],Tabla5[[#This Row],[Produto]],Tabla1[Quantidade])</f>
        <v>50</v>
      </c>
      <c r="F22">
        <f>SUMIF(Tabla4[Produtos],Tabla5[[#This Row],[Produto]],Tabla4[Quantidade])+SUMIF(Tabla47[Produtos],Tabla5[[#This Row],[Produto]],Tabla47[Quantidade])+SUMIF(Tabla478[Produtos],Tabla5[[#This Row],[Produto]],Tabla478[Quantidade])+SUMIF(Tabla4789[Produtos],Tabla5[[#This Row],[Produto]],Tabla4789[Quantidade])+SUMIF(Tabla410[Produtos],Tabla5[[#This Row],[Produto]],Tabla410[Quantidade])</f>
        <v>20</v>
      </c>
      <c r="G22">
        <f>Tabla5[[#This Row],[Quantidade Inicial]]+Tabla5[[#This Row],[Quantidade Comprada]]-Tabla5[[#This Row],[Quantidade Vendida]]</f>
        <v>30</v>
      </c>
      <c r="H22" t="str">
        <f>IF(Tabla5[[#This Row],[Quantidade Atual]]&lt;50,IF(Tabla5[[#This Row],[Quantidade Atual]]&lt;21,"Comprar","Atenção"),"OK")</f>
        <v>Atenção</v>
      </c>
    </row>
    <row r="23" spans="2:8" x14ac:dyDescent="0.3">
      <c r="B23" t="s">
        <v>23</v>
      </c>
      <c r="C23" s="13" t="str">
        <f>IFERROR(INDEX(Tabla1[],MATCH(Tabla5[[#This Row],[Produto]],Tabla1[Mercadoria],0),1),"")</f>
        <v/>
      </c>
      <c r="D23">
        <v>10</v>
      </c>
      <c r="E23">
        <f>SUMIF(Tabla1[Mercadoria],Tabla5[[#This Row],[Produto]],Tabla1[Quantidade])</f>
        <v>0</v>
      </c>
      <c r="F23">
        <f>SUMIF(Tabla4[Produtos],Tabla5[[#This Row],[Produto]],Tabla4[Quantidade])+SUMIF(Tabla47[Produtos],Tabla5[[#This Row],[Produto]],Tabla47[Quantidade])+SUMIF(Tabla478[Produtos],Tabla5[[#This Row],[Produto]],Tabla478[Quantidade])+SUMIF(Tabla4789[Produtos],Tabla5[[#This Row],[Produto]],Tabla4789[Quantidade])+SUMIF(Tabla410[Produtos],Tabla5[[#This Row],[Produto]],Tabla410[Quantidade])</f>
        <v>1.5</v>
      </c>
      <c r="G23">
        <f>Tabla5[[#This Row],[Quantidade Inicial]]+Tabla5[[#This Row],[Quantidade Comprada]]-Tabla5[[#This Row],[Quantidade Vendida]]</f>
        <v>8.5</v>
      </c>
      <c r="H23" t="str">
        <f>IF(Tabla5[[#This Row],[Quantidade Atual]]&lt;50,IF(Tabla5[[#This Row],[Quantidade Atual]]&lt;21,"Comprar","Atenção"),"OK")</f>
        <v>Comprar</v>
      </c>
    </row>
    <row r="24" spans="2:8" x14ac:dyDescent="0.3">
      <c r="B24" t="s">
        <v>75</v>
      </c>
      <c r="C24" s="13" t="str">
        <f>IFERROR(INDEX(Tabla1[],MATCH(Tabla5[[#This Row],[Produto]],Tabla1[Mercadoria],0),1),"")</f>
        <v/>
      </c>
      <c r="D24">
        <v>100</v>
      </c>
      <c r="E24">
        <f>SUMIF(Tabla1[Mercadoria],Tabla5[[#This Row],[Produto]],Tabla1[Quantidade])</f>
        <v>0</v>
      </c>
      <c r="F24">
        <f>SUMIF(Tabla4[Produtos],Tabla5[[#This Row],[Produto]],Tabla4[Quantidade])+SUMIF(Tabla47[Produtos],Tabla5[[#This Row],[Produto]],Tabla47[Quantidade])+SUMIF(Tabla478[Produtos],Tabla5[[#This Row],[Produto]],Tabla478[Quantidade])+SUMIF(Tabla4789[Produtos],Tabla5[[#This Row],[Produto]],Tabla4789[Quantidade])+SUMIF(Tabla410[Produtos],Tabla5[[#This Row],[Produto]],Tabla410[Quantidade])</f>
        <v>4</v>
      </c>
      <c r="G24">
        <f>Tabla5[[#This Row],[Quantidade Inicial]]+Tabla5[[#This Row],[Quantidade Comprada]]-Tabla5[[#This Row],[Quantidade Vendida]]</f>
        <v>96</v>
      </c>
      <c r="H24" t="str">
        <f>IF(Tabla5[[#This Row],[Quantidade Atual]]&lt;50,IF(Tabla5[[#This Row],[Quantidade Atual]]&lt;21,"Comprar","Atenção"),"OK")</f>
        <v>OK</v>
      </c>
    </row>
    <row r="25" spans="2:8" x14ac:dyDescent="0.3">
      <c r="B25" t="s">
        <v>25</v>
      </c>
      <c r="C25" s="13">
        <f>IFERROR(INDEX(Tabla1[],MATCH(Tabla5[[#This Row],[Produto]],Tabla1[Mercadoria],0),1),"")</f>
        <v>43285</v>
      </c>
      <c r="D25">
        <v>0</v>
      </c>
      <c r="E25">
        <f>SUMIF(Tabla1[Mercadoria],Tabla5[[#This Row],[Produto]],Tabla1[Quantidade])</f>
        <v>200</v>
      </c>
      <c r="F25">
        <f>SUMIF(Tabla4[Produtos],Tabla5[[#This Row],[Produto]],Tabla4[Quantidade])+SUMIF(Tabla47[Produtos],Tabla5[[#This Row],[Produto]],Tabla47[Quantidade])+SUMIF(Tabla478[Produtos],Tabla5[[#This Row],[Produto]],Tabla478[Quantidade])+SUMIF(Tabla4789[Produtos],Tabla5[[#This Row],[Produto]],Tabla4789[Quantidade])+SUMIF(Tabla410[Produtos],Tabla5[[#This Row],[Produto]],Tabla410[Quantidade])</f>
        <v>0</v>
      </c>
      <c r="G25">
        <f>Tabla5[[#This Row],[Quantidade Inicial]]+Tabla5[[#This Row],[Quantidade Comprada]]-Tabla5[[#This Row],[Quantidade Vendida]]</f>
        <v>200</v>
      </c>
      <c r="H25" t="str">
        <f>IF(Tabla5[[#This Row],[Quantidade Atual]]&lt;50,IF(Tabla5[[#This Row],[Quantidade Atual]]&lt;21,"Comprar","Atenção"),"OK")</f>
        <v>OK</v>
      </c>
    </row>
    <row r="26" spans="2:8" x14ac:dyDescent="0.3">
      <c r="B26" t="s">
        <v>18</v>
      </c>
      <c r="C26" s="13" t="str">
        <f>IFERROR(INDEX(Tabla1[],MATCH(Tabla5[[#This Row],[Produto]],Tabla1[Mercadoria],0),1),"")</f>
        <v/>
      </c>
      <c r="D26">
        <v>30</v>
      </c>
      <c r="E26">
        <f>SUMIF(Tabla1[Mercadoria],Tabla5[[#This Row],[Produto]],Tabla1[Quantidade])</f>
        <v>0</v>
      </c>
      <c r="F26">
        <f>SUMIF(Tabla4[Produtos],Tabla5[[#This Row],[Produto]],Tabla4[Quantidade])+SUMIF(Tabla47[Produtos],Tabla5[[#This Row],[Produto]],Tabla47[Quantidade])+SUMIF(Tabla478[Produtos],Tabla5[[#This Row],[Produto]],Tabla478[Quantidade])+SUMIF(Tabla4789[Produtos],Tabla5[[#This Row],[Produto]],Tabla4789[Quantidade])+SUMIF(Tabla410[Produtos],Tabla5[[#This Row],[Produto]],Tabla410[Quantidade])</f>
        <v>0</v>
      </c>
      <c r="G26">
        <f>Tabla5[[#This Row],[Quantidade Inicial]]+Tabla5[[#This Row],[Quantidade Comprada]]-Tabla5[[#This Row],[Quantidade Vendida]]</f>
        <v>30</v>
      </c>
      <c r="H26" t="str">
        <f>IF(Tabla5[[#This Row],[Quantidade Atual]]&lt;50,IF(Tabla5[[#This Row],[Quantidade Atual]]&lt;21,"Comprar","Atenção"),"OK")</f>
        <v>Atenção</v>
      </c>
    </row>
    <row r="27" spans="2:8" x14ac:dyDescent="0.3">
      <c r="B27" t="s">
        <v>27</v>
      </c>
      <c r="C27" s="13" t="str">
        <f>IFERROR(INDEX(Tabla1[],MATCH(Tabla5[[#This Row],[Produto]],Tabla1[Mercadoria],0),1),"")</f>
        <v/>
      </c>
      <c r="D27">
        <v>50</v>
      </c>
      <c r="E27">
        <f>SUMIF(Tabla1[Mercadoria],Tabla5[[#This Row],[Produto]],Tabla1[Quantidade])</f>
        <v>0</v>
      </c>
      <c r="F27">
        <f>SUMIF(Tabla4[Produtos],Tabla5[[#This Row],[Produto]],Tabla4[Quantidade])+SUMIF(Tabla47[Produtos],Tabla5[[#This Row],[Produto]],Tabla47[Quantidade])+SUMIF(Tabla478[Produtos],Tabla5[[#This Row],[Produto]],Tabla478[Quantidade])+SUMIF(Tabla4789[Produtos],Tabla5[[#This Row],[Produto]],Tabla4789[Quantidade])+SUMIF(Tabla410[Produtos],Tabla5[[#This Row],[Produto]],Tabla410[Quantidade])</f>
        <v>2</v>
      </c>
      <c r="G27">
        <f>Tabla5[[#This Row],[Quantidade Inicial]]+Tabla5[[#This Row],[Quantidade Comprada]]-Tabla5[[#This Row],[Quantidade Vendida]]</f>
        <v>48</v>
      </c>
      <c r="H27" t="str">
        <f>IF(Tabla5[[#This Row],[Quantidade Atual]]&lt;50,IF(Tabla5[[#This Row],[Quantidade Atual]]&lt;21,"Comprar","Atenção"),"OK")</f>
        <v>Atenção</v>
      </c>
    </row>
    <row r="28" spans="2:8" x14ac:dyDescent="0.3">
      <c r="B28" t="s">
        <v>24</v>
      </c>
      <c r="C28" s="13">
        <f>IFERROR(INDEX(Tabla1[],MATCH(Tabla5[[#This Row],[Produto]],Tabla1[Mercadoria],0),1),"")</f>
        <v>43283</v>
      </c>
      <c r="D28">
        <v>0</v>
      </c>
      <c r="E28">
        <f>SUMIF(Tabla1[Mercadoria],Tabla5[[#This Row],[Produto]],Tabla1[Quantidade])</f>
        <v>80</v>
      </c>
      <c r="F28">
        <f>SUMIF(Tabla4[Produtos],Tabla5[[#This Row],[Produto]],Tabla4[Quantidade])+SUMIF(Tabla47[Produtos],Tabla5[[#This Row],[Produto]],Tabla47[Quantidade])+SUMIF(Tabla478[Produtos],Tabla5[[#This Row],[Produto]],Tabla478[Quantidade])+SUMIF(Tabla4789[Produtos],Tabla5[[#This Row],[Produto]],Tabla4789[Quantidade])+SUMIF(Tabla410[Produtos],Tabla5[[#This Row],[Produto]],Tabla410[Quantidade])</f>
        <v>0</v>
      </c>
      <c r="G28">
        <f>Tabla5[[#This Row],[Quantidade Inicial]]+Tabla5[[#This Row],[Quantidade Comprada]]-Tabla5[[#This Row],[Quantidade Vendida]]</f>
        <v>80</v>
      </c>
      <c r="H28" t="str">
        <f>IF(Tabla5[[#This Row],[Quantidade Atual]]&lt;50,IF(Tabla5[[#This Row],[Quantidade Atual]]&lt;21,"Comprar","Atenção"),"OK")</f>
        <v>OK</v>
      </c>
    </row>
    <row r="29" spans="2:8" x14ac:dyDescent="0.3">
      <c r="B29" t="s">
        <v>30</v>
      </c>
      <c r="C29" s="13" t="str">
        <f>IFERROR(INDEX(Tabla1[],MATCH(Tabla5[[#This Row],[Produto]],Tabla1[Mercadoria],0),1),"")</f>
        <v/>
      </c>
      <c r="D29">
        <v>20</v>
      </c>
      <c r="E29">
        <f>SUMIF(Tabla1[Mercadoria],Tabla5[[#This Row],[Produto]],Tabla1[Quantidade])</f>
        <v>0</v>
      </c>
      <c r="F29">
        <f>SUMIF(Tabla4[Produtos],Tabla5[[#This Row],[Produto]],Tabla4[Quantidade])+SUMIF(Tabla47[Produtos],Tabla5[[#This Row],[Produto]],Tabla47[Quantidade])+SUMIF(Tabla478[Produtos],Tabla5[[#This Row],[Produto]],Tabla478[Quantidade])+SUMIF(Tabla4789[Produtos],Tabla5[[#This Row],[Produto]],Tabla4789[Quantidade])+SUMIF(Tabla410[Produtos],Tabla5[[#This Row],[Produto]],Tabla410[Quantidade])</f>
        <v>3</v>
      </c>
      <c r="G29">
        <f>Tabla5[[#This Row],[Quantidade Inicial]]+Tabla5[[#This Row],[Quantidade Comprada]]-Tabla5[[#This Row],[Quantidade Vendida]]</f>
        <v>17</v>
      </c>
      <c r="H29" t="str">
        <f>IF(Tabla5[[#This Row],[Quantidade Atual]]&lt;50,IF(Tabla5[[#This Row],[Quantidade Atual]]&lt;21,"Comprar","Atenção"),"OK")</f>
        <v>Comprar</v>
      </c>
    </row>
  </sheetData>
  <conditionalFormatting sqref="H6:H29">
    <cfRule type="containsText" dxfId="47" priority="1" operator="containsText" text="Atenção">
      <formula>NOT(ISERROR(SEARCH("Atenção",H6)))</formula>
    </cfRule>
    <cfRule type="containsText" dxfId="46" priority="2" operator="containsText" text="Comprar">
      <formula>NOT(ISERROR(SEARCH("Comprar",H6)))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B1:E32"/>
  <sheetViews>
    <sheetView showGridLines="0" zoomScale="90" zoomScaleNormal="90" workbookViewId="0">
      <selection activeCell="L8" sqref="L8"/>
    </sheetView>
  </sheetViews>
  <sheetFormatPr baseColWidth="10" defaultColWidth="8.88671875" defaultRowHeight="14.4" x14ac:dyDescent="0.3"/>
  <cols>
    <col min="2" max="2" width="24" bestFit="1" customWidth="1"/>
    <col min="3" max="3" width="21.88671875" bestFit="1" customWidth="1"/>
    <col min="4" max="4" width="22" customWidth="1"/>
    <col min="5" max="5" width="18.6640625" customWidth="1"/>
  </cols>
  <sheetData>
    <row r="1" spans="2:5" s="25" customFormat="1" x14ac:dyDescent="0.3"/>
    <row r="2" spans="2:5" s="25" customFormat="1" ht="28.05" customHeight="1" x14ac:dyDescent="0.3">
      <c r="B2" s="26" t="s">
        <v>140</v>
      </c>
    </row>
    <row r="4" spans="2:5" ht="15" thickBot="1" x14ac:dyDescent="0.35">
      <c r="C4" s="73" t="s">
        <v>141</v>
      </c>
      <c r="D4" s="73"/>
      <c r="E4" s="74">
        <f>SUM(E5:E6)</f>
        <v>3369.36</v>
      </c>
    </row>
    <row r="5" spans="2:5" x14ac:dyDescent="0.3">
      <c r="C5" s="6"/>
      <c r="D5" s="71" t="s">
        <v>149</v>
      </c>
      <c r="E5" s="72">
        <f>Vendas!D12-Resultados!E6</f>
        <v>3301.36</v>
      </c>
    </row>
    <row r="6" spans="2:5" x14ac:dyDescent="0.3">
      <c r="C6" s="6"/>
      <c r="D6" s="6" t="s">
        <v>150</v>
      </c>
      <c r="E6" s="70">
        <f>Vendas!D31</f>
        <v>68</v>
      </c>
    </row>
    <row r="7" spans="2:5" x14ac:dyDescent="0.3">
      <c r="C7" s="6"/>
      <c r="D7" s="6"/>
      <c r="E7" s="70"/>
    </row>
    <row r="8" spans="2:5" x14ac:dyDescent="0.3">
      <c r="C8" s="6"/>
      <c r="D8" s="6"/>
      <c r="E8" s="70"/>
    </row>
    <row r="9" spans="2:5" x14ac:dyDescent="0.3">
      <c r="C9" s="6" t="s">
        <v>142</v>
      </c>
      <c r="D9" s="6"/>
      <c r="E9" s="70">
        <f>0.15*E4</f>
        <v>505.404</v>
      </c>
    </row>
    <row r="10" spans="2:5" x14ac:dyDescent="0.3">
      <c r="C10" s="6"/>
      <c r="D10" s="6"/>
      <c r="E10" s="70"/>
    </row>
    <row r="11" spans="2:5" x14ac:dyDescent="0.3">
      <c r="C11" s="6" t="s">
        <v>7</v>
      </c>
      <c r="D11" s="6"/>
      <c r="E11" s="70"/>
    </row>
    <row r="12" spans="2:5" x14ac:dyDescent="0.3">
      <c r="C12" s="6"/>
      <c r="D12" s="6"/>
      <c r="E12" s="70"/>
    </row>
    <row r="13" spans="2:5" x14ac:dyDescent="0.3">
      <c r="C13" s="6" t="s">
        <v>6</v>
      </c>
      <c r="D13" s="6"/>
      <c r="E13" s="70">
        <f>E4-E9</f>
        <v>2863.9560000000001</v>
      </c>
    </row>
    <row r="14" spans="2:5" x14ac:dyDescent="0.3">
      <c r="C14" s="6"/>
      <c r="D14" s="6"/>
      <c r="E14" s="70"/>
    </row>
    <row r="15" spans="2:5" ht="15" thickBot="1" x14ac:dyDescent="0.35">
      <c r="C15" s="73" t="s">
        <v>143</v>
      </c>
      <c r="D15" s="73"/>
      <c r="E15" s="74">
        <f>SUM(E16:E17)</f>
        <v>64193.875</v>
      </c>
    </row>
    <row r="16" spans="2:5" x14ac:dyDescent="0.3">
      <c r="C16" s="6"/>
      <c r="D16" s="71" t="s">
        <v>151</v>
      </c>
      <c r="E16" s="72">
        <f>'Controlo de  Mercadorias'!J29</f>
        <v>14189.875000000002</v>
      </c>
    </row>
    <row r="17" spans="3:5" x14ac:dyDescent="0.3">
      <c r="C17" s="6"/>
      <c r="D17" s="6" t="s">
        <v>152</v>
      </c>
      <c r="E17" s="70">
        <f>'Despesas '!G36</f>
        <v>50004</v>
      </c>
    </row>
    <row r="18" spans="3:5" x14ac:dyDescent="0.3">
      <c r="C18" s="6"/>
      <c r="D18" s="6"/>
      <c r="E18" s="70"/>
    </row>
    <row r="19" spans="3:5" ht="15" thickBot="1" x14ac:dyDescent="0.35">
      <c r="C19" s="73"/>
      <c r="D19" s="73"/>
      <c r="E19" s="74"/>
    </row>
    <row r="20" spans="3:5" x14ac:dyDescent="0.3">
      <c r="C20" s="6" t="s">
        <v>144</v>
      </c>
      <c r="D20" s="6"/>
      <c r="E20" s="70">
        <f>E4-E15</f>
        <v>-60824.514999999999</v>
      </c>
    </row>
    <row r="21" spans="3:5" x14ac:dyDescent="0.3">
      <c r="C21" s="6"/>
      <c r="D21" s="6"/>
      <c r="E21" s="70"/>
    </row>
    <row r="22" spans="3:5" x14ac:dyDescent="0.3">
      <c r="C22" s="6" t="s">
        <v>95</v>
      </c>
      <c r="D22" s="6"/>
      <c r="E22" s="70">
        <f>Investimentos!E11</f>
        <v>400000</v>
      </c>
    </row>
    <row r="23" spans="3:5" x14ac:dyDescent="0.3">
      <c r="C23" s="6"/>
      <c r="D23" s="6"/>
      <c r="E23" s="70"/>
    </row>
    <row r="24" spans="3:5" x14ac:dyDescent="0.3">
      <c r="C24" s="6" t="s">
        <v>145</v>
      </c>
      <c r="D24" s="6"/>
      <c r="E24" s="70">
        <f xml:space="preserve"> 300</f>
        <v>300</v>
      </c>
    </row>
    <row r="25" spans="3:5" x14ac:dyDescent="0.3">
      <c r="C25" s="6"/>
      <c r="D25" s="6"/>
      <c r="E25" s="70"/>
    </row>
    <row r="26" spans="3:5" x14ac:dyDescent="0.3">
      <c r="C26" s="6"/>
      <c r="D26" s="6"/>
      <c r="E26" s="70"/>
    </row>
    <row r="27" spans="3:5" ht="15" thickBot="1" x14ac:dyDescent="0.35">
      <c r="C27" s="73" t="s">
        <v>146</v>
      </c>
      <c r="D27" s="73"/>
      <c r="E27" s="74">
        <f>E20-E22-E24</f>
        <v>-461124.51500000001</v>
      </c>
    </row>
    <row r="28" spans="3:5" x14ac:dyDescent="0.3">
      <c r="C28" s="6"/>
      <c r="D28" s="6"/>
      <c r="E28" s="70"/>
    </row>
    <row r="29" spans="3:5" x14ac:dyDescent="0.3">
      <c r="C29" s="6" t="s">
        <v>147</v>
      </c>
      <c r="D29" s="6"/>
      <c r="E29" s="70">
        <f>IF(E27&lt;1000,0,0.3*E27)</f>
        <v>0</v>
      </c>
    </row>
    <row r="30" spans="3:5" x14ac:dyDescent="0.3">
      <c r="C30" s="6"/>
      <c r="D30" s="6"/>
      <c r="E30" s="70"/>
    </row>
    <row r="31" spans="3:5" ht="15" thickBot="1" x14ac:dyDescent="0.35">
      <c r="C31" s="73" t="s">
        <v>148</v>
      </c>
      <c r="D31" s="73"/>
      <c r="E31" s="74">
        <f>E27-E29</f>
        <v>-461124.51500000001</v>
      </c>
    </row>
    <row r="32" spans="3:5" x14ac:dyDescent="0.3">
      <c r="D32" s="7"/>
    </row>
  </sheetData>
  <conditionalFormatting sqref="F21 E20 E27 E31">
    <cfRule type="cellIs" dxfId="40" priority="2" operator="lessThan">
      <formula>0</formula>
    </cfRule>
  </conditionalFormatting>
  <conditionalFormatting sqref="I17 E31 E27 E20">
    <cfRule type="cellIs" dxfId="39" priority="1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90" verticalDpi="90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1:L63"/>
  <sheetViews>
    <sheetView showGridLines="0" topLeftCell="A40" zoomScale="80" zoomScaleNormal="80" workbookViewId="0"/>
  </sheetViews>
  <sheetFormatPr baseColWidth="10" defaultColWidth="8.88671875" defaultRowHeight="14.4" x14ac:dyDescent="0.3"/>
  <cols>
    <col min="1" max="1" width="24.88671875" customWidth="1"/>
    <col min="2" max="2" width="29.77734375" customWidth="1"/>
    <col min="3" max="3" width="28.77734375" bestFit="1" customWidth="1"/>
    <col min="4" max="4" width="19.88671875" customWidth="1"/>
  </cols>
  <sheetData>
    <row r="1" spans="2:12" s="25" customFormat="1" x14ac:dyDescent="0.3"/>
    <row r="2" spans="2:12" s="25" customFormat="1" ht="28.05" customHeight="1" x14ac:dyDescent="0.3">
      <c r="B2" s="26" t="s">
        <v>153</v>
      </c>
      <c r="C2" s="27"/>
    </row>
    <row r="4" spans="2:12" ht="23.4" x14ac:dyDescent="0.45">
      <c r="L4" s="69" t="s">
        <v>133</v>
      </c>
    </row>
    <row r="5" spans="2:12" x14ac:dyDescent="0.3">
      <c r="B5" s="36"/>
      <c r="C5" s="37"/>
      <c r="D5" s="37"/>
      <c r="E5" s="37"/>
      <c r="F5" s="37"/>
      <c r="G5" s="37"/>
      <c r="H5" s="37"/>
      <c r="I5" s="37"/>
      <c r="J5" s="37"/>
      <c r="K5" s="37"/>
      <c r="L5" s="38"/>
    </row>
    <row r="6" spans="2:12" ht="15" thickBot="1" x14ac:dyDescent="0.35">
      <c r="B6" s="39"/>
      <c r="C6" s="45" t="s">
        <v>128</v>
      </c>
      <c r="D6" s="46">
        <f>'Semana 1'!M19</f>
        <v>1604.99</v>
      </c>
      <c r="E6" s="29"/>
      <c r="F6" s="29"/>
      <c r="G6" s="29"/>
      <c r="H6" s="29"/>
      <c r="I6" s="29"/>
      <c r="J6" s="29"/>
      <c r="K6" s="29"/>
      <c r="L6" s="40"/>
    </row>
    <row r="7" spans="2:12" ht="15" thickBot="1" x14ac:dyDescent="0.35">
      <c r="B7" s="39"/>
      <c r="C7" s="45" t="s">
        <v>129</v>
      </c>
      <c r="D7" s="46">
        <f>'Semana 2'!M19</f>
        <v>526.55999999999995</v>
      </c>
      <c r="E7" s="29"/>
      <c r="F7" s="29"/>
      <c r="G7" s="29"/>
      <c r="H7" s="29"/>
      <c r="I7" s="29"/>
      <c r="J7" s="29"/>
      <c r="K7" s="29"/>
      <c r="L7" s="40"/>
    </row>
    <row r="8" spans="2:12" ht="15" thickBot="1" x14ac:dyDescent="0.35">
      <c r="B8" s="39"/>
      <c r="C8" s="45" t="s">
        <v>130</v>
      </c>
      <c r="D8" s="46">
        <f>'Semana 3'!M18</f>
        <v>109.8</v>
      </c>
      <c r="E8" s="29"/>
      <c r="F8" s="29"/>
      <c r="G8" s="29"/>
      <c r="H8" s="29"/>
      <c r="I8" s="29"/>
      <c r="J8" s="29"/>
      <c r="K8" s="29"/>
      <c r="L8" s="40"/>
    </row>
    <row r="9" spans="2:12" ht="15" thickBot="1" x14ac:dyDescent="0.35">
      <c r="B9" s="39"/>
      <c r="C9" s="45" t="s">
        <v>131</v>
      </c>
      <c r="D9" s="46">
        <f>'Semana 4'!M32</f>
        <v>670.87000000000012</v>
      </c>
      <c r="E9" s="29"/>
      <c r="F9" s="29"/>
      <c r="G9" s="29"/>
      <c r="H9" s="29"/>
      <c r="I9" s="29"/>
      <c r="J9" s="29"/>
      <c r="K9" s="29"/>
      <c r="L9" s="40"/>
    </row>
    <row r="10" spans="2:12" ht="15" thickBot="1" x14ac:dyDescent="0.35">
      <c r="B10" s="39"/>
      <c r="C10" s="45" t="s">
        <v>132</v>
      </c>
      <c r="D10" s="46">
        <f>'Semana 5'!M19</f>
        <v>457.14</v>
      </c>
      <c r="E10" s="29"/>
      <c r="F10" s="29"/>
      <c r="G10" s="29"/>
      <c r="H10" s="29"/>
      <c r="I10" s="29"/>
      <c r="J10" s="29"/>
      <c r="K10" s="29"/>
      <c r="L10" s="40"/>
    </row>
    <row r="11" spans="2:12" x14ac:dyDescent="0.3">
      <c r="B11" s="39"/>
      <c r="C11" s="44"/>
      <c r="D11" s="44"/>
      <c r="E11" s="29"/>
      <c r="F11" s="29"/>
      <c r="G11" s="29"/>
      <c r="H11" s="29"/>
      <c r="I11" s="29"/>
      <c r="J11" s="29"/>
      <c r="K11" s="29"/>
      <c r="L11" s="40"/>
    </row>
    <row r="12" spans="2:12" ht="15" thickBot="1" x14ac:dyDescent="0.35">
      <c r="B12" s="39"/>
      <c r="C12" s="45" t="str">
        <f>"Total de Vendas de "&amp; L4</f>
        <v>Total de Vendas de Julho</v>
      </c>
      <c r="D12" s="46">
        <f>SUM(D6:D10)</f>
        <v>3369.36</v>
      </c>
      <c r="E12" s="29"/>
      <c r="F12" s="29"/>
      <c r="G12" s="29"/>
      <c r="H12" s="29"/>
      <c r="I12" s="29"/>
      <c r="J12" s="29"/>
      <c r="K12" s="29"/>
      <c r="L12" s="40"/>
    </row>
    <row r="13" spans="2:12" x14ac:dyDescent="0.3">
      <c r="B13" s="39"/>
      <c r="C13" s="29"/>
      <c r="D13" s="29"/>
      <c r="E13" s="29"/>
      <c r="F13" s="29"/>
      <c r="G13" s="29"/>
      <c r="H13" s="29"/>
      <c r="I13" s="29"/>
      <c r="J13" s="29"/>
      <c r="K13" s="29"/>
      <c r="L13" s="40"/>
    </row>
    <row r="14" spans="2:12" x14ac:dyDescent="0.3">
      <c r="B14" s="39"/>
      <c r="C14" s="29"/>
      <c r="D14" s="29"/>
      <c r="E14" s="29"/>
      <c r="F14" s="29"/>
      <c r="G14" s="29"/>
      <c r="H14" s="29"/>
      <c r="I14" s="29"/>
      <c r="J14" s="29"/>
      <c r="K14" s="29"/>
      <c r="L14" s="40"/>
    </row>
    <row r="15" spans="2:12" x14ac:dyDescent="0.3">
      <c r="B15" s="39"/>
      <c r="C15" s="29"/>
      <c r="D15" s="29"/>
      <c r="E15" s="29"/>
      <c r="F15" s="29"/>
      <c r="G15" s="29"/>
      <c r="H15" s="29"/>
      <c r="I15" s="29"/>
      <c r="J15" s="29"/>
      <c r="K15" s="29"/>
      <c r="L15" s="40"/>
    </row>
    <row r="16" spans="2:12" x14ac:dyDescent="0.3">
      <c r="B16" s="39"/>
      <c r="C16" s="29"/>
      <c r="D16" s="29"/>
      <c r="E16" s="29"/>
      <c r="F16" s="29"/>
      <c r="G16" s="29"/>
      <c r="H16" s="29"/>
      <c r="I16" s="29"/>
      <c r="J16" s="29"/>
      <c r="K16" s="29"/>
      <c r="L16" s="40"/>
    </row>
    <row r="17" spans="2:12" x14ac:dyDescent="0.3">
      <c r="B17" s="39"/>
      <c r="C17" s="29"/>
      <c r="D17" s="29"/>
      <c r="E17" s="29"/>
      <c r="F17" s="29"/>
      <c r="G17" s="29"/>
      <c r="H17" s="29"/>
      <c r="I17" s="29"/>
      <c r="J17" s="29"/>
      <c r="K17" s="29"/>
      <c r="L17" s="40"/>
    </row>
    <row r="18" spans="2:12" x14ac:dyDescent="0.3">
      <c r="B18" s="39"/>
      <c r="C18" s="29"/>
      <c r="D18" s="29"/>
      <c r="E18" s="29"/>
      <c r="F18" s="29"/>
      <c r="G18" s="29"/>
      <c r="H18" s="29"/>
      <c r="I18" s="29"/>
      <c r="J18" s="29"/>
      <c r="K18" s="29"/>
      <c r="L18" s="40"/>
    </row>
    <row r="19" spans="2:12" x14ac:dyDescent="0.3">
      <c r="B19" s="39"/>
      <c r="C19" s="29"/>
      <c r="D19" s="29"/>
      <c r="E19" s="29"/>
      <c r="F19" s="29"/>
      <c r="G19" s="29"/>
      <c r="H19" s="29"/>
      <c r="I19" s="29"/>
      <c r="J19" s="29"/>
      <c r="K19" s="29"/>
      <c r="L19" s="40"/>
    </row>
    <row r="20" spans="2:12" x14ac:dyDescent="0.3">
      <c r="B20" s="39"/>
      <c r="C20" s="29"/>
      <c r="D20" s="29"/>
      <c r="E20" s="29"/>
      <c r="F20" s="29"/>
      <c r="G20" s="29"/>
      <c r="H20" s="29"/>
      <c r="I20" s="29"/>
      <c r="J20" s="29"/>
      <c r="K20" s="29"/>
      <c r="L20" s="40"/>
    </row>
    <row r="21" spans="2:12" x14ac:dyDescent="0.3">
      <c r="B21" s="41"/>
      <c r="C21" s="42"/>
      <c r="D21" s="42"/>
      <c r="E21" s="42"/>
      <c r="F21" s="42"/>
      <c r="G21" s="42"/>
      <c r="H21" s="42"/>
      <c r="I21" s="42"/>
      <c r="J21" s="42"/>
      <c r="K21" s="42"/>
      <c r="L21" s="43"/>
    </row>
    <row r="26" spans="2:12" x14ac:dyDescent="0.3"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</row>
    <row r="27" spans="2:12" x14ac:dyDescent="0.3">
      <c r="B27" s="48"/>
      <c r="C27" s="49"/>
      <c r="D27" s="49"/>
      <c r="E27" s="49"/>
      <c r="F27" s="49"/>
      <c r="G27" s="49"/>
      <c r="H27" s="49"/>
      <c r="I27" s="49"/>
      <c r="J27" s="49"/>
      <c r="K27" s="49"/>
      <c r="L27" s="50"/>
    </row>
    <row r="28" spans="2:12" x14ac:dyDescent="0.3">
      <c r="B28" s="51"/>
      <c r="D28" s="47"/>
      <c r="E28" s="47"/>
      <c r="F28" s="47"/>
      <c r="G28" s="47"/>
      <c r="H28" s="47"/>
      <c r="I28" s="47"/>
      <c r="J28" s="47"/>
      <c r="K28" s="47"/>
      <c r="L28" s="52"/>
    </row>
    <row r="29" spans="2:12" ht="15" thickBot="1" x14ac:dyDescent="0.35">
      <c r="B29" s="51"/>
      <c r="C29" s="45" t="s">
        <v>134</v>
      </c>
      <c r="D29" s="61">
        <f>SUM(COUNTIF(Tabla4[Valor de Entrega],"&gt;0"),COUNTIF(Tabla47[Valor de Entrega],"&gt;0"),COUNTIF(Tabla478[Valor de Entrega],"&gt;0"),COUNTIF(Tabla4789[Valor de Entrega],"&gt;0"),COUNTIF(Tabla410[Valor de Entrega],"&gt;0"))/SUM('Semana 1'!M21,'Semana 2'!M21,'Semana 3'!M20,'Semana 4'!M34,'Semana 5'!M21)</f>
        <v>0.5</v>
      </c>
      <c r="E29" s="47"/>
      <c r="F29" s="47"/>
      <c r="G29" s="47"/>
      <c r="H29" s="47"/>
      <c r="I29" s="47"/>
      <c r="J29" s="47"/>
      <c r="K29" s="47"/>
      <c r="L29" s="52"/>
    </row>
    <row r="30" spans="2:12" ht="15" thickBot="1" x14ac:dyDescent="0.35">
      <c r="B30" s="51"/>
      <c r="C30" s="45" t="s">
        <v>135</v>
      </c>
      <c r="D30" s="55">
        <f>SUMIF(Tabla4[Valor de Entrega],"&gt;0",Tabla4[Total para Cliente])+SUMIF(Tabla47[Valor de Entrega],"&gt;0",Tabla47[Total para Cliente])+SUMIF(Tabla478[Valor de Entrega],"&gt;0",Tabla478[Total para Cliente])+SUMIF(Tabla4789[Valor de Entrega],"&gt;0",Tabla4789[Total para Cliente])+SUMIF(Tabla410[Valor de Entrega],"&gt;0",Tabla410[Total para Cliente])</f>
        <v>2456.87</v>
      </c>
      <c r="E30" s="47"/>
      <c r="F30" s="47"/>
      <c r="G30" s="47"/>
      <c r="H30" s="47"/>
      <c r="I30" s="47"/>
      <c r="J30" s="47"/>
      <c r="K30" s="47"/>
      <c r="L30" s="52"/>
    </row>
    <row r="31" spans="2:12" x14ac:dyDescent="0.3">
      <c r="B31" s="51"/>
      <c r="C31" s="54" t="s">
        <v>136</v>
      </c>
      <c r="D31" s="55">
        <f>SUM('Semana 1'!M20,'Semana 2'!M20,'Semana 3'!M19,'Semana 4'!M33,'Semana 5'!M20)</f>
        <v>68</v>
      </c>
      <c r="E31" s="47"/>
      <c r="F31" s="47"/>
      <c r="G31" s="47"/>
      <c r="H31" s="47"/>
      <c r="I31" s="47"/>
      <c r="J31" s="47"/>
      <c r="K31" s="47"/>
      <c r="L31" s="52"/>
    </row>
    <row r="32" spans="2:12" x14ac:dyDescent="0.3">
      <c r="B32" s="51"/>
      <c r="D32" s="47"/>
      <c r="E32" s="47"/>
      <c r="F32" s="47"/>
      <c r="G32" s="47"/>
      <c r="H32" s="47"/>
      <c r="I32" s="47"/>
      <c r="J32" s="47"/>
      <c r="K32" s="47"/>
      <c r="L32" s="52"/>
    </row>
    <row r="33" spans="2:12" x14ac:dyDescent="0.3">
      <c r="B33" s="51"/>
      <c r="C33" s="47"/>
      <c r="D33" s="47"/>
      <c r="E33" s="47"/>
      <c r="F33" s="47"/>
      <c r="G33" s="47"/>
      <c r="H33" s="47"/>
      <c r="I33" s="47"/>
      <c r="J33" s="47"/>
      <c r="K33" s="47"/>
      <c r="L33" s="52"/>
    </row>
    <row r="34" spans="2:12" x14ac:dyDescent="0.3">
      <c r="B34" s="51"/>
      <c r="C34" s="47"/>
      <c r="D34" s="47"/>
      <c r="E34" s="47"/>
      <c r="F34" s="47"/>
      <c r="G34" s="47"/>
      <c r="H34" s="47"/>
      <c r="I34" s="47"/>
      <c r="J34" s="47"/>
      <c r="K34" s="47"/>
      <c r="L34" s="52"/>
    </row>
    <row r="35" spans="2:12" x14ac:dyDescent="0.3">
      <c r="B35" s="51"/>
      <c r="C35" s="47"/>
      <c r="D35" s="47"/>
      <c r="E35" s="47"/>
      <c r="F35" s="47"/>
      <c r="G35" s="47"/>
      <c r="H35" s="47"/>
      <c r="I35" s="47"/>
      <c r="J35" s="47"/>
      <c r="K35" s="47"/>
      <c r="L35" s="52"/>
    </row>
    <row r="36" spans="2:12" x14ac:dyDescent="0.3">
      <c r="B36" s="51"/>
      <c r="C36" s="47"/>
      <c r="D36" s="47"/>
      <c r="E36" s="47"/>
      <c r="F36" s="47"/>
      <c r="G36" s="47"/>
      <c r="H36" s="47"/>
      <c r="I36" s="47"/>
      <c r="J36" s="47"/>
      <c r="K36" s="47"/>
      <c r="L36" s="52"/>
    </row>
    <row r="37" spans="2:12" x14ac:dyDescent="0.3">
      <c r="B37" s="51"/>
      <c r="C37" s="47"/>
      <c r="D37" s="47"/>
      <c r="E37" s="47"/>
      <c r="F37" s="47"/>
      <c r="G37" s="47"/>
      <c r="H37" s="47"/>
      <c r="I37" s="47"/>
      <c r="J37" s="47"/>
      <c r="K37" s="47"/>
      <c r="L37" s="52"/>
    </row>
    <row r="38" spans="2:12" x14ac:dyDescent="0.3">
      <c r="B38" s="51"/>
      <c r="C38" s="47"/>
      <c r="D38" s="47"/>
      <c r="E38" s="47"/>
      <c r="F38" s="47"/>
      <c r="G38" s="47"/>
      <c r="H38" s="47"/>
      <c r="I38" s="47"/>
      <c r="J38" s="47"/>
      <c r="K38" s="47"/>
      <c r="L38" s="52"/>
    </row>
    <row r="39" spans="2:12" x14ac:dyDescent="0.3">
      <c r="B39" s="51"/>
      <c r="C39" s="47"/>
      <c r="D39" s="47"/>
      <c r="E39" s="47"/>
      <c r="F39" s="47"/>
      <c r="G39" s="47"/>
      <c r="H39" s="47"/>
      <c r="I39" s="47"/>
      <c r="J39" s="47"/>
      <c r="K39" s="47"/>
      <c r="L39" s="52"/>
    </row>
    <row r="40" spans="2:12" x14ac:dyDescent="0.3">
      <c r="B40" s="39"/>
      <c r="C40" s="29"/>
      <c r="D40" s="29"/>
      <c r="E40" s="29"/>
      <c r="F40" s="29"/>
      <c r="G40" s="29"/>
      <c r="H40" s="29"/>
      <c r="I40" s="29"/>
      <c r="J40" s="29"/>
      <c r="K40" s="29"/>
      <c r="L40" s="40"/>
    </row>
    <row r="41" spans="2:12" x14ac:dyDescent="0.3">
      <c r="B41" s="39"/>
      <c r="C41" s="29"/>
      <c r="D41" s="29"/>
      <c r="E41" s="29"/>
      <c r="F41" s="29"/>
      <c r="G41" s="29"/>
      <c r="H41" s="29"/>
      <c r="I41" s="29"/>
      <c r="J41" s="29"/>
      <c r="K41" s="29"/>
      <c r="L41" s="40"/>
    </row>
    <row r="42" spans="2:12" ht="21" x14ac:dyDescent="0.4">
      <c r="B42" s="39"/>
      <c r="C42" s="53" t="s">
        <v>126</v>
      </c>
      <c r="D42" s="60">
        <f>SUM('Semana 1'!M19,'Semana 2'!M19,'Semana 3'!M18,'Semana 4'!M32,'Semana 5'!M19)/SUM('Semana 1'!M21,'Semana 2'!M21,'Semana 3'!M20,'Semana 4'!M34,'Semana 5'!M21)</f>
        <v>168.46800000000002</v>
      </c>
      <c r="E42" s="29"/>
      <c r="F42" s="29"/>
      <c r="G42" s="29"/>
      <c r="H42" s="29"/>
      <c r="I42" s="29"/>
      <c r="J42" s="29"/>
      <c r="K42" s="29"/>
      <c r="L42" s="40"/>
    </row>
    <row r="43" spans="2:12" x14ac:dyDescent="0.3">
      <c r="B43" s="41"/>
      <c r="C43" s="42"/>
      <c r="D43" s="42"/>
      <c r="E43" s="42"/>
      <c r="F43" s="42"/>
      <c r="G43" s="42"/>
      <c r="H43" s="42"/>
      <c r="I43" s="42"/>
      <c r="J43" s="42"/>
      <c r="K43" s="42"/>
      <c r="L43" s="43"/>
    </row>
    <row r="49" spans="2:12" x14ac:dyDescent="0.3">
      <c r="B49" s="36"/>
      <c r="C49" s="37"/>
      <c r="D49" s="37"/>
      <c r="E49" s="37"/>
      <c r="F49" s="37"/>
      <c r="G49" s="37"/>
      <c r="H49" s="37"/>
      <c r="I49" s="37"/>
      <c r="J49" s="37"/>
      <c r="K49" s="37"/>
      <c r="L49" s="38"/>
    </row>
    <row r="50" spans="2:12" ht="21" x14ac:dyDescent="0.4">
      <c r="B50" s="39"/>
      <c r="C50" s="53" t="s">
        <v>127</v>
      </c>
      <c r="D50" s="29"/>
      <c r="E50" s="29"/>
      <c r="F50" s="29"/>
      <c r="G50" s="29"/>
      <c r="H50" s="29"/>
      <c r="I50" s="29"/>
      <c r="J50" s="29"/>
      <c r="K50" s="29"/>
      <c r="L50" s="40"/>
    </row>
    <row r="51" spans="2:12" x14ac:dyDescent="0.3">
      <c r="B51" s="39"/>
      <c r="D51" s="29"/>
      <c r="E51" s="29"/>
      <c r="F51" s="29"/>
      <c r="G51" s="29"/>
      <c r="H51" s="29"/>
      <c r="I51" s="29"/>
      <c r="J51" s="29"/>
      <c r="K51" s="29"/>
      <c r="L51" s="40"/>
    </row>
    <row r="52" spans="2:12" x14ac:dyDescent="0.3">
      <c r="B52" s="39"/>
      <c r="C52" s="44"/>
      <c r="D52" s="68" t="s">
        <v>139</v>
      </c>
      <c r="E52" s="42"/>
      <c r="G52" s="29"/>
      <c r="H52" s="29"/>
      <c r="I52" s="29"/>
      <c r="J52" s="29"/>
      <c r="K52" s="29"/>
      <c r="L52" s="40"/>
    </row>
    <row r="53" spans="2:12" ht="15" thickBot="1" x14ac:dyDescent="0.35">
      <c r="B53" s="39"/>
      <c r="C53" s="45" t="s">
        <v>79</v>
      </c>
      <c r="D53" s="45">
        <f>COUNTIFS(Tabla4[Entrega],Vendas!C53,Tabla4[Total para Cliente],"&gt;0")+COUNTIFS(Tabla47[Entrega],Vendas!C53,Tabla47[Total para Cliente],"&gt;0")+COUNTIFS(Tabla478[Entrega],Vendas!C53,Tabla478[Total para Cliente],"&gt;0")+COUNTIFS(Tabla4789[Entrega],Vendas!C53,Tabla4789[Total para Cliente],"&gt;0")+COUNTIFS(Tabla410[Entrega],Vendas!C53,Tabla410[Total para Cliente],"&gt;0")</f>
        <v>9</v>
      </c>
      <c r="E53" s="45"/>
      <c r="F53" s="29"/>
      <c r="G53" s="29"/>
      <c r="H53" s="29"/>
      <c r="I53" s="29"/>
      <c r="J53" s="29"/>
      <c r="K53" s="29"/>
      <c r="L53" s="40"/>
    </row>
    <row r="54" spans="2:12" ht="15" thickBot="1" x14ac:dyDescent="0.35">
      <c r="B54" s="39"/>
      <c r="C54" s="45" t="s">
        <v>80</v>
      </c>
      <c r="D54" s="45">
        <f>COUNTIFS(Tabla4[Entrega],Vendas!C54,Tabla4[Total para Cliente],"&gt;0")+COUNTIFS(Tabla47[Entrega],Vendas!C54,Tabla47[Total para Cliente],"&gt;0")+COUNTIFS(Tabla478[Entrega],Vendas!C54,Tabla478[Total para Cliente],"&gt;0")+COUNTIFS(Tabla4789[Entrega],Vendas!C54,Tabla4789[Total para Cliente],"&gt;0")+COUNTIFS(Tabla410[Entrega],Vendas!C54,Tabla410[Total para Cliente],"&gt;0")</f>
        <v>4</v>
      </c>
      <c r="E54" s="45"/>
      <c r="F54" s="29"/>
      <c r="G54" s="29"/>
      <c r="H54" s="29"/>
      <c r="I54" s="29"/>
      <c r="J54" s="29"/>
      <c r="K54" s="29"/>
      <c r="L54" s="40"/>
    </row>
    <row r="55" spans="2:12" ht="15" thickBot="1" x14ac:dyDescent="0.35">
      <c r="B55" s="39"/>
      <c r="C55" s="54" t="s">
        <v>81</v>
      </c>
      <c r="D55" s="45">
        <f>COUNTIFS(Tabla4[Entrega],Vendas!C55,Tabla4[Total para Cliente],"&gt;0")+COUNTIFS(Tabla47[Entrega],Vendas!C55,Tabla47[Total para Cliente],"&gt;0")+COUNTIFS(Tabla478[Entrega],Vendas!C55,Tabla478[Total para Cliente],"&gt;0")+COUNTIFS(Tabla4789[Entrega],Vendas!C55,Tabla4789[Total para Cliente],"&gt;0")+COUNTIFS(Tabla410[Entrega],Vendas!C55,Tabla410[Total para Cliente],"&gt;0")</f>
        <v>2</v>
      </c>
      <c r="E55" s="45"/>
      <c r="F55" s="29"/>
      <c r="G55" s="29"/>
      <c r="H55" s="29"/>
      <c r="I55" s="29"/>
      <c r="J55" s="29"/>
      <c r="K55" s="29"/>
      <c r="L55" s="40"/>
    </row>
    <row r="56" spans="2:12" x14ac:dyDescent="0.3">
      <c r="B56" s="39"/>
      <c r="C56" s="54" t="s">
        <v>82</v>
      </c>
      <c r="D56" s="44">
        <f>COUNTIFS(Tabla4[Entrega],Vendas!C56,Tabla4[Total para Cliente],"&gt;0")+COUNTIFS(Tabla47[Entrega],Vendas!C56,Tabla47[Total para Cliente],"&gt;0")+COUNTIFS(Tabla478[Entrega],Vendas!C56,Tabla478[Total para Cliente],"&gt;0")+COUNTIFS(Tabla4789[Entrega],Vendas!C56,Tabla4789[Total para Cliente],"&gt;0")+COUNTIFS(Tabla410[Entrega],Vendas!C56,Tabla410[Total para Cliente],"&gt;0")</f>
        <v>4</v>
      </c>
      <c r="F56" s="29"/>
      <c r="G56" s="29"/>
      <c r="H56" s="29"/>
      <c r="I56" s="29"/>
      <c r="J56" s="29"/>
      <c r="K56" s="29"/>
      <c r="L56" s="40"/>
    </row>
    <row r="57" spans="2:12" x14ac:dyDescent="0.3">
      <c r="B57" s="39"/>
      <c r="C57" s="29"/>
      <c r="D57" s="29"/>
      <c r="F57" s="29"/>
      <c r="G57" s="29"/>
      <c r="H57" s="29"/>
      <c r="I57" s="29"/>
      <c r="J57" s="29"/>
      <c r="K57" s="29"/>
      <c r="L57" s="40"/>
    </row>
    <row r="58" spans="2:12" x14ac:dyDescent="0.3">
      <c r="B58" s="39"/>
      <c r="C58" s="29"/>
      <c r="D58" s="29"/>
      <c r="F58" s="29"/>
      <c r="G58" s="29"/>
      <c r="H58" s="29"/>
      <c r="I58" s="29"/>
      <c r="J58" s="29"/>
      <c r="K58" s="29"/>
      <c r="L58" s="40"/>
    </row>
    <row r="59" spans="2:12" x14ac:dyDescent="0.3">
      <c r="B59" s="39"/>
      <c r="F59" s="29"/>
      <c r="G59" s="29"/>
      <c r="H59" s="29"/>
      <c r="I59" s="29"/>
      <c r="J59" s="29"/>
      <c r="K59" s="29"/>
      <c r="L59" s="40"/>
    </row>
    <row r="60" spans="2:12" x14ac:dyDescent="0.3">
      <c r="B60" s="39"/>
      <c r="C60" s="29"/>
      <c r="D60" s="29"/>
      <c r="E60" s="29"/>
      <c r="F60" s="29"/>
      <c r="G60" s="29"/>
      <c r="H60" s="29"/>
      <c r="I60" s="29"/>
      <c r="J60" s="29"/>
      <c r="K60" s="29"/>
      <c r="L60" s="40"/>
    </row>
    <row r="61" spans="2:12" x14ac:dyDescent="0.3">
      <c r="B61" s="39"/>
      <c r="C61" s="29"/>
      <c r="D61" s="29"/>
      <c r="E61" s="29"/>
      <c r="F61" s="29"/>
      <c r="G61" s="29"/>
      <c r="H61" s="29"/>
      <c r="I61" s="29"/>
      <c r="J61" s="29"/>
      <c r="K61" s="29"/>
      <c r="L61" s="40"/>
    </row>
    <row r="62" spans="2:12" x14ac:dyDescent="0.3">
      <c r="B62" s="39"/>
      <c r="C62" s="29"/>
      <c r="D62" s="29"/>
      <c r="E62" s="29"/>
      <c r="F62" s="29"/>
      <c r="G62" s="29"/>
      <c r="H62" s="29"/>
      <c r="I62" s="29"/>
      <c r="J62" s="29"/>
      <c r="K62" s="29"/>
      <c r="L62" s="40"/>
    </row>
    <row r="63" spans="2:12" x14ac:dyDescent="0.3">
      <c r="B63" s="41"/>
      <c r="C63" s="42"/>
      <c r="D63" s="42"/>
      <c r="E63" s="42"/>
      <c r="F63" s="42"/>
      <c r="G63" s="42"/>
      <c r="H63" s="42"/>
      <c r="I63" s="42"/>
      <c r="J63" s="42"/>
      <c r="K63" s="42"/>
      <c r="L63" s="43"/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M21"/>
  <sheetViews>
    <sheetView showGridLines="0" zoomScale="80" zoomScaleNormal="80" workbookViewId="0">
      <selection activeCell="I32" sqref="I32"/>
    </sheetView>
  </sheetViews>
  <sheetFormatPr baseColWidth="10" defaultRowHeight="14.4" x14ac:dyDescent="0.3"/>
  <cols>
    <col min="1" max="1" width="30.6640625" customWidth="1"/>
    <col min="2" max="2" width="33.5546875" customWidth="1"/>
    <col min="3" max="3" width="22.21875" customWidth="1"/>
    <col min="4" max="4" width="11.44140625" bestFit="1" customWidth="1"/>
    <col min="5" max="5" width="10.21875" bestFit="1" customWidth="1"/>
    <col min="6" max="6" width="13.77734375" bestFit="1" customWidth="1"/>
    <col min="7" max="7" width="16" bestFit="1" customWidth="1"/>
    <col min="8" max="8" width="17.33203125" customWidth="1"/>
    <col min="9" max="9" width="11.88671875" bestFit="1" customWidth="1"/>
    <col min="10" max="10" width="10.77734375" bestFit="1" customWidth="1"/>
    <col min="11" max="11" width="14.109375" customWidth="1"/>
    <col min="12" max="12" width="18.33203125" customWidth="1"/>
    <col min="13" max="13" width="20.5546875" customWidth="1"/>
  </cols>
  <sheetData>
    <row r="1" spans="2:13" s="25" customFormat="1" x14ac:dyDescent="0.3"/>
    <row r="2" spans="2:13" s="25" customFormat="1" ht="28.05" customHeight="1" x14ac:dyDescent="0.3">
      <c r="B2" s="26" t="s">
        <v>112</v>
      </c>
      <c r="C2" s="27"/>
    </row>
    <row r="3" spans="2:13" ht="38.4" customHeight="1" x14ac:dyDescent="0.3"/>
    <row r="4" spans="2:13" x14ac:dyDescent="0.3">
      <c r="B4" t="s">
        <v>113</v>
      </c>
      <c r="C4" t="s">
        <v>40</v>
      </c>
      <c r="D4" t="s">
        <v>62</v>
      </c>
      <c r="E4" t="s">
        <v>65</v>
      </c>
      <c r="F4" t="s">
        <v>58</v>
      </c>
      <c r="G4" t="s">
        <v>59</v>
      </c>
      <c r="H4" t="s">
        <v>114</v>
      </c>
      <c r="I4" t="s">
        <v>60</v>
      </c>
      <c r="J4" t="s">
        <v>115</v>
      </c>
      <c r="K4" t="s">
        <v>116</v>
      </c>
      <c r="L4" t="s">
        <v>117</v>
      </c>
      <c r="M4" t="s">
        <v>118</v>
      </c>
    </row>
    <row r="5" spans="2:13" x14ac:dyDescent="0.3">
      <c r="B5">
        <v>3</v>
      </c>
      <c r="C5" s="13">
        <v>43223</v>
      </c>
      <c r="D5" t="s">
        <v>20</v>
      </c>
      <c r="E5" s="35" t="str">
        <f>IFERROR(VLOOKUP(Tabla4[[#This Row],[Produtos]],cálculos!$N$3:$Q$33,4,FALSE),"")</f>
        <v>Kg</v>
      </c>
      <c r="F5">
        <v>100</v>
      </c>
      <c r="G5" s="7">
        <f>IFERROR(VLOOKUP(Tabla4[[#This Row],[Produtos]],cálculos!$N$3:$Q$33,3,FALSE),0)</f>
        <v>15.9</v>
      </c>
      <c r="H5" s="7">
        <f>Tabla4[[#This Row],[Quantidade]]*Tabla4[[#This Row],[Preço Unitário]]</f>
        <v>1590</v>
      </c>
      <c r="I5" s="30"/>
      <c r="J5" t="s">
        <v>82</v>
      </c>
      <c r="K5" s="7">
        <f>IFERROR(VLOOKUP(Tabla4[[#This Row],[Entrega]],cálculos!$C$3:$D$7,2,FALSE),0)</f>
        <v>6.5</v>
      </c>
      <c r="L5" s="7">
        <f>Tabla4[[#This Row],[Subtotal]]*(1-Tabla4[[#This Row],[Desconto]])+Tabla4[[#This Row],[Valor de Entrega]]</f>
        <v>1596.5</v>
      </c>
      <c r="M5" s="7">
        <f>IF(Tabla4[[#This Row],[ID da Venda]]=B8,"",SUMIF(Tabla4[ID da Venda],Tabla4[[#This Row],[ID da Venda]],Tabla4[Total]))</f>
        <v>1596.5</v>
      </c>
    </row>
    <row r="6" spans="2:13" x14ac:dyDescent="0.3">
      <c r="B6">
        <v>2</v>
      </c>
      <c r="C6" s="13">
        <v>42187</v>
      </c>
      <c r="D6" t="s">
        <v>33</v>
      </c>
      <c r="E6" t="str">
        <f>IFERROR(VLOOKUP(Tabla4[[#This Row],[Produtos]],cálculos!$N$3:$Q$33,4,FALSE),"")</f>
        <v>Pacote</v>
      </c>
      <c r="F6">
        <v>1</v>
      </c>
      <c r="G6" s="7">
        <f>IFERROR(VLOOKUP(Tabla4[[#This Row],[Produtos]],cálculos!$N$3:$Q$33,3,FALSE),0)</f>
        <v>1.99</v>
      </c>
      <c r="H6" s="7">
        <f>Tabla4[[#This Row],[Quantidade]]*Tabla4[[#This Row],[Preço Unitário]]</f>
        <v>1.99</v>
      </c>
      <c r="I6" s="31"/>
      <c r="J6" t="s">
        <v>80</v>
      </c>
      <c r="K6" s="7">
        <f>IFERROR(VLOOKUP(Tabla4[[#This Row],[Entrega]],cálculos!$C$3:$D$7,2,FALSE),0)</f>
        <v>6.5</v>
      </c>
      <c r="L6" s="7">
        <f>Tabla4[[#This Row],[Subtotal]]*(1-Tabla4[[#This Row],[Desconto]])+Tabla4[[#This Row],[Valor de Entrega]]</f>
        <v>8.49</v>
      </c>
      <c r="M6" s="7">
        <f>IF(Tabla4[[#This Row],[ID da Venda]]=B9,"",SUMIF(Tabla4[ID da Venda],Tabla4[[#This Row],[ID da Venda]],Tabla4[Total]))</f>
        <v>8.49</v>
      </c>
    </row>
    <row r="7" spans="2:13" x14ac:dyDescent="0.3">
      <c r="C7" s="13"/>
      <c r="E7" t="str">
        <f>IFERROR(VLOOKUP(Tabla4[[#This Row],[Produtos]],cálculos!$N$3:$Q$33,4,FALSE),"")</f>
        <v/>
      </c>
      <c r="G7" s="7">
        <f>IFERROR(VLOOKUP(Tabla4[[#This Row],[Produtos]],cálculos!$N$3:$Q$33,3,FALSE),0)</f>
        <v>0</v>
      </c>
      <c r="H7" s="7">
        <f>Tabla4[[#This Row],[Quantidade]]*Tabla4[[#This Row],[Preço Unitário]]</f>
        <v>0</v>
      </c>
      <c r="I7" s="30"/>
      <c r="K7" s="7">
        <f>IFERROR(VLOOKUP(Tabla4[[#This Row],[Entrega]],cálculos!$C$3:$D$7,2,FALSE),0)</f>
        <v>0</v>
      </c>
      <c r="L7" s="7">
        <f>Tabla4[[#This Row],[Subtotal]]*(1-Tabla4[[#This Row],[Desconto]])+Tabla4[[#This Row],[Valor de Entrega]]</f>
        <v>0</v>
      </c>
      <c r="M7" s="7" t="str">
        <f>IF(Tabla4[[#This Row],[ID da Venda]]=B10,"",SUMIF(Tabla4[ID da Venda],Tabla4[[#This Row],[ID da Venda]],Tabla4[Total]))</f>
        <v/>
      </c>
    </row>
    <row r="8" spans="2:13" x14ac:dyDescent="0.3">
      <c r="C8" s="13"/>
      <c r="E8" t="str">
        <f>IFERROR(VLOOKUP(Tabla4[[#This Row],[Produtos]],cálculos!$N$3:$Q$33,4,FALSE),"")</f>
        <v/>
      </c>
      <c r="G8" s="7">
        <f>IFERROR(VLOOKUP(Tabla4[[#This Row],[Produtos]],cálculos!$N$3:$Q$33,3,FALSE),0)</f>
        <v>0</v>
      </c>
      <c r="H8" s="7">
        <f>Tabla4[[#This Row],[Quantidade]]*Tabla4[[#This Row],[Preço Unitário]]</f>
        <v>0</v>
      </c>
      <c r="I8" s="30"/>
      <c r="K8" s="7">
        <f>IFERROR(VLOOKUP(Tabla4[[#This Row],[Entrega]],cálculos!$C$3:$D$7,2,FALSE),0)</f>
        <v>0</v>
      </c>
      <c r="L8" s="7">
        <f>Tabla4[[#This Row],[Subtotal]]*(1-Tabla4[[#This Row],[Desconto]])+Tabla4[[#This Row],[Valor de Entrega]]</f>
        <v>0</v>
      </c>
      <c r="M8" s="7" t="str">
        <f>IF(Tabla4[[#This Row],[ID da Venda]]=B11,"",SUMIF(Tabla4[ID da Venda],Tabla4[[#This Row],[ID da Venda]],Tabla4[Total]))</f>
        <v/>
      </c>
    </row>
    <row r="9" spans="2:13" x14ac:dyDescent="0.3">
      <c r="C9" s="13"/>
      <c r="E9" t="str">
        <f>IFERROR(VLOOKUP(Tabla4[[#This Row],[Produtos]],cálculos!$N$3:$Q$33,4,FALSE),"")</f>
        <v/>
      </c>
      <c r="G9" s="7">
        <f>IFERROR(VLOOKUP(Tabla4[[#This Row],[Produtos]],cálculos!$N$3:$Q$33,3,FALSE),0)</f>
        <v>0</v>
      </c>
      <c r="H9" s="7">
        <f>Tabla4[[#This Row],[Quantidade]]*Tabla4[[#This Row],[Preço Unitário]]</f>
        <v>0</v>
      </c>
      <c r="I9" s="30"/>
      <c r="K9" s="7">
        <f>IFERROR(VLOOKUP(Tabla4[[#This Row],[Entrega]],cálculos!$C$3:$D$7,2,FALSE),0)</f>
        <v>0</v>
      </c>
      <c r="L9" s="7">
        <f>Tabla4[[#This Row],[Subtotal]]*(1-Tabla4[[#This Row],[Desconto]])+Tabla4[[#This Row],[Valor de Entrega]]</f>
        <v>0</v>
      </c>
      <c r="M9" s="7" t="str">
        <f>IF(Tabla4[[#This Row],[ID da Venda]]=B12,"",SUMIF(Tabla4[ID da Venda],Tabla4[[#This Row],[ID da Venda]],Tabla4[Total]))</f>
        <v/>
      </c>
    </row>
    <row r="10" spans="2:13" x14ac:dyDescent="0.3">
      <c r="C10" s="13"/>
      <c r="E10" t="str">
        <f>IFERROR(VLOOKUP(Tabla4[[#This Row],[Produtos]],cálculos!$N$3:$Q$33,4,FALSE),"")</f>
        <v/>
      </c>
      <c r="G10" s="7">
        <f>IFERROR(VLOOKUP(Tabla4[[#This Row],[Produtos]],cálculos!$N$3:$Q$33,3,FALSE),0)</f>
        <v>0</v>
      </c>
      <c r="H10" s="7">
        <f>Tabla4[[#This Row],[Quantidade]]*Tabla4[[#This Row],[Preço Unitário]]</f>
        <v>0</v>
      </c>
      <c r="I10" s="30"/>
      <c r="K10" s="7">
        <f>IFERROR(VLOOKUP(Tabla4[[#This Row],[Entrega]],cálculos!$C$3:$D$7,2,FALSE),0)</f>
        <v>0</v>
      </c>
      <c r="L10" s="7">
        <f>Tabla4[[#This Row],[Subtotal]]*(1-Tabla4[[#This Row],[Desconto]])+Tabla4[[#This Row],[Valor de Entrega]]</f>
        <v>0</v>
      </c>
      <c r="M10" s="7" t="str">
        <f>IF(Tabla4[[#This Row],[ID da Venda]]=B13,"",SUMIF(Tabla4[ID da Venda],Tabla4[[#This Row],[ID da Venda]],Tabla4[Total]))</f>
        <v/>
      </c>
    </row>
    <row r="11" spans="2:13" x14ac:dyDescent="0.3">
      <c r="C11" s="13"/>
      <c r="E11" t="str">
        <f>IFERROR(VLOOKUP(Tabla4[[#This Row],[Produtos]],cálculos!$N$3:$Q$33,4,FALSE),"")</f>
        <v/>
      </c>
      <c r="G11" s="7">
        <f>IFERROR(VLOOKUP(Tabla4[[#This Row],[Produtos]],cálculos!$N$3:$Q$33,3,FALSE),0)</f>
        <v>0</v>
      </c>
      <c r="H11" s="7">
        <f>Tabla4[[#This Row],[Quantidade]]*Tabla4[[#This Row],[Preço Unitário]]</f>
        <v>0</v>
      </c>
      <c r="I11" s="30"/>
      <c r="K11" s="7">
        <f>IFERROR(VLOOKUP(Tabla4[[#This Row],[Entrega]],cálculos!$C$3:$D$7,2,FALSE),0)</f>
        <v>0</v>
      </c>
      <c r="L11" s="7">
        <f>Tabla4[[#This Row],[Subtotal]]*(1-Tabla4[[#This Row],[Desconto]])+Tabla4[[#This Row],[Valor de Entrega]]</f>
        <v>0</v>
      </c>
      <c r="M11" s="7" t="str">
        <f>IF(Tabla4[[#This Row],[ID da Venda]]=B14,"",SUMIF(Tabla4[ID da Venda],Tabla4[[#This Row],[ID da Venda]],Tabla4[Total]))</f>
        <v/>
      </c>
    </row>
    <row r="12" spans="2:13" x14ac:dyDescent="0.3">
      <c r="C12" s="13"/>
      <c r="E12" t="str">
        <f>IFERROR(VLOOKUP(Tabla4[[#This Row],[Produtos]],cálculos!$N$3:$Q$33,4,FALSE),"")</f>
        <v/>
      </c>
      <c r="G12" s="7">
        <f>IFERROR(VLOOKUP(Tabla4[[#This Row],[Produtos]],cálculos!$N$3:$Q$33,3,FALSE),0)</f>
        <v>0</v>
      </c>
      <c r="H12" s="7">
        <f>Tabla4[[#This Row],[Quantidade]]*Tabla4[[#This Row],[Preço Unitário]]</f>
        <v>0</v>
      </c>
      <c r="I12" s="30"/>
      <c r="K12" s="7">
        <f>IFERROR(VLOOKUP(Tabla4[[#This Row],[Entrega]],cálculos!$C$3:$D$7,2,FALSE),0)</f>
        <v>0</v>
      </c>
      <c r="L12" s="7">
        <f>Tabla4[[#This Row],[Subtotal]]*(1-Tabla4[[#This Row],[Desconto]])+Tabla4[[#This Row],[Valor de Entrega]]</f>
        <v>0</v>
      </c>
      <c r="M12" s="7" t="str">
        <f>IF(Tabla4[[#This Row],[ID da Venda]]=B15,"",SUMIF(Tabla4[ID da Venda],Tabla4[[#This Row],[ID da Venda]],Tabla4[Total]))</f>
        <v/>
      </c>
    </row>
    <row r="13" spans="2:13" x14ac:dyDescent="0.3">
      <c r="C13" s="13"/>
      <c r="E13" t="str">
        <f>IFERROR(VLOOKUP(Tabla4[[#This Row],[Produtos]],cálculos!$N$3:$Q$33,4,FALSE),"")</f>
        <v/>
      </c>
      <c r="G13" s="7">
        <f>IFERROR(VLOOKUP(Tabla4[[#This Row],[Produtos]],cálculos!$N$3:$Q$33,3,FALSE),0)</f>
        <v>0</v>
      </c>
      <c r="H13" s="7">
        <f>Tabla4[[#This Row],[Quantidade]]*Tabla4[[#This Row],[Preço Unitário]]</f>
        <v>0</v>
      </c>
      <c r="I13" s="30"/>
      <c r="K13" s="7">
        <f>IFERROR(VLOOKUP(Tabla4[[#This Row],[Entrega]],cálculos!$C$3:$D$7,2,FALSE),0)</f>
        <v>0</v>
      </c>
      <c r="L13" s="7">
        <f>Tabla4[[#This Row],[Subtotal]]*(1-Tabla4[[#This Row],[Desconto]])+Tabla4[[#This Row],[Valor de Entrega]]</f>
        <v>0</v>
      </c>
      <c r="M13" s="7" t="str">
        <f>IF(Tabla4[[#This Row],[ID da Venda]]=B16,"",SUMIF(Tabla4[ID da Venda],Tabla4[[#This Row],[ID da Venda]],Tabla4[Total]))</f>
        <v/>
      </c>
    </row>
    <row r="14" spans="2:13" x14ac:dyDescent="0.3">
      <c r="C14" s="13"/>
      <c r="E14" t="str">
        <f>IFERROR(VLOOKUP(Tabla4[[#This Row],[Produtos]],cálculos!$N$3:$Q$33,4,FALSE),"")</f>
        <v/>
      </c>
      <c r="G14" s="7">
        <f>IFERROR(VLOOKUP(Tabla4[[#This Row],[Produtos]],cálculos!$N$3:$Q$33,3,FALSE),0)</f>
        <v>0</v>
      </c>
      <c r="H14" s="7">
        <f>Tabla4[[#This Row],[Quantidade]]*Tabla4[[#This Row],[Preço Unitário]]</f>
        <v>0</v>
      </c>
      <c r="I14" s="30"/>
      <c r="K14" s="7">
        <f>IFERROR(VLOOKUP(Tabla4[[#This Row],[Entrega]],cálculos!$C$3:$D$7,2,FALSE),0)</f>
        <v>0</v>
      </c>
      <c r="L14" s="7">
        <f>Tabla4[[#This Row],[Subtotal]]*(1-Tabla4[[#This Row],[Desconto]])+Tabla4[[#This Row],[Valor de Entrega]]</f>
        <v>0</v>
      </c>
      <c r="M14" s="7" t="str">
        <f>IF(Tabla4[[#This Row],[ID da Venda]]=B17,"",SUMIF(Tabla4[ID da Venda],Tabla4[[#This Row],[ID da Venda]],Tabla4[Total]))</f>
        <v/>
      </c>
    </row>
    <row r="15" spans="2:13" x14ac:dyDescent="0.3">
      <c r="C15" s="13"/>
      <c r="E15" t="str">
        <f>IFERROR(VLOOKUP(Tabla4[[#This Row],[Produtos]],cálculos!$N$3:$Q$33,4,FALSE),"")</f>
        <v/>
      </c>
      <c r="G15" s="7">
        <f>IFERROR(VLOOKUP(Tabla4[[#This Row],[Produtos]],cálculos!$N$3:$Q$33,3,FALSE),0)</f>
        <v>0</v>
      </c>
      <c r="H15" s="7">
        <f>Tabla4[[#This Row],[Quantidade]]*Tabla4[[#This Row],[Preço Unitário]]</f>
        <v>0</v>
      </c>
      <c r="I15" s="30"/>
      <c r="K15" s="7">
        <f>IFERROR(VLOOKUP(Tabla4[[#This Row],[Entrega]],cálculos!$C$3:$D$7,2,FALSE),0)</f>
        <v>0</v>
      </c>
      <c r="L15" s="7">
        <f>Tabla4[[#This Row],[Subtotal]]*(1-Tabla4[[#This Row],[Desconto]])+Tabla4[[#This Row],[Valor de Entrega]]</f>
        <v>0</v>
      </c>
      <c r="M15" s="7" t="str">
        <f>IF(Tabla4[[#This Row],[ID da Venda]]=B18,"",SUMIF(Tabla4[ID da Venda],Tabla4[[#This Row],[ID da Venda]],Tabla4[Total]))</f>
        <v/>
      </c>
    </row>
    <row r="16" spans="2:13" x14ac:dyDescent="0.3">
      <c r="C16" s="13"/>
      <c r="E16" t="str">
        <f>IFERROR(VLOOKUP(Tabla4[[#This Row],[Produtos]],cálculos!$N$3:$Q$33,4,FALSE),"")</f>
        <v/>
      </c>
      <c r="G16" s="7">
        <f>IFERROR(VLOOKUP(Tabla4[[#This Row],[Produtos]],cálculos!$N$3:$Q$33,3,FALSE),0)</f>
        <v>0</v>
      </c>
      <c r="H16" s="7">
        <f>Tabla4[[#This Row],[Quantidade]]*Tabla4[[#This Row],[Preço Unitário]]</f>
        <v>0</v>
      </c>
      <c r="I16" s="30"/>
      <c r="K16" s="7">
        <f>IFERROR(VLOOKUP(Tabla4[[#This Row],[Entrega]],cálculos!$C$3:$D$7,2,FALSE),0)</f>
        <v>0</v>
      </c>
      <c r="L16" s="7">
        <f>Tabla4[[#This Row],[Subtotal]]*(1-Tabla4[[#This Row],[Desconto]])+Tabla4[[#This Row],[Valor de Entrega]]</f>
        <v>0</v>
      </c>
      <c r="M16" s="7">
        <f>IF(Tabla4[[#This Row],[ID da Venda]]=B19,"",SUMIF(Tabla4[ID da Venda],Tabla4[[#This Row],[ID da Venda]],Tabla4[Total]))</f>
        <v>0</v>
      </c>
    </row>
    <row r="19" spans="2:13" ht="18" x14ac:dyDescent="0.35">
      <c r="B19" s="34" t="s">
        <v>120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62">
        <f>SUM(Tabla4[Total])</f>
        <v>1604.99</v>
      </c>
    </row>
    <row r="20" spans="2:13" ht="18" x14ac:dyDescent="0.35">
      <c r="B20" s="56" t="s">
        <v>121</v>
      </c>
      <c r="C20" s="57"/>
      <c r="D20" s="56"/>
      <c r="E20" s="57"/>
      <c r="F20" s="56"/>
      <c r="G20" s="57"/>
      <c r="H20" s="56"/>
      <c r="I20" s="57"/>
      <c r="J20" s="56"/>
      <c r="K20" s="57"/>
      <c r="L20" s="56"/>
      <c r="M20" s="63">
        <f>SUM(Tabla4[Valor de Entrega])</f>
        <v>13</v>
      </c>
    </row>
    <row r="21" spans="2:13" ht="18" x14ac:dyDescent="0.35">
      <c r="B21" s="32" t="s">
        <v>138</v>
      </c>
      <c r="C21" s="33"/>
      <c r="D21" s="32"/>
      <c r="E21" s="33"/>
      <c r="F21" s="32"/>
      <c r="G21" s="33"/>
      <c r="H21" s="32"/>
      <c r="I21" s="33"/>
      <c r="J21" s="32"/>
      <c r="K21" s="33"/>
      <c r="L21" s="32"/>
      <c r="M21" s="75">
        <f>SUM(IF(FREQUENCY(Tabla4[ID da Venda],Tabla4[ID da Venda])&gt;0,1,0))</f>
        <v>2</v>
      </c>
    </row>
  </sheetData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cálculos!$N$3:$N$26</xm:f>
          </x14:formula1>
          <xm:sqref>D5:D16</xm:sqref>
        </x14:dataValidation>
        <x14:dataValidation type="list" allowBlank="1" showInputMessage="1" showErrorMessage="1">
          <x14:formula1>
            <xm:f>cálculos!$C$3:$C$7</xm:f>
          </x14:formula1>
          <xm:sqref>J5:J16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H10"/>
  <sheetViews>
    <sheetView workbookViewId="0">
      <selection activeCell="G16" sqref="G16"/>
    </sheetView>
  </sheetViews>
  <sheetFormatPr baseColWidth="10" defaultRowHeight="14.4" x14ac:dyDescent="0.3"/>
  <cols>
    <col min="1" max="1" width="16.5546875" bestFit="1" customWidth="1"/>
    <col min="2" max="2" width="20" bestFit="1" customWidth="1"/>
    <col min="3" max="3" width="13" bestFit="1" customWidth="1"/>
    <col min="6" max="6" width="16.5546875" bestFit="1" customWidth="1"/>
    <col min="7" max="7" width="22.88671875" bestFit="1" customWidth="1"/>
    <col min="8" max="8" width="13" bestFit="1" customWidth="1"/>
  </cols>
  <sheetData>
    <row r="3" spans="1:8" x14ac:dyDescent="0.3">
      <c r="A3" s="76" t="s">
        <v>155</v>
      </c>
      <c r="B3" t="s">
        <v>158</v>
      </c>
      <c r="C3" t="s">
        <v>159</v>
      </c>
      <c r="F3" s="76" t="s">
        <v>155</v>
      </c>
      <c r="G3" t="s">
        <v>160</v>
      </c>
      <c r="H3" t="s">
        <v>159</v>
      </c>
    </row>
    <row r="4" spans="1:8" x14ac:dyDescent="0.3">
      <c r="A4" s="77">
        <v>42187</v>
      </c>
      <c r="B4" s="35">
        <v>1</v>
      </c>
      <c r="C4" s="80">
        <v>8.49</v>
      </c>
      <c r="F4" s="78" t="s">
        <v>80</v>
      </c>
      <c r="G4" s="80">
        <v>6.5</v>
      </c>
      <c r="H4" s="80">
        <v>8.49</v>
      </c>
    </row>
    <row r="5" spans="1:8" x14ac:dyDescent="0.3">
      <c r="A5" s="79" t="s">
        <v>33</v>
      </c>
      <c r="B5" s="35">
        <v>1</v>
      </c>
      <c r="C5" s="80">
        <v>8.49</v>
      </c>
      <c r="F5" s="79">
        <v>1</v>
      </c>
      <c r="G5" s="80">
        <v>6.5</v>
      </c>
      <c r="H5" s="80">
        <v>8.49</v>
      </c>
    </row>
    <row r="6" spans="1:8" x14ac:dyDescent="0.3">
      <c r="A6" s="77">
        <v>43223</v>
      </c>
      <c r="B6" s="35">
        <v>1</v>
      </c>
      <c r="C6" s="80">
        <v>1596.5</v>
      </c>
      <c r="F6" s="78" t="s">
        <v>82</v>
      </c>
      <c r="G6" s="80">
        <v>6.5</v>
      </c>
      <c r="H6" s="80">
        <v>1596.5</v>
      </c>
    </row>
    <row r="7" spans="1:8" x14ac:dyDescent="0.3">
      <c r="A7" s="79" t="s">
        <v>20</v>
      </c>
      <c r="B7" s="35">
        <v>1</v>
      </c>
      <c r="C7" s="80">
        <v>1596.5</v>
      </c>
      <c r="F7" s="79">
        <v>100</v>
      </c>
      <c r="G7" s="80">
        <v>6.5</v>
      </c>
      <c r="H7" s="80">
        <v>1596.5</v>
      </c>
    </row>
    <row r="8" spans="1:8" x14ac:dyDescent="0.3">
      <c r="A8" s="78" t="s">
        <v>156</v>
      </c>
      <c r="B8" s="35"/>
      <c r="C8" s="80">
        <v>0</v>
      </c>
      <c r="F8" s="78" t="s">
        <v>156</v>
      </c>
      <c r="G8" s="80">
        <v>0</v>
      </c>
      <c r="H8" s="80">
        <v>0</v>
      </c>
    </row>
    <row r="9" spans="1:8" x14ac:dyDescent="0.3">
      <c r="A9" s="79" t="s">
        <v>156</v>
      </c>
      <c r="B9" s="35"/>
      <c r="C9" s="80">
        <v>0</v>
      </c>
      <c r="F9" s="79" t="s">
        <v>156</v>
      </c>
      <c r="G9" s="80">
        <v>0</v>
      </c>
      <c r="H9" s="80">
        <v>0</v>
      </c>
    </row>
    <row r="10" spans="1:8" x14ac:dyDescent="0.3">
      <c r="A10" s="78" t="s">
        <v>157</v>
      </c>
      <c r="B10" s="35">
        <v>2</v>
      </c>
      <c r="C10" s="80">
        <v>1604.99</v>
      </c>
      <c r="F10" s="78" t="s">
        <v>157</v>
      </c>
      <c r="G10" s="80">
        <v>13</v>
      </c>
      <c r="H10" s="80">
        <v>1604.99</v>
      </c>
    </row>
  </sheetData>
  <pageMargins left="0.7" right="0.7" top="0.75" bottom="0.75" header="0.3" footer="0.3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1:M21"/>
  <sheetViews>
    <sheetView showGridLines="0" workbookViewId="0"/>
  </sheetViews>
  <sheetFormatPr baseColWidth="10" defaultRowHeight="14.4" x14ac:dyDescent="0.3"/>
  <cols>
    <col min="1" max="1" width="34" customWidth="1"/>
    <col min="2" max="2" width="28.77734375" bestFit="1" customWidth="1"/>
    <col min="3" max="3" width="10.5546875" bestFit="1" customWidth="1"/>
    <col min="4" max="4" width="10.88671875" bestFit="1" customWidth="1"/>
    <col min="5" max="5" width="9.6640625" bestFit="1" customWidth="1"/>
    <col min="6" max="6" width="13.109375" bestFit="1" customWidth="1"/>
    <col min="7" max="7" width="15.21875" bestFit="1" customWidth="1"/>
    <col min="8" max="8" width="10.33203125" bestFit="1" customWidth="1"/>
    <col min="9" max="9" width="11.109375" bestFit="1" customWidth="1"/>
    <col min="10" max="10" width="9.6640625" bestFit="1" customWidth="1"/>
    <col min="11" max="11" width="17.109375" bestFit="1" customWidth="1"/>
    <col min="12" max="12" width="11" customWidth="1"/>
    <col min="13" max="13" width="17.88671875" bestFit="1" customWidth="1"/>
  </cols>
  <sheetData>
    <row r="1" spans="2:13" s="25" customFormat="1" x14ac:dyDescent="0.3"/>
    <row r="2" spans="2:13" s="25" customFormat="1" ht="28.05" customHeight="1" x14ac:dyDescent="0.3">
      <c r="B2" s="26" t="s">
        <v>124</v>
      </c>
      <c r="C2" s="27"/>
    </row>
    <row r="3" spans="2:13" ht="38.4" customHeight="1" x14ac:dyDescent="0.3"/>
    <row r="4" spans="2:13" x14ac:dyDescent="0.3">
      <c r="B4" t="s">
        <v>113</v>
      </c>
      <c r="C4" t="s">
        <v>40</v>
      </c>
      <c r="D4" t="s">
        <v>62</v>
      </c>
      <c r="E4" t="s">
        <v>65</v>
      </c>
      <c r="F4" t="s">
        <v>58</v>
      </c>
      <c r="G4" t="s">
        <v>59</v>
      </c>
      <c r="H4" t="s">
        <v>114</v>
      </c>
      <c r="I4" t="s">
        <v>60</v>
      </c>
      <c r="J4" t="s">
        <v>115</v>
      </c>
      <c r="K4" t="s">
        <v>116</v>
      </c>
      <c r="L4" t="s">
        <v>117</v>
      </c>
      <c r="M4" t="s">
        <v>118</v>
      </c>
    </row>
    <row r="5" spans="2:13" x14ac:dyDescent="0.3">
      <c r="B5">
        <v>101</v>
      </c>
      <c r="C5" s="13">
        <v>43223</v>
      </c>
      <c r="D5" t="s">
        <v>22</v>
      </c>
      <c r="E5" s="35" t="str">
        <f>IFERROR(VLOOKUP(Tabla47[[#This Row],[Produtos]],cálculos!$N$3:$Q$33,4,FALSE),"")</f>
        <v>Kg</v>
      </c>
      <c r="F5">
        <v>20</v>
      </c>
      <c r="G5" s="7">
        <f>IFERROR(VLOOKUP(Tabla47[[#This Row],[Produtos]],cálculos!$N$3:$Q$33,3,FALSE),0)</f>
        <v>23.9</v>
      </c>
      <c r="H5" s="7">
        <f>Tabla47[[#This Row],[Quantidade]]*Tabla47[[#This Row],[Preço Unitário]]</f>
        <v>478</v>
      </c>
      <c r="I5" s="12">
        <v>0.03</v>
      </c>
      <c r="K5" s="7">
        <f>IFERROR(VLOOKUP(Tabla47[[#This Row],[Entrega]],cálculos!$C$3:$D$7,2,FALSE),0)</f>
        <v>0</v>
      </c>
      <c r="L5" s="7">
        <f>Tabla47[[#This Row],[Subtotal]]*(1-Tabla47[[#This Row],[Desconto]])+Tabla47[[#This Row],[Valor de Entrega]]</f>
        <v>463.65999999999997</v>
      </c>
      <c r="M5" s="7">
        <f>IF(Tabla47[[#This Row],[ID da Venda]]=B6,"",SUMIF(Tabla47[ID da Venda],Tabla47[[#This Row],[ID da Venda]],Tabla47[Total]))</f>
        <v>463.65999999999997</v>
      </c>
    </row>
    <row r="6" spans="2:13" x14ac:dyDescent="0.3">
      <c r="B6">
        <v>100</v>
      </c>
      <c r="C6" s="13" t="s">
        <v>125</v>
      </c>
      <c r="D6" t="s">
        <v>30</v>
      </c>
      <c r="E6" t="str">
        <f>IFERROR(VLOOKUP(Tabla47[[#This Row],[Produtos]],cálculos!$N$3:$Q$33,4,FALSE),"")</f>
        <v>Garrafa</v>
      </c>
      <c r="F6">
        <v>1</v>
      </c>
      <c r="G6" s="7">
        <f>IFERROR(VLOOKUP(Tabla47[[#This Row],[Produtos]],cálculos!$N$3:$Q$33,3,FALSE),0)</f>
        <v>54.9</v>
      </c>
      <c r="H6" s="7">
        <f>Tabla47[[#This Row],[Quantidade]]*Tabla47[[#This Row],[Preço Unitário]]</f>
        <v>54.9</v>
      </c>
      <c r="I6" s="31"/>
      <c r="J6" t="s">
        <v>81</v>
      </c>
      <c r="K6" s="7">
        <f>IFERROR(VLOOKUP(Tabla47[[#This Row],[Entrega]],cálculos!$C$3:$D$7,2,FALSE),0)</f>
        <v>8</v>
      </c>
      <c r="L6" s="7">
        <f>Tabla47[[#This Row],[Subtotal]]*(1-Tabla47[[#This Row],[Desconto]])+Tabla47[[#This Row],[Valor de Entrega]]</f>
        <v>62.9</v>
      </c>
      <c r="M6" s="7">
        <f>IF(Tabla47[[#This Row],[ID da Venda]]=B7,"",SUMIF(Tabla47[ID da Venda],Tabla47[[#This Row],[ID da Venda]],Tabla47[Total]))</f>
        <v>62.9</v>
      </c>
    </row>
    <row r="7" spans="2:13" x14ac:dyDescent="0.3">
      <c r="C7" s="13"/>
      <c r="E7" t="str">
        <f>IFERROR(VLOOKUP(Tabla47[[#This Row],[Produtos]],cálculos!$N$3:$Q$33,4,FALSE),"")</f>
        <v/>
      </c>
      <c r="G7" s="7">
        <f>IFERROR(VLOOKUP(Tabla47[[#This Row],[Produtos]],cálculos!$N$3:$Q$33,3,FALSE),0)</f>
        <v>0</v>
      </c>
      <c r="H7" s="7">
        <f>Tabla47[[#This Row],[Quantidade]]*Tabla47[[#This Row],[Preço Unitário]]</f>
        <v>0</v>
      </c>
      <c r="I7" s="30"/>
      <c r="K7" s="7">
        <f>IFERROR(VLOOKUP(Tabla47[[#This Row],[Entrega]],cálculos!$C$3:$D$7,2,FALSE),0)</f>
        <v>0</v>
      </c>
      <c r="L7" s="7">
        <f>Tabla47[[#This Row],[Subtotal]]*(1-Tabla47[[#This Row],[Desconto]])+Tabla47[[#This Row],[Valor de Entrega]]</f>
        <v>0</v>
      </c>
      <c r="M7" s="7" t="str">
        <f>IF(Tabla47[[#This Row],[ID da Venda]]=B8,"",SUMIF(Tabla47[ID da Venda],Tabla47[[#This Row],[ID da Venda]],Tabla47[Total]))</f>
        <v/>
      </c>
    </row>
    <row r="8" spans="2:13" x14ac:dyDescent="0.3">
      <c r="C8" s="13"/>
      <c r="E8" t="str">
        <f>IFERROR(VLOOKUP(Tabla47[[#This Row],[Produtos]],cálculos!$N$3:$Q$33,4,FALSE),"")</f>
        <v/>
      </c>
      <c r="G8" s="7">
        <f>IFERROR(VLOOKUP(Tabla47[[#This Row],[Produtos]],cálculos!$N$3:$Q$33,3,FALSE),0)</f>
        <v>0</v>
      </c>
      <c r="H8" s="7">
        <f>Tabla47[[#This Row],[Quantidade]]*Tabla47[[#This Row],[Preço Unitário]]</f>
        <v>0</v>
      </c>
      <c r="I8" s="30"/>
      <c r="K8" s="7">
        <f>IFERROR(VLOOKUP(Tabla47[[#This Row],[Entrega]],cálculos!$C$3:$D$7,2,FALSE),0)</f>
        <v>0</v>
      </c>
      <c r="L8" s="7">
        <f>Tabla47[[#This Row],[Subtotal]]*(1-Tabla47[[#This Row],[Desconto]])+Tabla47[[#This Row],[Valor de Entrega]]</f>
        <v>0</v>
      </c>
      <c r="M8" s="7" t="str">
        <f>IF(Tabla47[[#This Row],[ID da Venda]]=B9,"",SUMIF(Tabla47[ID da Venda],Tabla47[[#This Row],[ID da Venda]],Tabla47[Total]))</f>
        <v/>
      </c>
    </row>
    <row r="9" spans="2:13" x14ac:dyDescent="0.3">
      <c r="C9" s="13"/>
      <c r="E9" t="str">
        <f>IFERROR(VLOOKUP(Tabla47[[#This Row],[Produtos]],cálculos!$N$3:$Q$33,4,FALSE),"")</f>
        <v/>
      </c>
      <c r="G9" s="7">
        <f>IFERROR(VLOOKUP(Tabla47[[#This Row],[Produtos]],cálculos!$N$3:$Q$33,3,FALSE),0)</f>
        <v>0</v>
      </c>
      <c r="H9" s="7">
        <f>Tabla47[[#This Row],[Quantidade]]*Tabla47[[#This Row],[Preço Unitário]]</f>
        <v>0</v>
      </c>
      <c r="I9" s="30"/>
      <c r="K9" s="7">
        <f>IFERROR(VLOOKUP(Tabla47[[#This Row],[Entrega]],cálculos!$C$3:$D$7,2,FALSE),0)</f>
        <v>0</v>
      </c>
      <c r="L9" s="7">
        <f>Tabla47[[#This Row],[Subtotal]]*(1-Tabla47[[#This Row],[Desconto]])+Tabla47[[#This Row],[Valor de Entrega]]</f>
        <v>0</v>
      </c>
      <c r="M9" s="7" t="str">
        <f>IF(Tabla47[[#This Row],[ID da Venda]]=B10,"",SUMIF(Tabla47[ID da Venda],Tabla47[[#This Row],[ID da Venda]],Tabla47[Total]))</f>
        <v/>
      </c>
    </row>
    <row r="10" spans="2:13" x14ac:dyDescent="0.3">
      <c r="C10" s="13"/>
      <c r="E10" t="str">
        <f>IFERROR(VLOOKUP(Tabla47[[#This Row],[Produtos]],cálculos!$N$3:$Q$33,4,FALSE),"")</f>
        <v/>
      </c>
      <c r="G10" s="7">
        <f>IFERROR(VLOOKUP(Tabla47[[#This Row],[Produtos]],cálculos!$N$3:$Q$33,3,FALSE),0)</f>
        <v>0</v>
      </c>
      <c r="H10" s="7">
        <f>Tabla47[[#This Row],[Quantidade]]*Tabla47[[#This Row],[Preço Unitário]]</f>
        <v>0</v>
      </c>
      <c r="I10" s="30"/>
      <c r="K10" s="7">
        <f>IFERROR(VLOOKUP(Tabla47[[#This Row],[Entrega]],cálculos!$C$3:$D$7,2,FALSE),0)</f>
        <v>0</v>
      </c>
      <c r="L10" s="7">
        <f>Tabla47[[#This Row],[Subtotal]]*(1-Tabla47[[#This Row],[Desconto]])+Tabla47[[#This Row],[Valor de Entrega]]</f>
        <v>0</v>
      </c>
      <c r="M10" s="7" t="str">
        <f>IF(Tabla47[[#This Row],[ID da Venda]]=B11,"",SUMIF(Tabla47[ID da Venda],Tabla47[[#This Row],[ID da Venda]],Tabla47[Total]))</f>
        <v/>
      </c>
    </row>
    <row r="11" spans="2:13" x14ac:dyDescent="0.3">
      <c r="C11" s="13"/>
      <c r="E11" t="str">
        <f>IFERROR(VLOOKUP(Tabla47[[#This Row],[Produtos]],cálculos!$N$3:$Q$33,4,FALSE),"")</f>
        <v/>
      </c>
      <c r="G11" s="7">
        <f>IFERROR(VLOOKUP(Tabla47[[#This Row],[Produtos]],cálculos!$N$3:$Q$33,3,FALSE),0)</f>
        <v>0</v>
      </c>
      <c r="H11" s="7">
        <f>Tabla47[[#This Row],[Quantidade]]*Tabla47[[#This Row],[Preço Unitário]]</f>
        <v>0</v>
      </c>
      <c r="I11" s="30"/>
      <c r="K11" s="7">
        <f>IFERROR(VLOOKUP(Tabla47[[#This Row],[Entrega]],cálculos!$C$3:$D$7,2,FALSE),0)</f>
        <v>0</v>
      </c>
      <c r="L11" s="7">
        <f>Tabla47[[#This Row],[Subtotal]]*(1-Tabla47[[#This Row],[Desconto]])+Tabla47[[#This Row],[Valor de Entrega]]</f>
        <v>0</v>
      </c>
      <c r="M11" s="7" t="str">
        <f>IF(Tabla47[[#This Row],[ID da Venda]]=B12,"",SUMIF(Tabla47[ID da Venda],Tabla47[[#This Row],[ID da Venda]],Tabla47[Total]))</f>
        <v/>
      </c>
    </row>
    <row r="12" spans="2:13" x14ac:dyDescent="0.3">
      <c r="C12" s="13"/>
      <c r="E12" t="str">
        <f>IFERROR(VLOOKUP(Tabla47[[#This Row],[Produtos]],cálculos!$N$3:$Q$33,4,FALSE),"")</f>
        <v/>
      </c>
      <c r="G12" s="7">
        <f>IFERROR(VLOOKUP(Tabla47[[#This Row],[Produtos]],cálculos!$N$3:$Q$33,3,FALSE),0)</f>
        <v>0</v>
      </c>
      <c r="H12" s="7">
        <f>Tabla47[[#This Row],[Quantidade]]*Tabla47[[#This Row],[Preço Unitário]]</f>
        <v>0</v>
      </c>
      <c r="I12" s="30"/>
      <c r="K12" s="7">
        <f>IFERROR(VLOOKUP(Tabla47[[#This Row],[Entrega]],cálculos!$C$3:$D$7,2,FALSE),0)</f>
        <v>0</v>
      </c>
      <c r="L12" s="7">
        <f>Tabla47[[#This Row],[Subtotal]]*(1-Tabla47[[#This Row],[Desconto]])+Tabla47[[#This Row],[Valor de Entrega]]</f>
        <v>0</v>
      </c>
      <c r="M12" s="7" t="str">
        <f>IF(Tabla47[[#This Row],[ID da Venda]]=B13,"",SUMIF(Tabla47[ID da Venda],Tabla47[[#This Row],[ID da Venda]],Tabla47[Total]))</f>
        <v/>
      </c>
    </row>
    <row r="13" spans="2:13" x14ac:dyDescent="0.3">
      <c r="C13" s="13"/>
      <c r="E13" t="str">
        <f>IFERROR(VLOOKUP(Tabla47[[#This Row],[Produtos]],cálculos!$N$3:$Q$33,4,FALSE),"")</f>
        <v/>
      </c>
      <c r="G13" s="7">
        <f>IFERROR(VLOOKUP(Tabla47[[#This Row],[Produtos]],cálculos!$N$3:$Q$33,3,FALSE),0)</f>
        <v>0</v>
      </c>
      <c r="H13" s="7">
        <f>Tabla47[[#This Row],[Quantidade]]*Tabla47[[#This Row],[Preço Unitário]]</f>
        <v>0</v>
      </c>
      <c r="I13" s="30"/>
      <c r="K13" s="7">
        <f>IFERROR(VLOOKUP(Tabla47[[#This Row],[Entrega]],cálculos!$C$3:$D$7,2,FALSE),0)</f>
        <v>0</v>
      </c>
      <c r="L13" s="7">
        <f>Tabla47[[#This Row],[Subtotal]]*(1-Tabla47[[#This Row],[Desconto]])+Tabla47[[#This Row],[Valor de Entrega]]</f>
        <v>0</v>
      </c>
      <c r="M13" s="7" t="str">
        <f>IF(Tabla47[[#This Row],[ID da Venda]]=B14,"",SUMIF(Tabla47[ID da Venda],Tabla47[[#This Row],[ID da Venda]],Tabla47[Total]))</f>
        <v/>
      </c>
    </row>
    <row r="14" spans="2:13" x14ac:dyDescent="0.3">
      <c r="C14" s="13"/>
      <c r="E14" t="str">
        <f>IFERROR(VLOOKUP(Tabla47[[#This Row],[Produtos]],cálculos!$N$3:$Q$33,4,FALSE),"")</f>
        <v/>
      </c>
      <c r="G14" s="7">
        <f>IFERROR(VLOOKUP(Tabla47[[#This Row],[Produtos]],cálculos!$N$3:$Q$33,3,FALSE),0)</f>
        <v>0</v>
      </c>
      <c r="H14" s="7">
        <f>Tabla47[[#This Row],[Quantidade]]*Tabla47[[#This Row],[Preço Unitário]]</f>
        <v>0</v>
      </c>
      <c r="I14" s="30"/>
      <c r="K14" s="7">
        <f>IFERROR(VLOOKUP(Tabla47[[#This Row],[Entrega]],cálculos!$C$3:$D$7,2,FALSE),0)</f>
        <v>0</v>
      </c>
      <c r="L14" s="7">
        <f>Tabla47[[#This Row],[Subtotal]]*(1-Tabla47[[#This Row],[Desconto]])+Tabla47[[#This Row],[Valor de Entrega]]</f>
        <v>0</v>
      </c>
      <c r="M14" s="7" t="str">
        <f>IF(Tabla47[[#This Row],[ID da Venda]]=B15,"",SUMIF(Tabla47[ID da Venda],Tabla47[[#This Row],[ID da Venda]],Tabla47[Total]))</f>
        <v/>
      </c>
    </row>
    <row r="15" spans="2:13" x14ac:dyDescent="0.3">
      <c r="C15" s="13"/>
      <c r="E15" t="str">
        <f>IFERROR(VLOOKUP(Tabla47[[#This Row],[Produtos]],cálculos!$N$3:$Q$33,4,FALSE),"")</f>
        <v/>
      </c>
      <c r="G15" s="7">
        <f>IFERROR(VLOOKUP(Tabla47[[#This Row],[Produtos]],cálculos!$N$3:$Q$33,3,FALSE),0)</f>
        <v>0</v>
      </c>
      <c r="H15" s="7">
        <f>Tabla47[[#This Row],[Quantidade]]*Tabla47[[#This Row],[Preço Unitário]]</f>
        <v>0</v>
      </c>
      <c r="I15" s="30"/>
      <c r="K15" s="7">
        <f>IFERROR(VLOOKUP(Tabla47[[#This Row],[Entrega]],cálculos!$C$3:$D$7,2,FALSE),0)</f>
        <v>0</v>
      </c>
      <c r="L15" s="7">
        <f>Tabla47[[#This Row],[Subtotal]]*(1-Tabla47[[#This Row],[Desconto]])+Tabla47[[#This Row],[Valor de Entrega]]</f>
        <v>0</v>
      </c>
      <c r="M15" s="7" t="str">
        <f>IF(Tabla47[[#This Row],[ID da Venda]]=B16,"",SUMIF(Tabla47[ID da Venda],Tabla47[[#This Row],[ID da Venda]],Tabla47[Total]))</f>
        <v/>
      </c>
    </row>
    <row r="16" spans="2:13" x14ac:dyDescent="0.3">
      <c r="C16" s="13"/>
      <c r="E16" t="str">
        <f>IFERROR(VLOOKUP(Tabla47[[#This Row],[Produtos]],cálculos!$N$3:$Q$33,4,FALSE),"")</f>
        <v/>
      </c>
      <c r="G16" s="7">
        <f>IFERROR(VLOOKUP(Tabla47[[#This Row],[Produtos]],cálculos!$N$3:$Q$33,3,FALSE),0)</f>
        <v>0</v>
      </c>
      <c r="H16" s="7">
        <f>Tabla47[[#This Row],[Quantidade]]*Tabla47[[#This Row],[Preço Unitário]]</f>
        <v>0</v>
      </c>
      <c r="I16" s="30"/>
      <c r="K16" s="7">
        <f>IFERROR(VLOOKUP(Tabla47[[#This Row],[Entrega]],cálculos!$C$3:$D$7,2,FALSE),0)</f>
        <v>0</v>
      </c>
      <c r="L16" s="7">
        <f>Tabla47[[#This Row],[Subtotal]]*(1-Tabla47[[#This Row],[Desconto]])+Tabla47[[#This Row],[Valor de Entrega]]</f>
        <v>0</v>
      </c>
      <c r="M16" s="7" t="str">
        <f>IF(Tabla47[[#This Row],[ID da Venda]]=B17,"",SUMIF(Tabla47[ID da Venda],Tabla47[[#This Row],[ID da Venda]],Tabla47[Total]))</f>
        <v/>
      </c>
    </row>
    <row r="19" spans="2:13" ht="18" x14ac:dyDescent="0.35">
      <c r="B19" s="34" t="s">
        <v>120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62">
        <f>SUM(Tabla47[Total])</f>
        <v>526.55999999999995</v>
      </c>
    </row>
    <row r="20" spans="2:13" ht="18" x14ac:dyDescent="0.35">
      <c r="B20" s="32" t="s">
        <v>121</v>
      </c>
      <c r="C20" s="33"/>
      <c r="D20" s="32"/>
      <c r="E20" s="33"/>
      <c r="F20" s="32"/>
      <c r="G20" s="33"/>
      <c r="H20" s="32"/>
      <c r="I20" s="33"/>
      <c r="J20" s="32"/>
      <c r="K20" s="33"/>
      <c r="L20" s="32"/>
      <c r="M20" s="66">
        <f>SUM(Tabla47[Valor de Entrega])</f>
        <v>8</v>
      </c>
    </row>
    <row r="21" spans="2:13" ht="18" x14ac:dyDescent="0.35">
      <c r="B21" s="58" t="s">
        <v>138</v>
      </c>
      <c r="C21" s="59"/>
      <c r="D21" s="58"/>
      <c r="E21" s="59"/>
      <c r="F21" s="58"/>
      <c r="G21" s="59"/>
      <c r="H21" s="58"/>
      <c r="I21" s="59"/>
      <c r="J21" s="58"/>
      <c r="K21" s="59"/>
      <c r="L21" s="58"/>
      <c r="M21" s="67">
        <f>SUM(IF(FREQUENCY(Tabla47[ID da Venda],Tabla47[ID da Venda])&gt;0,1,0))</f>
        <v>2</v>
      </c>
    </row>
  </sheetData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cálculos!$C$3:$C$7</xm:f>
          </x14:formula1>
          <xm:sqref>J5:J16</xm:sqref>
        </x14:dataValidation>
        <x14:dataValidation type="list" allowBlank="1" showInputMessage="1" showErrorMessage="1">
          <x14:formula1>
            <xm:f>cálculos!$N$3:$N$26</xm:f>
          </x14:formula1>
          <xm:sqref>D5:D16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H10"/>
  <sheetViews>
    <sheetView workbookViewId="0">
      <selection activeCell="G12" sqref="G11:G12"/>
    </sheetView>
  </sheetViews>
  <sheetFormatPr baseColWidth="10" defaultRowHeight="14.4" x14ac:dyDescent="0.3"/>
  <cols>
    <col min="1" max="1" width="16.5546875" bestFit="1" customWidth="1"/>
    <col min="2" max="2" width="20" bestFit="1" customWidth="1"/>
    <col min="3" max="3" width="13" bestFit="1" customWidth="1"/>
    <col min="6" max="6" width="16.5546875" bestFit="1" customWidth="1"/>
    <col min="7" max="7" width="22.88671875" bestFit="1" customWidth="1"/>
    <col min="8" max="8" width="13" bestFit="1" customWidth="1"/>
  </cols>
  <sheetData>
    <row r="3" spans="1:8" x14ac:dyDescent="0.3">
      <c r="A3" s="76" t="s">
        <v>155</v>
      </c>
      <c r="B3" t="s">
        <v>158</v>
      </c>
      <c r="C3" t="s">
        <v>159</v>
      </c>
      <c r="F3" s="76" t="s">
        <v>155</v>
      </c>
      <c r="G3" t="s">
        <v>160</v>
      </c>
      <c r="H3" t="s">
        <v>159</v>
      </c>
    </row>
    <row r="4" spans="1:8" x14ac:dyDescent="0.3">
      <c r="A4" s="77">
        <v>42187</v>
      </c>
      <c r="B4" s="35">
        <v>1</v>
      </c>
      <c r="C4" s="80">
        <v>8.49</v>
      </c>
      <c r="F4" s="78" t="s">
        <v>156</v>
      </c>
      <c r="G4" s="80">
        <v>0</v>
      </c>
      <c r="H4" s="80">
        <v>463.65999999999997</v>
      </c>
    </row>
    <row r="5" spans="1:8" x14ac:dyDescent="0.3">
      <c r="A5" s="79" t="s">
        <v>33</v>
      </c>
      <c r="B5" s="35">
        <v>1</v>
      </c>
      <c r="C5" s="80">
        <v>8.49</v>
      </c>
      <c r="F5" s="79" t="s">
        <v>156</v>
      </c>
      <c r="G5" s="80">
        <v>0</v>
      </c>
      <c r="H5" s="80">
        <v>0</v>
      </c>
    </row>
    <row r="6" spans="1:8" x14ac:dyDescent="0.3">
      <c r="A6" s="77">
        <v>43223</v>
      </c>
      <c r="B6" s="35">
        <v>1</v>
      </c>
      <c r="C6" s="80">
        <v>1596.5</v>
      </c>
      <c r="F6" s="79">
        <v>20</v>
      </c>
      <c r="G6" s="80">
        <v>0</v>
      </c>
      <c r="H6" s="80">
        <v>463.65999999999997</v>
      </c>
    </row>
    <row r="7" spans="1:8" x14ac:dyDescent="0.3">
      <c r="A7" s="79" t="s">
        <v>20</v>
      </c>
      <c r="B7" s="35">
        <v>1</v>
      </c>
      <c r="C7" s="80">
        <v>1596.5</v>
      </c>
      <c r="F7" s="78" t="s">
        <v>81</v>
      </c>
      <c r="G7" s="80">
        <v>8</v>
      </c>
      <c r="H7" s="80">
        <v>62.9</v>
      </c>
    </row>
    <row r="8" spans="1:8" x14ac:dyDescent="0.3">
      <c r="A8" s="78" t="s">
        <v>156</v>
      </c>
      <c r="B8" s="35"/>
      <c r="C8" s="80">
        <v>0</v>
      </c>
      <c r="F8" s="79">
        <v>1</v>
      </c>
      <c r="G8" s="80">
        <v>8</v>
      </c>
      <c r="H8" s="80">
        <v>62.9</v>
      </c>
    </row>
    <row r="9" spans="1:8" x14ac:dyDescent="0.3">
      <c r="A9" s="79" t="s">
        <v>156</v>
      </c>
      <c r="B9" s="35"/>
      <c r="C9" s="80">
        <v>0</v>
      </c>
      <c r="F9" s="78" t="s">
        <v>157</v>
      </c>
      <c r="G9" s="80">
        <v>8</v>
      </c>
      <c r="H9" s="80">
        <v>526.55999999999995</v>
      </c>
    </row>
    <row r="10" spans="1:8" x14ac:dyDescent="0.3">
      <c r="A10" s="78" t="s">
        <v>157</v>
      </c>
      <c r="B10" s="35">
        <v>2</v>
      </c>
      <c r="C10" s="80">
        <v>1604.99</v>
      </c>
    </row>
  </sheetData>
  <pageMargins left="0.7" right="0.7" top="0.75" bottom="0.75" header="0.3" footer="0.3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1:M20"/>
  <sheetViews>
    <sheetView showGridLines="0" zoomScale="80" zoomScaleNormal="80" workbookViewId="0">
      <selection activeCell="O6" sqref="O6"/>
    </sheetView>
  </sheetViews>
  <sheetFormatPr baseColWidth="10" defaultRowHeight="14.4" x14ac:dyDescent="0.3"/>
  <cols>
    <col min="1" max="1" width="29.33203125" customWidth="1"/>
    <col min="2" max="2" width="28.77734375" bestFit="1" customWidth="1"/>
    <col min="3" max="3" width="8.5546875" bestFit="1" customWidth="1"/>
    <col min="4" max="4" width="10.88671875" bestFit="1" customWidth="1"/>
    <col min="5" max="5" width="9.6640625" bestFit="1" customWidth="1"/>
    <col min="6" max="6" width="13.109375" bestFit="1" customWidth="1"/>
    <col min="7" max="7" width="15.21875" bestFit="1" customWidth="1"/>
    <col min="8" max="8" width="10.33203125" bestFit="1" customWidth="1"/>
    <col min="9" max="9" width="11.109375" bestFit="1" customWidth="1"/>
    <col min="10" max="10" width="9.6640625" bestFit="1" customWidth="1"/>
    <col min="11" max="11" width="17.109375" bestFit="1" customWidth="1"/>
    <col min="12" max="12" width="9.109375" bestFit="1" customWidth="1"/>
    <col min="13" max="13" width="17.88671875" bestFit="1" customWidth="1"/>
  </cols>
  <sheetData>
    <row r="1" spans="2:13" s="25" customFormat="1" x14ac:dyDescent="0.3"/>
    <row r="2" spans="2:13" s="25" customFormat="1" ht="28.05" customHeight="1" x14ac:dyDescent="0.3">
      <c r="B2" s="26" t="s">
        <v>123</v>
      </c>
      <c r="C2" s="27"/>
    </row>
    <row r="3" spans="2:13" ht="38.4" customHeight="1" x14ac:dyDescent="0.3"/>
    <row r="4" spans="2:13" x14ac:dyDescent="0.3">
      <c r="B4" t="s">
        <v>113</v>
      </c>
      <c r="C4" t="s">
        <v>40</v>
      </c>
      <c r="D4" t="s">
        <v>62</v>
      </c>
      <c r="E4" t="s">
        <v>65</v>
      </c>
      <c r="F4" t="s">
        <v>58</v>
      </c>
      <c r="G4" t="s">
        <v>59</v>
      </c>
      <c r="H4" t="s">
        <v>114</v>
      </c>
      <c r="I4" t="s">
        <v>60</v>
      </c>
      <c r="J4" t="s">
        <v>115</v>
      </c>
      <c r="K4" t="s">
        <v>116</v>
      </c>
      <c r="L4" t="s">
        <v>117</v>
      </c>
      <c r="M4" t="s">
        <v>118</v>
      </c>
    </row>
    <row r="5" spans="2:13" x14ac:dyDescent="0.3">
      <c r="B5">
        <v>100</v>
      </c>
      <c r="C5" s="13">
        <v>2</v>
      </c>
      <c r="D5" t="s">
        <v>30</v>
      </c>
      <c r="E5" t="str">
        <f>IFERROR(VLOOKUP(Tabla478[[#This Row],[Produtos]],cálculos!$N$3:$Q$33,4,FALSE),"")</f>
        <v>Garrafa</v>
      </c>
      <c r="F5">
        <v>2</v>
      </c>
      <c r="G5" s="7">
        <f>IFERROR(VLOOKUP(Tabla478[[#This Row],[Produtos]],cálculos!$N$3:$Q$33,3,FALSE),0)</f>
        <v>54.9</v>
      </c>
      <c r="H5" s="7">
        <f>Tabla478[[#This Row],[Quantidade]]*Tabla478[[#This Row],[Preço Unitário]]</f>
        <v>109.8</v>
      </c>
      <c r="I5" s="31"/>
      <c r="J5" t="s">
        <v>79</v>
      </c>
      <c r="K5" s="7">
        <f>IFERROR(IF(Tabla478[[#This Row],[ID da Venda]]=B6,0,VLOOKUP(Tabla478[[#This Row],[Entrega]],cálculos!$C$3:$D$7,2,FALSE)),0)</f>
        <v>0</v>
      </c>
      <c r="L5" s="7">
        <f>Tabla478[[#This Row],[Subtotal]]*(1-Tabla478[[#This Row],[Desconto]])+Tabla478[[#This Row],[Valor de Entrega]]</f>
        <v>109.8</v>
      </c>
      <c r="M5" s="7">
        <f>IF(Tabla478[[#This Row],[ID da Venda]]=B6,"",SUMIF(Tabla478[ID da Venda],Tabla478[[#This Row],[ID da Venda]],Tabla478[Total]))</f>
        <v>109.8</v>
      </c>
    </row>
    <row r="6" spans="2:13" x14ac:dyDescent="0.3">
      <c r="C6" s="13"/>
      <c r="E6" t="str">
        <f>IFERROR(VLOOKUP(Tabla478[[#This Row],[Produtos]],cálculos!$N$3:$Q$33,4,FALSE),"")</f>
        <v/>
      </c>
      <c r="G6" s="7">
        <f>IFERROR(VLOOKUP(Tabla478[[#This Row],[Produtos]],cálculos!$N$3:$Q$33,3,FALSE),0)</f>
        <v>0</v>
      </c>
      <c r="H6" s="7">
        <f>Tabla478[[#This Row],[Quantidade]]*Tabla478[[#This Row],[Preço Unitário]]</f>
        <v>0</v>
      </c>
      <c r="I6" s="30"/>
      <c r="K6" s="7">
        <f>IFERROR(IF(Tabla478[[#This Row],[ID da Venda]]=B7,0,VLOOKUP(Tabla478[[#This Row],[Entrega]],cálculos!$C$3:$D$7,2,FALSE)),0)</f>
        <v>0</v>
      </c>
      <c r="L6" s="7">
        <f>Tabla478[[#This Row],[Subtotal]]*(1-Tabla478[[#This Row],[Desconto]])+Tabla478[[#This Row],[Valor de Entrega]]</f>
        <v>0</v>
      </c>
      <c r="M6" s="7" t="str">
        <f>IF(Tabla478[[#This Row],[ID da Venda]]=B7,"",SUMIF(Tabla478[ID da Venda],Tabla478[[#This Row],[ID da Venda]],Tabla478[Total]))</f>
        <v/>
      </c>
    </row>
    <row r="7" spans="2:13" x14ac:dyDescent="0.3">
      <c r="E7" t="str">
        <f>IFERROR(VLOOKUP(Tabla478[[#This Row],[Produtos]],cálculos!$N$3:$Q$33,4,FALSE),"")</f>
        <v/>
      </c>
      <c r="G7" s="7">
        <f>IFERROR(VLOOKUP(Tabla478[[#This Row],[Produtos]],cálculos!$N$3:$Q$33,3,FALSE),0)</f>
        <v>0</v>
      </c>
      <c r="H7" s="7">
        <f>Tabla478[[#This Row],[Quantidade]]*Tabla478[[#This Row],[Preço Unitário]]</f>
        <v>0</v>
      </c>
      <c r="I7" s="30"/>
      <c r="K7" s="7">
        <f>IFERROR(IF(Tabla478[[#This Row],[ID da Venda]]=B8,0,VLOOKUP(Tabla478[[#This Row],[Entrega]],cálculos!$C$3:$D$7,2,FALSE)),0)</f>
        <v>0</v>
      </c>
      <c r="L7" s="7">
        <f>Tabla478[[#This Row],[Subtotal]]*(1-Tabla478[[#This Row],[Desconto]])+Tabla478[[#This Row],[Valor de Entrega]]</f>
        <v>0</v>
      </c>
      <c r="M7" s="7" t="str">
        <f>IF(Tabla478[[#This Row],[ID da Venda]]=B8,"",SUMIF(Tabla478[ID da Venda],Tabla478[[#This Row],[ID da Venda]],Tabla478[Total]))</f>
        <v/>
      </c>
    </row>
    <row r="8" spans="2:13" x14ac:dyDescent="0.3">
      <c r="E8" t="str">
        <f>IFERROR(VLOOKUP(Tabla478[[#This Row],[Produtos]],cálculos!$N$3:$Q$33,4,FALSE),"")</f>
        <v/>
      </c>
      <c r="G8" s="7">
        <f>IFERROR(VLOOKUP(Tabla478[[#This Row],[Produtos]],cálculos!$N$3:$Q$33,3,FALSE),0)</f>
        <v>0</v>
      </c>
      <c r="H8" s="7">
        <f>Tabla478[[#This Row],[Quantidade]]*Tabla478[[#This Row],[Preço Unitário]]</f>
        <v>0</v>
      </c>
      <c r="I8" s="30"/>
      <c r="K8" s="7">
        <f>IFERROR(IF(Tabla478[[#This Row],[ID da Venda]]=B9,0,VLOOKUP(Tabla478[[#This Row],[Entrega]],cálculos!$C$3:$D$7,2,FALSE)),0)</f>
        <v>0</v>
      </c>
      <c r="L8" s="7">
        <f>Tabla478[[#This Row],[Subtotal]]*(1-Tabla478[[#This Row],[Desconto]])+Tabla478[[#This Row],[Valor de Entrega]]</f>
        <v>0</v>
      </c>
      <c r="M8" s="7" t="str">
        <f>IF(Tabla478[[#This Row],[ID da Venda]]=B9,"",SUMIF(Tabla478[ID da Venda],Tabla478[[#This Row],[ID da Venda]],Tabla478[Total]))</f>
        <v/>
      </c>
    </row>
    <row r="9" spans="2:13" x14ac:dyDescent="0.3">
      <c r="E9" t="str">
        <f>IFERROR(VLOOKUP(Tabla478[[#This Row],[Produtos]],cálculos!$N$3:$Q$33,4,FALSE),"")</f>
        <v/>
      </c>
      <c r="G9" s="7">
        <f>IFERROR(VLOOKUP(Tabla478[[#This Row],[Produtos]],cálculos!$N$3:$Q$33,3,FALSE),0)</f>
        <v>0</v>
      </c>
      <c r="H9" s="7">
        <f>Tabla478[[#This Row],[Quantidade]]*Tabla478[[#This Row],[Preço Unitário]]</f>
        <v>0</v>
      </c>
      <c r="I9" s="30"/>
      <c r="K9" s="7">
        <f>IFERROR(IF(Tabla478[[#This Row],[ID da Venda]]=B10,0,VLOOKUP(Tabla478[[#This Row],[Entrega]],cálculos!$C$3:$D$7,2,FALSE)),0)</f>
        <v>0</v>
      </c>
      <c r="L9" s="7">
        <f>Tabla478[[#This Row],[Subtotal]]*(1-Tabla478[[#This Row],[Desconto]])+Tabla478[[#This Row],[Valor de Entrega]]</f>
        <v>0</v>
      </c>
      <c r="M9" s="7" t="str">
        <f>IF(Tabla478[[#This Row],[ID da Venda]]=B10,"",SUMIF(Tabla478[ID da Venda],Tabla478[[#This Row],[ID da Venda]],Tabla478[Total]))</f>
        <v/>
      </c>
    </row>
    <row r="10" spans="2:13" x14ac:dyDescent="0.3">
      <c r="E10" t="str">
        <f>IFERROR(VLOOKUP(Tabla478[[#This Row],[Produtos]],cálculos!$N$3:$Q$33,4,FALSE),"")</f>
        <v/>
      </c>
      <c r="G10" s="7">
        <f>IFERROR(VLOOKUP(Tabla478[[#This Row],[Produtos]],cálculos!$N$3:$Q$33,3,FALSE),0)</f>
        <v>0</v>
      </c>
      <c r="H10" s="7">
        <f>Tabla478[[#This Row],[Quantidade]]*Tabla478[[#This Row],[Preço Unitário]]</f>
        <v>0</v>
      </c>
      <c r="I10" s="30"/>
      <c r="K10" s="7">
        <f>IFERROR(IF(Tabla478[[#This Row],[ID da Venda]]=B11,0,VLOOKUP(Tabla478[[#This Row],[Entrega]],cálculos!$C$3:$D$7,2,FALSE)),0)</f>
        <v>0</v>
      </c>
      <c r="L10" s="7">
        <f>Tabla478[[#This Row],[Subtotal]]*(1-Tabla478[[#This Row],[Desconto]])+Tabla478[[#This Row],[Valor de Entrega]]</f>
        <v>0</v>
      </c>
      <c r="M10" s="7" t="str">
        <f>IF(Tabla478[[#This Row],[ID da Venda]]=B11,"",SUMIF(Tabla478[ID da Venda],Tabla478[[#This Row],[ID da Venda]],Tabla478[Total]))</f>
        <v/>
      </c>
    </row>
    <row r="11" spans="2:13" x14ac:dyDescent="0.3">
      <c r="E11" t="str">
        <f>IFERROR(VLOOKUP(Tabla478[[#This Row],[Produtos]],cálculos!$N$3:$Q$33,4,FALSE),"")</f>
        <v/>
      </c>
      <c r="G11" s="7">
        <f>IFERROR(VLOOKUP(Tabla478[[#This Row],[Produtos]],cálculos!$N$3:$Q$33,3,FALSE),0)</f>
        <v>0</v>
      </c>
      <c r="H11" s="7">
        <f>Tabla478[[#This Row],[Quantidade]]*Tabla478[[#This Row],[Preço Unitário]]</f>
        <v>0</v>
      </c>
      <c r="I11" s="30"/>
      <c r="K11" s="7">
        <f>IFERROR(IF(Tabla478[[#This Row],[ID da Venda]]=B12,0,VLOOKUP(Tabla478[[#This Row],[Entrega]],cálculos!$C$3:$D$7,2,FALSE)),0)</f>
        <v>0</v>
      </c>
      <c r="L11" s="7">
        <f>Tabla478[[#This Row],[Subtotal]]*(1-Tabla478[[#This Row],[Desconto]])+Tabla478[[#This Row],[Valor de Entrega]]</f>
        <v>0</v>
      </c>
      <c r="M11" s="7" t="str">
        <f>IF(Tabla478[[#This Row],[ID da Venda]]=B12,"",SUMIF(Tabla478[ID da Venda],Tabla478[[#This Row],[ID da Venda]],Tabla478[Total]))</f>
        <v/>
      </c>
    </row>
    <row r="12" spans="2:13" x14ac:dyDescent="0.3">
      <c r="E12" t="str">
        <f>IFERROR(VLOOKUP(Tabla478[[#This Row],[Produtos]],cálculos!$N$3:$Q$33,4,FALSE),"")</f>
        <v/>
      </c>
      <c r="G12" s="7">
        <f>IFERROR(VLOOKUP(Tabla478[[#This Row],[Produtos]],cálculos!$N$3:$Q$33,3,FALSE),0)</f>
        <v>0</v>
      </c>
      <c r="H12" s="7">
        <f>Tabla478[[#This Row],[Quantidade]]*Tabla478[[#This Row],[Preço Unitário]]</f>
        <v>0</v>
      </c>
      <c r="I12" s="30"/>
      <c r="K12" s="7">
        <f>IFERROR(IF(Tabla478[[#This Row],[ID da Venda]]=B13,0,VLOOKUP(Tabla478[[#This Row],[Entrega]],cálculos!$C$3:$D$7,2,FALSE)),0)</f>
        <v>0</v>
      </c>
      <c r="L12" s="7">
        <f>Tabla478[[#This Row],[Subtotal]]*(1-Tabla478[[#This Row],[Desconto]])+Tabla478[[#This Row],[Valor de Entrega]]</f>
        <v>0</v>
      </c>
      <c r="M12" s="7" t="str">
        <f>IF(Tabla478[[#This Row],[ID da Venda]]=B13,"",SUMIF(Tabla478[ID da Venda],Tabla478[[#This Row],[ID da Venda]],Tabla478[Total]))</f>
        <v/>
      </c>
    </row>
    <row r="13" spans="2:13" x14ac:dyDescent="0.3">
      <c r="E13" t="str">
        <f>IFERROR(VLOOKUP(Tabla478[[#This Row],[Produtos]],cálculos!$N$3:$Q$33,4,FALSE),"")</f>
        <v/>
      </c>
      <c r="G13" s="7">
        <f>IFERROR(VLOOKUP(Tabla478[[#This Row],[Produtos]],cálculos!$N$3:$Q$33,3,FALSE),0)</f>
        <v>0</v>
      </c>
      <c r="H13" s="7">
        <f>Tabla478[[#This Row],[Quantidade]]*Tabla478[[#This Row],[Preço Unitário]]</f>
        <v>0</v>
      </c>
      <c r="I13" s="30"/>
      <c r="K13" s="7">
        <f>IFERROR(IF(Tabla478[[#This Row],[ID da Venda]]=B14,0,VLOOKUP(Tabla478[[#This Row],[Entrega]],cálculos!$C$3:$D$7,2,FALSE)),0)</f>
        <v>0</v>
      </c>
      <c r="L13" s="7">
        <f>Tabla478[[#This Row],[Subtotal]]*(1-Tabla478[[#This Row],[Desconto]])+Tabla478[[#This Row],[Valor de Entrega]]</f>
        <v>0</v>
      </c>
      <c r="M13" s="7" t="str">
        <f>IF(Tabla478[[#This Row],[ID da Venda]]=B14,"",SUMIF(Tabla478[ID da Venda],Tabla478[[#This Row],[ID da Venda]],Tabla478[Total]))</f>
        <v/>
      </c>
    </row>
    <row r="14" spans="2:13" x14ac:dyDescent="0.3">
      <c r="E14" t="str">
        <f>IFERROR(VLOOKUP(Tabla478[[#This Row],[Produtos]],cálculos!$N$3:$Q$33,4,FALSE),"")</f>
        <v/>
      </c>
      <c r="G14" s="7">
        <f>IFERROR(VLOOKUP(Tabla478[[#This Row],[Produtos]],cálculos!$N$3:$Q$33,3,FALSE),0)</f>
        <v>0</v>
      </c>
      <c r="H14" s="7">
        <f>Tabla478[[#This Row],[Quantidade]]*Tabla478[[#This Row],[Preço Unitário]]</f>
        <v>0</v>
      </c>
      <c r="I14" s="30"/>
      <c r="K14" s="7">
        <f>IFERROR(IF(Tabla478[[#This Row],[ID da Venda]]=B15,0,VLOOKUP(Tabla478[[#This Row],[Entrega]],cálculos!$C$3:$D$7,2,FALSE)),0)</f>
        <v>0</v>
      </c>
      <c r="L14" s="7">
        <f>Tabla478[[#This Row],[Subtotal]]*(1-Tabla478[[#This Row],[Desconto]])+Tabla478[[#This Row],[Valor de Entrega]]</f>
        <v>0</v>
      </c>
      <c r="M14" s="7" t="str">
        <f>IF(Tabla478[[#This Row],[ID da Venda]]=B15,"",SUMIF(Tabla478[ID da Venda],Tabla478[[#This Row],[ID da Venda]],Tabla478[Total]))</f>
        <v/>
      </c>
    </row>
    <row r="15" spans="2:13" x14ac:dyDescent="0.3">
      <c r="E15" t="str">
        <f>IFERROR(VLOOKUP(Tabla478[[#This Row],[Produtos]],cálculos!$N$3:$Q$33,4,FALSE),"")</f>
        <v/>
      </c>
      <c r="G15" s="7">
        <f>IFERROR(VLOOKUP(Tabla478[[#This Row],[Produtos]],cálculos!$N$3:$Q$33,3,FALSE),0)</f>
        <v>0</v>
      </c>
      <c r="H15" s="7">
        <f>Tabla478[[#This Row],[Quantidade]]*Tabla478[[#This Row],[Preço Unitário]]</f>
        <v>0</v>
      </c>
      <c r="I15" s="30"/>
      <c r="K15" s="7">
        <f>IFERROR(IF(Tabla478[[#This Row],[ID da Venda]]=B16,0,VLOOKUP(Tabla478[[#This Row],[Entrega]],cálculos!$C$3:$D$7,2,FALSE)),0)</f>
        <v>0</v>
      </c>
      <c r="L15" s="7">
        <f>Tabla478[[#This Row],[Subtotal]]*(1-Tabla478[[#This Row],[Desconto]])+Tabla478[[#This Row],[Valor de Entrega]]</f>
        <v>0</v>
      </c>
      <c r="M15" s="7" t="str">
        <f>IF(Tabla478[[#This Row],[ID da Venda]]=B16,"",SUMIF(Tabla478[ID da Venda],Tabla478[[#This Row],[ID da Venda]],Tabla478[Total]))</f>
        <v/>
      </c>
    </row>
    <row r="18" spans="2:13" ht="18" x14ac:dyDescent="0.35">
      <c r="B18" s="34" t="s">
        <v>120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62">
        <f>SUM(Tabla478[Total])</f>
        <v>109.8</v>
      </c>
    </row>
    <row r="19" spans="2:13" ht="18" x14ac:dyDescent="0.35">
      <c r="B19" s="56" t="s">
        <v>121</v>
      </c>
      <c r="C19" s="57"/>
      <c r="D19" s="56"/>
      <c r="E19" s="57"/>
      <c r="F19" s="56"/>
      <c r="G19" s="57"/>
      <c r="H19" s="56"/>
      <c r="I19" s="57"/>
      <c r="J19" s="56"/>
      <c r="K19" s="57"/>
      <c r="L19" s="56"/>
      <c r="M19" s="65">
        <f>SUM(Tabla478[Valor de Entrega])</f>
        <v>0</v>
      </c>
    </row>
    <row r="20" spans="2:13" ht="18" x14ac:dyDescent="0.35">
      <c r="B20" s="32" t="s">
        <v>138</v>
      </c>
      <c r="M20" s="64">
        <f>SUM(IF(FREQUENCY(Tabla478[ID da Venda],Tabla478[ID da Venda])&gt;0,1,0))</f>
        <v>1</v>
      </c>
    </row>
  </sheetData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cálculos!$N$3:$N$26</xm:f>
          </x14:formula1>
          <xm:sqref>D5:D15</xm:sqref>
        </x14:dataValidation>
        <x14:dataValidation type="list" allowBlank="1" showInputMessage="1" showErrorMessage="1">
          <x14:formula1>
            <xm:f>cálculos!$C$3:$C$7</xm:f>
          </x14:formula1>
          <xm:sqref>J5:J15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H10"/>
  <sheetViews>
    <sheetView workbookViewId="0">
      <selection activeCell="H20" sqref="H20"/>
    </sheetView>
  </sheetViews>
  <sheetFormatPr baseColWidth="10" defaultRowHeight="14.4" x14ac:dyDescent="0.3"/>
  <cols>
    <col min="1" max="1" width="16.5546875" bestFit="1" customWidth="1"/>
    <col min="2" max="2" width="20" bestFit="1" customWidth="1"/>
    <col min="3" max="3" width="13" bestFit="1" customWidth="1"/>
    <col min="6" max="6" width="16.5546875" bestFit="1" customWidth="1"/>
    <col min="7" max="7" width="22.88671875" bestFit="1" customWidth="1"/>
    <col min="8" max="8" width="13" bestFit="1" customWidth="1"/>
  </cols>
  <sheetData>
    <row r="3" spans="1:8" x14ac:dyDescent="0.3">
      <c r="A3" s="76" t="s">
        <v>155</v>
      </c>
      <c r="B3" t="s">
        <v>158</v>
      </c>
      <c r="C3" t="s">
        <v>159</v>
      </c>
      <c r="F3" s="76" t="s">
        <v>155</v>
      </c>
      <c r="G3" t="s">
        <v>160</v>
      </c>
      <c r="H3" t="s">
        <v>159</v>
      </c>
    </row>
    <row r="4" spans="1:8" x14ac:dyDescent="0.3">
      <c r="A4" s="77">
        <v>42187</v>
      </c>
      <c r="B4" s="35">
        <v>1</v>
      </c>
      <c r="C4" s="80">
        <v>8.49</v>
      </c>
      <c r="F4" s="78" t="s">
        <v>156</v>
      </c>
      <c r="G4" s="80">
        <v>0</v>
      </c>
      <c r="H4" s="80">
        <v>0</v>
      </c>
    </row>
    <row r="5" spans="1:8" x14ac:dyDescent="0.3">
      <c r="A5" s="79" t="s">
        <v>33</v>
      </c>
      <c r="B5" s="35">
        <v>1</v>
      </c>
      <c r="C5" s="80">
        <v>8.49</v>
      </c>
      <c r="F5" s="79" t="s">
        <v>156</v>
      </c>
      <c r="G5" s="80">
        <v>0</v>
      </c>
      <c r="H5" s="80">
        <v>0</v>
      </c>
    </row>
    <row r="6" spans="1:8" x14ac:dyDescent="0.3">
      <c r="A6" s="77">
        <v>43223</v>
      </c>
      <c r="B6" s="35">
        <v>1</v>
      </c>
      <c r="C6" s="80">
        <v>1596.5</v>
      </c>
      <c r="F6" s="78" t="s">
        <v>79</v>
      </c>
      <c r="G6" s="80">
        <v>0</v>
      </c>
      <c r="H6" s="80">
        <v>109.8</v>
      </c>
    </row>
    <row r="7" spans="1:8" x14ac:dyDescent="0.3">
      <c r="A7" s="79" t="s">
        <v>20</v>
      </c>
      <c r="B7" s="35">
        <v>1</v>
      </c>
      <c r="C7" s="80">
        <v>1596.5</v>
      </c>
      <c r="F7" s="79">
        <v>2</v>
      </c>
      <c r="G7" s="80">
        <v>0</v>
      </c>
      <c r="H7" s="80">
        <v>109.8</v>
      </c>
    </row>
    <row r="8" spans="1:8" x14ac:dyDescent="0.3">
      <c r="A8" s="78" t="s">
        <v>156</v>
      </c>
      <c r="B8" s="35"/>
      <c r="C8" s="80">
        <v>0</v>
      </c>
      <c r="F8" s="78" t="s">
        <v>157</v>
      </c>
      <c r="G8" s="80">
        <v>0</v>
      </c>
      <c r="H8" s="80">
        <v>109.8</v>
      </c>
    </row>
    <row r="9" spans="1:8" x14ac:dyDescent="0.3">
      <c r="A9" s="79" t="s">
        <v>156</v>
      </c>
      <c r="B9" s="35"/>
      <c r="C9" s="80">
        <v>0</v>
      </c>
    </row>
    <row r="10" spans="1:8" x14ac:dyDescent="0.3">
      <c r="A10" s="78" t="s">
        <v>157</v>
      </c>
      <c r="B10" s="35">
        <v>2</v>
      </c>
      <c r="C10" s="80">
        <v>1604.99</v>
      </c>
    </row>
  </sheetData>
  <pageMargins left="0.7" right="0.7" top="0.75" bottom="0.75" header="0.3" footer="0.3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B1:M34"/>
  <sheetViews>
    <sheetView showGridLines="0" zoomScale="80" zoomScaleNormal="80" workbookViewId="0">
      <selection activeCell="N4" sqref="N4"/>
    </sheetView>
  </sheetViews>
  <sheetFormatPr baseColWidth="10" defaultRowHeight="14.4" x14ac:dyDescent="0.3"/>
  <cols>
    <col min="1" max="1" width="32.33203125" customWidth="1"/>
    <col min="2" max="2" width="28.77734375" bestFit="1" customWidth="1"/>
    <col min="3" max="3" width="12" customWidth="1"/>
    <col min="4" max="4" width="17.109375" customWidth="1"/>
    <col min="5" max="5" width="12.88671875" customWidth="1"/>
    <col min="6" max="6" width="21.44140625" customWidth="1"/>
    <col min="7" max="7" width="15.21875" bestFit="1" customWidth="1"/>
    <col min="8" max="8" width="10.33203125" bestFit="1" customWidth="1"/>
    <col min="9" max="9" width="11.109375" bestFit="1" customWidth="1"/>
    <col min="10" max="10" width="10.21875" bestFit="1" customWidth="1"/>
    <col min="11" max="11" width="17.109375" bestFit="1" customWidth="1"/>
    <col min="12" max="12" width="10" bestFit="1" customWidth="1"/>
    <col min="13" max="13" width="17.88671875" bestFit="1" customWidth="1"/>
  </cols>
  <sheetData>
    <row r="1" spans="2:13" s="25" customFormat="1" x14ac:dyDescent="0.3"/>
    <row r="2" spans="2:13" s="25" customFormat="1" ht="28.05" customHeight="1" x14ac:dyDescent="0.3">
      <c r="B2" s="26" t="s">
        <v>122</v>
      </c>
      <c r="C2" s="27"/>
    </row>
    <row r="3" spans="2:13" ht="38.4" customHeight="1" x14ac:dyDescent="0.3"/>
    <row r="4" spans="2:13" x14ac:dyDescent="0.3">
      <c r="B4" t="s">
        <v>113</v>
      </c>
      <c r="C4" t="s">
        <v>40</v>
      </c>
      <c r="D4" t="s">
        <v>62</v>
      </c>
      <c r="E4" t="s">
        <v>65</v>
      </c>
      <c r="F4" t="s">
        <v>58</v>
      </c>
      <c r="G4" t="s">
        <v>59</v>
      </c>
      <c r="H4" t="s">
        <v>114</v>
      </c>
      <c r="I4" t="s">
        <v>60</v>
      </c>
      <c r="J4" t="s">
        <v>115</v>
      </c>
      <c r="K4" t="s">
        <v>116</v>
      </c>
      <c r="L4" t="s">
        <v>117</v>
      </c>
      <c r="M4" t="s">
        <v>118</v>
      </c>
    </row>
    <row r="5" spans="2:13" x14ac:dyDescent="0.3">
      <c r="B5">
        <v>13</v>
      </c>
      <c r="C5" s="13">
        <v>42190</v>
      </c>
      <c r="D5" t="s">
        <v>28</v>
      </c>
      <c r="E5" t="str">
        <f>IFERROR(VLOOKUP(Tabla4789[[#This Row],[Produtos]],cálculos!$N$3:$Q$33,4,FALSE),"")</f>
        <v>Pacote</v>
      </c>
      <c r="F5">
        <v>10</v>
      </c>
      <c r="G5" s="7">
        <f>IFERROR(VLOOKUP(Tabla4789[[#This Row],[Produtos]],cálculos!$N$3:$Q$33,3,FALSE),0)</f>
        <v>1.1499999999999999</v>
      </c>
      <c r="H5" s="7">
        <f>Tabla4789[[#This Row],[Quantidade]]*Tabla4789[[#This Row],[Preço Unitário]]</f>
        <v>11.5</v>
      </c>
      <c r="I5" s="31"/>
      <c r="J5" t="s">
        <v>82</v>
      </c>
      <c r="K5" s="7">
        <f>IFERROR(IF(Tabla4789[[#This Row],[ID da Venda]]=B6,0,VLOOKUP(Tabla4789[[#This Row],[Entrega]],cálculos!$C$3:$D$7,2,FALSE)),0)</f>
        <v>0</v>
      </c>
      <c r="L5" s="7">
        <f>Tabla4789[[#This Row],[Subtotal]]*(1-Tabla4789[[#This Row],[Desconto]])+Tabla4789[[#This Row],[Valor de Entrega]]</f>
        <v>11.5</v>
      </c>
      <c r="M5" s="7" t="str">
        <f>IF(Tabla4789[[#This Row],[ID da Venda]]=B6,"",SUMIF(Tabla4789[ID da Venda],Tabla4789[[#This Row],[ID da Venda]],Tabla4789[Total]))</f>
        <v/>
      </c>
    </row>
    <row r="6" spans="2:13" x14ac:dyDescent="0.3">
      <c r="B6">
        <v>13</v>
      </c>
      <c r="C6" s="13">
        <v>42190</v>
      </c>
      <c r="D6" t="s">
        <v>32</v>
      </c>
      <c r="E6" t="str">
        <f>IFERROR(VLOOKUP(Tabla4789[[#This Row],[Produtos]],cálculos!$N$3:$Q$33,4,FALSE),"")</f>
        <v>Pacote</v>
      </c>
      <c r="F6">
        <v>1</v>
      </c>
      <c r="G6" s="7">
        <f>IFERROR(VLOOKUP(Tabla4789[[#This Row],[Produtos]],cálculos!$N$3:$Q$33,3,FALSE),0)</f>
        <v>0.79</v>
      </c>
      <c r="H6" s="7">
        <f>Tabla4789[[#This Row],[Quantidade]]*Tabla4789[[#This Row],[Preço Unitário]]</f>
        <v>0.79</v>
      </c>
      <c r="I6" s="30"/>
      <c r="J6" t="s">
        <v>82</v>
      </c>
      <c r="K6" s="7">
        <f>IFERROR(IF(Tabla4789[[#This Row],[ID da Venda]]=B7,0,VLOOKUP(Tabla4789[[#This Row],[Entrega]],cálculos!$C$3:$D$7,2,FALSE)),0)</f>
        <v>0</v>
      </c>
      <c r="L6" s="7">
        <f>Tabla4789[[#This Row],[Subtotal]]*(1-Tabla4789[[#This Row],[Desconto]])+Tabla4789[[#This Row],[Valor de Entrega]]</f>
        <v>0.79</v>
      </c>
      <c r="M6" s="7" t="str">
        <f>IF(Tabla4789[[#This Row],[ID da Venda]]=B7,"",SUMIF(Tabla4789[ID da Venda],Tabla4789[[#This Row],[ID da Venda]],Tabla4789[Total]))</f>
        <v/>
      </c>
    </row>
    <row r="7" spans="2:13" x14ac:dyDescent="0.3">
      <c r="B7">
        <v>13</v>
      </c>
      <c r="C7" s="13">
        <v>42190</v>
      </c>
      <c r="D7" t="s">
        <v>20</v>
      </c>
      <c r="E7" t="str">
        <f>IFERROR(VLOOKUP(Tabla4789[[#This Row],[Produtos]],cálculos!$N$3:$Q$33,4,FALSE),"")</f>
        <v>Kg</v>
      </c>
      <c r="F7">
        <v>10</v>
      </c>
      <c r="G7" s="7">
        <f>IFERROR(VLOOKUP(Tabla4789[[#This Row],[Produtos]],cálculos!$N$3:$Q$33,3,FALSE),0)</f>
        <v>15.9</v>
      </c>
      <c r="H7" s="7">
        <f>Tabla4789[[#This Row],[Quantidade]]*Tabla4789[[#This Row],[Preço Unitário]]</f>
        <v>159</v>
      </c>
      <c r="I7" s="30"/>
      <c r="J7" t="s">
        <v>82</v>
      </c>
      <c r="K7" s="7">
        <f>IFERROR(IF(Tabla4789[[#This Row],[ID da Venda]]=B8,0,VLOOKUP(Tabla4789[[#This Row],[Entrega]],cálculos!$C$3:$D$7,2,FALSE)),0)</f>
        <v>0</v>
      </c>
      <c r="L7" s="7">
        <f>Tabla4789[[#This Row],[Subtotal]]*(1-Tabla4789[[#This Row],[Desconto]])+Tabla4789[[#This Row],[Valor de Entrega]]</f>
        <v>159</v>
      </c>
      <c r="M7" s="7" t="str">
        <f>IF(Tabla4789[[#This Row],[ID da Venda]]=B8,"",SUMIF(Tabla4789[ID da Venda],Tabla4789[[#This Row],[ID da Venda]],Tabla4789[Total]))</f>
        <v/>
      </c>
    </row>
    <row r="8" spans="2:13" x14ac:dyDescent="0.3">
      <c r="B8">
        <v>13</v>
      </c>
      <c r="C8" s="13">
        <v>42190</v>
      </c>
      <c r="D8" t="s">
        <v>29</v>
      </c>
      <c r="E8" t="str">
        <f>IFERROR(VLOOKUP(Tabla4789[[#This Row],[Produtos]],cálculos!$N$3:$Q$33,4,FALSE),"")</f>
        <v>Lata</v>
      </c>
      <c r="F8">
        <v>24</v>
      </c>
      <c r="G8" s="7">
        <f>IFERROR(VLOOKUP(Tabla4789[[#This Row],[Produtos]],cálculos!$N$3:$Q$33,3,FALSE),0)</f>
        <v>2.19</v>
      </c>
      <c r="H8" s="7">
        <f>Tabla4789[[#This Row],[Quantidade]]*Tabla4789[[#This Row],[Preço Unitário]]</f>
        <v>52.56</v>
      </c>
      <c r="I8" s="30"/>
      <c r="J8" t="s">
        <v>82</v>
      </c>
      <c r="K8" s="7">
        <f>IFERROR(IF(Tabla4789[[#This Row],[ID da Venda]]=B9,0,VLOOKUP(Tabla4789[[#This Row],[Entrega]],cálculos!$C$3:$D$7,2,FALSE)),0)</f>
        <v>6.5</v>
      </c>
      <c r="L8" s="7">
        <f>Tabla4789[[#This Row],[Subtotal]]*(1-Tabla4789[[#This Row],[Desconto]])+Tabla4789[[#This Row],[Valor de Entrega]]</f>
        <v>59.06</v>
      </c>
      <c r="M8" s="7">
        <f>IF(Tabla4789[[#This Row],[ID da Venda]]=B9,"",SUMIF(Tabla4789[ID da Venda],Tabla4789[[#This Row],[ID da Venda]],Tabla4789[Total]))</f>
        <v>230.35</v>
      </c>
    </row>
    <row r="9" spans="2:13" x14ac:dyDescent="0.3">
      <c r="B9">
        <v>12</v>
      </c>
      <c r="C9" s="13">
        <v>42189</v>
      </c>
      <c r="D9" t="s">
        <v>29</v>
      </c>
      <c r="E9" t="str">
        <f>IFERROR(VLOOKUP(Tabla4789[[#This Row],[Produtos]],cálculos!$N$3:$Q$33,4,FALSE),"")</f>
        <v>Lata</v>
      </c>
      <c r="F9">
        <v>1</v>
      </c>
      <c r="G9" s="7">
        <f>IFERROR(VLOOKUP(Tabla4789[[#This Row],[Produtos]],cálculos!$N$3:$Q$33,3,FALSE),0)</f>
        <v>2.19</v>
      </c>
      <c r="H9" s="7">
        <f>Tabla4789[[#This Row],[Quantidade]]*Tabla4789[[#This Row],[Preço Unitário]]</f>
        <v>2.19</v>
      </c>
      <c r="I9" s="30"/>
      <c r="J9" t="s">
        <v>79</v>
      </c>
      <c r="K9" s="7">
        <f>IFERROR(IF(Tabla4789[[#This Row],[ID da Venda]]=B10,0,VLOOKUP(Tabla4789[[#This Row],[Entrega]],cálculos!$C$3:$D$7,2,FALSE)),0)</f>
        <v>0</v>
      </c>
      <c r="L9" s="7">
        <f>Tabla4789[[#This Row],[Subtotal]]*(1-Tabla4789[[#This Row],[Desconto]])+Tabla4789[[#This Row],[Valor de Entrega]]</f>
        <v>2.19</v>
      </c>
      <c r="M9" s="7">
        <f>IF(Tabla4789[[#This Row],[ID da Venda]]=B10,"",SUMIF(Tabla4789[ID da Venda],Tabla4789[[#This Row],[ID da Venda]],Tabla4789[Total]))</f>
        <v>2.19</v>
      </c>
    </row>
    <row r="10" spans="2:13" x14ac:dyDescent="0.3">
      <c r="B10">
        <v>11</v>
      </c>
      <c r="C10" s="13">
        <v>42189</v>
      </c>
      <c r="D10" t="s">
        <v>29</v>
      </c>
      <c r="E10" t="str">
        <f>IFERROR(VLOOKUP(Tabla4789[[#This Row],[Produtos]],cálculos!$N$3:$Q$33,4,FALSE),"")</f>
        <v>Lata</v>
      </c>
      <c r="F10">
        <v>10</v>
      </c>
      <c r="G10" s="7">
        <f>IFERROR(VLOOKUP(Tabla4789[[#This Row],[Produtos]],cálculos!$N$3:$Q$33,3,FALSE),0)</f>
        <v>2.19</v>
      </c>
      <c r="H10" s="7">
        <f>Tabla4789[[#This Row],[Quantidade]]*Tabla4789[[#This Row],[Preço Unitário]]</f>
        <v>21.9</v>
      </c>
      <c r="I10" s="30"/>
      <c r="J10" t="s">
        <v>79</v>
      </c>
      <c r="K10" s="7">
        <f>IFERROR(IF(Tabla4789[[#This Row],[ID da Venda]]=B11,0,VLOOKUP(Tabla4789[[#This Row],[Entrega]],cálculos!$C$3:$D$7,2,FALSE)),0)</f>
        <v>0</v>
      </c>
      <c r="L10" s="7">
        <f>Tabla4789[[#This Row],[Subtotal]]*(1-Tabla4789[[#This Row],[Desconto]])+Tabla4789[[#This Row],[Valor de Entrega]]</f>
        <v>21.9</v>
      </c>
      <c r="M10" s="7">
        <f>IF(Tabla4789[[#This Row],[ID da Venda]]=B11,"",SUMIF(Tabla4789[ID da Venda],Tabla4789[[#This Row],[ID da Venda]],Tabla4789[Total]))</f>
        <v>21.9</v>
      </c>
    </row>
    <row r="11" spans="2:13" x14ac:dyDescent="0.3">
      <c r="B11">
        <v>10</v>
      </c>
      <c r="C11" s="13">
        <v>42189</v>
      </c>
      <c r="D11" t="s">
        <v>17</v>
      </c>
      <c r="E11" t="str">
        <f>IFERROR(VLOOKUP(Tabla4789[[#This Row],[Produtos]],cálculos!$N$3:$Q$33,4,FALSE),"")</f>
        <v>Kg</v>
      </c>
      <c r="F11">
        <v>6</v>
      </c>
      <c r="G11" s="7">
        <f>IFERROR(VLOOKUP(Tabla4789[[#This Row],[Produtos]],cálculos!$N$3:$Q$33,3,FALSE),0)</f>
        <v>4.28</v>
      </c>
      <c r="H11" s="7">
        <f>Tabla4789[[#This Row],[Quantidade]]*Tabla4789[[#This Row],[Preço Unitário]]</f>
        <v>25.68</v>
      </c>
      <c r="I11" s="30"/>
      <c r="J11" t="s">
        <v>79</v>
      </c>
      <c r="K11" s="7">
        <f>IFERROR(IF(Tabla4789[[#This Row],[ID da Venda]]=B12,0,VLOOKUP(Tabla4789[[#This Row],[Entrega]],cálculos!$C$3:$D$7,2,FALSE)),0)</f>
        <v>0</v>
      </c>
      <c r="L11" s="7">
        <f>Tabla4789[[#This Row],[Subtotal]]*(1-Tabla4789[[#This Row],[Desconto]])+Tabla4789[[#This Row],[Valor de Entrega]]</f>
        <v>25.68</v>
      </c>
      <c r="M11" s="7" t="str">
        <f>IF(Tabla4789[[#This Row],[ID da Venda]]=B12,"",SUMIF(Tabla4789[ID da Venda],Tabla4789[[#This Row],[ID da Venda]],Tabla4789[Total]))</f>
        <v/>
      </c>
    </row>
    <row r="12" spans="2:13" x14ac:dyDescent="0.3">
      <c r="B12">
        <v>10</v>
      </c>
      <c r="C12" s="13">
        <v>42189</v>
      </c>
      <c r="D12" t="s">
        <v>75</v>
      </c>
      <c r="E12" t="str">
        <f>IFERROR(VLOOKUP(Tabla4789[[#This Row],[Produtos]],cálculos!$N$3:$Q$33,4,FALSE),"")</f>
        <v>Litro</v>
      </c>
      <c r="F12">
        <v>4</v>
      </c>
      <c r="G12" s="7">
        <f>IFERROR(VLOOKUP(Tabla4789[[#This Row],[Produtos]],cálculos!$N$3:$Q$33,3,FALSE),0)</f>
        <v>2.39</v>
      </c>
      <c r="H12" s="7">
        <f>Tabla4789[[#This Row],[Quantidade]]*Tabla4789[[#This Row],[Preço Unitário]]</f>
        <v>9.56</v>
      </c>
      <c r="I12" s="30"/>
      <c r="J12" t="s">
        <v>79</v>
      </c>
      <c r="K12" s="7">
        <f>IFERROR(IF(Tabla4789[[#This Row],[ID da Venda]]=B13,0,VLOOKUP(Tabla4789[[#This Row],[Entrega]],cálculos!$C$3:$D$7,2,FALSE)),0)</f>
        <v>0</v>
      </c>
      <c r="L12" s="7">
        <f>Tabla4789[[#This Row],[Subtotal]]*(1-Tabla4789[[#This Row],[Desconto]])+Tabla4789[[#This Row],[Valor de Entrega]]</f>
        <v>9.56</v>
      </c>
      <c r="M12" s="7">
        <f>IF(Tabla4789[[#This Row],[ID da Venda]]=B13,"",SUMIF(Tabla4789[ID da Venda],Tabla4789[[#This Row],[ID da Venda]],Tabla4789[Total]))</f>
        <v>35.24</v>
      </c>
    </row>
    <row r="13" spans="2:13" x14ac:dyDescent="0.3">
      <c r="B13">
        <v>9</v>
      </c>
      <c r="C13" s="13">
        <v>42188</v>
      </c>
      <c r="D13" t="s">
        <v>74</v>
      </c>
      <c r="E13" t="str">
        <f>IFERROR(VLOOKUP(Tabla4789[[#This Row],[Produtos]],cálculos!$N$3:$Q$33,4,FALSE),"")</f>
        <v>Unidade</v>
      </c>
      <c r="F13">
        <v>5</v>
      </c>
      <c r="G13" s="7">
        <f>IFERROR(VLOOKUP(Tabla4789[[#This Row],[Produtos]],cálculos!$N$3:$Q$33,3,FALSE),0)</f>
        <v>2.89</v>
      </c>
      <c r="H13" s="7">
        <f>Tabla4789[[#This Row],[Quantidade]]*Tabla4789[[#This Row],[Preço Unitário]]</f>
        <v>14.450000000000001</v>
      </c>
      <c r="I13" s="30"/>
      <c r="J13" t="s">
        <v>79</v>
      </c>
      <c r="K13" s="7">
        <f>IFERROR(IF(Tabla4789[[#This Row],[ID da Venda]]=B14,0,VLOOKUP(Tabla4789[[#This Row],[Entrega]],cálculos!$C$3:$D$7,2,FALSE)),0)</f>
        <v>0</v>
      </c>
      <c r="L13" s="7">
        <f>Tabla4789[[#This Row],[Subtotal]]*(1-Tabla4789[[#This Row],[Desconto]])+Tabla4789[[#This Row],[Valor de Entrega]]</f>
        <v>14.450000000000001</v>
      </c>
      <c r="M13" s="7" t="str">
        <f>IF(Tabla4789[[#This Row],[ID da Venda]]=B14,"",SUMIF(Tabla4789[ID da Venda],Tabla4789[[#This Row],[ID da Venda]],Tabla4789[Total]))</f>
        <v/>
      </c>
    </row>
    <row r="14" spans="2:13" x14ac:dyDescent="0.3">
      <c r="B14">
        <v>9</v>
      </c>
      <c r="C14" s="13">
        <v>42188</v>
      </c>
      <c r="D14" t="s">
        <v>27</v>
      </c>
      <c r="E14" t="str">
        <f>IFERROR(VLOOKUP(Tabla4789[[#This Row],[Produtos]],cálculos!$N$3:$Q$33,4,FALSE),"")</f>
        <v>Kg</v>
      </c>
      <c r="F14">
        <v>2</v>
      </c>
      <c r="G14" s="7">
        <f>IFERROR(VLOOKUP(Tabla4789[[#This Row],[Produtos]],cálculos!$N$3:$Q$33,3,FALSE),0)</f>
        <v>9.58</v>
      </c>
      <c r="H14" s="7">
        <f>Tabla4789[[#This Row],[Quantidade]]*Tabla4789[[#This Row],[Preço Unitário]]</f>
        <v>19.16</v>
      </c>
      <c r="I14" s="30"/>
      <c r="J14" t="s">
        <v>79</v>
      </c>
      <c r="K14" s="7">
        <f>IFERROR(IF(Tabla4789[[#This Row],[ID da Venda]]=B15,0,VLOOKUP(Tabla4789[[#This Row],[Entrega]],cálculos!$C$3:$D$7,2,FALSE)),0)</f>
        <v>0</v>
      </c>
      <c r="L14" s="7">
        <f>Tabla4789[[#This Row],[Subtotal]]*(1-Tabla4789[[#This Row],[Desconto]])+Tabla4789[[#This Row],[Valor de Entrega]]</f>
        <v>19.16</v>
      </c>
      <c r="M14" s="7" t="str">
        <f>IF(Tabla4789[[#This Row],[ID da Venda]]=B15,"",SUMIF(Tabla4789[ID da Venda],Tabla4789[[#This Row],[ID da Venda]],Tabla4789[Total]))</f>
        <v/>
      </c>
    </row>
    <row r="15" spans="2:13" x14ac:dyDescent="0.3">
      <c r="B15">
        <v>9</v>
      </c>
      <c r="C15" s="13">
        <v>42188</v>
      </c>
      <c r="D15" t="s">
        <v>23</v>
      </c>
      <c r="E15" t="str">
        <f>IFERROR(VLOOKUP(Tabla4789[[#This Row],[Produtos]],cálculos!$N$3:$Q$33,4,FALSE),"")</f>
        <v>Kg</v>
      </c>
      <c r="F15">
        <v>1.5</v>
      </c>
      <c r="G15" s="7">
        <f>IFERROR(VLOOKUP(Tabla4789[[#This Row],[Produtos]],cálculos!$N$3:$Q$33,3,FALSE),0)</f>
        <v>25.9</v>
      </c>
      <c r="H15" s="7">
        <f>Tabla4789[[#This Row],[Quantidade]]*Tabla4789[[#This Row],[Preço Unitário]]</f>
        <v>38.849999999999994</v>
      </c>
      <c r="I15" s="30"/>
      <c r="J15" t="s">
        <v>79</v>
      </c>
      <c r="K15" s="7">
        <f>IFERROR(IF(Tabla4789[[#This Row],[ID da Venda]]=B16,0,VLOOKUP(Tabla4789[[#This Row],[Entrega]],cálculos!$C$3:$D$7,2,FALSE)),0)</f>
        <v>0</v>
      </c>
      <c r="L15" s="7">
        <f>Tabla4789[[#This Row],[Subtotal]]*(1-Tabla4789[[#This Row],[Desconto]])+Tabla4789[[#This Row],[Valor de Entrega]]</f>
        <v>38.849999999999994</v>
      </c>
      <c r="M15" s="7" t="str">
        <f>IF(Tabla4789[[#This Row],[ID da Venda]]=B16,"",SUMIF(Tabla4789[ID da Venda],Tabla4789[[#This Row],[ID da Venda]],Tabla4789[Total]))</f>
        <v/>
      </c>
    </row>
    <row r="16" spans="2:13" x14ac:dyDescent="0.3">
      <c r="B16">
        <v>9</v>
      </c>
      <c r="C16" s="13">
        <v>42188</v>
      </c>
      <c r="D16" t="s">
        <v>17</v>
      </c>
      <c r="E16" s="35" t="str">
        <f>IFERROR(VLOOKUP(Tabla4789[[#This Row],[Produtos]],cálculos!$N$3:$Q$33,4,FALSE),"")</f>
        <v>Kg</v>
      </c>
      <c r="F16">
        <v>4</v>
      </c>
      <c r="G16" s="7">
        <f>IFERROR(VLOOKUP(Tabla4789[[#This Row],[Produtos]],cálculos!$N$3:$Q$33,3,FALSE),0)</f>
        <v>4.28</v>
      </c>
      <c r="H16" s="7">
        <f>Tabla4789[[#This Row],[Quantidade]]*Tabla4789[[#This Row],[Preço Unitário]]</f>
        <v>17.12</v>
      </c>
      <c r="I16" s="30"/>
      <c r="J16" t="s">
        <v>79</v>
      </c>
      <c r="K16" s="7">
        <f>IFERROR(IF(Tabla4789[[#This Row],[ID da Venda]]=B17,0,VLOOKUP(Tabla4789[[#This Row],[Entrega]],cálculos!$C$3:$D$7,2,FALSE)),0)</f>
        <v>0</v>
      </c>
      <c r="L16" s="7">
        <f>Tabla4789[[#This Row],[Subtotal]]*(1-Tabla4789[[#This Row],[Desconto]])+Tabla4789[[#This Row],[Valor de Entrega]]</f>
        <v>17.12</v>
      </c>
      <c r="M16" s="7">
        <f>IF(Tabla4789[[#This Row],[ID da Venda]]=B17,"",SUMIF(Tabla4789[ID da Venda],Tabla4789[[#This Row],[ID da Venda]],Tabla4789[Total]))</f>
        <v>89.58</v>
      </c>
    </row>
    <row r="17" spans="2:13" x14ac:dyDescent="0.3">
      <c r="B17">
        <v>8</v>
      </c>
      <c r="C17" s="13">
        <v>42188</v>
      </c>
      <c r="D17" t="s">
        <v>29</v>
      </c>
      <c r="E17" s="35" t="str">
        <f>IFERROR(VLOOKUP(Tabla4789[[#This Row],[Produtos]],cálculos!$N$3:$Q$33,4,FALSE),"")</f>
        <v>Lata</v>
      </c>
      <c r="F17">
        <v>20</v>
      </c>
      <c r="G17" s="7">
        <f>IFERROR(VLOOKUP(Tabla4789[[#This Row],[Produtos]],cálculos!$N$3:$Q$33,3,FALSE),0)</f>
        <v>2.19</v>
      </c>
      <c r="H17" s="7">
        <f>Tabla4789[[#This Row],[Quantidade]]*Tabla4789[[#This Row],[Preço Unitário]]</f>
        <v>43.8</v>
      </c>
      <c r="I17" s="30"/>
      <c r="J17" t="s">
        <v>82</v>
      </c>
      <c r="K17" s="7">
        <f>IFERROR(IF(Tabla4789[[#This Row],[ID da Venda]]=B18,0,VLOOKUP(Tabla4789[[#This Row],[Entrega]],cálculos!$C$3:$D$7,2,FALSE)),0)</f>
        <v>6.5</v>
      </c>
      <c r="L17" s="7">
        <f>Tabla4789[[#This Row],[Subtotal]]*(1-Tabla4789[[#This Row],[Desconto]])+Tabla4789[[#This Row],[Valor de Entrega]]</f>
        <v>50.3</v>
      </c>
      <c r="M17" s="7">
        <f>IF(Tabla4789[[#This Row],[ID da Venda]]=B18,"",SUMIF(Tabla4789[ID da Venda],Tabla4789[[#This Row],[ID da Venda]],Tabla4789[Total]))</f>
        <v>50.3</v>
      </c>
    </row>
    <row r="18" spans="2:13" x14ac:dyDescent="0.3">
      <c r="B18">
        <v>7</v>
      </c>
      <c r="C18" s="13">
        <v>42188</v>
      </c>
      <c r="D18" t="s">
        <v>29</v>
      </c>
      <c r="E18" s="35" t="str">
        <f>IFERROR(VLOOKUP(Tabla4789[[#This Row],[Produtos]],cálculos!$N$3:$Q$33,4,FALSE),"")</f>
        <v>Lata</v>
      </c>
      <c r="F18">
        <v>20</v>
      </c>
      <c r="G18" s="7">
        <f>IFERROR(VLOOKUP(Tabla4789[[#This Row],[Produtos]],cálculos!$N$3:$Q$33,3,FALSE),0)</f>
        <v>2.19</v>
      </c>
      <c r="H18" s="7">
        <f>Tabla4789[[#This Row],[Quantidade]]*Tabla4789[[#This Row],[Preço Unitário]]</f>
        <v>43.8</v>
      </c>
      <c r="I18" s="30"/>
      <c r="J18" t="s">
        <v>79</v>
      </c>
      <c r="K18" s="7">
        <f>IFERROR(IF(Tabla4789[[#This Row],[ID da Venda]]=B19,0,VLOOKUP(Tabla4789[[#This Row],[Entrega]],cálculos!$C$3:$D$7,2,FALSE)),0)</f>
        <v>0</v>
      </c>
      <c r="L18" s="7">
        <f>Tabla4789[[#This Row],[Subtotal]]*(1-Tabla4789[[#This Row],[Desconto]])+Tabla4789[[#This Row],[Valor de Entrega]]</f>
        <v>43.8</v>
      </c>
      <c r="M18" s="7">
        <f>IF(Tabla4789[[#This Row],[ID da Venda]]=B19,"",SUMIF(Tabla4789[ID da Venda],Tabla4789[[#This Row],[ID da Venda]],Tabla4789[Total]))</f>
        <v>43.8</v>
      </c>
    </row>
    <row r="19" spans="2:13" x14ac:dyDescent="0.3">
      <c r="B19">
        <v>6</v>
      </c>
      <c r="C19" s="13">
        <v>42188</v>
      </c>
      <c r="D19" t="s">
        <v>32</v>
      </c>
      <c r="E19" s="35" t="str">
        <f>IFERROR(VLOOKUP(Tabla4789[[#This Row],[Produtos]],cálculos!$N$3:$Q$33,4,FALSE),"")</f>
        <v>Pacote</v>
      </c>
      <c r="F19">
        <v>2</v>
      </c>
      <c r="G19" s="7">
        <f>IFERROR(VLOOKUP(Tabla4789[[#This Row],[Produtos]],cálculos!$N$3:$Q$33,3,FALSE),0)</f>
        <v>0.79</v>
      </c>
      <c r="H19" s="7">
        <f>Tabla4789[[#This Row],[Quantidade]]*Tabla4789[[#This Row],[Preço Unitário]]</f>
        <v>1.58</v>
      </c>
      <c r="I19" s="30"/>
      <c r="J19" t="s">
        <v>79</v>
      </c>
      <c r="K19" s="7">
        <f>IFERROR(IF(Tabla4789[[#This Row],[ID da Venda]]=B20,0,VLOOKUP(Tabla4789[[#This Row],[Entrega]],cálculos!$C$3:$D$7,2,FALSE)),0)</f>
        <v>0</v>
      </c>
      <c r="L19" s="7">
        <f>Tabla4789[[#This Row],[Subtotal]]*(1-Tabla4789[[#This Row],[Desconto]])+Tabla4789[[#This Row],[Valor de Entrega]]</f>
        <v>1.58</v>
      </c>
      <c r="M19" s="7" t="str">
        <f>IF(Tabla4789[[#This Row],[ID da Venda]]=B20,"",SUMIF(Tabla4789[ID da Venda],Tabla4789[[#This Row],[ID da Venda]],Tabla4789[Total]))</f>
        <v/>
      </c>
    </row>
    <row r="20" spans="2:13" x14ac:dyDescent="0.3">
      <c r="B20">
        <v>6</v>
      </c>
      <c r="C20" s="13">
        <v>42188</v>
      </c>
      <c r="D20" t="s">
        <v>20</v>
      </c>
      <c r="E20" s="35" t="str">
        <f>IFERROR(VLOOKUP(Tabla4789[[#This Row],[Produtos]],cálculos!$N$3:$Q$33,4,FALSE),"")</f>
        <v>Kg</v>
      </c>
      <c r="F20">
        <v>6</v>
      </c>
      <c r="G20" s="7">
        <f>IFERROR(VLOOKUP(Tabla4789[[#This Row],[Produtos]],cálculos!$N$3:$Q$33,3,FALSE),0)</f>
        <v>15.9</v>
      </c>
      <c r="H20" s="7">
        <f>Tabla4789[[#This Row],[Quantidade]]*Tabla4789[[#This Row],[Preço Unitário]]</f>
        <v>95.4</v>
      </c>
      <c r="I20" s="30"/>
      <c r="J20" t="s">
        <v>79</v>
      </c>
      <c r="K20" s="7">
        <f>IFERROR(IF(Tabla4789[[#This Row],[ID da Venda]]=B21,0,VLOOKUP(Tabla4789[[#This Row],[Entrega]],cálculos!$C$3:$D$7,2,FALSE)),0)</f>
        <v>0</v>
      </c>
      <c r="L20" s="7">
        <f>Tabla4789[[#This Row],[Subtotal]]*(1-Tabla4789[[#This Row],[Desconto]])+Tabla4789[[#This Row],[Valor de Entrega]]</f>
        <v>95.4</v>
      </c>
      <c r="M20" s="7" t="str">
        <f>IF(Tabla4789[[#This Row],[ID da Venda]]=B21,"",SUMIF(Tabla4789[ID da Venda],Tabla4789[[#This Row],[ID da Venda]],Tabla4789[Total]))</f>
        <v/>
      </c>
    </row>
    <row r="21" spans="2:13" x14ac:dyDescent="0.3">
      <c r="B21">
        <v>6</v>
      </c>
      <c r="C21" s="13">
        <v>42188</v>
      </c>
      <c r="D21" t="s">
        <v>29</v>
      </c>
      <c r="E21" s="35" t="str">
        <f>IFERROR(VLOOKUP(Tabla4789[[#This Row],[Produtos]],cálculos!$N$3:$Q$33,4,FALSE),"")</f>
        <v>Lata</v>
      </c>
      <c r="F21">
        <v>12</v>
      </c>
      <c r="G21" s="7">
        <f>IFERROR(VLOOKUP(Tabla4789[[#This Row],[Produtos]],cálculos!$N$3:$Q$33,3,FALSE),0)</f>
        <v>2.19</v>
      </c>
      <c r="H21" s="7">
        <f>Tabla4789[[#This Row],[Quantidade]]*Tabla4789[[#This Row],[Preço Unitário]]</f>
        <v>26.28</v>
      </c>
      <c r="I21" s="30"/>
      <c r="J21" t="s">
        <v>79</v>
      </c>
      <c r="K21" s="7">
        <f>IFERROR(IF(Tabla4789[[#This Row],[ID da Venda]]=B22,0,VLOOKUP(Tabla4789[[#This Row],[Entrega]],cálculos!$C$3:$D$7,2,FALSE)),0)</f>
        <v>0</v>
      </c>
      <c r="L21" s="7">
        <f>Tabla4789[[#This Row],[Subtotal]]*(1-Tabla4789[[#This Row],[Desconto]])+Tabla4789[[#This Row],[Valor de Entrega]]</f>
        <v>26.28</v>
      </c>
      <c r="M21" s="7">
        <f>IF(Tabla4789[[#This Row],[ID da Venda]]=B22,"",SUMIF(Tabla4789[ID da Venda],Tabla4789[[#This Row],[ID da Venda]],Tabla4789[Total]))</f>
        <v>123.26</v>
      </c>
    </row>
    <row r="22" spans="2:13" x14ac:dyDescent="0.3">
      <c r="B22">
        <v>5</v>
      </c>
      <c r="C22" s="13">
        <v>42187</v>
      </c>
      <c r="D22" t="s">
        <v>19</v>
      </c>
      <c r="E22" s="35" t="str">
        <f>IFERROR(VLOOKUP(Tabla4789[[#This Row],[Produtos]],cálculos!$N$3:$Q$33,4,FALSE),"")</f>
        <v>Unidade</v>
      </c>
      <c r="F22">
        <v>3</v>
      </c>
      <c r="G22" s="7">
        <f>IFERROR(VLOOKUP(Tabla4789[[#This Row],[Produtos]],cálculos!$N$3:$Q$33,3,FALSE),0)</f>
        <v>2.99</v>
      </c>
      <c r="H22" s="7">
        <f>Tabla4789[[#This Row],[Quantidade]]*Tabla4789[[#This Row],[Preço Unitário]]</f>
        <v>8.9700000000000006</v>
      </c>
      <c r="I22" s="30"/>
      <c r="J22" t="s">
        <v>82</v>
      </c>
      <c r="K22" s="7">
        <f>IFERROR(IF(Tabla4789[[#This Row],[ID da Venda]]=B23,0,VLOOKUP(Tabla4789[[#This Row],[Entrega]],cálculos!$C$3:$D$7,2,FALSE)),0)</f>
        <v>6.5</v>
      </c>
      <c r="L22" s="7">
        <f>Tabla4789[[#This Row],[Subtotal]]*(1-Tabla4789[[#This Row],[Desconto]])+Tabla4789[[#This Row],[Valor de Entrega]]</f>
        <v>15.47</v>
      </c>
      <c r="M22" s="7">
        <f>IF(Tabla4789[[#This Row],[ID da Venda]]=B23,"",SUMIF(Tabla4789[ID da Venda],Tabla4789[[#This Row],[ID da Venda]],Tabla4789[Total]))</f>
        <v>15.47</v>
      </c>
    </row>
    <row r="23" spans="2:13" x14ac:dyDescent="0.3">
      <c r="B23">
        <v>4</v>
      </c>
      <c r="C23" s="13">
        <v>42187</v>
      </c>
      <c r="D23" t="s">
        <v>33</v>
      </c>
      <c r="E23" s="35" t="str">
        <f>IFERROR(VLOOKUP(Tabla4789[[#This Row],[Produtos]],cálculos!$N$3:$Q$33,4,FALSE),"")</f>
        <v>Pacote</v>
      </c>
      <c r="F23">
        <v>2</v>
      </c>
      <c r="G23" s="7">
        <f>IFERROR(VLOOKUP(Tabla4789[[#This Row],[Produtos]],cálculos!$N$3:$Q$33,3,FALSE),0)</f>
        <v>1.99</v>
      </c>
      <c r="H23" s="7">
        <f>Tabla4789[[#This Row],[Quantidade]]*Tabla4789[[#This Row],[Preço Unitário]]</f>
        <v>3.98</v>
      </c>
      <c r="I23" s="30"/>
      <c r="J23" t="s">
        <v>80</v>
      </c>
      <c r="K23" s="7">
        <f>IFERROR(IF(Tabla4789[[#This Row],[ID da Venda]]=B24,0,VLOOKUP(Tabla4789[[#This Row],[Entrega]],cálculos!$C$3:$D$7,2,FALSE)),0)</f>
        <v>0</v>
      </c>
      <c r="L23" s="7">
        <f>Tabla4789[[#This Row],[Subtotal]]*(1-Tabla4789[[#This Row],[Desconto]])+Tabla4789[[#This Row],[Valor de Entrega]]</f>
        <v>3.98</v>
      </c>
      <c r="M23" s="7" t="str">
        <f>IF(Tabla4789[[#This Row],[ID da Venda]]=B24,"",SUMIF(Tabla4789[ID da Venda],Tabla4789[[#This Row],[ID da Venda]],Tabla4789[Total]))</f>
        <v/>
      </c>
    </row>
    <row r="24" spans="2:13" x14ac:dyDescent="0.3">
      <c r="B24">
        <v>4</v>
      </c>
      <c r="C24" s="13">
        <v>42187</v>
      </c>
      <c r="D24" t="s">
        <v>16</v>
      </c>
      <c r="E24" s="35" t="str">
        <f>IFERROR(VLOOKUP(Tabla4789[[#This Row],[Produtos]],cálculos!$N$3:$Q$33,4,FALSE),"")</f>
        <v>Kg</v>
      </c>
      <c r="F24">
        <v>5</v>
      </c>
      <c r="G24" s="7">
        <f>IFERROR(VLOOKUP(Tabla4789[[#This Row],[Produtos]],cálculos!$N$3:$Q$33,3,FALSE),0)</f>
        <v>2.4900000000000002</v>
      </c>
      <c r="H24" s="7">
        <f>Tabla4789[[#This Row],[Quantidade]]*Tabla4789[[#This Row],[Preço Unitário]]</f>
        <v>12.450000000000001</v>
      </c>
      <c r="I24" s="30"/>
      <c r="J24" t="s">
        <v>80</v>
      </c>
      <c r="K24" s="7">
        <f>IFERROR(IF(Tabla4789[[#This Row],[ID da Venda]]=B25,0,VLOOKUP(Tabla4789[[#This Row],[Entrega]],cálculos!$C$3:$D$7,2,FALSE)),0)</f>
        <v>6.5</v>
      </c>
      <c r="L24" s="7">
        <f>Tabla4789[[#This Row],[Subtotal]]*(1-Tabla4789[[#This Row],[Desconto]])+Tabla4789[[#This Row],[Valor de Entrega]]</f>
        <v>18.950000000000003</v>
      </c>
      <c r="M24" s="7">
        <f>IF(Tabla4789[[#This Row],[ID da Venda]]=B25,"",SUMIF(Tabla4789[ID da Venda],Tabla4789[[#This Row],[ID da Venda]],Tabla4789[Total]))</f>
        <v>22.930000000000003</v>
      </c>
    </row>
    <row r="25" spans="2:13" x14ac:dyDescent="0.3">
      <c r="B25">
        <v>3</v>
      </c>
      <c r="C25" s="13">
        <v>42187</v>
      </c>
      <c r="D25" t="s">
        <v>69</v>
      </c>
      <c r="E25" s="35" t="str">
        <f>IFERROR(VLOOKUP(Tabla4789[[#This Row],[Produtos]],cálculos!$N$3:$Q$33,4,FALSE),"")</f>
        <v>Litro</v>
      </c>
      <c r="F25">
        <v>6</v>
      </c>
      <c r="G25" s="7">
        <f>IFERROR(VLOOKUP(Tabla4789[[#This Row],[Produtos]],cálculos!$N$3:$Q$33,3,FALSE),0)</f>
        <v>1.49</v>
      </c>
      <c r="H25" s="7">
        <f>Tabla4789[[#This Row],[Quantidade]]*Tabla4789[[#This Row],[Preço Unitário]]</f>
        <v>8.94</v>
      </c>
      <c r="I25" s="30"/>
      <c r="J25" t="s">
        <v>81</v>
      </c>
      <c r="K25" s="7">
        <f>IFERROR(IF(Tabla4789[[#This Row],[ID da Venda]]=B26,0,VLOOKUP(Tabla4789[[#This Row],[Entrega]],cálculos!$C$3:$D$7,2,FALSE)),0)</f>
        <v>8</v>
      </c>
      <c r="L25" s="7">
        <f>Tabla4789[[#This Row],[Subtotal]]*(1-Tabla4789[[#This Row],[Desconto]])+Tabla4789[[#This Row],[Valor de Entrega]]</f>
        <v>16.939999999999998</v>
      </c>
      <c r="M25" s="7">
        <f>IF(Tabla4789[[#This Row],[ID da Venda]]=B26,"",SUMIF(Tabla4789[ID da Venda],Tabla4789[[#This Row],[ID da Venda]],Tabla4789[Total]))</f>
        <v>16.939999999999998</v>
      </c>
    </row>
    <row r="26" spans="2:13" x14ac:dyDescent="0.3">
      <c r="B26">
        <v>2</v>
      </c>
      <c r="C26" s="13">
        <v>42187</v>
      </c>
      <c r="D26" t="s">
        <v>33</v>
      </c>
      <c r="E26" s="35" t="str">
        <f>IFERROR(VLOOKUP(Tabla4789[[#This Row],[Produtos]],cálculos!$N$3:$Q$33,4,FALSE),"")</f>
        <v>Pacote</v>
      </c>
      <c r="F26">
        <v>1</v>
      </c>
      <c r="G26" s="7">
        <f>IFERROR(VLOOKUP(Tabla4789[[#This Row],[Produtos]],cálculos!$N$3:$Q$33,3,FALSE),0)</f>
        <v>1.99</v>
      </c>
      <c r="H26" s="7">
        <f>Tabla4789[[#This Row],[Quantidade]]*Tabla4789[[#This Row],[Preço Unitário]]</f>
        <v>1.99</v>
      </c>
      <c r="I26" s="30"/>
      <c r="J26" t="s">
        <v>80</v>
      </c>
      <c r="K26" s="7">
        <f>IFERROR(IF(Tabla4789[[#This Row],[ID da Venda]]=B27,0,VLOOKUP(Tabla4789[[#This Row],[Entrega]],cálculos!$C$3:$D$7,2,FALSE)),0)</f>
        <v>6.5</v>
      </c>
      <c r="L26" s="7">
        <f>Tabla4789[[#This Row],[Subtotal]]*(1-Tabla4789[[#This Row],[Desconto]])+Tabla4789[[#This Row],[Valor de Entrega]]</f>
        <v>8.49</v>
      </c>
      <c r="M26" s="7">
        <f>IF(Tabla4789[[#This Row],[ID da Venda]]=B27,"",SUMIF(Tabla4789[ID da Venda],Tabla4789[[#This Row],[ID da Venda]],Tabla4789[Total]))</f>
        <v>8.49</v>
      </c>
    </row>
    <row r="27" spans="2:13" x14ac:dyDescent="0.3">
      <c r="B27">
        <v>1</v>
      </c>
      <c r="C27" s="13">
        <v>42187</v>
      </c>
      <c r="D27" t="s">
        <v>16</v>
      </c>
      <c r="E27" s="35" t="str">
        <f>IFERROR(VLOOKUP(Tabla4789[[#This Row],[Produtos]],cálculos!$N$3:$Q$33,4,FALSE),"")</f>
        <v>Kg</v>
      </c>
      <c r="F27">
        <v>2</v>
      </c>
      <c r="G27" s="7">
        <f>IFERROR(VLOOKUP(Tabla4789[[#This Row],[Produtos]],cálculos!$N$3:$Q$33,3,FALSE),0)</f>
        <v>2.4900000000000002</v>
      </c>
      <c r="H27" s="7">
        <f>Tabla4789[[#This Row],[Quantidade]]*Tabla4789[[#This Row],[Preço Unitário]]</f>
        <v>4.9800000000000004</v>
      </c>
      <c r="I27" s="30"/>
      <c r="J27" t="s">
        <v>79</v>
      </c>
      <c r="K27" s="7">
        <f>IFERROR(IF(Tabla4789[[#This Row],[ID da Venda]]=B28,0,VLOOKUP(Tabla4789[[#This Row],[Entrega]],cálculos!$C$3:$D$7,2,FALSE)),0)</f>
        <v>0</v>
      </c>
      <c r="L27" s="7">
        <f>Tabla4789[[#This Row],[Subtotal]]*(1-Tabla4789[[#This Row],[Desconto]])+Tabla4789[[#This Row],[Valor de Entrega]]</f>
        <v>4.9800000000000004</v>
      </c>
      <c r="M27" s="7" t="str">
        <f>IF(Tabla4789[[#This Row],[ID da Venda]]=B28,"",SUMIF(Tabla4789[ID da Venda],Tabla4789[[#This Row],[ID da Venda]],Tabla4789[Total]))</f>
        <v/>
      </c>
    </row>
    <row r="28" spans="2:13" x14ac:dyDescent="0.3">
      <c r="B28">
        <v>1</v>
      </c>
      <c r="C28" s="13">
        <v>42187</v>
      </c>
      <c r="D28" t="s">
        <v>28</v>
      </c>
      <c r="E28" s="35" t="str">
        <f>IFERROR(VLOOKUP(Tabla4789[[#This Row],[Produtos]],cálculos!$N$3:$Q$33,4,FALSE),"")</f>
        <v>Pacote</v>
      </c>
      <c r="F28">
        <v>3</v>
      </c>
      <c r="G28" s="7">
        <f>IFERROR(VLOOKUP(Tabla4789[[#This Row],[Produtos]],cálculos!$N$3:$Q$33,3,FALSE),0)</f>
        <v>1.1499999999999999</v>
      </c>
      <c r="H28" s="7">
        <f>Tabla4789[[#This Row],[Quantidade]]*Tabla4789[[#This Row],[Preço Unitário]]</f>
        <v>3.4499999999999997</v>
      </c>
      <c r="I28" s="30"/>
      <c r="J28" t="s">
        <v>79</v>
      </c>
      <c r="K28" s="7">
        <f>IFERROR(IF(Tabla4789[[#This Row],[ID da Venda]]=B29,0,VLOOKUP(Tabla4789[[#This Row],[Entrega]],cálculos!$C$3:$D$7,2,FALSE)),0)</f>
        <v>0</v>
      </c>
      <c r="L28" s="7">
        <f>Tabla4789[[#This Row],[Subtotal]]*(1-Tabla4789[[#This Row],[Desconto]])+Tabla4789[[#This Row],[Valor de Entrega]]</f>
        <v>3.4499999999999997</v>
      </c>
      <c r="M28" s="7" t="str">
        <f>IF(Tabla4789[[#This Row],[ID da Venda]]=B29,"",SUMIF(Tabla4789[ID da Venda],Tabla4789[[#This Row],[ID da Venda]],Tabla4789[Total]))</f>
        <v/>
      </c>
    </row>
    <row r="29" spans="2:13" x14ac:dyDescent="0.3">
      <c r="B29">
        <v>1</v>
      </c>
      <c r="C29" s="13">
        <v>42187</v>
      </c>
      <c r="D29" t="s">
        <v>33</v>
      </c>
      <c r="E29" s="35" t="str">
        <f>IFERROR(VLOOKUP(Tabla4789[[#This Row],[Produtos]],cálculos!$N$3:$Q$33,4,FALSE),"")</f>
        <v>Pacote</v>
      </c>
      <c r="F29">
        <v>1</v>
      </c>
      <c r="G29" s="7">
        <f>IFERROR(VLOOKUP(Tabla4789[[#This Row],[Produtos]],cálculos!$N$3:$Q$33,3,FALSE),0)</f>
        <v>1.99</v>
      </c>
      <c r="H29" s="7">
        <f>Tabla4789[[#This Row],[Quantidade]]*Tabla4789[[#This Row],[Preço Unitário]]</f>
        <v>1.99</v>
      </c>
      <c r="I29" s="30"/>
      <c r="J29" t="s">
        <v>79</v>
      </c>
      <c r="K29" s="7">
        <f>IFERROR(IF(Tabla4789[[#This Row],[ID da Venda]]=B30,0,VLOOKUP(Tabla4789[[#This Row],[Entrega]],cálculos!$C$3:$D$7,2,FALSE)),0)</f>
        <v>0</v>
      </c>
      <c r="L29" s="7">
        <f>Tabla4789[[#This Row],[Subtotal]]*(1-Tabla4789[[#This Row],[Desconto]])+Tabla4789[[#This Row],[Valor de Entrega]]</f>
        <v>1.99</v>
      </c>
      <c r="M29" s="7">
        <f>IF(Tabla4789[[#This Row],[ID da Venda]]=B30,"",SUMIF(Tabla4789[ID da Venda],Tabla4789[[#This Row],[ID da Venda]],Tabla4789[Total]))</f>
        <v>10.42</v>
      </c>
    </row>
    <row r="32" spans="2:13" ht="18" x14ac:dyDescent="0.35">
      <c r="B32" s="34" t="s">
        <v>120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62">
        <f>SUM(Tabla4789[Total])</f>
        <v>670.87000000000012</v>
      </c>
    </row>
    <row r="33" spans="2:13" ht="18" x14ac:dyDescent="0.35">
      <c r="B33" s="56" t="s">
        <v>121</v>
      </c>
      <c r="C33" s="57"/>
      <c r="D33" s="56"/>
      <c r="E33" s="57"/>
      <c r="F33" s="56"/>
      <c r="G33" s="57"/>
      <c r="H33" s="56"/>
      <c r="I33" s="57"/>
      <c r="J33" s="56"/>
      <c r="K33" s="57"/>
      <c r="L33" s="56"/>
      <c r="M33" s="63">
        <f>SUM(Tabla4789[Valor de Entrega])</f>
        <v>40.5</v>
      </c>
    </row>
    <row r="34" spans="2:13" ht="18" x14ac:dyDescent="0.35">
      <c r="B34" s="32" t="s">
        <v>138</v>
      </c>
      <c r="M34" s="64">
        <f>SUM(IF(FREQUENCY(Tabla4789[ID da Venda],Tabla4789[ID da Venda])&gt;0,1,0))</f>
        <v>13</v>
      </c>
    </row>
  </sheetData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cálculos!$C$3:$C$7</xm:f>
          </x14:formula1>
          <xm:sqref>J5:J29</xm:sqref>
        </x14:dataValidation>
        <x14:dataValidation type="list" allowBlank="1" showInputMessage="1" showErrorMessage="1">
          <x14:formula1>
            <xm:f>cálculos!$N$3:$N$26</xm:f>
          </x14:formula1>
          <xm:sqref>D5:D29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H27"/>
  <sheetViews>
    <sheetView zoomScale="90" zoomScaleNormal="90" workbookViewId="0">
      <selection activeCell="J12" sqref="J12"/>
    </sheetView>
  </sheetViews>
  <sheetFormatPr baseColWidth="10" defaultRowHeight="14.4" x14ac:dyDescent="0.3"/>
  <cols>
    <col min="1" max="1" width="17.5546875" bestFit="1" customWidth="1"/>
    <col min="2" max="2" width="20.88671875" bestFit="1" customWidth="1"/>
    <col min="3" max="3" width="13.44140625" bestFit="1" customWidth="1"/>
    <col min="6" max="6" width="17.5546875" bestFit="1" customWidth="1"/>
    <col min="7" max="7" width="23.77734375" bestFit="1" customWidth="1"/>
    <col min="8" max="8" width="13.44140625" bestFit="1" customWidth="1"/>
  </cols>
  <sheetData>
    <row r="3" spans="1:8" x14ac:dyDescent="0.3">
      <c r="A3" s="76" t="s">
        <v>155</v>
      </c>
      <c r="B3" t="s">
        <v>158</v>
      </c>
      <c r="C3" t="s">
        <v>159</v>
      </c>
      <c r="F3" s="76" t="s">
        <v>155</v>
      </c>
      <c r="G3" t="s">
        <v>160</v>
      </c>
      <c r="H3" t="s">
        <v>159</v>
      </c>
    </row>
    <row r="4" spans="1:8" x14ac:dyDescent="0.3">
      <c r="A4" s="77">
        <v>42187</v>
      </c>
      <c r="B4" s="35">
        <v>1</v>
      </c>
      <c r="C4" s="80">
        <v>8.49</v>
      </c>
      <c r="F4" s="78" t="s">
        <v>79</v>
      </c>
      <c r="G4" s="80">
        <v>0</v>
      </c>
      <c r="H4" s="80">
        <v>326.39000000000004</v>
      </c>
    </row>
    <row r="5" spans="1:8" x14ac:dyDescent="0.3">
      <c r="A5" s="79" t="s">
        <v>33</v>
      </c>
      <c r="B5" s="35">
        <v>1</v>
      </c>
      <c r="C5" s="80">
        <v>8.49</v>
      </c>
      <c r="F5" s="79">
        <v>2</v>
      </c>
      <c r="G5" s="80">
        <v>0</v>
      </c>
      <c r="H5" s="80">
        <v>25.720000000000002</v>
      </c>
    </row>
    <row r="6" spans="1:8" x14ac:dyDescent="0.3">
      <c r="A6" s="77">
        <v>43223</v>
      </c>
      <c r="B6" s="35">
        <v>1</v>
      </c>
      <c r="C6" s="80">
        <v>1596.5</v>
      </c>
      <c r="F6" s="79">
        <v>10</v>
      </c>
      <c r="G6" s="80">
        <v>0</v>
      </c>
      <c r="H6" s="80">
        <v>21.9</v>
      </c>
    </row>
    <row r="7" spans="1:8" x14ac:dyDescent="0.3">
      <c r="A7" s="79" t="s">
        <v>20</v>
      </c>
      <c r="B7" s="35">
        <v>1</v>
      </c>
      <c r="C7" s="80">
        <v>1596.5</v>
      </c>
      <c r="F7" s="79">
        <v>1</v>
      </c>
      <c r="G7" s="80">
        <v>0</v>
      </c>
      <c r="H7" s="80">
        <v>4.18</v>
      </c>
    </row>
    <row r="8" spans="1:8" x14ac:dyDescent="0.3">
      <c r="A8" s="78" t="s">
        <v>156</v>
      </c>
      <c r="B8" s="35"/>
      <c r="C8" s="80">
        <v>0</v>
      </c>
      <c r="F8" s="79">
        <v>6</v>
      </c>
      <c r="G8" s="80">
        <v>0</v>
      </c>
      <c r="H8" s="80">
        <v>121.08000000000001</v>
      </c>
    </row>
    <row r="9" spans="1:8" x14ac:dyDescent="0.3">
      <c r="A9" s="79" t="s">
        <v>156</v>
      </c>
      <c r="B9" s="35"/>
      <c r="C9" s="80">
        <v>0</v>
      </c>
      <c r="F9" s="79">
        <v>4</v>
      </c>
      <c r="G9" s="80">
        <v>0</v>
      </c>
      <c r="H9" s="80">
        <v>26.68</v>
      </c>
    </row>
    <row r="10" spans="1:8" x14ac:dyDescent="0.3">
      <c r="A10" s="78" t="s">
        <v>157</v>
      </c>
      <c r="B10" s="35">
        <v>2</v>
      </c>
      <c r="C10" s="80">
        <v>1604.99</v>
      </c>
      <c r="F10" s="79">
        <v>5</v>
      </c>
      <c r="G10" s="80">
        <v>0</v>
      </c>
      <c r="H10" s="80">
        <v>14.450000000000001</v>
      </c>
    </row>
    <row r="11" spans="1:8" x14ac:dyDescent="0.3">
      <c r="F11" s="79">
        <v>1.5</v>
      </c>
      <c r="G11" s="80">
        <v>0</v>
      </c>
      <c r="H11" s="80">
        <v>38.849999999999994</v>
      </c>
    </row>
    <row r="12" spans="1:8" x14ac:dyDescent="0.3">
      <c r="F12" s="79">
        <v>20</v>
      </c>
      <c r="G12" s="80">
        <v>0</v>
      </c>
      <c r="H12" s="80">
        <v>43.8</v>
      </c>
    </row>
    <row r="13" spans="1:8" x14ac:dyDescent="0.3">
      <c r="F13" s="79">
        <v>12</v>
      </c>
      <c r="G13" s="80">
        <v>0</v>
      </c>
      <c r="H13" s="80">
        <v>26.28</v>
      </c>
    </row>
    <row r="14" spans="1:8" x14ac:dyDescent="0.3">
      <c r="F14" s="79">
        <v>3</v>
      </c>
      <c r="G14" s="80">
        <v>0</v>
      </c>
      <c r="H14" s="80">
        <v>3.4499999999999997</v>
      </c>
    </row>
    <row r="15" spans="1:8" x14ac:dyDescent="0.3">
      <c r="F15" s="78" t="s">
        <v>82</v>
      </c>
      <c r="G15" s="80">
        <v>19.5</v>
      </c>
      <c r="H15" s="80">
        <v>296.12</v>
      </c>
    </row>
    <row r="16" spans="1:8" x14ac:dyDescent="0.3">
      <c r="F16" s="79">
        <v>10</v>
      </c>
      <c r="G16" s="80">
        <v>0</v>
      </c>
      <c r="H16" s="80">
        <v>170.5</v>
      </c>
    </row>
    <row r="17" spans="6:8" x14ac:dyDescent="0.3">
      <c r="F17" s="79">
        <v>1</v>
      </c>
      <c r="G17" s="80">
        <v>0</v>
      </c>
      <c r="H17" s="80">
        <v>0.79</v>
      </c>
    </row>
    <row r="18" spans="6:8" x14ac:dyDescent="0.3">
      <c r="F18" s="79">
        <v>24</v>
      </c>
      <c r="G18" s="80">
        <v>6.5</v>
      </c>
      <c r="H18" s="80">
        <v>59.06</v>
      </c>
    </row>
    <row r="19" spans="6:8" x14ac:dyDescent="0.3">
      <c r="F19" s="79">
        <v>20</v>
      </c>
      <c r="G19" s="80">
        <v>6.5</v>
      </c>
      <c r="H19" s="80">
        <v>50.3</v>
      </c>
    </row>
    <row r="20" spans="6:8" x14ac:dyDescent="0.3">
      <c r="F20" s="79">
        <v>3</v>
      </c>
      <c r="G20" s="80">
        <v>6.5</v>
      </c>
      <c r="H20" s="80">
        <v>15.47</v>
      </c>
    </row>
    <row r="21" spans="6:8" x14ac:dyDescent="0.3">
      <c r="F21" s="78" t="s">
        <v>80</v>
      </c>
      <c r="G21" s="80">
        <v>13</v>
      </c>
      <c r="H21" s="80">
        <v>31.42</v>
      </c>
    </row>
    <row r="22" spans="6:8" x14ac:dyDescent="0.3">
      <c r="F22" s="79">
        <v>2</v>
      </c>
      <c r="G22" s="80">
        <v>0</v>
      </c>
      <c r="H22" s="80">
        <v>3.98</v>
      </c>
    </row>
    <row r="23" spans="6:8" x14ac:dyDescent="0.3">
      <c r="F23" s="79">
        <v>1</v>
      </c>
      <c r="G23" s="80">
        <v>6.5</v>
      </c>
      <c r="H23" s="80">
        <v>8.49</v>
      </c>
    </row>
    <row r="24" spans="6:8" x14ac:dyDescent="0.3">
      <c r="F24" s="79">
        <v>5</v>
      </c>
      <c r="G24" s="80">
        <v>6.5</v>
      </c>
      <c r="H24" s="80">
        <v>18.950000000000003</v>
      </c>
    </row>
    <row r="25" spans="6:8" x14ac:dyDescent="0.3">
      <c r="F25" s="78" t="s">
        <v>81</v>
      </c>
      <c r="G25" s="80">
        <v>8</v>
      </c>
      <c r="H25" s="80">
        <v>16.939999999999998</v>
      </c>
    </row>
    <row r="26" spans="6:8" x14ac:dyDescent="0.3">
      <c r="F26" s="79">
        <v>6</v>
      </c>
      <c r="G26" s="80">
        <v>8</v>
      </c>
      <c r="H26" s="80">
        <v>16.939999999999998</v>
      </c>
    </row>
    <row r="27" spans="6:8" x14ac:dyDescent="0.3">
      <c r="F27" s="78" t="s">
        <v>157</v>
      </c>
      <c r="G27" s="80">
        <v>40.5</v>
      </c>
      <c r="H27" s="80">
        <v>670.87000000000012</v>
      </c>
    </row>
  </sheetData>
  <pageMargins left="0.7" right="0.7" top="0.75" bottom="0.75" header="0.3" footer="0.3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B1:M21"/>
  <sheetViews>
    <sheetView showGridLines="0" tabSelected="1" zoomScale="90" zoomScaleNormal="90" workbookViewId="0"/>
  </sheetViews>
  <sheetFormatPr baseColWidth="10" defaultRowHeight="14.4" x14ac:dyDescent="0.3"/>
  <cols>
    <col min="1" max="1" width="31" customWidth="1"/>
    <col min="2" max="2" width="28.77734375" bestFit="1" customWidth="1"/>
    <col min="3" max="3" width="18.33203125" customWidth="1"/>
    <col min="4" max="4" width="10.88671875" bestFit="1" customWidth="1"/>
    <col min="5" max="5" width="9.6640625" bestFit="1" customWidth="1"/>
    <col min="6" max="6" width="13.109375" bestFit="1" customWidth="1"/>
    <col min="7" max="7" width="16" bestFit="1" customWidth="1"/>
    <col min="8" max="8" width="10.88671875" bestFit="1" customWidth="1"/>
    <col min="9" max="9" width="11.109375" bestFit="1" customWidth="1"/>
    <col min="10" max="10" width="10.77734375" bestFit="1" customWidth="1"/>
    <col min="11" max="11" width="17.109375" bestFit="1" customWidth="1"/>
    <col min="12" max="12" width="14.44140625" customWidth="1"/>
    <col min="13" max="13" width="17.88671875" bestFit="1" customWidth="1"/>
  </cols>
  <sheetData>
    <row r="1" spans="2:13" s="25" customFormat="1" x14ac:dyDescent="0.3"/>
    <row r="2" spans="2:13" s="25" customFormat="1" ht="28.05" customHeight="1" x14ac:dyDescent="0.3">
      <c r="B2" s="26" t="s">
        <v>154</v>
      </c>
      <c r="C2" s="27"/>
    </row>
    <row r="3" spans="2:13" ht="38.4" customHeight="1" x14ac:dyDescent="0.3"/>
    <row r="4" spans="2:13" x14ac:dyDescent="0.3">
      <c r="B4" t="s">
        <v>113</v>
      </c>
      <c r="C4" t="s">
        <v>40</v>
      </c>
      <c r="D4" t="s">
        <v>62</v>
      </c>
      <c r="E4" t="s">
        <v>65</v>
      </c>
      <c r="F4" t="s">
        <v>58</v>
      </c>
      <c r="G4" t="s">
        <v>59</v>
      </c>
      <c r="H4" t="s">
        <v>114</v>
      </c>
      <c r="I4" t="s">
        <v>60</v>
      </c>
      <c r="J4" t="s">
        <v>115</v>
      </c>
      <c r="K4" t="s">
        <v>116</v>
      </c>
      <c r="L4" t="s">
        <v>117</v>
      </c>
      <c r="M4" t="s">
        <v>118</v>
      </c>
    </row>
    <row r="5" spans="2:13" x14ac:dyDescent="0.3">
      <c r="B5">
        <v>7</v>
      </c>
      <c r="C5" s="13">
        <v>43223</v>
      </c>
      <c r="D5" t="s">
        <v>32</v>
      </c>
      <c r="E5" s="35" t="str">
        <f>IFERROR(VLOOKUP(Tabla410[[#This Row],[Produtos]],cálculos!$N$3:$Q$33,4,FALSE),"")</f>
        <v>Pacote</v>
      </c>
      <c r="F5">
        <v>16</v>
      </c>
      <c r="G5" s="7">
        <f>IFERROR(VLOOKUP(Tabla410[[#This Row],[Produtos]],cálculos!$N$3:$Q$33,3,FALSE),0)</f>
        <v>0.79</v>
      </c>
      <c r="H5" s="7">
        <f>Tabla410[[#This Row],[Quantidade]]*Tabla410[[#This Row],[Preço Unitário]]</f>
        <v>12.64</v>
      </c>
      <c r="I5" s="30"/>
      <c r="J5" t="s">
        <v>79</v>
      </c>
      <c r="K5" s="7">
        <f>IFERROR(VLOOKUP(Tabla410[[#This Row],[Entrega]],cálculos!$C$3:$D$7,2,FALSE),0)</f>
        <v>0</v>
      </c>
      <c r="L5" s="7">
        <f>Tabla410[[#This Row],[Subtotal]]*(1-Tabla410[[#This Row],[Desconto]])+Tabla410[[#This Row],[Valor de Entrega]]</f>
        <v>12.64</v>
      </c>
      <c r="M5" s="7">
        <f>IF(Tabla410[[#This Row],[ID da Venda]]=B6,"",SUMIF(Tabla410[ID da Venda],Tabla410[[#This Row],[ID da Venda]],Tabla410[Total]))</f>
        <v>12.64</v>
      </c>
    </row>
    <row r="6" spans="2:13" x14ac:dyDescent="0.3">
      <c r="B6">
        <v>6</v>
      </c>
      <c r="C6" s="13">
        <f ca="1">TODAY()</f>
        <v>43224</v>
      </c>
      <c r="D6" t="s">
        <v>29</v>
      </c>
      <c r="E6" t="str">
        <f>IFERROR(VLOOKUP(Tabla410[[#This Row],[Produtos]],cálculos!$N$3:$Q$33,4,FALSE),"")</f>
        <v>Lata</v>
      </c>
      <c r="F6">
        <v>200</v>
      </c>
      <c r="G6" s="7">
        <f>IFERROR(VLOOKUP(Tabla410[[#This Row],[Produtos]],cálculos!$N$3:$Q$33,3,FALSE),0)</f>
        <v>2.19</v>
      </c>
      <c r="H6" s="7">
        <f>Tabla410[[#This Row],[Quantidade]]*Tabla410[[#This Row],[Preço Unitário]]</f>
        <v>438</v>
      </c>
      <c r="I6" s="31"/>
      <c r="J6" t="s">
        <v>80</v>
      </c>
      <c r="K6" s="7">
        <f>IFERROR(VLOOKUP(Tabla410[[#This Row],[Entrega]],cálculos!$C$3:$D$7,2,FALSE),0)</f>
        <v>6.5</v>
      </c>
      <c r="L6" s="7">
        <f>Tabla410[[#This Row],[Subtotal]]*(1-Tabla410[[#This Row],[Desconto]])+Tabla410[[#This Row],[Valor de Entrega]]</f>
        <v>444.5</v>
      </c>
      <c r="M6" s="7">
        <f>IF(Tabla410[[#This Row],[ID da Venda]]=B7,"",SUMIF(Tabla410[ID da Venda],Tabla410[[#This Row],[ID da Venda]],Tabla410[Total]))</f>
        <v>444.5</v>
      </c>
    </row>
    <row r="7" spans="2:13" x14ac:dyDescent="0.3">
      <c r="C7" s="13"/>
      <c r="E7" t="str">
        <f>IFERROR(VLOOKUP(Tabla410[[#This Row],[Produtos]],cálculos!$N$3:$Q$33,4,FALSE),"")</f>
        <v/>
      </c>
      <c r="G7" s="7">
        <f>IFERROR(VLOOKUP(Tabla410[[#This Row],[Produtos]],cálculos!$N$3:$Q$33,3,FALSE),0)</f>
        <v>0</v>
      </c>
      <c r="H7" s="7">
        <f>Tabla410[[#This Row],[Quantidade]]*Tabla410[[#This Row],[Preço Unitário]]</f>
        <v>0</v>
      </c>
      <c r="I7" s="30"/>
      <c r="K7" s="7">
        <f>IFERROR(VLOOKUP(Tabla410[[#This Row],[Entrega]],cálculos!$C$3:$D$7,2,FALSE),0)</f>
        <v>0</v>
      </c>
      <c r="L7" s="7">
        <f>Tabla410[[#This Row],[Subtotal]]*(1-Tabla410[[#This Row],[Desconto]])+Tabla410[[#This Row],[Valor de Entrega]]</f>
        <v>0</v>
      </c>
      <c r="M7" s="7" t="str">
        <f>IF(Tabla410[[#This Row],[ID da Venda]]=B8,"",SUMIF(Tabla410[ID da Venda],Tabla410[[#This Row],[ID da Venda]],Tabla410[Total]))</f>
        <v/>
      </c>
    </row>
    <row r="8" spans="2:13" x14ac:dyDescent="0.3">
      <c r="C8" s="13"/>
      <c r="E8" t="str">
        <f>IFERROR(VLOOKUP(Tabla410[[#This Row],[Produtos]],cálculos!$N$3:$Q$33,4,FALSE),"")</f>
        <v/>
      </c>
      <c r="G8" s="7">
        <f>IFERROR(VLOOKUP(Tabla410[[#This Row],[Produtos]],cálculos!$N$3:$Q$33,3,FALSE),0)</f>
        <v>0</v>
      </c>
      <c r="H8" s="7">
        <f>Tabla410[[#This Row],[Quantidade]]*Tabla410[[#This Row],[Preço Unitário]]</f>
        <v>0</v>
      </c>
      <c r="I8" s="30"/>
      <c r="K8" s="7">
        <f>IFERROR(VLOOKUP(Tabla410[[#This Row],[Entrega]],cálculos!$C$3:$D$7,2,FALSE),0)</f>
        <v>0</v>
      </c>
      <c r="L8" s="7">
        <f>Tabla410[[#This Row],[Subtotal]]*(1-Tabla410[[#This Row],[Desconto]])+Tabla410[[#This Row],[Valor de Entrega]]</f>
        <v>0</v>
      </c>
      <c r="M8" s="7" t="str">
        <f>IF(Tabla410[[#This Row],[ID da Venda]]=B9,"",SUMIF(Tabla410[ID da Venda],Tabla410[[#This Row],[ID da Venda]],Tabla410[Total]))</f>
        <v/>
      </c>
    </row>
    <row r="9" spans="2:13" x14ac:dyDescent="0.3">
      <c r="C9" s="13"/>
      <c r="E9" t="str">
        <f>IFERROR(VLOOKUP(Tabla410[[#This Row],[Produtos]],cálculos!$N$3:$Q$33,4,FALSE),"")</f>
        <v/>
      </c>
      <c r="G9" s="7">
        <f>IFERROR(VLOOKUP(Tabla410[[#This Row],[Produtos]],cálculos!$N$3:$Q$33,3,FALSE),0)</f>
        <v>0</v>
      </c>
      <c r="H9" s="7">
        <f>Tabla410[[#This Row],[Quantidade]]*Tabla410[[#This Row],[Preço Unitário]]</f>
        <v>0</v>
      </c>
      <c r="I9" s="30"/>
      <c r="K9" s="7">
        <f>IFERROR(VLOOKUP(Tabla410[[#This Row],[Entrega]],cálculos!$C$3:$D$7,2,FALSE),0)</f>
        <v>0</v>
      </c>
      <c r="L9" s="7">
        <f>Tabla410[[#This Row],[Subtotal]]*(1-Tabla410[[#This Row],[Desconto]])+Tabla410[[#This Row],[Valor de Entrega]]</f>
        <v>0</v>
      </c>
      <c r="M9" s="7" t="str">
        <f>IF(Tabla410[[#This Row],[ID da Venda]]=B10,"",SUMIF(Tabla410[ID da Venda],Tabla410[[#This Row],[ID da Venda]],Tabla410[Total]))</f>
        <v/>
      </c>
    </row>
    <row r="10" spans="2:13" x14ac:dyDescent="0.3">
      <c r="C10" s="13"/>
      <c r="E10" t="str">
        <f>IFERROR(VLOOKUP(Tabla410[[#This Row],[Produtos]],cálculos!$N$3:$Q$33,4,FALSE),"")</f>
        <v/>
      </c>
      <c r="G10" s="7">
        <f>IFERROR(VLOOKUP(Tabla410[[#This Row],[Produtos]],cálculos!$N$3:$Q$33,3,FALSE),0)</f>
        <v>0</v>
      </c>
      <c r="H10" s="7">
        <f>Tabla410[[#This Row],[Quantidade]]*Tabla410[[#This Row],[Preço Unitário]]</f>
        <v>0</v>
      </c>
      <c r="I10" s="30"/>
      <c r="K10" s="7">
        <f>IFERROR(VLOOKUP(Tabla410[[#This Row],[Entrega]],cálculos!$C$3:$D$7,2,FALSE),0)</f>
        <v>0</v>
      </c>
      <c r="L10" s="7">
        <f>Tabla410[[#This Row],[Subtotal]]*(1-Tabla410[[#This Row],[Desconto]])+Tabla410[[#This Row],[Valor de Entrega]]</f>
        <v>0</v>
      </c>
      <c r="M10" s="7" t="str">
        <f>IF(Tabla410[[#This Row],[ID da Venda]]=B11,"",SUMIF(Tabla410[ID da Venda],Tabla410[[#This Row],[ID da Venda]],Tabla410[Total]))</f>
        <v/>
      </c>
    </row>
    <row r="11" spans="2:13" x14ac:dyDescent="0.3">
      <c r="C11" s="13"/>
      <c r="E11" t="str">
        <f>IFERROR(VLOOKUP(Tabla410[[#This Row],[Produtos]],cálculos!$N$3:$Q$33,4,FALSE),"")</f>
        <v/>
      </c>
      <c r="G11" s="7">
        <f>IFERROR(VLOOKUP(Tabla410[[#This Row],[Produtos]],cálculos!$N$3:$Q$33,3,FALSE),0)</f>
        <v>0</v>
      </c>
      <c r="H11" s="7">
        <f>Tabla410[[#This Row],[Quantidade]]*Tabla410[[#This Row],[Preço Unitário]]</f>
        <v>0</v>
      </c>
      <c r="I11" s="30"/>
      <c r="K11" s="7">
        <f>IFERROR(VLOOKUP(Tabla410[[#This Row],[Entrega]],cálculos!$C$3:$D$7,2,FALSE),0)</f>
        <v>0</v>
      </c>
      <c r="L11" s="7">
        <f>Tabla410[[#This Row],[Subtotal]]*(1-Tabla410[[#This Row],[Desconto]])+Tabla410[[#This Row],[Valor de Entrega]]</f>
        <v>0</v>
      </c>
      <c r="M11" s="7" t="str">
        <f>IF(Tabla410[[#This Row],[ID da Venda]]=B12,"",SUMIF(Tabla410[ID da Venda],Tabla410[[#This Row],[ID da Venda]],Tabla410[Total]))</f>
        <v/>
      </c>
    </row>
    <row r="12" spans="2:13" x14ac:dyDescent="0.3">
      <c r="C12" s="13"/>
      <c r="E12" t="str">
        <f>IFERROR(VLOOKUP(Tabla410[[#This Row],[Produtos]],cálculos!$N$3:$Q$33,4,FALSE),"")</f>
        <v/>
      </c>
      <c r="G12" s="7">
        <f>IFERROR(VLOOKUP(Tabla410[[#This Row],[Produtos]],cálculos!$N$3:$Q$33,3,FALSE),0)</f>
        <v>0</v>
      </c>
      <c r="H12" s="7">
        <f>Tabla410[[#This Row],[Quantidade]]*Tabla410[[#This Row],[Preço Unitário]]</f>
        <v>0</v>
      </c>
      <c r="I12" s="30"/>
      <c r="K12" s="7">
        <f>IFERROR(VLOOKUP(Tabla410[[#This Row],[Entrega]],cálculos!$C$3:$D$7,2,FALSE),0)</f>
        <v>0</v>
      </c>
      <c r="L12" s="7">
        <f>Tabla410[[#This Row],[Subtotal]]*(1-Tabla410[[#This Row],[Desconto]])+Tabla410[[#This Row],[Valor de Entrega]]</f>
        <v>0</v>
      </c>
      <c r="M12" s="7" t="str">
        <f>IF(Tabla410[[#This Row],[ID da Venda]]=B13,"",SUMIF(Tabla410[ID da Venda],Tabla410[[#This Row],[ID da Venda]],Tabla410[Total]))</f>
        <v/>
      </c>
    </row>
    <row r="13" spans="2:13" x14ac:dyDescent="0.3">
      <c r="C13" s="13"/>
      <c r="E13" t="str">
        <f>IFERROR(VLOOKUP(Tabla410[[#This Row],[Produtos]],cálculos!$N$3:$Q$33,4,FALSE),"")</f>
        <v/>
      </c>
      <c r="G13" s="7">
        <f>IFERROR(VLOOKUP(Tabla410[[#This Row],[Produtos]],cálculos!$N$3:$Q$33,3,FALSE),0)</f>
        <v>0</v>
      </c>
      <c r="H13" s="7">
        <f>Tabla410[[#This Row],[Quantidade]]*Tabla410[[#This Row],[Preço Unitário]]</f>
        <v>0</v>
      </c>
      <c r="I13" s="30"/>
      <c r="K13" s="7">
        <f>IFERROR(VLOOKUP(Tabla410[[#This Row],[Entrega]],cálculos!$C$3:$D$7,2,FALSE),0)</f>
        <v>0</v>
      </c>
      <c r="L13" s="7">
        <f>Tabla410[[#This Row],[Subtotal]]*(1-Tabla410[[#This Row],[Desconto]])+Tabla410[[#This Row],[Valor de Entrega]]</f>
        <v>0</v>
      </c>
      <c r="M13" s="7" t="str">
        <f>IF(Tabla410[[#This Row],[ID da Venda]]=B14,"",SUMIF(Tabla410[ID da Venda],Tabla410[[#This Row],[ID da Venda]],Tabla410[Total]))</f>
        <v/>
      </c>
    </row>
    <row r="14" spans="2:13" x14ac:dyDescent="0.3">
      <c r="C14" s="13"/>
      <c r="E14" t="str">
        <f>IFERROR(VLOOKUP(Tabla410[[#This Row],[Produtos]],cálculos!$N$3:$Q$33,4,FALSE),"")</f>
        <v/>
      </c>
      <c r="G14" s="7">
        <f>IFERROR(VLOOKUP(Tabla410[[#This Row],[Produtos]],cálculos!$N$3:$Q$33,3,FALSE),0)</f>
        <v>0</v>
      </c>
      <c r="H14" s="7">
        <f>Tabla410[[#This Row],[Quantidade]]*Tabla410[[#This Row],[Preço Unitário]]</f>
        <v>0</v>
      </c>
      <c r="I14" s="30"/>
      <c r="K14" s="7">
        <f>IFERROR(VLOOKUP(Tabla410[[#This Row],[Entrega]],cálculos!$C$3:$D$7,2,FALSE),0)</f>
        <v>0</v>
      </c>
      <c r="L14" s="7">
        <f>Tabla410[[#This Row],[Subtotal]]*(1-Tabla410[[#This Row],[Desconto]])+Tabla410[[#This Row],[Valor de Entrega]]</f>
        <v>0</v>
      </c>
      <c r="M14" s="7" t="str">
        <f>IF(Tabla410[[#This Row],[ID da Venda]]=B15,"",SUMIF(Tabla410[ID da Venda],Tabla410[[#This Row],[ID da Venda]],Tabla410[Total]))</f>
        <v/>
      </c>
    </row>
    <row r="15" spans="2:13" x14ac:dyDescent="0.3">
      <c r="C15" s="13"/>
      <c r="E15" t="str">
        <f>IFERROR(VLOOKUP(Tabla410[[#This Row],[Produtos]],cálculos!$N$3:$Q$33,4,FALSE),"")</f>
        <v/>
      </c>
      <c r="G15" s="7">
        <f>IFERROR(VLOOKUP(Tabla410[[#This Row],[Produtos]],cálculos!$N$3:$Q$33,3,FALSE),0)</f>
        <v>0</v>
      </c>
      <c r="H15" s="7">
        <f>Tabla410[[#This Row],[Quantidade]]*Tabla410[[#This Row],[Preço Unitário]]</f>
        <v>0</v>
      </c>
      <c r="I15" s="30"/>
      <c r="K15" s="7">
        <f>IFERROR(VLOOKUP(Tabla410[[#This Row],[Entrega]],cálculos!$C$3:$D$7,2,FALSE),0)</f>
        <v>0</v>
      </c>
      <c r="L15" s="7">
        <f>Tabla410[[#This Row],[Subtotal]]*(1-Tabla410[[#This Row],[Desconto]])+Tabla410[[#This Row],[Valor de Entrega]]</f>
        <v>0</v>
      </c>
      <c r="M15" s="7" t="str">
        <f>IF(Tabla410[[#This Row],[ID da Venda]]=B16,"",SUMIF(Tabla410[ID da Venda],Tabla410[[#This Row],[ID da Venda]],Tabla410[Total]))</f>
        <v/>
      </c>
    </row>
    <row r="16" spans="2:13" x14ac:dyDescent="0.3">
      <c r="C16" s="13"/>
      <c r="E16" t="str">
        <f>IFERROR(VLOOKUP(Tabla410[[#This Row],[Produtos]],cálculos!$N$3:$Q$33,4,FALSE),"")</f>
        <v/>
      </c>
      <c r="G16" s="7">
        <f>IFERROR(VLOOKUP(Tabla410[[#This Row],[Produtos]],cálculos!$N$3:$Q$33,3,FALSE),0)</f>
        <v>0</v>
      </c>
      <c r="H16" s="7">
        <f>Tabla410[[#This Row],[Quantidade]]*Tabla410[[#This Row],[Preço Unitário]]</f>
        <v>0</v>
      </c>
      <c r="I16" s="30"/>
      <c r="K16" s="7">
        <f>IFERROR(VLOOKUP(Tabla410[[#This Row],[Entrega]],cálculos!$C$3:$D$7,2,FALSE),0)</f>
        <v>0</v>
      </c>
      <c r="L16" s="7">
        <f>Tabla410[[#This Row],[Subtotal]]*(1-Tabla410[[#This Row],[Desconto]])+Tabla410[[#This Row],[Valor de Entrega]]</f>
        <v>0</v>
      </c>
      <c r="M16" s="7" t="str">
        <f>IF(Tabla410[[#This Row],[ID da Venda]]=B17,"",SUMIF(Tabla410[ID da Venda],Tabla410[[#This Row],[ID da Venda]],Tabla410[Total]))</f>
        <v/>
      </c>
    </row>
    <row r="19" spans="2:13" ht="18" x14ac:dyDescent="0.35">
      <c r="B19" s="34" t="s">
        <v>120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62">
        <f>SUM(Tabla410[Total])</f>
        <v>457.14</v>
      </c>
    </row>
    <row r="20" spans="2:13" ht="18" x14ac:dyDescent="0.35">
      <c r="B20" s="56" t="s">
        <v>121</v>
      </c>
      <c r="C20" s="57"/>
      <c r="D20" s="56"/>
      <c r="E20" s="57"/>
      <c r="F20" s="56"/>
      <c r="G20" s="57"/>
      <c r="H20" s="56"/>
      <c r="I20" s="57"/>
      <c r="J20" s="56"/>
      <c r="K20" s="57"/>
      <c r="L20" s="56"/>
      <c r="M20" s="63">
        <f>SUM(Tabla410[Valor de Entrega])</f>
        <v>6.5</v>
      </c>
    </row>
    <row r="21" spans="2:13" ht="18" x14ac:dyDescent="0.35">
      <c r="B21" s="32" t="s">
        <v>138</v>
      </c>
      <c r="M21" s="64">
        <f>SUM(IF(FREQUENCY(Tabla410[ID da Venda],Tabla410[ID da Venda])&gt;0,1,0))</f>
        <v>2</v>
      </c>
    </row>
  </sheetData>
  <pageMargins left="0.7" right="0.7" top="0.75" bottom="0.75" header="0.3" footer="0.3"/>
  <ignoredErrors>
    <ignoredError sqref="C5" calculatedColumn="1"/>
  </ignoredErrors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cálculos!$C$3:$C$7</xm:f>
          </x14:formula1>
          <xm:sqref>J5:J16</xm:sqref>
        </x14:dataValidation>
        <x14:dataValidation type="list" allowBlank="1" showInputMessage="1" showErrorMessage="1">
          <x14:formula1>
            <xm:f>cálculos!$N$3:$N$26</xm:f>
          </x14:formula1>
          <xm:sqref>D5:D16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H10"/>
  <sheetViews>
    <sheetView zoomScale="90" zoomScaleNormal="90" workbookViewId="0">
      <selection activeCell="B5" sqref="B5"/>
    </sheetView>
  </sheetViews>
  <sheetFormatPr baseColWidth="10" defaultRowHeight="14.4" x14ac:dyDescent="0.3"/>
  <cols>
    <col min="1" max="1" width="17.5546875" bestFit="1" customWidth="1"/>
    <col min="2" max="2" width="20.88671875" bestFit="1" customWidth="1"/>
    <col min="3" max="3" width="13.44140625" bestFit="1" customWidth="1"/>
    <col min="6" max="6" width="17.5546875" bestFit="1" customWidth="1"/>
    <col min="7" max="7" width="23.77734375" bestFit="1" customWidth="1"/>
    <col min="8" max="8" width="13.44140625" bestFit="1" customWidth="1"/>
  </cols>
  <sheetData>
    <row r="3" spans="1:8" x14ac:dyDescent="0.3">
      <c r="A3" s="76" t="s">
        <v>155</v>
      </c>
      <c r="B3" t="s">
        <v>158</v>
      </c>
      <c r="C3" t="s">
        <v>159</v>
      </c>
      <c r="F3" s="76" t="s">
        <v>155</v>
      </c>
      <c r="G3" t="s">
        <v>160</v>
      </c>
      <c r="H3" t="s">
        <v>159</v>
      </c>
    </row>
    <row r="4" spans="1:8" x14ac:dyDescent="0.3">
      <c r="A4" s="77">
        <v>42187</v>
      </c>
      <c r="B4" s="35">
        <v>1</v>
      </c>
      <c r="C4" s="80">
        <v>8.49</v>
      </c>
      <c r="F4" s="78" t="s">
        <v>79</v>
      </c>
      <c r="G4" s="80">
        <v>0</v>
      </c>
      <c r="H4" s="80">
        <v>12.64</v>
      </c>
    </row>
    <row r="5" spans="1:8" x14ac:dyDescent="0.3">
      <c r="A5" s="79" t="s">
        <v>33</v>
      </c>
      <c r="B5" s="35">
        <v>1</v>
      </c>
      <c r="C5" s="80">
        <v>8.49</v>
      </c>
      <c r="F5" s="79">
        <v>16</v>
      </c>
      <c r="G5" s="80">
        <v>0</v>
      </c>
      <c r="H5" s="80">
        <v>12.64</v>
      </c>
    </row>
    <row r="6" spans="1:8" x14ac:dyDescent="0.3">
      <c r="A6" s="77">
        <v>43223</v>
      </c>
      <c r="B6" s="35">
        <v>1</v>
      </c>
      <c r="C6" s="80">
        <v>1596.5</v>
      </c>
      <c r="F6" s="78" t="s">
        <v>80</v>
      </c>
      <c r="G6" s="80">
        <v>6.5</v>
      </c>
      <c r="H6" s="80">
        <v>444.5</v>
      </c>
    </row>
    <row r="7" spans="1:8" x14ac:dyDescent="0.3">
      <c r="A7" s="79" t="s">
        <v>20</v>
      </c>
      <c r="B7" s="35">
        <v>1</v>
      </c>
      <c r="C7" s="80">
        <v>1596.5</v>
      </c>
      <c r="F7" s="79">
        <v>200</v>
      </c>
      <c r="G7" s="80">
        <v>6.5</v>
      </c>
      <c r="H7" s="80">
        <v>444.5</v>
      </c>
    </row>
    <row r="8" spans="1:8" x14ac:dyDescent="0.3">
      <c r="A8" s="78" t="s">
        <v>156</v>
      </c>
      <c r="B8" s="35"/>
      <c r="C8" s="80">
        <v>0</v>
      </c>
      <c r="F8" s="78" t="s">
        <v>156</v>
      </c>
      <c r="G8" s="80">
        <v>0</v>
      </c>
      <c r="H8" s="80">
        <v>0</v>
      </c>
    </row>
    <row r="9" spans="1:8" x14ac:dyDescent="0.3">
      <c r="A9" s="79" t="s">
        <v>156</v>
      </c>
      <c r="B9" s="35"/>
      <c r="C9" s="80">
        <v>0</v>
      </c>
      <c r="F9" s="79" t="s">
        <v>156</v>
      </c>
      <c r="G9" s="80">
        <v>0</v>
      </c>
      <c r="H9" s="80">
        <v>0</v>
      </c>
    </row>
    <row r="10" spans="1:8" x14ac:dyDescent="0.3">
      <c r="A10" s="78" t="s">
        <v>157</v>
      </c>
      <c r="B10" s="35">
        <v>2</v>
      </c>
      <c r="C10" s="80">
        <v>1604.99</v>
      </c>
      <c r="F10" s="78" t="s">
        <v>157</v>
      </c>
      <c r="G10" s="80">
        <v>6.5</v>
      </c>
      <c r="H10" s="80">
        <v>457.14</v>
      </c>
    </row>
  </sheetData>
  <pageMargins left="0.7" right="0.7" top="0.75" bottom="0.75" header="0.3" footer="0.3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C2:Q34"/>
  <sheetViews>
    <sheetView topLeftCell="B1" workbookViewId="0">
      <selection activeCell="I20" sqref="I20"/>
    </sheetView>
  </sheetViews>
  <sheetFormatPr baseColWidth="10" defaultColWidth="8.88671875" defaultRowHeight="14.4" x14ac:dyDescent="0.3"/>
  <cols>
    <col min="3" max="3" width="17" bestFit="1" customWidth="1"/>
    <col min="4" max="4" width="15.21875" bestFit="1" customWidth="1"/>
    <col min="8" max="8" width="11.33203125" bestFit="1" customWidth="1"/>
    <col min="14" max="14" width="14.6640625" bestFit="1" customWidth="1"/>
    <col min="15" max="15" width="25.109375" bestFit="1" customWidth="1"/>
    <col min="16" max="16" width="23.88671875" bestFit="1" customWidth="1"/>
    <col min="17" max="17" width="9.6640625" bestFit="1" customWidth="1"/>
  </cols>
  <sheetData>
    <row r="2" spans="3:17" x14ac:dyDescent="0.3">
      <c r="C2" s="6" t="s">
        <v>77</v>
      </c>
      <c r="D2" s="6" t="s">
        <v>119</v>
      </c>
      <c r="N2" s="6" t="s">
        <v>62</v>
      </c>
      <c r="O2" s="6" t="s">
        <v>63</v>
      </c>
      <c r="P2" s="6" t="s">
        <v>64</v>
      </c>
      <c r="Q2" s="6" t="s">
        <v>65</v>
      </c>
    </row>
    <row r="3" spans="3:17" x14ac:dyDescent="0.3">
      <c r="C3" t="s">
        <v>78</v>
      </c>
      <c r="D3" s="8">
        <v>5</v>
      </c>
      <c r="N3" t="s">
        <v>19</v>
      </c>
      <c r="O3" s="8">
        <v>2.8405</v>
      </c>
      <c r="P3" s="8">
        <v>2.99</v>
      </c>
      <c r="Q3" t="s">
        <v>66</v>
      </c>
    </row>
    <row r="4" spans="3:17" x14ac:dyDescent="0.3">
      <c r="C4" t="s">
        <v>79</v>
      </c>
      <c r="D4" s="8">
        <v>0</v>
      </c>
      <c r="N4" t="s">
        <v>28</v>
      </c>
      <c r="O4" s="8">
        <v>1.0580000000000001</v>
      </c>
      <c r="P4" s="8">
        <v>1.1499999999999999</v>
      </c>
      <c r="Q4" t="s">
        <v>67</v>
      </c>
    </row>
    <row r="5" spans="3:17" x14ac:dyDescent="0.3">
      <c r="C5" t="s">
        <v>80</v>
      </c>
      <c r="D5" s="8">
        <v>6.5</v>
      </c>
      <c r="N5" t="s">
        <v>16</v>
      </c>
      <c r="O5" s="8">
        <v>2.3406000000000002</v>
      </c>
      <c r="P5" s="8">
        <v>2.4900000000000002</v>
      </c>
      <c r="Q5" t="s">
        <v>68</v>
      </c>
    </row>
    <row r="6" spans="3:17" x14ac:dyDescent="0.3">
      <c r="C6" t="s">
        <v>81</v>
      </c>
      <c r="D6" s="8">
        <v>8</v>
      </c>
      <c r="N6" t="s">
        <v>33</v>
      </c>
      <c r="O6" s="8">
        <v>1.8506999999999998</v>
      </c>
      <c r="P6" s="8">
        <v>1.99</v>
      </c>
      <c r="Q6" t="s">
        <v>67</v>
      </c>
    </row>
    <row r="7" spans="3:17" x14ac:dyDescent="0.3">
      <c r="C7" t="s">
        <v>82</v>
      </c>
      <c r="D7" s="8">
        <v>6.5</v>
      </c>
      <c r="N7" t="s">
        <v>36</v>
      </c>
      <c r="O7" s="8">
        <v>1.0924999999999998</v>
      </c>
      <c r="P7" s="8">
        <v>1.1499999999999999</v>
      </c>
      <c r="Q7" t="s">
        <v>67</v>
      </c>
    </row>
    <row r="8" spans="3:17" x14ac:dyDescent="0.3">
      <c r="H8">
        <f>INDEX(N3:Q26,5,2)</f>
        <v>1.0924999999999998</v>
      </c>
      <c r="N8" t="s">
        <v>32</v>
      </c>
      <c r="O8" s="8">
        <v>0.74260000000000004</v>
      </c>
      <c r="P8" s="8">
        <v>0.79</v>
      </c>
      <c r="Q8" t="s">
        <v>67</v>
      </c>
    </row>
    <row r="9" spans="3:17" x14ac:dyDescent="0.3">
      <c r="N9" t="s">
        <v>20</v>
      </c>
      <c r="O9" s="8">
        <v>14.469000000000001</v>
      </c>
      <c r="P9" s="8">
        <v>15.9</v>
      </c>
      <c r="Q9" t="s">
        <v>68</v>
      </c>
    </row>
    <row r="10" spans="3:17" x14ac:dyDescent="0.3">
      <c r="H10">
        <f>MATCH(N9,N3:N26,0)</f>
        <v>7</v>
      </c>
      <c r="N10" t="s">
        <v>26</v>
      </c>
      <c r="O10" s="8">
        <v>3.6309000000000005</v>
      </c>
      <c r="P10" s="8">
        <v>3.99</v>
      </c>
      <c r="Q10" t="s">
        <v>68</v>
      </c>
    </row>
    <row r="11" spans="3:17" x14ac:dyDescent="0.3">
      <c r="N11" t="s">
        <v>29</v>
      </c>
      <c r="O11" s="8">
        <v>2.1023999999999998</v>
      </c>
      <c r="P11" s="8">
        <v>2.19</v>
      </c>
      <c r="Q11" t="s">
        <v>71</v>
      </c>
    </row>
    <row r="12" spans="3:17" x14ac:dyDescent="0.3">
      <c r="N12" t="s">
        <v>34</v>
      </c>
      <c r="O12" s="8">
        <v>4.5409000000000006</v>
      </c>
      <c r="P12" s="8">
        <v>4.99</v>
      </c>
      <c r="Q12" t="s">
        <v>72</v>
      </c>
    </row>
    <row r="13" spans="3:17" x14ac:dyDescent="0.3">
      <c r="N13" t="s">
        <v>35</v>
      </c>
      <c r="O13" s="8">
        <v>6.3449999999999998</v>
      </c>
      <c r="P13" s="8">
        <v>6.75</v>
      </c>
      <c r="Q13" t="s">
        <v>73</v>
      </c>
    </row>
    <row r="14" spans="3:17" x14ac:dyDescent="0.3">
      <c r="E14" t="s">
        <v>137</v>
      </c>
      <c r="N14" t="s">
        <v>31</v>
      </c>
      <c r="O14" s="8">
        <v>2.3660000000000001</v>
      </c>
      <c r="P14" s="8">
        <v>2.6</v>
      </c>
      <c r="Q14" t="s">
        <v>66</v>
      </c>
    </row>
    <row r="15" spans="3:17" x14ac:dyDescent="0.3">
      <c r="N15" t="s">
        <v>17</v>
      </c>
      <c r="O15" s="8">
        <v>4.0659999999999998</v>
      </c>
      <c r="P15" s="8">
        <v>4.28</v>
      </c>
      <c r="Q15" t="s">
        <v>68</v>
      </c>
    </row>
    <row r="16" spans="3:17" x14ac:dyDescent="0.3">
      <c r="D16">
        <v>1</v>
      </c>
      <c r="F16">
        <f t="array" ref="F16:F23">FREQUENCY(D16:D23,D16:D23)</f>
        <v>3</v>
      </c>
      <c r="G16">
        <f t="shared" ref="G16:G23" si="0">IF(F16&gt;0,1,0)</f>
        <v>1</v>
      </c>
      <c r="H16">
        <f>SUM(G16:G23)</f>
        <v>3</v>
      </c>
      <c r="N16" t="s">
        <v>21</v>
      </c>
      <c r="O16" s="8">
        <v>6.4216000000000006</v>
      </c>
      <c r="P16" s="8">
        <v>6.98</v>
      </c>
      <c r="Q16" t="s">
        <v>68</v>
      </c>
    </row>
    <row r="17" spans="4:17" x14ac:dyDescent="0.3">
      <c r="D17">
        <v>1</v>
      </c>
      <c r="F17">
        <v>0</v>
      </c>
      <c r="G17">
        <f t="shared" si="0"/>
        <v>0</v>
      </c>
      <c r="N17" t="s">
        <v>69</v>
      </c>
      <c r="O17" s="8">
        <v>1.3708</v>
      </c>
      <c r="P17" s="8">
        <v>1.49</v>
      </c>
      <c r="Q17" t="s">
        <v>70</v>
      </c>
    </row>
    <row r="18" spans="4:17" x14ac:dyDescent="0.3">
      <c r="D18">
        <v>1</v>
      </c>
      <c r="F18">
        <v>0</v>
      </c>
      <c r="G18">
        <f t="shared" si="0"/>
        <v>0</v>
      </c>
      <c r="N18" t="s">
        <v>74</v>
      </c>
      <c r="O18" s="8">
        <v>2.6299000000000001</v>
      </c>
      <c r="P18" s="8">
        <v>2.89</v>
      </c>
      <c r="Q18" t="s">
        <v>66</v>
      </c>
    </row>
    <row r="19" spans="4:17" x14ac:dyDescent="0.3">
      <c r="D19">
        <v>2</v>
      </c>
      <c r="F19">
        <v>2</v>
      </c>
      <c r="G19">
        <f t="shared" si="0"/>
        <v>1</v>
      </c>
      <c r="N19" t="s">
        <v>22</v>
      </c>
      <c r="O19" s="8">
        <v>22.226999999999997</v>
      </c>
      <c r="P19" s="8">
        <v>23.9</v>
      </c>
      <c r="Q19" t="s">
        <v>68</v>
      </c>
    </row>
    <row r="20" spans="4:17" x14ac:dyDescent="0.3">
      <c r="D20">
        <v>2</v>
      </c>
      <c r="F20">
        <v>0</v>
      </c>
      <c r="G20">
        <f t="shared" si="0"/>
        <v>0</v>
      </c>
      <c r="N20" t="s">
        <v>23</v>
      </c>
      <c r="O20" s="8">
        <v>23.827999999999999</v>
      </c>
      <c r="P20" s="8">
        <v>25.9</v>
      </c>
      <c r="Q20" t="s">
        <v>68</v>
      </c>
    </row>
    <row r="21" spans="4:17" x14ac:dyDescent="0.3">
      <c r="D21">
        <v>3</v>
      </c>
      <c r="F21">
        <v>3</v>
      </c>
      <c r="G21">
        <f t="shared" si="0"/>
        <v>1</v>
      </c>
      <c r="N21" t="s">
        <v>75</v>
      </c>
      <c r="O21" s="8">
        <v>2.1749000000000001</v>
      </c>
      <c r="P21" s="8">
        <v>2.39</v>
      </c>
      <c r="Q21" t="s">
        <v>70</v>
      </c>
    </row>
    <row r="22" spans="4:17" x14ac:dyDescent="0.3">
      <c r="D22">
        <v>3</v>
      </c>
      <c r="F22">
        <v>0</v>
      </c>
      <c r="G22">
        <f t="shared" si="0"/>
        <v>0</v>
      </c>
      <c r="N22" t="s">
        <v>25</v>
      </c>
      <c r="O22" s="8">
        <v>3.2084999999999999</v>
      </c>
      <c r="P22" s="8">
        <v>3.45</v>
      </c>
      <c r="Q22" t="s">
        <v>70</v>
      </c>
    </row>
    <row r="23" spans="4:17" x14ac:dyDescent="0.3">
      <c r="D23">
        <v>3</v>
      </c>
      <c r="F23">
        <v>0</v>
      </c>
      <c r="G23">
        <f t="shared" si="0"/>
        <v>0</v>
      </c>
      <c r="N23" t="s">
        <v>18</v>
      </c>
      <c r="O23" s="8">
        <v>5.3544000000000009</v>
      </c>
      <c r="P23" s="8">
        <v>5.82</v>
      </c>
      <c r="Q23" t="s">
        <v>68</v>
      </c>
    </row>
    <row r="24" spans="4:17" x14ac:dyDescent="0.3">
      <c r="N24" t="s">
        <v>27</v>
      </c>
      <c r="O24" s="8">
        <v>9.1009999999999991</v>
      </c>
      <c r="P24" s="8">
        <v>9.58</v>
      </c>
      <c r="Q24" t="s">
        <v>68</v>
      </c>
    </row>
    <row r="25" spans="4:17" x14ac:dyDescent="0.3">
      <c r="N25" t="s">
        <v>24</v>
      </c>
      <c r="O25" s="8">
        <v>26.012999999999998</v>
      </c>
      <c r="P25" s="8">
        <v>29.9</v>
      </c>
      <c r="Q25" t="s">
        <v>76</v>
      </c>
    </row>
    <row r="26" spans="4:17" x14ac:dyDescent="0.3">
      <c r="N26" t="s">
        <v>30</v>
      </c>
      <c r="O26" s="8">
        <v>46.664999999999999</v>
      </c>
      <c r="P26" s="8">
        <v>54.9</v>
      </c>
      <c r="Q26" t="s">
        <v>76</v>
      </c>
    </row>
    <row r="32" spans="4:17" x14ac:dyDescent="0.3">
      <c r="N32" s="29"/>
      <c r="O32" s="29"/>
      <c r="P32" s="29"/>
      <c r="Q32" s="29"/>
    </row>
    <row r="33" spans="14:17" ht="15" thickBot="1" x14ac:dyDescent="0.35">
      <c r="N33" s="28"/>
      <c r="O33" s="28"/>
      <c r="P33" s="28"/>
      <c r="Q33" s="28"/>
    </row>
    <row r="34" spans="14:17" ht="15" thickTop="1" x14ac:dyDescent="0.3"/>
  </sheetData>
  <autoFilter ref="N2:Q2">
    <sortState ref="N3:Q26">
      <sortCondition ref="N2"/>
    </sortState>
  </autoFilter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1</vt:i4>
      </vt:variant>
    </vt:vector>
  </HeadingPairs>
  <TitlesOfParts>
    <vt:vector size="19" baseType="lpstr">
      <vt:lpstr>Menu</vt:lpstr>
      <vt:lpstr>Despesas </vt:lpstr>
      <vt:lpstr>Controlo de  Mercadorias</vt:lpstr>
      <vt:lpstr>Investimentos</vt:lpstr>
      <vt:lpstr>Controlo de Stock</vt:lpstr>
      <vt:lpstr>Resultados</vt:lpstr>
      <vt:lpstr>Vendas</vt:lpstr>
      <vt:lpstr>Semana 1</vt:lpstr>
      <vt:lpstr>Análise Semana 1</vt:lpstr>
      <vt:lpstr>Semana 2</vt:lpstr>
      <vt:lpstr>Análise Semana 2</vt:lpstr>
      <vt:lpstr>Semana 3</vt:lpstr>
      <vt:lpstr>Análise Semana 3</vt:lpstr>
      <vt:lpstr>Semana 4</vt:lpstr>
      <vt:lpstr>Análise Semana 4</vt:lpstr>
      <vt:lpstr>Semana 5</vt:lpstr>
      <vt:lpstr>Análise Semana 5</vt:lpstr>
      <vt:lpstr>cálculos</vt:lpstr>
      <vt:lpstr>Resultados!Área_de_impresión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Software Controlo de Stock</dc:title>
  <dc:creator>Bernardo Pires</dc:creator>
  <cp:lastModifiedBy>Bernardo Pires</cp:lastModifiedBy>
  <cp:lastPrinted>2018-05-02T16:52:24Z</cp:lastPrinted>
  <dcterms:created xsi:type="dcterms:W3CDTF">2015-06-24T19:21:22Z</dcterms:created>
  <dcterms:modified xsi:type="dcterms:W3CDTF">2018-05-04T09:33:25Z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