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305"/>
  </bookViews>
  <sheets>
    <sheet name="NEDC RLs" sheetId="1" r:id="rId1"/>
    <sheet name="WLTP RLs" sheetId="2" r:id="rId2"/>
  </sheets>
  <definedNames>
    <definedName name="Class">'NEDC RLs'!$P$4:$P$7</definedName>
    <definedName name="Vehicle_Class">'NEDC RLs'!$P$4:$P$7</definedName>
  </definedNames>
  <calcPr calcId="152511"/>
</workbook>
</file>

<file path=xl/calcChain.xml><?xml version="1.0" encoding="utf-8"?>
<calcChain xmlns="http://schemas.openxmlformats.org/spreadsheetml/2006/main">
  <c r="D35" i="1" l="1"/>
  <c r="D36" i="1"/>
  <c r="D34" i="1"/>
  <c r="B7" i="1"/>
  <c r="B13" i="1"/>
  <c r="E36" i="1" s="1"/>
  <c r="B12" i="1" l="1"/>
  <c r="E35" i="1" s="1"/>
  <c r="B11" i="1"/>
  <c r="E34" i="1" s="1"/>
  <c r="J2" i="2" l="1"/>
  <c r="B2" i="1"/>
  <c r="C26" i="2" l="1"/>
  <c r="K2" i="2"/>
  <c r="K9" i="2" l="1"/>
  <c r="B9" i="2" s="1"/>
  <c r="B10" i="1" l="1"/>
  <c r="E33" i="1" s="1"/>
  <c r="W4" i="1" l="1"/>
  <c r="V4" i="1"/>
  <c r="V5" i="1"/>
  <c r="W5" i="1"/>
  <c r="V6" i="1"/>
  <c r="W6" i="1"/>
  <c r="V7" i="1"/>
  <c r="W7" i="1"/>
  <c r="B3" i="1" l="1"/>
  <c r="C20" i="2" l="1"/>
  <c r="F36" i="1" s="1"/>
  <c r="B12" i="2"/>
  <c r="B3" i="2"/>
  <c r="B7" i="2" s="1"/>
  <c r="B4" i="2" l="1"/>
  <c r="K3" i="2"/>
  <c r="K7" i="2" s="1"/>
  <c r="J3" i="2"/>
  <c r="J7" i="2" s="1"/>
  <c r="B6" i="2" l="1"/>
  <c r="C17" i="2" s="1"/>
  <c r="B14" i="2"/>
  <c r="K4" i="2"/>
  <c r="J4" i="2"/>
  <c r="D14" i="2"/>
  <c r="C14" i="2"/>
  <c r="D12" i="2"/>
  <c r="D13" i="2"/>
  <c r="C13" i="2"/>
  <c r="C19" i="2" s="1"/>
  <c r="F35" i="1" s="1"/>
  <c r="C12" i="2"/>
  <c r="C23" i="2" l="1"/>
  <c r="C24" i="2" s="1"/>
  <c r="H20" i="2" s="1"/>
  <c r="F33" i="1"/>
  <c r="C11" i="2"/>
  <c r="C18" i="2" s="1"/>
  <c r="H12" i="2"/>
  <c r="H16" i="2"/>
  <c r="H17" i="2"/>
  <c r="K6" i="2"/>
  <c r="B17" i="2" s="1"/>
  <c r="B11" i="2" s="1"/>
  <c r="B18" i="2" s="1"/>
  <c r="J6" i="2"/>
  <c r="D17" i="2" s="1"/>
  <c r="B13" i="2"/>
  <c r="B20" i="2" s="1"/>
  <c r="H22" i="2" l="1"/>
  <c r="H11" i="2"/>
  <c r="H19" i="2"/>
  <c r="H14" i="2"/>
  <c r="H21" i="2"/>
  <c r="H15" i="2"/>
  <c r="I17" i="2"/>
  <c r="F34" i="1"/>
  <c r="H18" i="2"/>
  <c r="H13" i="2"/>
  <c r="I13" i="2"/>
  <c r="I18" i="2"/>
  <c r="I19" i="2"/>
  <c r="I16" i="2"/>
  <c r="I14" i="2"/>
  <c r="I11" i="2"/>
  <c r="I20" i="2"/>
  <c r="I22" i="2"/>
  <c r="I15" i="2"/>
  <c r="I21" i="2"/>
  <c r="I12" i="2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D20" i="2" l="1"/>
  <c r="B19" i="2" l="1"/>
  <c r="D19" i="2"/>
  <c r="D11" i="2" l="1"/>
  <c r="D18" i="2" s="1"/>
</calcChain>
</file>

<file path=xl/sharedStrings.xml><?xml version="1.0" encoding="utf-8"?>
<sst xmlns="http://schemas.openxmlformats.org/spreadsheetml/2006/main" count="97" uniqueCount="76">
  <si>
    <t>Type of car</t>
  </si>
  <si>
    <t>Type</t>
  </si>
  <si>
    <t>Cabriolet</t>
  </si>
  <si>
    <t>Theoretical aero_coeff</t>
  </si>
  <si>
    <t>Sedan</t>
  </si>
  <si>
    <t>Hatchback</t>
  </si>
  <si>
    <t>Station wagon</t>
  </si>
  <si>
    <t>SUV/Crossover</t>
  </si>
  <si>
    <t>MPV</t>
  </si>
  <si>
    <t>Coupe</t>
  </si>
  <si>
    <t>Pick-up</t>
  </si>
  <si>
    <t>Width</t>
  </si>
  <si>
    <t>Height</t>
  </si>
  <si>
    <t>kg</t>
  </si>
  <si>
    <t>RM (kg)</t>
  </si>
  <si>
    <t>Inertia</t>
  </si>
  <si>
    <t>&gt;= kg</t>
  </si>
  <si>
    <r>
      <rPr>
        <b/>
        <sz val="10"/>
        <rFont val="Calibri"/>
        <family val="2"/>
      </rPr>
      <t>≤</t>
    </r>
    <r>
      <rPr>
        <b/>
        <sz val="10"/>
        <rFont val="Arial"/>
        <family val="2"/>
      </rPr>
      <t xml:space="preserve"> kg</t>
    </r>
  </si>
  <si>
    <t>Kerb Weight</t>
  </si>
  <si>
    <t>kg, without driver</t>
  </si>
  <si>
    <t>http://www.automobile-catalog.com</t>
  </si>
  <si>
    <t>yellow fields are necessary input</t>
  </si>
  <si>
    <t>NEDC</t>
  </si>
  <si>
    <t>Inertia Class NEDC</t>
  </si>
  <si>
    <t>m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</si>
  <si>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</si>
  <si>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WLTP</t>
  </si>
  <si>
    <t>L</t>
  </si>
  <si>
    <t>H</t>
  </si>
  <si>
    <t>see table in right for options</t>
  </si>
  <si>
    <t>TM (kg)</t>
  </si>
  <si>
    <t>Technically permissible maximum laden mass</t>
  </si>
  <si>
    <t>Difference in rolling resistance between best-case-tyre and worst-case-tyre</t>
  </si>
  <si>
    <t>WLTP-H</t>
  </si>
  <si>
    <t>WLTP-L</t>
  </si>
  <si>
    <t>Mass effect</t>
  </si>
  <si>
    <t>Tire pressure</t>
  </si>
  <si>
    <t>Rotational mass</t>
  </si>
  <si>
    <t>Tire tread</t>
  </si>
  <si>
    <t>F0 (N)</t>
  </si>
  <si>
    <t>F1 (N/km/h)</t>
  </si>
  <si>
    <t>F2 (N/(km/h)2)</t>
  </si>
  <si>
    <t>F0  (N)</t>
  </si>
  <si>
    <t>F1  (N/km/h)</t>
  </si>
  <si>
    <t>F2  (N/(km/h)2)</t>
  </si>
  <si>
    <t>kg/tonne if only one option for tire exists then this delta=0; this is example of 3 RR classes that can be fitted; delta between 2 RR classes is about 1.25kg/tonne</t>
  </si>
  <si>
    <t>Ind</t>
  </si>
  <si>
    <t>WLTP-Ind</t>
  </si>
  <si>
    <t>Mass in running order 3.2.5</t>
  </si>
  <si>
    <t>Actual mass of vehicle 3.2.24</t>
  </si>
  <si>
    <t xml:space="preserve">kg; </t>
  </si>
  <si>
    <t>Optional Equipment fitted 3.2.8.</t>
  </si>
  <si>
    <t>Test mass 3.2.25</t>
  </si>
  <si>
    <t>Mass representative of vehicle load 3.2.26</t>
  </si>
  <si>
    <t xml:space="preserve">Difference in cd*A </t>
  </si>
  <si>
    <t>N1</t>
  </si>
  <si>
    <t>N1 vehicles</t>
  </si>
  <si>
    <t>Ref mass&lt;</t>
  </si>
  <si>
    <t>FA multiplier</t>
  </si>
  <si>
    <t>M1</t>
  </si>
  <si>
    <t>Cw Multiplier</t>
  </si>
  <si>
    <t>delta cda</t>
  </si>
  <si>
    <t>RR</t>
  </si>
  <si>
    <t>F1 (f2 multiplier)</t>
  </si>
  <si>
    <t>F1 constant factor</t>
  </si>
  <si>
    <t>For pass cars, needs to be verified for LCVs</t>
  </si>
  <si>
    <t>Vehicle Class</t>
  </si>
  <si>
    <t>inf</t>
  </si>
  <si>
    <t>The table values to be added here later</t>
  </si>
  <si>
    <t>WLTP-default</t>
  </si>
  <si>
    <t>Default</t>
  </si>
  <si>
    <t>Real</t>
  </si>
  <si>
    <t>N1- I</t>
  </si>
  <si>
    <t>N1- II</t>
  </si>
  <si>
    <t>N1- III</t>
  </si>
  <si>
    <t>https://www.car.info/en-se/renault/twingo/twingo-5-door-10-10662130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</si>
</sst>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8" fillId="5" borderId="0" applyNumberFormat="0" applyBorder="0" applyAlignment="0" applyProtection="0"/>
  </cellStyleXfs>
  <cellXfs count="5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2" borderId="0" xfId="0" applyFill="1"/>
    <xf numFmtId="0" fontId="4" fillId="2" borderId="0" xfId="0" applyFont="1" applyFill="1"/>
    <xf numFmtId="0" fontId="4" fillId="0" borderId="0" xfId="0" applyFont="1"/>
    <xf numFmtId="0" fontId="0" fillId="0" borderId="0" xfId="0" applyAlignment="1">
      <alignment vertical="center"/>
    </xf>
    <xf numFmtId="0" fontId="4" fillId="4" borderId="1" xfId="0" applyFont="1" applyFill="1" applyBorder="1"/>
    <xf numFmtId="0" fontId="0" fillId="0" borderId="0" xfId="0" applyAlignment="1">
      <alignment wrapText="1"/>
    </xf>
    <xf numFmtId="2" fontId="4" fillId="3" borderId="1" xfId="0" applyNumberFormat="1" applyFont="1" applyFill="1" applyBorder="1"/>
    <xf numFmtId="164" fontId="4" fillId="3" borderId="1" xfId="0" applyNumberFormat="1" applyFont="1" applyFill="1" applyBorder="1"/>
    <xf numFmtId="165" fontId="4" fillId="3" borderId="1" xfId="0" applyNumberFormat="1" applyFont="1" applyFill="1" applyBorder="1"/>
    <xf numFmtId="0" fontId="4" fillId="3" borderId="1" xfId="0" applyFont="1" applyFill="1" applyBorder="1"/>
    <xf numFmtId="0" fontId="5" fillId="0" borderId="0" xfId="1"/>
    <xf numFmtId="0" fontId="4" fillId="0" borderId="0" xfId="0" applyFont="1" applyFill="1"/>
    <xf numFmtId="0" fontId="0" fillId="0" borderId="0" xfId="0" applyFill="1"/>
    <xf numFmtId="0" fontId="3" fillId="0" borderId="0" xfId="0" applyFon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4" fillId="0" borderId="1" xfId="0" applyFont="1" applyFill="1" applyBorder="1"/>
    <xf numFmtId="2" fontId="4" fillId="0" borderId="1" xfId="0" applyNumberFormat="1" applyFont="1" applyFill="1" applyBorder="1"/>
    <xf numFmtId="164" fontId="4" fillId="0" borderId="1" xfId="0" applyNumberFormat="1" applyFont="1" applyFill="1" applyBorder="1"/>
    <xf numFmtId="165" fontId="4" fillId="0" borderId="1" xfId="0" applyNumberFormat="1" applyFont="1" applyFill="1" applyBorder="1"/>
    <xf numFmtId="0" fontId="0" fillId="0" borderId="7" xfId="0" applyFill="1" applyBorder="1"/>
    <xf numFmtId="0" fontId="0" fillId="2" borderId="0" xfId="0" applyFill="1" applyBorder="1"/>
    <xf numFmtId="0" fontId="8" fillId="5" borderId="0" xfId="3"/>
    <xf numFmtId="2" fontId="4" fillId="3" borderId="1" xfId="0" applyNumberFormat="1" applyFont="1" applyFill="1" applyBorder="1"/>
    <xf numFmtId="164" fontId="4" fillId="3" borderId="1" xfId="0" applyNumberFormat="1" applyFont="1" applyFill="1" applyBorder="1"/>
    <xf numFmtId="165" fontId="4" fillId="3" borderId="1" xfId="0" applyNumberFormat="1" applyFont="1" applyFill="1" applyBorder="1"/>
    <xf numFmtId="0" fontId="4" fillId="3" borderId="1" xfId="0" applyFont="1" applyFill="1" applyBorder="1"/>
    <xf numFmtId="0" fontId="4" fillId="0" borderId="0" xfId="0" applyFont="1" applyFill="1" applyBorder="1"/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center" vertical="center"/>
    </xf>
    <xf numFmtId="0" fontId="4" fillId="6" borderId="1" xfId="0" applyFont="1" applyFill="1" applyBorder="1"/>
    <xf numFmtId="2" fontId="4" fillId="6" borderId="1" xfId="0" applyNumberFormat="1" applyFont="1" applyFill="1" applyBorder="1"/>
    <xf numFmtId="164" fontId="4" fillId="6" borderId="1" xfId="0" applyNumberFormat="1" applyFont="1" applyFill="1" applyBorder="1"/>
    <xf numFmtId="165" fontId="4" fillId="6" borderId="1" xfId="0" applyNumberFormat="1" applyFont="1" applyFill="1" applyBorder="1"/>
    <xf numFmtId="0" fontId="5" fillId="7" borderId="0" xfId="1" applyFill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8" fillId="5" borderId="8" xfId="3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4">
    <cellStyle name="Bad" xfId="3" builtinId="27"/>
    <cellStyle name="Hyperlink" xfId="1" builtinId="8"/>
    <cellStyle name="Normal" xfId="0" builtinId="0"/>
    <cellStyle name="Standard_FW_C5_MJ0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'WLTP RLs'!$H$10</c:f>
              <c:strCache>
                <c:ptCount val="1"/>
                <c:pt idx="0">
                  <c:v>Default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'WLTP RLs'!$G$11:$G$22</c:f>
              <c:numCache>
                <c:formatCode>General</c:formatCode>
                <c:ptCount val="12"/>
                <c:pt idx="0">
                  <c:v>130</c:v>
                </c:pt>
                <c:pt idx="1">
                  <c:v>120</c:v>
                </c:pt>
                <c:pt idx="2">
                  <c:v>110</c:v>
                </c:pt>
                <c:pt idx="3">
                  <c:v>100</c:v>
                </c:pt>
                <c:pt idx="4">
                  <c:v>90</c:v>
                </c:pt>
                <c:pt idx="5">
                  <c:v>80</c:v>
                </c:pt>
                <c:pt idx="6">
                  <c:v>70</c:v>
                </c:pt>
                <c:pt idx="7">
                  <c:v>60</c:v>
                </c:pt>
                <c:pt idx="8">
                  <c:v>50</c:v>
                </c:pt>
                <c:pt idx="9">
                  <c:v>40</c:v>
                </c:pt>
                <c:pt idx="10">
                  <c:v>30</c:v>
                </c:pt>
                <c:pt idx="11">
                  <c:v>20</c:v>
                </c:pt>
              </c:numCache>
            </c:numRef>
          </c:xVal>
          <c:yVal>
            <c:numRef>
              <c:f>'WLTP RLs'!$H$11:$H$22</c:f>
              <c:numCache>
                <c:formatCode>General</c:formatCode>
                <c:ptCount val="12"/>
                <c:pt idx="0">
                  <c:v>881.30840669999998</c:v>
                </c:pt>
                <c:pt idx="1">
                  <c:v>772.31529920000003</c:v>
                </c:pt>
                <c:pt idx="2">
                  <c:v>672.04164030000004</c:v>
                </c:pt>
                <c:pt idx="3">
                  <c:v>580.48743000000002</c:v>
                </c:pt>
                <c:pt idx="4">
                  <c:v>497.65266830000007</c:v>
                </c:pt>
                <c:pt idx="5">
                  <c:v>423.53735519999998</c:v>
                </c:pt>
                <c:pt idx="6">
                  <c:v>358.14149070000002</c:v>
                </c:pt>
                <c:pt idx="7">
                  <c:v>301.46507480000002</c:v>
                </c:pt>
                <c:pt idx="8">
                  <c:v>253.50810750000002</c:v>
                </c:pt>
                <c:pt idx="9">
                  <c:v>214.27058880000001</c:v>
                </c:pt>
                <c:pt idx="10">
                  <c:v>183.75251870000002</c:v>
                </c:pt>
                <c:pt idx="11">
                  <c:v>161.95389720000003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'WLTP RLs'!$I$10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'WLTP RLs'!$G$11:$G$22</c:f>
              <c:numCache>
                <c:formatCode>General</c:formatCode>
                <c:ptCount val="12"/>
                <c:pt idx="0">
                  <c:v>130</c:v>
                </c:pt>
                <c:pt idx="1">
                  <c:v>120</c:v>
                </c:pt>
                <c:pt idx="2">
                  <c:v>110</c:v>
                </c:pt>
                <c:pt idx="3">
                  <c:v>100</c:v>
                </c:pt>
                <c:pt idx="4">
                  <c:v>90</c:v>
                </c:pt>
                <c:pt idx="5">
                  <c:v>80</c:v>
                </c:pt>
                <c:pt idx="6">
                  <c:v>70</c:v>
                </c:pt>
                <c:pt idx="7">
                  <c:v>60</c:v>
                </c:pt>
                <c:pt idx="8">
                  <c:v>50</c:v>
                </c:pt>
                <c:pt idx="9">
                  <c:v>40</c:v>
                </c:pt>
                <c:pt idx="10">
                  <c:v>30</c:v>
                </c:pt>
                <c:pt idx="11">
                  <c:v>20</c:v>
                </c:pt>
              </c:numCache>
            </c:numRef>
          </c:xVal>
          <c:yVal>
            <c:numRef>
              <c:f>'WLTP RLs'!$I$11:$I$22</c:f>
              <c:numCache>
                <c:formatCode>General</c:formatCode>
                <c:ptCount val="12"/>
                <c:pt idx="0">
                  <c:v>676.17917606142282</c:v>
                </c:pt>
                <c:pt idx="1">
                  <c:v>592.87366080328491</c:v>
                </c:pt>
                <c:pt idx="2">
                  <c:v>515.97114347024706</c:v>
                </c:pt>
                <c:pt idx="3">
                  <c:v>445.47162406230916</c:v>
                </c:pt>
                <c:pt idx="4">
                  <c:v>381.37510257947133</c:v>
                </c:pt>
                <c:pt idx="5">
                  <c:v>323.68157902173351</c:v>
                </c:pt>
                <c:pt idx="6">
                  <c:v>272.3910533890957</c:v>
                </c:pt>
                <c:pt idx="7">
                  <c:v>227.50352568155785</c:v>
                </c:pt>
                <c:pt idx="8">
                  <c:v>189.01899589912</c:v>
                </c:pt>
                <c:pt idx="9">
                  <c:v>156.93746404178216</c:v>
                </c:pt>
                <c:pt idx="10">
                  <c:v>131.25893010954434</c:v>
                </c:pt>
                <c:pt idx="11">
                  <c:v>111.98339410240651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102224"/>
        <c:axId val="351102784"/>
      </c:scatterChart>
      <c:valAx>
        <c:axId val="35110222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02784"/>
        <c:crosses val="autoZero"/>
        <c:crossBetween val="midCat"/>
      </c:valAx>
      <c:valAx>
        <c:axId val="35110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02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9</xdr:row>
      <xdr:rowOff>109537</xdr:rowOff>
    </xdr:from>
    <xdr:to>
      <xdr:col>18</xdr:col>
      <xdr:colOff>190500</xdr:colOff>
      <xdr:row>23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obile-catalog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selection activeCell="D14" sqref="D14"/>
    </sheetView>
  </sheetViews>
  <sheetFormatPr defaultRowHeight="15" x14ac:dyDescent="0.25"/>
  <cols>
    <col min="1" max="1" width="21.42578125" bestFit="1" customWidth="1"/>
    <col min="2" max="2" width="12" bestFit="1" customWidth="1"/>
    <col min="3" max="3" width="16.85546875" bestFit="1" customWidth="1"/>
    <col min="4" max="4" width="20.140625" customWidth="1"/>
    <col min="5" max="5" width="14.28515625" bestFit="1" customWidth="1"/>
    <col min="6" max="6" width="21.42578125" bestFit="1" customWidth="1"/>
    <col min="8" max="8" width="6" bestFit="1" customWidth="1"/>
    <col min="9" max="10" width="18.28515625" customWidth="1"/>
    <col min="17" max="17" width="10.7109375" customWidth="1"/>
  </cols>
  <sheetData>
    <row r="1" spans="1:23" x14ac:dyDescent="0.25">
      <c r="H1" s="47" t="s">
        <v>65</v>
      </c>
      <c r="I1" s="47"/>
      <c r="J1" s="47"/>
    </row>
    <row r="2" spans="1:23" x14ac:dyDescent="0.25">
      <c r="A2" t="s">
        <v>0</v>
      </c>
      <c r="B2" s="1" t="str">
        <f>E5</f>
        <v>Hatchback</v>
      </c>
      <c r="C2" t="s">
        <v>29</v>
      </c>
      <c r="E2" s="14" t="s">
        <v>1</v>
      </c>
      <c r="F2" s="14" t="s">
        <v>3</v>
      </c>
      <c r="H2" s="45" t="s">
        <v>14</v>
      </c>
      <c r="I2" s="46"/>
      <c r="J2" s="3" t="s">
        <v>15</v>
      </c>
      <c r="L2" s="20" t="s">
        <v>20</v>
      </c>
    </row>
    <row r="3" spans="1:23" x14ac:dyDescent="0.25">
      <c r="A3" t="s">
        <v>3</v>
      </c>
      <c r="B3">
        <f>VLOOKUP(B2,E3:F10,2,FALSE)</f>
        <v>0.3</v>
      </c>
      <c r="E3" s="2" t="s">
        <v>2</v>
      </c>
      <c r="F3" s="2">
        <v>0.28000000000000003</v>
      </c>
      <c r="H3" s="4" t="s">
        <v>16</v>
      </c>
      <c r="I3" s="5" t="s">
        <v>17</v>
      </c>
      <c r="J3" s="5" t="s">
        <v>13</v>
      </c>
      <c r="P3" t="s">
        <v>56</v>
      </c>
      <c r="Q3" t="s">
        <v>57</v>
      </c>
      <c r="R3" t="s">
        <v>58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</row>
    <row r="4" spans="1:23" x14ac:dyDescent="0.25">
      <c r="A4" t="s">
        <v>18</v>
      </c>
      <c r="B4" s="1">
        <v>854</v>
      </c>
      <c r="C4" t="s">
        <v>19</v>
      </c>
      <c r="E4" s="2" t="s">
        <v>4</v>
      </c>
      <c r="F4" s="2">
        <v>0.27</v>
      </c>
      <c r="H4" s="6">
        <v>480</v>
      </c>
      <c r="I4" s="7">
        <v>540</v>
      </c>
      <c r="J4" s="7">
        <v>510</v>
      </c>
      <c r="O4" t="s">
        <v>59</v>
      </c>
      <c r="P4" t="s">
        <v>59</v>
      </c>
      <c r="R4">
        <v>0.84</v>
      </c>
      <c r="S4">
        <v>1</v>
      </c>
      <c r="T4">
        <v>0.04</v>
      </c>
      <c r="U4">
        <v>6.4999999999999997E-3</v>
      </c>
      <c r="V4">
        <f>-71.73</f>
        <v>-71.73</v>
      </c>
      <c r="W4">
        <f>2.7609</f>
        <v>2.7608999999999999</v>
      </c>
    </row>
    <row r="5" spans="1:23" x14ac:dyDescent="0.25">
      <c r="A5" t="s">
        <v>11</v>
      </c>
      <c r="B5" s="1">
        <v>1.647</v>
      </c>
      <c r="C5" t="s">
        <v>24</v>
      </c>
      <c r="E5" s="2" t="s">
        <v>5</v>
      </c>
      <c r="F5" s="2">
        <v>0.3</v>
      </c>
      <c r="H5" s="6">
        <f>I4+1</f>
        <v>541</v>
      </c>
      <c r="I5" s="7">
        <v>595</v>
      </c>
      <c r="J5" s="7">
        <v>570</v>
      </c>
      <c r="O5" t="s">
        <v>55</v>
      </c>
      <c r="P5" t="s">
        <v>72</v>
      </c>
      <c r="Q5">
        <v>1305</v>
      </c>
      <c r="R5">
        <v>0.84</v>
      </c>
      <c r="S5">
        <v>1</v>
      </c>
      <c r="T5">
        <v>0.04</v>
      </c>
      <c r="U5">
        <v>6.4999999999999997E-3</v>
      </c>
      <c r="V5">
        <f>-71.73/2</f>
        <v>-35.865000000000002</v>
      </c>
      <c r="W5">
        <f>2.7609/2</f>
        <v>1.38045</v>
      </c>
    </row>
    <row r="6" spans="1:23" x14ac:dyDescent="0.25">
      <c r="A6" t="s">
        <v>12</v>
      </c>
      <c r="B6" s="1">
        <v>1.5569999999999999</v>
      </c>
      <c r="C6" t="s">
        <v>24</v>
      </c>
      <c r="E6" s="2" t="s">
        <v>6</v>
      </c>
      <c r="F6" s="2">
        <v>0.28000000000000003</v>
      </c>
      <c r="H6" s="6">
        <f t="shared" ref="H6:H24" si="0">I5+1</f>
        <v>596</v>
      </c>
      <c r="I6" s="7">
        <v>650</v>
      </c>
      <c r="J6" s="7">
        <v>625</v>
      </c>
      <c r="O6" t="s">
        <v>55</v>
      </c>
      <c r="P6" t="s">
        <v>73</v>
      </c>
      <c r="Q6">
        <v>1760</v>
      </c>
      <c r="R6">
        <v>0.91</v>
      </c>
      <c r="S6">
        <v>1.125</v>
      </c>
      <c r="T6">
        <v>0.08</v>
      </c>
      <c r="U6">
        <v>6.2500000000000003E-3</v>
      </c>
      <c r="V6">
        <f>-44.5/2</f>
        <v>-22.25</v>
      </c>
      <c r="W6">
        <f>2.609/2</f>
        <v>1.3045</v>
      </c>
    </row>
    <row r="7" spans="1:23" x14ac:dyDescent="0.25">
      <c r="A7" t="s">
        <v>66</v>
      </c>
      <c r="B7" s="31" t="str">
        <f>P4</f>
        <v>M1</v>
      </c>
      <c r="E7" s="2" t="s">
        <v>7</v>
      </c>
      <c r="F7" s="2">
        <v>0.35</v>
      </c>
      <c r="H7" s="6">
        <f t="shared" si="0"/>
        <v>651</v>
      </c>
      <c r="I7" s="7">
        <v>710</v>
      </c>
      <c r="J7" s="7">
        <v>680</v>
      </c>
      <c r="O7" t="s">
        <v>55</v>
      </c>
      <c r="P7" t="s">
        <v>74</v>
      </c>
      <c r="Q7" t="s">
        <v>67</v>
      </c>
      <c r="R7">
        <v>0.98</v>
      </c>
      <c r="S7">
        <v>1.25</v>
      </c>
      <c r="T7">
        <v>0.12</v>
      </c>
      <c r="U7">
        <v>6.0000000000000001E-3</v>
      </c>
      <c r="V7">
        <f>-18.31/2</f>
        <v>-9.1549999999999994</v>
      </c>
      <c r="W7">
        <f>2.44/2</f>
        <v>1.22</v>
      </c>
    </row>
    <row r="8" spans="1:23" x14ac:dyDescent="0.25">
      <c r="E8" s="2" t="s">
        <v>8</v>
      </c>
      <c r="F8" s="2">
        <v>0.3</v>
      </c>
      <c r="H8" s="6">
        <f t="shared" si="0"/>
        <v>711</v>
      </c>
      <c r="I8" s="7">
        <v>765</v>
      </c>
      <c r="J8" s="7">
        <v>740</v>
      </c>
    </row>
    <row r="9" spans="1:23" x14ac:dyDescent="0.25">
      <c r="A9" s="12" t="s">
        <v>22</v>
      </c>
      <c r="C9" t="s">
        <v>68</v>
      </c>
      <c r="E9" s="2" t="s">
        <v>9</v>
      </c>
      <c r="F9" s="2">
        <v>0.27</v>
      </c>
      <c r="H9" s="6">
        <f t="shared" si="0"/>
        <v>766</v>
      </c>
      <c r="I9" s="7">
        <v>850</v>
      </c>
      <c r="J9" s="7">
        <v>800</v>
      </c>
    </row>
    <row r="10" spans="1:23" x14ac:dyDescent="0.25">
      <c r="A10" s="12" t="s">
        <v>23</v>
      </c>
      <c r="B10" s="19">
        <f>VLOOKUP(B4+100,H4:J24,3)</f>
        <v>910</v>
      </c>
      <c r="C10" s="36"/>
      <c r="E10" s="2" t="s">
        <v>10</v>
      </c>
      <c r="F10" s="2">
        <v>0.4</v>
      </c>
      <c r="H10" s="6">
        <f t="shared" si="0"/>
        <v>851</v>
      </c>
      <c r="I10" s="7">
        <v>965</v>
      </c>
      <c r="J10" s="7">
        <v>910</v>
      </c>
    </row>
    <row r="11" spans="1:23" x14ac:dyDescent="0.25">
      <c r="A11" s="12" t="s">
        <v>39</v>
      </c>
      <c r="B11" s="16">
        <f>(B4+100)*LOOKUP(B7,Class,U4:U7)*9.81</f>
        <v>60.831809999999997</v>
      </c>
      <c r="C11" s="33"/>
      <c r="E11" s="30"/>
      <c r="H11" s="6">
        <f t="shared" si="0"/>
        <v>966</v>
      </c>
      <c r="I11" s="7">
        <v>1080</v>
      </c>
      <c r="J11" s="7">
        <v>1020</v>
      </c>
    </row>
    <row r="12" spans="1:23" x14ac:dyDescent="0.25">
      <c r="A12" s="12" t="s">
        <v>40</v>
      </c>
      <c r="B12" s="17">
        <f>(LOOKUP(B7,Class,V4:V7)*B13+LOOKUP(B7,Class,W4:W7))/2</f>
        <v>0.31728555285318727</v>
      </c>
      <c r="C12" s="34"/>
      <c r="H12" s="6">
        <f t="shared" si="0"/>
        <v>1081</v>
      </c>
      <c r="I12" s="7">
        <v>1190</v>
      </c>
      <c r="J12" s="7">
        <v>1130</v>
      </c>
    </row>
    <row r="13" spans="1:23" x14ac:dyDescent="0.25">
      <c r="A13" s="12" t="s">
        <v>41</v>
      </c>
      <c r="B13" s="18">
        <f>0.5*1.189*(LOOKUP(B7,Class,R4:R7)*B5*B6*B3*LOOKUP(B7,Class,S4:S7))/3.6^2</f>
        <v>2.9643508912500005E-2</v>
      </c>
      <c r="C13" s="35"/>
      <c r="H13" s="6">
        <f t="shared" si="0"/>
        <v>1191</v>
      </c>
      <c r="I13" s="7">
        <v>1305</v>
      </c>
      <c r="J13" s="7">
        <v>1250</v>
      </c>
    </row>
    <row r="14" spans="1:23" x14ac:dyDescent="0.25">
      <c r="H14" s="6">
        <f t="shared" si="0"/>
        <v>1306</v>
      </c>
      <c r="I14" s="7">
        <v>1420</v>
      </c>
      <c r="J14" s="7">
        <v>1360</v>
      </c>
    </row>
    <row r="15" spans="1:23" x14ac:dyDescent="0.25">
      <c r="A15" s="11" t="s">
        <v>21</v>
      </c>
      <c r="B15" s="11"/>
      <c r="H15" s="6">
        <f t="shared" si="0"/>
        <v>1421</v>
      </c>
      <c r="I15" s="7">
        <v>1530</v>
      </c>
      <c r="J15" s="7">
        <v>1470</v>
      </c>
    </row>
    <row r="16" spans="1:23" x14ac:dyDescent="0.25">
      <c r="H16" s="6">
        <f t="shared" si="0"/>
        <v>1531</v>
      </c>
      <c r="I16" s="7">
        <v>1640</v>
      </c>
      <c r="J16" s="7">
        <v>1590</v>
      </c>
    </row>
    <row r="17" spans="1:10" x14ac:dyDescent="0.25">
      <c r="H17" s="6">
        <f t="shared" si="0"/>
        <v>1641</v>
      </c>
      <c r="I17" s="7">
        <v>1760</v>
      </c>
      <c r="J17" s="7">
        <v>1700</v>
      </c>
    </row>
    <row r="18" spans="1:10" x14ac:dyDescent="0.25">
      <c r="A18" s="44" t="s">
        <v>75</v>
      </c>
      <c r="H18" s="6">
        <f t="shared" si="0"/>
        <v>1761</v>
      </c>
      <c r="I18" s="7">
        <v>1870</v>
      </c>
      <c r="J18" s="7">
        <v>1810</v>
      </c>
    </row>
    <row r="19" spans="1:10" x14ac:dyDescent="0.25">
      <c r="H19" s="6">
        <f t="shared" si="0"/>
        <v>1871</v>
      </c>
      <c r="I19" s="7">
        <v>1980</v>
      </c>
      <c r="J19" s="7">
        <v>1930</v>
      </c>
    </row>
    <row r="20" spans="1:10" x14ac:dyDescent="0.25">
      <c r="H20" s="6">
        <f t="shared" si="0"/>
        <v>1981</v>
      </c>
      <c r="I20" s="8">
        <v>2100</v>
      </c>
      <c r="J20" s="8">
        <v>2040</v>
      </c>
    </row>
    <row r="21" spans="1:10" x14ac:dyDescent="0.25">
      <c r="H21" s="6">
        <f t="shared" si="0"/>
        <v>2101</v>
      </c>
      <c r="I21" s="8">
        <v>2210</v>
      </c>
      <c r="J21" s="8">
        <v>2150</v>
      </c>
    </row>
    <row r="22" spans="1:10" x14ac:dyDescent="0.25">
      <c r="A22" s="13"/>
      <c r="H22" s="6">
        <f t="shared" si="0"/>
        <v>2211</v>
      </c>
      <c r="I22" s="8">
        <v>2380</v>
      </c>
      <c r="J22" s="8">
        <v>2270</v>
      </c>
    </row>
    <row r="23" spans="1:10" x14ac:dyDescent="0.25">
      <c r="A23" s="13"/>
      <c r="H23" s="6">
        <f t="shared" si="0"/>
        <v>2381</v>
      </c>
      <c r="I23" s="8">
        <v>2610</v>
      </c>
      <c r="J23" s="8">
        <v>2270</v>
      </c>
    </row>
    <row r="24" spans="1:10" x14ac:dyDescent="0.25">
      <c r="H24" s="6">
        <f t="shared" si="0"/>
        <v>2611</v>
      </c>
      <c r="I24" s="8"/>
      <c r="J24" s="8">
        <v>2270</v>
      </c>
    </row>
    <row r="32" spans="1:10" x14ac:dyDescent="0.25">
      <c r="D32" s="40"/>
      <c r="E32" s="40" t="s">
        <v>22</v>
      </c>
      <c r="F32" s="40" t="s">
        <v>26</v>
      </c>
    </row>
    <row r="33" spans="4:6" x14ac:dyDescent="0.25">
      <c r="D33" s="40" t="s">
        <v>15</v>
      </c>
      <c r="E33" s="40">
        <f>B10</f>
        <v>910</v>
      </c>
      <c r="F33" s="40">
        <f>'WLTP RLs'!C17</f>
        <v>1032.25</v>
      </c>
    </row>
    <row r="34" spans="4:6" x14ac:dyDescent="0.25">
      <c r="D34" s="40" t="str">
        <f>A11</f>
        <v>F0 (N)</v>
      </c>
      <c r="E34" s="41">
        <f t="shared" ref="E34:E36" si="1">B11</f>
        <v>60.831809999999997</v>
      </c>
      <c r="F34" s="41">
        <f>'WLTP RLs'!C18</f>
        <v>92.641315863430847</v>
      </c>
    </row>
    <row r="35" spans="4:6" x14ac:dyDescent="0.25">
      <c r="D35" s="40" t="str">
        <f t="shared" ref="D35:D36" si="2">A12</f>
        <v>F1 (N/km/h)</v>
      </c>
      <c r="E35" s="42">
        <f t="shared" si="1"/>
        <v>0.31728555285318727</v>
      </c>
      <c r="F35" s="42">
        <f>'WLTP RLs'!C19</f>
        <v>0.3268041194387829</v>
      </c>
    </row>
    <row r="36" spans="4:6" x14ac:dyDescent="0.25">
      <c r="D36" s="40" t="str">
        <f t="shared" si="2"/>
        <v>F2 (N/(km/h)2)</v>
      </c>
      <c r="E36" s="43">
        <f t="shared" si="1"/>
        <v>2.9643508912500005E-2</v>
      </c>
      <c r="F36" s="43">
        <f>'WLTP RLs'!C20</f>
        <v>3.2014989625500007E-2</v>
      </c>
    </row>
  </sheetData>
  <mergeCells count="2">
    <mergeCell ref="H2:I2"/>
    <mergeCell ref="H1:J1"/>
  </mergeCells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7" workbookViewId="0">
      <selection activeCell="J2" sqref="J2"/>
    </sheetView>
  </sheetViews>
  <sheetFormatPr defaultRowHeight="15" x14ac:dyDescent="0.25"/>
  <cols>
    <col min="1" max="1" width="41.85546875" customWidth="1"/>
    <col min="3" max="3" width="10.5703125" customWidth="1"/>
  </cols>
  <sheetData>
    <row r="1" spans="1:11" x14ac:dyDescent="0.25">
      <c r="B1" t="s">
        <v>46</v>
      </c>
      <c r="J1" t="s">
        <v>27</v>
      </c>
      <c r="K1" t="s">
        <v>28</v>
      </c>
    </row>
    <row r="2" spans="1:11" ht="37.5" customHeight="1" x14ac:dyDescent="0.25">
      <c r="A2" s="15" t="s">
        <v>31</v>
      </c>
      <c r="B2" s="1">
        <v>1359</v>
      </c>
      <c r="C2" t="s">
        <v>13</v>
      </c>
      <c r="E2" s="11" t="s">
        <v>21</v>
      </c>
      <c r="F2" s="10"/>
      <c r="G2" s="10"/>
      <c r="H2" s="10"/>
      <c r="J2" s="1">
        <f>B2-B5</f>
        <v>1334</v>
      </c>
      <c r="K2" s="1">
        <f>B2+B5</f>
        <v>1384</v>
      </c>
    </row>
    <row r="3" spans="1:11" ht="32.25" customHeight="1" x14ac:dyDescent="0.25">
      <c r="A3" s="15" t="s">
        <v>48</v>
      </c>
      <c r="B3" s="9">
        <f>'NEDC RLs'!B4+75</f>
        <v>929</v>
      </c>
      <c r="C3" t="s">
        <v>13</v>
      </c>
      <c r="E3" s="21"/>
      <c r="F3" s="22"/>
      <c r="G3" s="22"/>
      <c r="H3" s="22"/>
      <c r="J3" s="2">
        <f>B3</f>
        <v>929</v>
      </c>
      <c r="K3" s="2">
        <f>B3</f>
        <v>929</v>
      </c>
    </row>
    <row r="4" spans="1:11" ht="18" customHeight="1" x14ac:dyDescent="0.25">
      <c r="A4" s="15" t="s">
        <v>49</v>
      </c>
      <c r="B4" s="9">
        <f>B3+B5</f>
        <v>954</v>
      </c>
      <c r="C4" t="s">
        <v>13</v>
      </c>
      <c r="E4" s="21"/>
      <c r="F4" s="22"/>
      <c r="G4" s="22"/>
      <c r="H4" s="22"/>
      <c r="J4" s="9">
        <f>J3+J5</f>
        <v>929</v>
      </c>
      <c r="K4" s="9">
        <f>K5+K3</f>
        <v>979</v>
      </c>
    </row>
    <row r="5" spans="1:11" ht="18" customHeight="1" x14ac:dyDescent="0.25">
      <c r="A5" s="15" t="s">
        <v>51</v>
      </c>
      <c r="B5" s="1">
        <v>25</v>
      </c>
      <c r="C5" t="s">
        <v>50</v>
      </c>
      <c r="E5" s="21"/>
      <c r="F5" s="22"/>
      <c r="G5" s="22"/>
      <c r="H5" s="22"/>
      <c r="J5" s="2">
        <v>0</v>
      </c>
      <c r="K5" s="1">
        <v>50</v>
      </c>
    </row>
    <row r="6" spans="1:11" ht="18" customHeight="1" x14ac:dyDescent="0.25">
      <c r="A6" s="15" t="s">
        <v>52</v>
      </c>
      <c r="B6" s="9">
        <f>B4+25+B7</f>
        <v>1032.25</v>
      </c>
      <c r="C6" t="s">
        <v>13</v>
      </c>
      <c r="E6" s="21"/>
      <c r="F6" s="22"/>
      <c r="G6" s="22"/>
      <c r="H6" s="22"/>
      <c r="J6" s="2">
        <f>J4+25+J7</f>
        <v>1003.5</v>
      </c>
      <c r="K6" s="2">
        <f>K4+25+K7</f>
        <v>1061</v>
      </c>
    </row>
    <row r="7" spans="1:11" ht="18" customHeight="1" x14ac:dyDescent="0.25">
      <c r="A7" s="15" t="s">
        <v>53</v>
      </c>
      <c r="B7" s="9">
        <f>0.15*(B2-B3-25-$K$5)</f>
        <v>53.25</v>
      </c>
      <c r="E7" s="21"/>
      <c r="F7" s="22"/>
      <c r="G7" s="22"/>
      <c r="H7" s="22"/>
      <c r="J7" s="2">
        <f>0.15*(J2-J3-25-$K$5)</f>
        <v>49.5</v>
      </c>
      <c r="K7" s="2">
        <f>0.15*(K2-K3-25-$K$5)</f>
        <v>57</v>
      </c>
    </row>
    <row r="8" spans="1:11" ht="45.75" customHeight="1" x14ac:dyDescent="0.25">
      <c r="A8" s="15" t="s">
        <v>32</v>
      </c>
      <c r="B8" s="9">
        <v>1.25</v>
      </c>
      <c r="C8" s="48" t="s">
        <v>45</v>
      </c>
      <c r="D8" s="49"/>
      <c r="E8" s="49"/>
      <c r="F8" s="49"/>
      <c r="G8" s="49"/>
      <c r="H8" s="49"/>
      <c r="I8" s="49"/>
      <c r="J8" s="2">
        <v>0</v>
      </c>
      <c r="K8" s="2">
        <v>2.5</v>
      </c>
    </row>
    <row r="9" spans="1:11" ht="48.75" customHeight="1" x14ac:dyDescent="0.25">
      <c r="A9" s="15" t="s">
        <v>54</v>
      </c>
      <c r="B9" s="9">
        <f>K9/2</f>
        <v>3.2311175399999996E-2</v>
      </c>
      <c r="C9" t="s">
        <v>25</v>
      </c>
      <c r="D9" s="32"/>
      <c r="J9" s="2">
        <v>0</v>
      </c>
      <c r="K9" s="2">
        <f>0.03*LOOKUP('NEDC RLs'!B7,Class,'NEDC RLs'!R4:R7)*'NEDC RLs'!B5*'NEDC RLs'!B6</f>
        <v>6.4622350799999992E-2</v>
      </c>
    </row>
    <row r="10" spans="1:11" ht="18" customHeight="1" x14ac:dyDescent="0.25">
      <c r="A10" s="15"/>
      <c r="B10" s="24" t="s">
        <v>28</v>
      </c>
      <c r="C10" t="s">
        <v>46</v>
      </c>
      <c r="D10" t="s">
        <v>27</v>
      </c>
      <c r="H10" t="s">
        <v>70</v>
      </c>
      <c r="I10" t="s">
        <v>71</v>
      </c>
    </row>
    <row r="11" spans="1:11" x14ac:dyDescent="0.25">
      <c r="A11" s="23" t="s">
        <v>35</v>
      </c>
      <c r="B11">
        <f>'NEDC RLs'!$B$11*'WLTP RLs'!B17/'NEDC RLs'!$B$10</f>
        <v>70.925879571428567</v>
      </c>
      <c r="C11">
        <f>'NEDC RLs'!$B$11*'WLTP RLs'!C17/'NEDC RLs'!$B$10</f>
        <v>69.003995464285708</v>
      </c>
      <c r="D11">
        <f>'NEDC RLs'!$B$11*'WLTP RLs'!D17/'NEDC RLs'!$B$10</f>
        <v>67.08211135714285</v>
      </c>
      <c r="G11">
        <v>130</v>
      </c>
      <c r="H11">
        <f>$C$24+$C$25*G11+$C$26*G11^2</f>
        <v>881.30840669999998</v>
      </c>
      <c r="I11">
        <f>$C$18+$C$19*G11+$C$20*G11^2</f>
        <v>676.17917606142282</v>
      </c>
    </row>
    <row r="12" spans="1:11" x14ac:dyDescent="0.25">
      <c r="A12" s="24" t="s">
        <v>36</v>
      </c>
      <c r="B12">
        <f>(2/2.5)^-0.4</f>
        <v>1.0933620739432781</v>
      </c>
      <c r="C12">
        <f>(2/2.5)^-0.4</f>
        <v>1.0933620739432781</v>
      </c>
      <c r="D12">
        <f>(2/2.5)^-0.4</f>
        <v>1.0933620739432781</v>
      </c>
      <c r="G12">
        <v>120</v>
      </c>
      <c r="H12">
        <f t="shared" ref="H12:H22" si="0">$C$24+$C$25*G12+$C$26*G12^2</f>
        <v>772.31529920000003</v>
      </c>
      <c r="I12">
        <f t="shared" ref="I12:I22" si="1">$C$18+$C$19*G12+$C$20*G12^2</f>
        <v>592.87366080328491</v>
      </c>
    </row>
    <row r="13" spans="1:11" x14ac:dyDescent="0.25">
      <c r="A13" s="25" t="s">
        <v>37</v>
      </c>
      <c r="B13">
        <f>1.03/1</f>
        <v>1.03</v>
      </c>
      <c r="C13">
        <f>1.03/1</f>
        <v>1.03</v>
      </c>
      <c r="D13">
        <f>1.03/1</f>
        <v>1.03</v>
      </c>
      <c r="G13">
        <v>110</v>
      </c>
      <c r="H13">
        <f t="shared" si="0"/>
        <v>672.04164030000004</v>
      </c>
      <c r="I13">
        <f t="shared" si="1"/>
        <v>515.97114347024706</v>
      </c>
    </row>
    <row r="14" spans="1:11" x14ac:dyDescent="0.25">
      <c r="A14" s="25" t="s">
        <v>38</v>
      </c>
      <c r="B14">
        <f>2*0.1*(K3+100)*9.81/1000</f>
        <v>2.0188980000000001</v>
      </c>
      <c r="C14">
        <f>2*0.1*(B3+100)*9.81/1000</f>
        <v>2.0188980000000001</v>
      </c>
      <c r="D14">
        <f>2*0.1*(J3+100)*9.81/1000</f>
        <v>2.0188980000000001</v>
      </c>
      <c r="G14">
        <v>100</v>
      </c>
      <c r="H14">
        <f t="shared" si="0"/>
        <v>580.48743000000002</v>
      </c>
      <c r="I14">
        <f t="shared" si="1"/>
        <v>445.47162406230916</v>
      </c>
    </row>
    <row r="15" spans="1:11" x14ac:dyDescent="0.25">
      <c r="A15" s="25"/>
      <c r="G15">
        <v>90</v>
      </c>
      <c r="H15">
        <f t="shared" si="0"/>
        <v>497.65266830000007</v>
      </c>
      <c r="I15">
        <f t="shared" si="1"/>
        <v>381.37510257947133</v>
      </c>
    </row>
    <row r="16" spans="1:11" x14ac:dyDescent="0.25">
      <c r="A16" s="12" t="s">
        <v>26</v>
      </c>
      <c r="B16" s="12" t="s">
        <v>33</v>
      </c>
      <c r="C16" s="12" t="s">
        <v>47</v>
      </c>
      <c r="D16" s="12" t="s">
        <v>34</v>
      </c>
      <c r="G16">
        <v>80</v>
      </c>
      <c r="H16">
        <f t="shared" si="0"/>
        <v>423.53735519999998</v>
      </c>
      <c r="I16">
        <f t="shared" si="1"/>
        <v>323.68157902173351</v>
      </c>
    </row>
    <row r="17" spans="1:9" x14ac:dyDescent="0.25">
      <c r="A17" s="12" t="s">
        <v>30</v>
      </c>
      <c r="B17" s="26">
        <f>K6</f>
        <v>1061</v>
      </c>
      <c r="C17" s="19">
        <f>B6</f>
        <v>1032.25</v>
      </c>
      <c r="D17" s="26">
        <f>J6</f>
        <v>1003.5</v>
      </c>
      <c r="G17">
        <v>70</v>
      </c>
      <c r="H17">
        <f t="shared" si="0"/>
        <v>358.14149070000002</v>
      </c>
      <c r="I17">
        <f t="shared" si="1"/>
        <v>272.3910533890957</v>
      </c>
    </row>
    <row r="18" spans="1:9" x14ac:dyDescent="0.25">
      <c r="A18" s="12" t="s">
        <v>42</v>
      </c>
      <c r="B18" s="27">
        <f>(B11+B14)*B12*B13+(K8*9.81*B17/1000)</f>
        <v>108.16872988749313</v>
      </c>
      <c r="C18" s="16">
        <f>(C11+C14)*C12*C13+(B8*9.81*C17/1000)</f>
        <v>92.641315863430847</v>
      </c>
      <c r="D18" s="27">
        <f>(D11+D14)*D12*D13+(J8*9.81*D17/1000)</f>
        <v>77.818995589368569</v>
      </c>
      <c r="G18">
        <v>60</v>
      </c>
      <c r="H18">
        <f t="shared" si="0"/>
        <v>301.46507480000002</v>
      </c>
      <c r="I18">
        <f t="shared" si="1"/>
        <v>227.50352568155785</v>
      </c>
    </row>
    <row r="19" spans="1:9" x14ac:dyDescent="0.25">
      <c r="A19" s="12" t="s">
        <v>43</v>
      </c>
      <c r="B19" s="28">
        <f>'NEDC RLs'!$B$12*'WLTP RLs'!B13</f>
        <v>0.3268041194387829</v>
      </c>
      <c r="C19" s="17">
        <f>'NEDC RLs'!$B$12*'WLTP RLs'!C13</f>
        <v>0.3268041194387829</v>
      </c>
      <c r="D19" s="28">
        <f>'NEDC RLs'!$B$12*'WLTP RLs'!D13</f>
        <v>0.3268041194387829</v>
      </c>
      <c r="G19">
        <v>50</v>
      </c>
      <c r="H19">
        <f t="shared" si="0"/>
        <v>253.50810750000002</v>
      </c>
      <c r="I19">
        <f t="shared" si="1"/>
        <v>189.01899589912</v>
      </c>
    </row>
    <row r="20" spans="1:9" x14ac:dyDescent="0.25">
      <c r="A20" s="12" t="s">
        <v>44</v>
      </c>
      <c r="B20" s="29">
        <f>'NEDC RLs'!B13*'WLTP RLs'!B13+(1.189/2*'WLTP RLs'!K9/(3.6)^2)</f>
        <v>3.3497165071125004E-2</v>
      </c>
      <c r="C20" s="18">
        <f>'NEDC RLs'!B13*'WLTP RLs'!C13+(1.189/2*'WLTP RLs'!B9/(3.6)^2)</f>
        <v>3.2014989625500007E-2</v>
      </c>
      <c r="D20" s="29">
        <f>'NEDC RLs'!B13*'WLTP RLs'!D13+(1.189/2*'WLTP RLs'!J9/(3.6)^2)</f>
        <v>3.0532814179875006E-2</v>
      </c>
      <c r="G20">
        <v>40</v>
      </c>
      <c r="H20">
        <f t="shared" si="0"/>
        <v>214.27058880000001</v>
      </c>
      <c r="I20">
        <f t="shared" si="1"/>
        <v>156.93746404178216</v>
      </c>
    </row>
    <row r="21" spans="1:9" x14ac:dyDescent="0.25">
      <c r="G21">
        <v>30</v>
      </c>
      <c r="H21">
        <f t="shared" si="0"/>
        <v>183.75251870000002</v>
      </c>
      <c r="I21">
        <f t="shared" si="1"/>
        <v>131.25893010954434</v>
      </c>
    </row>
    <row r="22" spans="1:9" x14ac:dyDescent="0.25">
      <c r="A22" s="37" t="s">
        <v>69</v>
      </c>
      <c r="C22" s="12" t="s">
        <v>47</v>
      </c>
      <c r="F22" s="38"/>
      <c r="G22">
        <v>20</v>
      </c>
      <c r="H22">
        <f t="shared" si="0"/>
        <v>161.95389720000003</v>
      </c>
      <c r="I22">
        <f t="shared" si="1"/>
        <v>111.98339410240651</v>
      </c>
    </row>
    <row r="23" spans="1:9" x14ac:dyDescent="0.25">
      <c r="A23" s="12" t="s">
        <v>30</v>
      </c>
      <c r="C23" s="36">
        <f>C17</f>
        <v>1032.25</v>
      </c>
      <c r="F23" s="39"/>
    </row>
    <row r="24" spans="1:9" x14ac:dyDescent="0.25">
      <c r="A24" s="12" t="s">
        <v>42</v>
      </c>
      <c r="C24" s="36">
        <f>0.14*C23</f>
        <v>144.51500000000001</v>
      </c>
    </row>
    <row r="25" spans="1:9" x14ac:dyDescent="0.25">
      <c r="A25" s="12" t="s">
        <v>43</v>
      </c>
      <c r="C25" s="36">
        <v>0</v>
      </c>
    </row>
    <row r="26" spans="1:9" x14ac:dyDescent="0.25">
      <c r="A26" s="12" t="s">
        <v>44</v>
      </c>
      <c r="C26" s="36">
        <f>(2.8*0.000001)+(0.017*'NEDC RLs'!B5*'NEDC RLs'!B6)</f>
        <v>4.3597243000000001E-2</v>
      </c>
    </row>
  </sheetData>
  <mergeCells count="1">
    <mergeCell ref="C8:I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NEDC RLs</vt:lpstr>
      <vt:lpstr>WLTP RLs</vt:lpstr>
      <vt:lpstr>Class</vt:lpstr>
      <vt:lpstr>Vehicle_Class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2017-11-03T11:42:12Z</dcterms:modified>
</cp:coreProperties>
</file>