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<sst xmlns="http://schemas.openxmlformats.org/spreadsheetml/2006/main" count="39" uniqueCount="25">
  <si>
    <t xml:space="preserve">Yeast</t>
  </si>
  <si>
    <t xml:space="preserve">Number of brews</t>
  </si>
  <si>
    <t xml:space="preserve">Minimum</t>
  </si>
  <si>
    <t xml:space="preserve">Average</t>
  </si>
  <si>
    <t xml:space="preserve">Maximum</t>
  </si>
  <si>
    <t xml:space="preserve">StDev</t>
  </si>
  <si>
    <t xml:space="preserve">Fermentis S-04</t>
  </si>
  <si>
    <t xml:space="preserve">Fermentis S-33</t>
  </si>
  <si>
    <t xml:space="preserve">Fermentis T-58</t>
  </si>
  <si>
    <t xml:space="preserve">Fermentis US-05</t>
  </si>
  <si>
    <t xml:space="preserve">Fermentis W-34/70</t>
  </si>
  <si>
    <t xml:space="preserve">Fermentis SafCider</t>
  </si>
  <si>
    <t xml:space="preserve">Lallemand Abbaye Belgian</t>
  </si>
  <si>
    <t xml:space="preserve">Lallemand London</t>
  </si>
  <si>
    <t xml:space="preserve">Lallemand New England</t>
  </si>
  <si>
    <t xml:space="preserve">Lallemand Nottingham</t>
  </si>
  <si>
    <t xml:space="preserve">Lallemand Voss Kveik</t>
  </si>
  <si>
    <t xml:space="preserve">Lallemand Windsor</t>
  </si>
  <si>
    <t xml:space="preserve">Mangrove Jacks M-02</t>
  </si>
  <si>
    <t xml:space="preserve">NBS Classic English Ale</t>
  </si>
  <si>
    <t xml:space="preserve">Total number of brews :</t>
  </si>
  <si>
    <t xml:space="preserve">Yeast  --&gt;
Batch #</t>
  </si>
  <si>
    <t xml:space="preserve">Mangrove Jack's M-15</t>
  </si>
  <si>
    <t xml:space="preserve">Mangrove Jack's M-36</t>
  </si>
  <si>
    <t xml:space="preserve">Insert lines above here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</si>
</sst>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%"/>
    <numFmt numFmtId="166" formatCode="0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92D050"/>
      </patternFill>
    </fill>
    <fill>
      <patternFill patternType="solid">
        <fgColor rgb="FF92D050"/>
        <bgColor rgb="FF81D41A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2" borderId="7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4" borderId="8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5" borderId="7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5" borderId="8" xfId="0" applyFont="fals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E15" headerRowCount="1" totalsRowCount="0" totalsRowShown="0">
  <tableColumns count="5">
    <tableColumn id="1" name="Yeast"/>
    <tableColumn id="2" name="Number of brews"/>
    <tableColumn id="3" name="Minimum"/>
    <tableColumn id="4" name="Average"/>
    <tableColumn id="5" name="Maximum"/>
  </tableColumns>
</table>
</file>

<file path=xl/tables/table2.xml><?xml version="1.0" encoding="utf-8"?>
<table xmlns="http://schemas.openxmlformats.org/spreadsheetml/2006/main" id="2" name="Table2" displayName="Table2" ref="A1:Q62" headerRowCount="1" totalsRowCount="0" totalsRowShown="0">
  <autoFilter ref="A1:Q62"/>
  <tableColumns count="17">
    <tableColumn id="1" name="Yeast  --&gt;&#10;&#10;Batch #"/>
    <tableColumn id="2" name="Fermentis S-04"/>
    <tableColumn id="3" name="Fermentis S-33"/>
    <tableColumn id="4" name="Fermentis T-58"/>
    <tableColumn id="5" name="Fermentis US-05"/>
    <tableColumn id="6" name="Fermentis W-34/70"/>
    <tableColumn id="7" name="Fermentis SafCider"/>
    <tableColumn id="8" name="Lallemand Abbaye Belgian"/>
    <tableColumn id="9" name="Lallemand London"/>
    <tableColumn id="10" name="Lallemand New England"/>
    <tableColumn id="11" name="Lallemand Nottingham"/>
    <tableColumn id="12" name="Lallemand Voss Kveik"/>
    <tableColumn id="13" name="Lallemand Windsor"/>
    <tableColumn id="14" name="Mangrove Jacks M-02"/>
    <tableColumn id="15" name="Mangrove Jack's M-15"/>
    <tableColumn id="16" name="Mangrove Jack's M-36"/>
    <tableColumn id="17" name="NBS Classic English Al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9.13671875" defaultRowHeight="15" zeroHeight="false" outlineLevelRow="0" outlineLevelCol="0"/>
  <cols>
    <col collapsed="false" customWidth="true" hidden="false" outlineLevel="0" max="1" min="1" style="1" width="31.28"/>
    <col collapsed="false" customWidth="true" hidden="false" outlineLevel="0" max="7" min="2" style="2" width="10.71"/>
    <col collapsed="false" customWidth="false" hidden="false" outlineLevel="0" max="10" min="8" style="2" width="9.13"/>
    <col collapsed="false" customWidth="false" hidden="false" outlineLevel="0" max="13" min="11" style="3" width="9.13"/>
    <col collapsed="false" customWidth="false" hidden="false" outlineLevel="0" max="1024" min="14" style="1" width="9.13"/>
  </cols>
  <sheetData>
    <row r="1" customFormat="false" ht="35.0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customFormat="false" ht="13.8" hidden="false" customHeight="false" outlineLevel="0" collapsed="false">
      <c r="A2" s="7" t="s">
        <v>6</v>
      </c>
      <c r="B2" s="8" t="n">
        <f aca="false">COUNT(Table2[Fermentis S-04])</f>
        <v>13</v>
      </c>
      <c r="C2" s="9" t="n">
        <f aca="false">MIN(Table2[Fermentis S-04])</f>
        <v>0.742</v>
      </c>
      <c r="D2" s="9" t="n">
        <f aca="false">IF(B2&gt;0,AVERAGE(Table2[Fermentis S-04]),"")</f>
        <v>0.859846153846154</v>
      </c>
      <c r="E2" s="9" t="n">
        <f aca="false">MAX(Table2[Fermentis S-04])</f>
        <v>1</v>
      </c>
      <c r="F2" s="9" t="n">
        <f aca="false">IF(B2&gt;1,STDEV(Table2[Fermentis S-04]),"")</f>
        <v>0.0888621086795399</v>
      </c>
    </row>
    <row r="3" customFormat="false" ht="13.8" hidden="false" customHeight="false" outlineLevel="0" collapsed="false">
      <c r="A3" s="7" t="s">
        <v>7</v>
      </c>
      <c r="B3" s="8" t="n">
        <f aca="false">COUNT(Table2[Fermentis S-33])</f>
        <v>2</v>
      </c>
      <c r="C3" s="9" t="n">
        <f aca="false">MIN(Table2[Fermentis S-33])</f>
        <v>0.621</v>
      </c>
      <c r="D3" s="9" t="n">
        <f aca="false">IF(B3&gt;0,AVERAGE(Table2[Fermentis S-33]),"")</f>
        <v>0.7125</v>
      </c>
      <c r="E3" s="9" t="n">
        <f aca="false">MAX(Table2[Fermentis S-33])</f>
        <v>0.804</v>
      </c>
      <c r="F3" s="9" t="n">
        <f aca="false">IF(B3&gt;1,STDEV(Table2[Fermentis S-33]),"")</f>
        <v>0.129400540957138</v>
      </c>
    </row>
    <row r="4" customFormat="false" ht="13.8" hidden="false" customHeight="false" outlineLevel="0" collapsed="false">
      <c r="A4" s="7" t="s">
        <v>8</v>
      </c>
      <c r="B4" s="8" t="n">
        <f aca="false">COUNT(Table2[Fermentis T-58])</f>
        <v>0</v>
      </c>
      <c r="C4" s="9" t="str">
        <f aca="false">IF(B4&gt;0,MIN(Table2[Fermentis T-58]),"")</f>
        <v/>
      </c>
      <c r="D4" s="9" t="str">
        <f aca="false">IF(B4&gt;0,AVERAGE(Table2[Fermentis T-58]),"")</f>
        <v/>
      </c>
      <c r="E4" s="9" t="str">
        <f aca="false">IF(B4&gt;0,MAX(Table2[Fermentis T-58]),"")</f>
        <v/>
      </c>
      <c r="F4" s="9" t="str">
        <f aca="false">IF(B4&gt;1,STDEV(Table2[Fermentis T-58]),"")</f>
        <v/>
      </c>
    </row>
    <row r="5" customFormat="false" ht="13.8" hidden="false" customHeight="false" outlineLevel="0" collapsed="false">
      <c r="A5" s="7" t="s">
        <v>9</v>
      </c>
      <c r="B5" s="8" t="n">
        <f aca="false">COUNT(Table2[Fermentis US-05])</f>
        <v>7</v>
      </c>
      <c r="C5" s="9" t="n">
        <f aca="false">MIN(Table2[Fermentis US-05])</f>
        <v>0.759</v>
      </c>
      <c r="D5" s="9" t="n">
        <f aca="false">IF(B5&gt;0,AVERAGE(Table2[Fermentis US-05]),"")</f>
        <v>0.894857142857143</v>
      </c>
      <c r="E5" s="9" t="n">
        <f aca="false">MAX(Table2[Fermentis US-05])</f>
        <v>1</v>
      </c>
      <c r="F5" s="9" t="n">
        <f aca="false">IF(B5&gt;1,STDEV(Table2[Fermentis US-05]),"")</f>
        <v>0.0865860430851465</v>
      </c>
    </row>
    <row r="6" customFormat="false" ht="13.8" hidden="false" customHeight="false" outlineLevel="0" collapsed="false">
      <c r="A6" s="7" t="s">
        <v>10</v>
      </c>
      <c r="B6" s="8" t="n">
        <f aca="false">COUNT(Table2[Fermentis W-34/70])</f>
        <v>3</v>
      </c>
      <c r="C6" s="9" t="n">
        <f aca="false">MIN(Table2[Fermentis W-34/70])</f>
        <v>0.756</v>
      </c>
      <c r="D6" s="9" t="n">
        <f aca="false">IF(B6&gt;0,AVERAGE(Table2[Fermentis W-34/70]),"")</f>
        <v>0.766666666666667</v>
      </c>
      <c r="E6" s="9" t="n">
        <f aca="false">MAX(Table2[Fermentis W-34/70])</f>
        <v>0.772</v>
      </c>
      <c r="F6" s="9" t="n">
        <f aca="false">IF(B6&gt;1,STDEV(Table2[Fermentis W-34/70]),"")</f>
        <v>0.00923760430703408</v>
      </c>
    </row>
    <row r="7" customFormat="false" ht="13.8" hidden="false" customHeight="false" outlineLevel="0" collapsed="false">
      <c r="A7" s="7" t="s">
        <v>11</v>
      </c>
      <c r="B7" s="8" t="n">
        <f aca="false">COUNT(Table2[Fermentis SafCider])</f>
        <v>0</v>
      </c>
      <c r="C7" s="9" t="str">
        <f aca="false">IF(B7&gt;0,MIN(Table2[Fermentis SafCider]),"")</f>
        <v/>
      </c>
      <c r="D7" s="9" t="str">
        <f aca="false">IF(B7&gt;0,AVERAGE(Table2[Fermentis SafCider]),"")</f>
        <v/>
      </c>
      <c r="E7" s="9" t="str">
        <f aca="false">IF(B7&gt;0,MAX(Table2[Fermentis SafCider]),"")</f>
        <v/>
      </c>
      <c r="F7" s="9" t="str">
        <f aca="false">IF(B7&gt;1,STDEV(Table2[Fermentis SafCider]),"")</f>
        <v/>
      </c>
    </row>
    <row r="8" customFormat="false" ht="13.8" hidden="false" customHeight="false" outlineLevel="0" collapsed="false">
      <c r="A8" s="7" t="s">
        <v>12</v>
      </c>
      <c r="B8" s="8" t="n">
        <f aca="false">COUNT(Table2[Lallemand Abbaye Belgian])</f>
        <v>3</v>
      </c>
      <c r="C8" s="9" t="n">
        <f aca="false">MIN(Table2[Lallemand Abbaye Belgian])</f>
        <v>0.934</v>
      </c>
      <c r="D8" s="9" t="n">
        <f aca="false">IF(B8&gt;0,AVERAGE(Table2[Lallemand Abbaye Belgian]),"")</f>
        <v>0.955333333333333</v>
      </c>
      <c r="E8" s="9" t="n">
        <f aca="false">MAX(Table2[Lallemand Abbaye Belgian])</f>
        <v>0.966</v>
      </c>
      <c r="F8" s="9" t="n">
        <f aca="false">IF(B8&gt;1,STDEV(Table2[Lallemand Abbaye Belgian]),"")</f>
        <v>0.018475208614068</v>
      </c>
    </row>
    <row r="9" customFormat="false" ht="13.8" hidden="false" customHeight="false" outlineLevel="0" collapsed="false">
      <c r="A9" s="7" t="s">
        <v>13</v>
      </c>
      <c r="B9" s="8" t="n">
        <f aca="false">COUNT(Table2[Lallemand London])</f>
        <v>3</v>
      </c>
      <c r="C9" s="9" t="n">
        <f aca="false">MIN(Table2[Lallemand London])</f>
        <v>0.659</v>
      </c>
      <c r="D9" s="9" t="n">
        <f aca="false">IF(B9&gt;0,AVERAGE(Table2[Lallemand London]),"")</f>
        <v>0.704333333333333</v>
      </c>
      <c r="E9" s="9" t="n">
        <f aca="false">MAX(Table2[Lallemand London])</f>
        <v>0.743</v>
      </c>
      <c r="F9" s="9" t="n">
        <f aca="false">IF(B9&gt;1,STDEV(Table2[Lallemand London]),"")</f>
        <v>0.0423949682548924</v>
      </c>
    </row>
    <row r="10" customFormat="false" ht="13.8" hidden="false" customHeight="false" outlineLevel="0" collapsed="false">
      <c r="A10" s="7" t="s">
        <v>14</v>
      </c>
      <c r="B10" s="8" t="n">
        <f aca="false">COUNT(Table2[Lallemand New England])</f>
        <v>3</v>
      </c>
      <c r="C10" s="9" t="n">
        <f aca="false">MIN(Table2[Lallemand New England])</f>
        <v>0.887</v>
      </c>
      <c r="D10" s="9" t="n">
        <f aca="false">IF(B10&gt;0,AVERAGE(Table2[Lallemand New England]),"")</f>
        <v>0.918333333333333</v>
      </c>
      <c r="E10" s="9" t="n">
        <f aca="false">MAX(Table2[Lallemand New England])</f>
        <v>0.951</v>
      </c>
      <c r="F10" s="9" t="n">
        <f aca="false">IF(B10&gt;1,STDEV(Table2[Lallemand New England]),"")</f>
        <v>0.0320208265560609</v>
      </c>
    </row>
    <row r="11" customFormat="false" ht="13.8" hidden="false" customHeight="false" outlineLevel="0" collapsed="false">
      <c r="A11" s="7" t="s">
        <v>15</v>
      </c>
      <c r="B11" s="8" t="n">
        <f aca="false">COUNT(Table2[Lallemand Nottingham])</f>
        <v>5</v>
      </c>
      <c r="C11" s="9" t="n">
        <f aca="false">MIN(Table2[Lallemand Nottingham])</f>
        <v>0.849</v>
      </c>
      <c r="D11" s="9" t="n">
        <f aca="false">IF(B11&gt;0,AVERAGE(Table2[Lallemand Nottingham]),"")</f>
        <v>0.9596</v>
      </c>
      <c r="E11" s="9" t="n">
        <f aca="false">MAX(Table2[Lallemand Nottingham])</f>
        <v>1</v>
      </c>
      <c r="F11" s="9" t="n">
        <f aca="false">IF(B11&gt;1,STDEV(Table2[Lallemand Nottingham]),"")</f>
        <v>0.0656528750322482</v>
      </c>
      <c r="K11" s="10"/>
      <c r="L11" s="11"/>
      <c r="M11" s="11"/>
      <c r="N11" s="11"/>
      <c r="O11" s="11"/>
      <c r="P11" s="11"/>
      <c r="Q11" s="11"/>
    </row>
    <row r="12" customFormat="false" ht="13.8" hidden="false" customHeight="false" outlineLevel="0" collapsed="false">
      <c r="A12" s="7" t="s">
        <v>16</v>
      </c>
      <c r="B12" s="8" t="n">
        <f aca="false">COUNT(Table2[Lallemand Voss Kveik])</f>
        <v>3</v>
      </c>
      <c r="C12" s="9" t="n">
        <f aca="false">MIN(Table2[Lallemand Voss Kveik])</f>
        <v>0.759</v>
      </c>
      <c r="D12" s="9" t="n">
        <f aca="false">IF(B12&gt;0,AVERAGE(Table2[Lallemand Voss Kveik]),"")</f>
        <v>0.773</v>
      </c>
      <c r="E12" s="9" t="n">
        <f aca="false">MAX(Table2[Lallemand Voss Kveik])</f>
        <v>0.78</v>
      </c>
      <c r="F12" s="9" t="n">
        <f aca="false">IF(B12&gt;1,STDEV(Table2[Lallemand Voss Kveik]),"")</f>
        <v>0.0121243556529822</v>
      </c>
      <c r="K12" s="10"/>
      <c r="L12" s="11"/>
      <c r="M12" s="11"/>
      <c r="N12" s="11"/>
      <c r="O12" s="11"/>
      <c r="P12" s="11"/>
      <c r="Q12" s="11"/>
    </row>
    <row r="13" customFormat="false" ht="13.8" hidden="false" customHeight="false" outlineLevel="0" collapsed="false">
      <c r="A13" s="7" t="s">
        <v>17</v>
      </c>
      <c r="B13" s="8" t="n">
        <f aca="false">COUNT(Table2[Lallemand Windsor])</f>
        <v>4</v>
      </c>
      <c r="C13" s="9" t="n">
        <f aca="false">MIN(Table2[Lallemand Windsor])</f>
        <v>0.718</v>
      </c>
      <c r="D13" s="9" t="n">
        <f aca="false">IF(B13&gt;0,AVERAGE(Table2[Lallemand Windsor]),"")</f>
        <v>0.8305</v>
      </c>
      <c r="E13" s="9" t="n">
        <f aca="false">MAX(Table2[Lallemand Windsor])</f>
        <v>0.912</v>
      </c>
      <c r="F13" s="9" t="n">
        <f aca="false">IF(B13&gt;1,STDEV(Table2[Lallemand Windsor]),"")</f>
        <v>0.0811972905951917</v>
      </c>
      <c r="K13" s="10"/>
      <c r="L13" s="11"/>
      <c r="M13" s="11"/>
      <c r="N13" s="11"/>
      <c r="O13" s="11"/>
      <c r="P13" s="11"/>
      <c r="Q13" s="11"/>
    </row>
    <row r="14" customFormat="false" ht="13.8" hidden="false" customHeight="false" outlineLevel="0" collapsed="false">
      <c r="A14" s="7" t="s">
        <v>18</v>
      </c>
      <c r="B14" s="8" t="n">
        <f aca="false">COUNT(Table2[Mangrove Jacks M-02])</f>
        <v>2</v>
      </c>
      <c r="C14" s="9" t="n">
        <f aca="false">MIN(Table2[Mangrove Jacks M-02])</f>
        <v>0.956</v>
      </c>
      <c r="D14" s="9" t="n">
        <f aca="false">IF(B14&gt;0,AVERAGE(Table2[Mangrove Jacks M-02]),"")</f>
        <v>1.0555</v>
      </c>
      <c r="E14" s="9" t="n">
        <f aca="false">MAX(Table2[Mangrove Jacks M-02])</f>
        <v>1.155</v>
      </c>
      <c r="F14" s="9" t="n">
        <f aca="false">IF(B14&gt;1,STDEV(Table2[Mangrove Jacks M-02]),"")</f>
        <v>0.140714249456123</v>
      </c>
      <c r="K14" s="10"/>
      <c r="L14" s="11"/>
      <c r="M14" s="11"/>
      <c r="N14" s="11"/>
      <c r="O14" s="11"/>
      <c r="P14" s="11"/>
      <c r="Q14" s="11"/>
    </row>
    <row r="15" customFormat="false" ht="13.8" hidden="false" customHeight="false" outlineLevel="0" collapsed="false">
      <c r="A15" s="7" t="s">
        <v>19</v>
      </c>
      <c r="B15" s="8" t="n">
        <f aca="false">COUNT(Table2[NBS Classic English Ale])</f>
        <v>1</v>
      </c>
      <c r="C15" s="9" t="n">
        <f aca="false">MIN(Table2[NBS Classic English Ale])</f>
        <v>0.824</v>
      </c>
      <c r="D15" s="9" t="n">
        <f aca="false">IF(B15&gt;0,AVERAGE(Table2[NBS Classic English Ale]),"")</f>
        <v>0.824</v>
      </c>
      <c r="E15" s="9" t="n">
        <f aca="false">MAX(Table2[NBS Classic English Ale])</f>
        <v>0.824</v>
      </c>
      <c r="F15" s="9" t="str">
        <f aca="false">IF(B15&gt;1,STDEV(Table2[NBS Classic English Ale]),"")</f>
        <v/>
      </c>
      <c r="K15" s="12"/>
      <c r="L15" s="13"/>
      <c r="M15" s="13"/>
      <c r="N15" s="12"/>
      <c r="O15" s="12"/>
      <c r="P15" s="12"/>
      <c r="Q15" s="12"/>
    </row>
    <row r="16" customFormat="false" ht="15" hidden="false" customHeight="false" outlineLevel="0" collapsed="false">
      <c r="K16" s="12"/>
      <c r="L16" s="13"/>
      <c r="M16" s="13"/>
      <c r="N16" s="12"/>
      <c r="O16" s="12"/>
      <c r="P16" s="12"/>
      <c r="Q16" s="12"/>
    </row>
    <row r="17" customFormat="false" ht="15" hidden="false" customHeight="false" outlineLevel="0" collapsed="false">
      <c r="A17" s="14" t="s">
        <v>20</v>
      </c>
      <c r="B17" s="15" t="n">
        <f aca="false">SUM(B2:B15)</f>
        <v>49</v>
      </c>
      <c r="K17" s="12"/>
      <c r="L17" s="13"/>
      <c r="M17" s="13"/>
      <c r="N17" s="12"/>
      <c r="O17" s="12"/>
      <c r="P17" s="12"/>
      <c r="Q17" s="12"/>
    </row>
    <row r="18" customFormat="false" ht="15" hidden="false" customHeight="false" outlineLevel="0" collapsed="false">
      <c r="K18" s="12"/>
      <c r="L18" s="13"/>
      <c r="M18" s="13"/>
      <c r="N18" s="12"/>
      <c r="O18" s="12"/>
      <c r="P18" s="12"/>
      <c r="Q18" s="12"/>
    </row>
    <row r="19" customFormat="false" ht="15" hidden="false" customHeight="false" outlineLevel="0" collapsed="false">
      <c r="K19" s="13"/>
      <c r="L19" s="13"/>
      <c r="M19" s="13"/>
      <c r="N19" s="12"/>
      <c r="O19" s="12"/>
      <c r="P19" s="12"/>
      <c r="Q19" s="12"/>
    </row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&amp;CAttenuation</oddHeader>
    <oddFooter>&amp;LFile: &amp;F&amp;C&amp;P / &amp;N&amp;R&amp;D | &amp;T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6" activePane="bottomLeft" state="frozen"/>
      <selection pane="topLeft" activeCell="A1" activeCellId="0" sqref="A1"/>
      <selection pane="bottomLeft" activeCell="B57" activeCellId="0" sqref="B57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11.42"/>
    <col collapsed="false" customWidth="true" hidden="false" outlineLevel="0" max="17" min="2" style="2" width="13.09"/>
    <col collapsed="false" customWidth="false" hidden="false" outlineLevel="0" max="20" min="18" style="2" width="9.13"/>
    <col collapsed="false" customWidth="false" hidden="false" outlineLevel="0" max="23" min="21" style="3" width="9.13"/>
    <col collapsed="false" customWidth="false" hidden="false" outlineLevel="0" max="1024" min="24" style="1" width="9.13"/>
  </cols>
  <sheetData>
    <row r="1" s="19" customFormat="true" ht="35.05" hidden="false" customHeight="false" outlineLevel="0" collapsed="false">
      <c r="A1" s="16" t="s">
        <v>21</v>
      </c>
      <c r="B1" s="16" t="s">
        <v>6</v>
      </c>
      <c r="C1" s="16" t="s">
        <v>7</v>
      </c>
      <c r="D1" s="16" t="s">
        <v>8</v>
      </c>
      <c r="E1" s="16" t="s">
        <v>9</v>
      </c>
      <c r="F1" s="16" t="s">
        <v>10</v>
      </c>
      <c r="G1" s="16" t="s">
        <v>11</v>
      </c>
      <c r="H1" s="16" t="s">
        <v>12</v>
      </c>
      <c r="I1" s="16" t="s">
        <v>13</v>
      </c>
      <c r="J1" s="16" t="s">
        <v>14</v>
      </c>
      <c r="K1" s="16" t="s">
        <v>15</v>
      </c>
      <c r="L1" s="16" t="s">
        <v>16</v>
      </c>
      <c r="M1" s="16" t="s">
        <v>17</v>
      </c>
      <c r="N1" s="16" t="s">
        <v>18</v>
      </c>
      <c r="O1" s="16" t="s">
        <v>22</v>
      </c>
      <c r="P1" s="16" t="s">
        <v>23</v>
      </c>
      <c r="Q1" s="16" t="s">
        <v>19</v>
      </c>
      <c r="R1" s="17"/>
      <c r="S1" s="17"/>
      <c r="T1" s="17"/>
      <c r="U1" s="18"/>
      <c r="V1" s="18"/>
      <c r="W1" s="18"/>
    </row>
    <row r="2" customFormat="false" ht="13.8" hidden="false" customHeight="false" outlineLevel="0" collapsed="false">
      <c r="A2" s="20" t="n">
        <v>1</v>
      </c>
      <c r="B2" s="21"/>
      <c r="C2" s="22" t="n">
        <v>0.621</v>
      </c>
      <c r="D2" s="9"/>
      <c r="E2" s="21"/>
      <c r="F2" s="21"/>
      <c r="G2" s="21"/>
      <c r="H2" s="21"/>
      <c r="I2" s="21"/>
      <c r="J2" s="21"/>
      <c r="K2" s="21"/>
      <c r="L2" s="23"/>
      <c r="M2" s="23"/>
      <c r="N2" s="23"/>
      <c r="O2" s="23"/>
      <c r="P2" s="23"/>
      <c r="Q2" s="24"/>
    </row>
    <row r="3" customFormat="false" ht="13.8" hidden="false" customHeight="false" outlineLevel="0" collapsed="false">
      <c r="A3" s="20" t="n">
        <v>2</v>
      </c>
      <c r="B3" s="9"/>
      <c r="C3" s="22" t="n">
        <v>0.804</v>
      </c>
      <c r="D3" s="9"/>
      <c r="E3" s="9"/>
      <c r="F3" s="9"/>
      <c r="G3" s="9"/>
      <c r="H3" s="9"/>
      <c r="I3" s="9"/>
      <c r="J3" s="9"/>
      <c r="K3" s="9"/>
      <c r="L3" s="24"/>
      <c r="M3" s="24"/>
      <c r="N3" s="24"/>
      <c r="O3" s="24"/>
      <c r="P3" s="24"/>
      <c r="Q3" s="24"/>
    </row>
    <row r="4" customFormat="false" ht="13.8" hidden="false" customHeight="false" outlineLevel="0" collapsed="false">
      <c r="A4" s="20" t="n">
        <v>3</v>
      </c>
      <c r="B4" s="9"/>
      <c r="C4" s="9"/>
      <c r="D4" s="9"/>
      <c r="E4" s="9"/>
      <c r="F4" s="9"/>
      <c r="G4" s="9"/>
      <c r="H4" s="9"/>
      <c r="I4" s="9"/>
      <c r="J4" s="9"/>
      <c r="K4" s="22" t="n">
        <v>0.949</v>
      </c>
      <c r="L4" s="24"/>
      <c r="M4" s="24"/>
      <c r="N4" s="24"/>
      <c r="O4" s="24"/>
      <c r="P4" s="24"/>
      <c r="Q4" s="24"/>
    </row>
    <row r="5" customFormat="false" ht="13.8" hidden="false" customHeight="false" outlineLevel="0" collapsed="false">
      <c r="A5" s="20" t="n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24"/>
      <c r="M5" s="24"/>
      <c r="N5" s="24"/>
      <c r="O5" s="24"/>
      <c r="P5" s="24"/>
      <c r="Q5" s="25" t="n">
        <v>0.824</v>
      </c>
    </row>
    <row r="6" customFormat="false" ht="13.8" hidden="false" customHeight="false" outlineLevel="0" collapsed="false">
      <c r="A6" s="20" t="n">
        <v>5</v>
      </c>
      <c r="B6" s="9"/>
      <c r="C6" s="9"/>
      <c r="D6" s="9"/>
      <c r="E6" s="9"/>
      <c r="F6" s="9"/>
      <c r="G6" s="9"/>
      <c r="H6" s="9"/>
      <c r="I6" s="9"/>
      <c r="J6" s="22" t="n">
        <v>0.951</v>
      </c>
      <c r="K6" s="9"/>
      <c r="L6" s="24"/>
      <c r="M6" s="24"/>
      <c r="N6" s="24"/>
      <c r="O6" s="24"/>
      <c r="P6" s="24"/>
      <c r="Q6" s="24"/>
    </row>
    <row r="7" customFormat="false" ht="13.8" hidden="false" customHeight="false" outlineLevel="0" collapsed="false">
      <c r="A7" s="20" t="n">
        <v>6</v>
      </c>
      <c r="B7" s="22" t="n">
        <v>0.91</v>
      </c>
      <c r="C7" s="9"/>
      <c r="D7" s="9"/>
      <c r="E7" s="9"/>
      <c r="F7" s="9"/>
      <c r="G7" s="9"/>
      <c r="H7" s="9"/>
      <c r="I7" s="9"/>
      <c r="J7" s="9"/>
      <c r="K7" s="9"/>
      <c r="L7" s="24"/>
      <c r="M7" s="24"/>
      <c r="N7" s="24"/>
      <c r="O7" s="24"/>
      <c r="P7" s="24"/>
      <c r="Q7" s="24"/>
    </row>
    <row r="8" customFormat="false" ht="13.8" hidden="false" customHeight="false" outlineLevel="0" collapsed="false">
      <c r="A8" s="20" t="n">
        <v>7</v>
      </c>
      <c r="B8" s="9"/>
      <c r="C8" s="9"/>
      <c r="D8" s="9"/>
      <c r="E8" s="22" t="n">
        <v>0.901</v>
      </c>
      <c r="F8" s="9"/>
      <c r="G8" s="9"/>
      <c r="H8" s="9"/>
      <c r="I8" s="9"/>
      <c r="J8" s="9"/>
      <c r="K8" s="9"/>
      <c r="L8" s="24"/>
      <c r="M8" s="24"/>
      <c r="N8" s="24"/>
      <c r="O8" s="24"/>
      <c r="P8" s="24"/>
      <c r="Q8" s="24"/>
    </row>
    <row r="9" customFormat="false" ht="13.8" hidden="false" customHeight="false" outlineLevel="0" collapsed="false">
      <c r="A9" s="26" t="n">
        <v>8</v>
      </c>
      <c r="B9" s="27"/>
      <c r="C9" s="27"/>
      <c r="D9" s="27"/>
      <c r="E9" s="22" t="n">
        <v>0.961</v>
      </c>
      <c r="F9" s="9"/>
      <c r="G9" s="9"/>
      <c r="H9" s="9"/>
      <c r="I9" s="9"/>
      <c r="J9" s="27"/>
      <c r="K9" s="27"/>
      <c r="L9" s="28"/>
      <c r="M9" s="28"/>
      <c r="N9" s="28"/>
      <c r="O9" s="28"/>
      <c r="P9" s="28"/>
      <c r="Q9" s="28"/>
    </row>
    <row r="10" customFormat="false" ht="13.8" hidden="false" customHeight="false" outlineLevel="0" collapsed="false">
      <c r="A10" s="20" t="n">
        <v>9</v>
      </c>
      <c r="B10" s="9"/>
      <c r="C10" s="9"/>
      <c r="D10" s="27"/>
      <c r="E10" s="22" t="n">
        <v>0.961</v>
      </c>
      <c r="F10" s="9"/>
      <c r="G10" s="9"/>
      <c r="H10" s="27"/>
      <c r="I10" s="27"/>
      <c r="J10" s="9"/>
      <c r="K10" s="9"/>
      <c r="L10" s="28"/>
      <c r="M10" s="28"/>
      <c r="N10" s="28"/>
      <c r="O10" s="28"/>
      <c r="P10" s="28"/>
      <c r="Q10" s="24"/>
    </row>
    <row r="11" customFormat="false" ht="13.8" hidden="false" customHeight="false" outlineLevel="0" collapsed="false">
      <c r="A11" s="26" t="n">
        <v>10</v>
      </c>
      <c r="B11" s="22" t="n">
        <v>1</v>
      </c>
      <c r="C11" s="27"/>
      <c r="D11" s="27"/>
      <c r="E11" s="27"/>
      <c r="F11" s="27"/>
      <c r="G11" s="27"/>
      <c r="H11" s="27"/>
      <c r="I11" s="27"/>
      <c r="J11" s="27"/>
      <c r="K11" s="27"/>
      <c r="L11" s="28"/>
      <c r="M11" s="28"/>
      <c r="N11" s="28"/>
      <c r="O11" s="28"/>
      <c r="P11" s="28"/>
      <c r="Q11" s="28"/>
    </row>
    <row r="12" customFormat="false" ht="13.8" hidden="false" customHeight="false" outlineLevel="0" collapsed="false">
      <c r="A12" s="26" t="n">
        <v>11</v>
      </c>
      <c r="B12" s="27"/>
      <c r="C12" s="27"/>
      <c r="D12" s="27"/>
      <c r="E12" s="22" t="n">
        <v>1</v>
      </c>
      <c r="F12" s="9"/>
      <c r="G12" s="9"/>
      <c r="H12" s="27"/>
      <c r="I12" s="27"/>
      <c r="J12" s="27"/>
      <c r="K12" s="27"/>
      <c r="L12" s="28"/>
      <c r="M12" s="28"/>
      <c r="N12" s="28"/>
      <c r="O12" s="28"/>
      <c r="P12" s="28"/>
      <c r="Q12" s="28"/>
    </row>
    <row r="13" customFormat="false" ht="13.8" hidden="false" customHeight="false" outlineLevel="0" collapsed="false">
      <c r="A13" s="26" t="n">
        <v>12</v>
      </c>
      <c r="B13" s="27"/>
      <c r="C13" s="27"/>
      <c r="D13" s="27"/>
      <c r="E13" s="27"/>
      <c r="F13" s="27"/>
      <c r="G13" s="27"/>
      <c r="H13" s="9"/>
      <c r="I13" s="9"/>
      <c r="J13" s="27"/>
      <c r="K13" s="27"/>
      <c r="L13" s="28"/>
      <c r="M13" s="28"/>
      <c r="N13" s="29" t="n">
        <v>1.155</v>
      </c>
      <c r="O13" s="28"/>
      <c r="P13" s="28"/>
      <c r="Q13" s="28"/>
    </row>
    <row r="14" customFormat="false" ht="13.8" hidden="false" customHeight="false" outlineLevel="0" collapsed="false">
      <c r="A14" s="26" t="n">
        <v>13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4"/>
      <c r="M14" s="24"/>
      <c r="N14" s="30" t="n">
        <v>0.956</v>
      </c>
      <c r="O14" s="28"/>
      <c r="P14" s="28"/>
      <c r="Q14" s="28"/>
    </row>
    <row r="15" customFormat="false" ht="13.8" hidden="false" customHeight="false" outlineLevel="0" collapsed="false">
      <c r="A15" s="26" t="n">
        <v>14</v>
      </c>
      <c r="B15" s="27"/>
      <c r="C15" s="27"/>
      <c r="D15" s="27"/>
      <c r="E15" s="27"/>
      <c r="F15" s="27"/>
      <c r="G15" s="27"/>
      <c r="H15" s="27"/>
      <c r="I15" s="27"/>
      <c r="J15" s="30" t="n">
        <v>0.917</v>
      </c>
      <c r="K15" s="27"/>
      <c r="L15" s="28"/>
      <c r="M15" s="28"/>
      <c r="N15" s="28"/>
      <c r="O15" s="27"/>
      <c r="P15" s="27"/>
      <c r="Q15" s="28"/>
    </row>
    <row r="16" customFormat="false" ht="13.8" hidden="false" customHeight="false" outlineLevel="0" collapsed="false">
      <c r="A16" s="26" t="n">
        <v>15</v>
      </c>
      <c r="B16" s="22" t="n">
        <v>1</v>
      </c>
      <c r="C16" s="27"/>
      <c r="D16" s="27"/>
      <c r="E16" s="27"/>
      <c r="F16" s="27"/>
      <c r="G16" s="27"/>
      <c r="H16" s="27"/>
      <c r="I16" s="27"/>
      <c r="J16" s="27"/>
      <c r="K16" s="27"/>
      <c r="L16" s="28"/>
      <c r="M16" s="28"/>
      <c r="N16" s="28"/>
      <c r="O16" s="28"/>
      <c r="P16" s="28"/>
      <c r="Q16" s="28"/>
    </row>
    <row r="17" customFormat="false" ht="13.8" hidden="false" customHeight="false" outlineLevel="0" collapsed="false">
      <c r="A17" s="26" t="n">
        <v>16</v>
      </c>
      <c r="B17" s="27"/>
      <c r="C17" s="27"/>
      <c r="D17" s="27"/>
      <c r="E17" s="30" t="n">
        <v>0.862</v>
      </c>
      <c r="F17" s="27"/>
      <c r="G17" s="27"/>
      <c r="H17" s="27"/>
      <c r="I17" s="27"/>
      <c r="J17" s="27"/>
      <c r="K17" s="27"/>
      <c r="L17" s="24"/>
      <c r="M17" s="24"/>
      <c r="N17" s="28"/>
      <c r="O17" s="28"/>
      <c r="P17" s="28"/>
      <c r="Q17" s="28"/>
    </row>
    <row r="18" customFormat="false" ht="13.8" hidden="false" customHeight="false" outlineLevel="0" collapsed="false">
      <c r="A18" s="26" t="n">
        <v>17</v>
      </c>
      <c r="B18" s="27"/>
      <c r="C18" s="27"/>
      <c r="D18" s="27"/>
      <c r="E18" s="27"/>
      <c r="F18" s="27"/>
      <c r="G18" s="27"/>
      <c r="H18" s="27"/>
      <c r="I18" s="27"/>
      <c r="J18" s="30" t="n">
        <v>0.887</v>
      </c>
      <c r="K18" s="27"/>
      <c r="L18" s="28"/>
      <c r="M18" s="28"/>
      <c r="N18" s="28"/>
      <c r="O18" s="28"/>
      <c r="P18" s="28"/>
      <c r="Q18" s="28"/>
    </row>
    <row r="19" customFormat="false" ht="13.8" hidden="false" customHeight="false" outlineLevel="0" collapsed="false">
      <c r="A19" s="26" t="n">
        <v>18</v>
      </c>
      <c r="B19" s="27"/>
      <c r="C19" s="27"/>
      <c r="D19" s="27"/>
      <c r="E19" s="30" t="n">
        <v>0.82</v>
      </c>
      <c r="F19" s="27"/>
      <c r="G19" s="27"/>
      <c r="H19" s="27"/>
      <c r="I19" s="27"/>
      <c r="J19" s="27"/>
      <c r="K19" s="27"/>
      <c r="L19" s="28"/>
      <c r="M19" s="28"/>
      <c r="N19" s="28"/>
      <c r="O19" s="28"/>
      <c r="P19" s="28"/>
      <c r="Q19" s="28"/>
    </row>
    <row r="20" customFormat="false" ht="13.8" hidden="false" customHeight="false" outlineLevel="0" collapsed="false">
      <c r="A20" s="26" t="n">
        <v>19</v>
      </c>
      <c r="B20" s="27"/>
      <c r="C20" s="27"/>
      <c r="D20" s="27"/>
      <c r="E20" s="27"/>
      <c r="F20" s="27"/>
      <c r="G20" s="27"/>
      <c r="H20" s="30" t="n">
        <v>0.934</v>
      </c>
      <c r="I20" s="0"/>
      <c r="J20" s="27"/>
      <c r="K20" s="27"/>
      <c r="L20" s="28"/>
      <c r="M20" s="28"/>
      <c r="N20" s="28"/>
      <c r="O20" s="28"/>
      <c r="P20" s="28"/>
      <c r="Q20" s="28"/>
    </row>
    <row r="21" customFormat="false" ht="13.8" hidden="false" customHeight="false" outlineLevel="0" collapsed="false">
      <c r="A21" s="26" t="n">
        <v>20</v>
      </c>
      <c r="B21" s="27"/>
      <c r="C21" s="27"/>
      <c r="D21" s="27"/>
      <c r="E21" s="27"/>
      <c r="F21" s="27"/>
      <c r="G21" s="27"/>
      <c r="H21" s="30" t="n">
        <v>0.966</v>
      </c>
      <c r="I21" s="0"/>
      <c r="J21" s="27"/>
      <c r="K21" s="27"/>
      <c r="L21" s="28"/>
      <c r="M21" s="28"/>
      <c r="N21" s="28"/>
      <c r="O21" s="28"/>
      <c r="P21" s="28"/>
      <c r="Q21" s="28"/>
    </row>
    <row r="22" customFormat="false" ht="13.8" hidden="false" customHeight="false" outlineLevel="0" collapsed="false">
      <c r="A22" s="26" t="n">
        <v>21</v>
      </c>
      <c r="B22" s="27"/>
      <c r="C22" s="27"/>
      <c r="D22" s="27"/>
      <c r="E22" s="27"/>
      <c r="F22" s="27"/>
      <c r="G22" s="27"/>
      <c r="H22" s="30" t="n">
        <v>0.966</v>
      </c>
      <c r="I22" s="0"/>
      <c r="J22" s="27"/>
      <c r="K22" s="27"/>
      <c r="L22" s="28"/>
      <c r="M22" s="28"/>
      <c r="N22" s="28"/>
      <c r="O22" s="28"/>
      <c r="P22" s="28"/>
      <c r="Q22" s="28"/>
    </row>
    <row r="23" customFormat="false" ht="13.8" hidden="false" customHeight="false" outlineLevel="0" collapsed="false">
      <c r="A23" s="26" t="n">
        <v>22</v>
      </c>
      <c r="B23" s="30" t="n">
        <v>0.808</v>
      </c>
      <c r="C23" s="27"/>
      <c r="D23" s="27"/>
      <c r="E23" s="27"/>
      <c r="F23" s="27"/>
      <c r="G23" s="27"/>
      <c r="H23" s="27"/>
      <c r="I23" s="27"/>
      <c r="J23" s="27"/>
      <c r="K23" s="27"/>
      <c r="L23" s="28"/>
      <c r="M23" s="28"/>
      <c r="N23" s="28"/>
      <c r="O23" s="28"/>
      <c r="P23" s="28"/>
      <c r="Q23" s="28"/>
    </row>
    <row r="24" customFormat="false" ht="13.8" hidden="false" customHeight="false" outlineLevel="0" collapsed="false">
      <c r="A24" s="26" t="n">
        <v>23</v>
      </c>
      <c r="B24" s="30" t="n">
        <v>1</v>
      </c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28"/>
      <c r="N24" s="28"/>
      <c r="O24" s="28"/>
      <c r="P24" s="28"/>
      <c r="Q24" s="28"/>
    </row>
    <row r="25" customFormat="false" ht="13.8" hidden="false" customHeight="false" outlineLevel="0" collapsed="false">
      <c r="A25" s="26" t="n">
        <v>24</v>
      </c>
      <c r="B25" s="27"/>
      <c r="C25" s="27"/>
      <c r="D25" s="27"/>
      <c r="E25" s="27"/>
      <c r="F25" s="27"/>
      <c r="G25" s="27"/>
      <c r="H25" s="27"/>
      <c r="I25" s="30" t="n">
        <v>0.743</v>
      </c>
      <c r="J25" s="27"/>
      <c r="K25" s="27"/>
      <c r="L25" s="28"/>
      <c r="M25" s="28"/>
      <c r="N25" s="28"/>
      <c r="O25" s="28"/>
      <c r="P25" s="28"/>
      <c r="Q25" s="28"/>
    </row>
    <row r="26" customFormat="false" ht="13.8" hidden="false" customHeight="false" outlineLevel="0" collapsed="false">
      <c r="A26" s="26" t="n">
        <v>25</v>
      </c>
      <c r="B26" s="27"/>
      <c r="C26" s="27"/>
      <c r="D26" s="27"/>
      <c r="E26" s="27"/>
      <c r="F26" s="27"/>
      <c r="G26" s="27"/>
      <c r="H26" s="27"/>
      <c r="I26" s="30" t="n">
        <v>0.711</v>
      </c>
      <c r="J26" s="27"/>
      <c r="K26" s="27"/>
      <c r="L26" s="28"/>
      <c r="M26" s="28"/>
      <c r="N26" s="28"/>
      <c r="O26" s="28"/>
      <c r="P26" s="28"/>
      <c r="Q26" s="28"/>
    </row>
    <row r="27" customFormat="false" ht="13.8" hidden="false" customHeight="false" outlineLevel="0" collapsed="false">
      <c r="A27" s="26" t="n">
        <v>26</v>
      </c>
      <c r="B27" s="27"/>
      <c r="C27" s="27"/>
      <c r="D27" s="27"/>
      <c r="E27" s="27"/>
      <c r="F27" s="27"/>
      <c r="G27" s="27"/>
      <c r="H27" s="27"/>
      <c r="I27" s="30" t="n">
        <v>0.659</v>
      </c>
      <c r="J27" s="27"/>
      <c r="K27" s="27"/>
      <c r="L27" s="28"/>
      <c r="M27" s="28"/>
      <c r="N27" s="28"/>
      <c r="O27" s="28"/>
      <c r="P27" s="28"/>
      <c r="Q27" s="28"/>
    </row>
    <row r="28" customFormat="false" ht="13.8" hidden="false" customHeight="false" outlineLevel="0" collapsed="false">
      <c r="A28" s="26" t="n">
        <v>27</v>
      </c>
      <c r="B28" s="27"/>
      <c r="C28" s="27"/>
      <c r="D28" s="27"/>
      <c r="E28" s="27"/>
      <c r="F28" s="27"/>
      <c r="G28" s="27"/>
      <c r="H28" s="27"/>
      <c r="I28" s="27"/>
      <c r="J28" s="27"/>
      <c r="K28" s="30" t="n">
        <v>1</v>
      </c>
      <c r="L28" s="28"/>
      <c r="M28" s="28"/>
      <c r="N28" s="28"/>
      <c r="O28" s="28"/>
      <c r="P28" s="28"/>
      <c r="Q28" s="28"/>
    </row>
    <row r="29" customFormat="false" ht="13.8" hidden="false" customHeight="false" outlineLevel="0" collapsed="false">
      <c r="A29" s="26" t="n">
        <v>28</v>
      </c>
      <c r="B29" s="27"/>
      <c r="C29" s="27"/>
      <c r="D29" s="27"/>
      <c r="E29" s="27"/>
      <c r="F29" s="27"/>
      <c r="G29" s="27"/>
      <c r="H29" s="27"/>
      <c r="I29" s="27"/>
      <c r="J29" s="27"/>
      <c r="K29" s="30" t="n">
        <v>1</v>
      </c>
      <c r="L29" s="28"/>
      <c r="M29" s="28"/>
      <c r="N29" s="28"/>
      <c r="O29" s="28"/>
      <c r="P29" s="28"/>
      <c r="Q29" s="28"/>
    </row>
    <row r="30" customFormat="false" ht="13.8" hidden="false" customHeight="false" outlineLevel="0" collapsed="false">
      <c r="A30" s="26" t="n">
        <v>29</v>
      </c>
      <c r="B30" s="27"/>
      <c r="C30" s="27"/>
      <c r="D30" s="27"/>
      <c r="E30" s="27"/>
      <c r="F30" s="27"/>
      <c r="G30" s="27"/>
      <c r="H30" s="27"/>
      <c r="I30" s="27"/>
      <c r="J30" s="27"/>
      <c r="K30" s="30" t="n">
        <v>1</v>
      </c>
      <c r="L30" s="28"/>
      <c r="M30" s="28"/>
      <c r="N30" s="28"/>
      <c r="O30" s="28"/>
      <c r="P30" s="28"/>
      <c r="Q30" s="28"/>
    </row>
    <row r="31" customFormat="false" ht="13.8" hidden="false" customHeight="false" outlineLevel="0" collapsed="false">
      <c r="A31" s="26" t="n">
        <v>30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8"/>
      <c r="M31" s="29" t="n">
        <v>0.912</v>
      </c>
      <c r="N31" s="28"/>
      <c r="O31" s="28"/>
      <c r="P31" s="28"/>
      <c r="Q31" s="28"/>
    </row>
    <row r="32" customFormat="false" ht="13.8" hidden="false" customHeight="false" outlineLevel="0" collapsed="false">
      <c r="A32" s="26" t="n">
        <v>31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29" t="n">
        <v>0.846</v>
      </c>
      <c r="N32" s="28"/>
      <c r="O32" s="28"/>
      <c r="P32" s="28"/>
      <c r="Q32" s="28"/>
    </row>
    <row r="33" customFormat="false" ht="13.8" hidden="false" customHeight="false" outlineLevel="0" collapsed="false">
      <c r="A33" s="26" t="n">
        <v>32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8"/>
      <c r="M33" s="29" t="n">
        <v>0.846</v>
      </c>
      <c r="N33" s="28"/>
      <c r="O33" s="28"/>
      <c r="P33" s="28"/>
      <c r="Q33" s="28"/>
    </row>
    <row r="34" customFormat="false" ht="13.8" hidden="false" customHeight="false" outlineLevel="0" collapsed="false">
      <c r="A34" s="26" t="n">
        <v>33</v>
      </c>
      <c r="B34" s="30" t="n">
        <v>0.785</v>
      </c>
      <c r="C34" s="27"/>
      <c r="D34" s="27"/>
      <c r="E34" s="27"/>
      <c r="F34" s="27"/>
      <c r="G34" s="27"/>
      <c r="H34" s="27"/>
      <c r="I34" s="27"/>
      <c r="J34" s="27"/>
      <c r="K34" s="27"/>
      <c r="L34" s="28"/>
      <c r="M34" s="28"/>
      <c r="N34" s="28"/>
      <c r="O34" s="28"/>
      <c r="P34" s="28"/>
      <c r="Q34" s="28"/>
    </row>
    <row r="35" customFormat="false" ht="13.8" hidden="false" customHeight="false" outlineLevel="0" collapsed="false">
      <c r="A35" s="26" t="n">
        <v>34</v>
      </c>
      <c r="B35" s="30" t="n">
        <v>0.785</v>
      </c>
      <c r="C35" s="27"/>
      <c r="D35" s="27"/>
      <c r="E35" s="27"/>
      <c r="F35" s="27"/>
      <c r="G35" s="27"/>
      <c r="H35" s="27"/>
      <c r="I35" s="27"/>
      <c r="J35" s="27"/>
      <c r="K35" s="27"/>
      <c r="L35" s="28"/>
      <c r="M35" s="28"/>
      <c r="N35" s="28"/>
      <c r="O35" s="28"/>
      <c r="P35" s="28"/>
      <c r="Q35" s="28"/>
    </row>
    <row r="36" customFormat="false" ht="13.8" hidden="false" customHeight="false" outlineLevel="0" collapsed="false">
      <c r="A36" s="26" t="n">
        <v>35</v>
      </c>
      <c r="B36" s="30" t="n">
        <v>0.742</v>
      </c>
      <c r="C36" s="27"/>
      <c r="D36" s="27"/>
      <c r="E36" s="27"/>
      <c r="F36" s="27"/>
      <c r="G36" s="27"/>
      <c r="H36" s="27"/>
      <c r="I36" s="27"/>
      <c r="J36" s="27"/>
      <c r="K36" s="27"/>
      <c r="L36" s="28"/>
      <c r="M36" s="28"/>
      <c r="N36" s="28"/>
      <c r="O36" s="28"/>
      <c r="P36" s="28"/>
      <c r="Q36" s="28"/>
    </row>
    <row r="37" customFormat="false" ht="13.8" hidden="false" customHeight="false" outlineLevel="0" collapsed="false">
      <c r="A37" s="26" t="n">
        <v>36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9" t="n">
        <v>0.78</v>
      </c>
      <c r="M37" s="28"/>
      <c r="N37" s="28"/>
      <c r="O37" s="28"/>
      <c r="P37" s="28"/>
      <c r="Q37" s="28"/>
    </row>
    <row r="38" customFormat="false" ht="13.8" hidden="false" customHeight="false" outlineLevel="0" collapsed="false">
      <c r="A38" s="26" t="n">
        <v>37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9" t="n">
        <v>0.759</v>
      </c>
      <c r="M38" s="28"/>
      <c r="N38" s="28"/>
      <c r="O38" s="28"/>
      <c r="P38" s="28"/>
      <c r="Q38" s="28"/>
    </row>
    <row r="39" customFormat="false" ht="13.8" hidden="false" customHeight="false" outlineLevel="0" collapsed="false">
      <c r="A39" s="26" t="n">
        <v>38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9" t="n">
        <v>0.78</v>
      </c>
      <c r="M39" s="28"/>
      <c r="N39" s="28"/>
      <c r="O39" s="28"/>
      <c r="P39" s="28"/>
      <c r="Q39" s="28"/>
    </row>
    <row r="40" customFormat="false" ht="13.8" hidden="false" customHeight="false" outlineLevel="0" collapsed="false">
      <c r="A40" s="26" t="n">
        <v>39</v>
      </c>
      <c r="B40" s="30" t="n">
        <v>0.849</v>
      </c>
      <c r="C40" s="27"/>
      <c r="D40" s="27"/>
      <c r="E40" s="27"/>
      <c r="F40" s="27"/>
      <c r="G40" s="27"/>
      <c r="H40" s="27"/>
      <c r="I40" s="27"/>
      <c r="J40" s="27"/>
      <c r="K40" s="27"/>
      <c r="L40" s="28"/>
      <c r="M40" s="28"/>
      <c r="N40" s="28"/>
      <c r="O40" s="28"/>
      <c r="P40" s="28"/>
      <c r="Q40" s="28"/>
    </row>
    <row r="41" customFormat="false" ht="13.8" hidden="false" customHeight="false" outlineLevel="0" collapsed="false">
      <c r="A41" s="26" t="n">
        <v>40</v>
      </c>
      <c r="B41" s="30" t="n">
        <v>0.824</v>
      </c>
      <c r="C41" s="27"/>
      <c r="D41" s="27"/>
      <c r="E41" s="27"/>
      <c r="F41" s="27"/>
      <c r="G41" s="27"/>
      <c r="H41" s="27"/>
      <c r="I41" s="27"/>
      <c r="J41" s="27"/>
      <c r="K41" s="27"/>
      <c r="L41" s="28"/>
      <c r="M41" s="28"/>
      <c r="N41" s="28"/>
      <c r="O41" s="28"/>
      <c r="P41" s="28"/>
      <c r="Q41" s="28"/>
    </row>
    <row r="42" customFormat="false" ht="13.8" hidden="false" customHeight="false" outlineLevel="0" collapsed="false">
      <c r="A42" s="26" t="n">
        <v>41</v>
      </c>
      <c r="B42" s="27"/>
      <c r="C42" s="27"/>
      <c r="D42" s="27"/>
      <c r="E42" s="30" t="n">
        <v>0.759</v>
      </c>
      <c r="F42" s="27"/>
      <c r="G42" s="27"/>
      <c r="H42" s="27"/>
      <c r="I42" s="27"/>
      <c r="J42" s="27"/>
      <c r="K42" s="27"/>
      <c r="L42" s="28"/>
      <c r="M42" s="28"/>
      <c r="N42" s="28"/>
      <c r="O42" s="28"/>
      <c r="P42" s="28"/>
      <c r="Q42" s="28"/>
    </row>
    <row r="43" customFormat="false" ht="13.8" hidden="false" customHeight="false" outlineLevel="0" collapsed="false">
      <c r="A43" s="26" t="n">
        <v>42</v>
      </c>
      <c r="B43" s="30" t="n">
        <v>0.815</v>
      </c>
      <c r="C43" s="27"/>
      <c r="D43" s="27"/>
      <c r="E43" s="27"/>
      <c r="F43" s="27"/>
      <c r="G43" s="27"/>
      <c r="H43" s="27"/>
      <c r="I43" s="27"/>
      <c r="J43" s="27"/>
      <c r="K43" s="27"/>
      <c r="L43" s="28"/>
      <c r="M43" s="28"/>
      <c r="N43" s="28"/>
      <c r="O43" s="28"/>
      <c r="P43" s="28"/>
      <c r="Q43" s="28"/>
    </row>
    <row r="44" customFormat="false" ht="13.8" hidden="false" customHeight="false" outlineLevel="0" collapsed="false">
      <c r="A44" s="26" t="n">
        <v>43</v>
      </c>
      <c r="B44" s="30" t="n">
        <v>0.843</v>
      </c>
      <c r="C44" s="27"/>
      <c r="D44" s="27"/>
      <c r="E44" s="27"/>
      <c r="F44" s="27"/>
      <c r="G44" s="27"/>
      <c r="H44" s="27"/>
      <c r="I44" s="27"/>
      <c r="J44" s="27"/>
      <c r="K44" s="27"/>
      <c r="L44" s="28"/>
      <c r="M44" s="28"/>
      <c r="N44" s="28"/>
      <c r="O44" s="28"/>
      <c r="P44" s="28"/>
      <c r="Q44" s="28"/>
    </row>
    <row r="45" customFormat="false" ht="13.8" hidden="false" customHeight="false" outlineLevel="0" collapsed="false">
      <c r="A45" s="26" t="n">
        <v>44</v>
      </c>
      <c r="B45" s="30" t="n">
        <v>0.817</v>
      </c>
      <c r="C45" s="27"/>
      <c r="D45" s="27"/>
      <c r="E45" s="27"/>
      <c r="F45" s="27"/>
      <c r="G45" s="27"/>
      <c r="H45" s="27"/>
      <c r="I45" s="27"/>
      <c r="J45" s="27"/>
      <c r="K45" s="27"/>
      <c r="L45" s="28"/>
      <c r="M45" s="28"/>
      <c r="N45" s="28"/>
      <c r="O45" s="28"/>
      <c r="P45" s="28"/>
      <c r="Q45" s="28"/>
    </row>
    <row r="46" customFormat="false" ht="13.8" hidden="false" customHeight="false" outlineLevel="0" collapsed="false">
      <c r="A46" s="26" t="n">
        <v>45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8"/>
      <c r="M46" s="30" t="n">
        <v>0.718</v>
      </c>
      <c r="N46" s="28"/>
      <c r="O46" s="28"/>
      <c r="P46" s="28"/>
      <c r="Q46" s="28"/>
    </row>
    <row r="47" customFormat="false" ht="13.8" hidden="false" customHeight="false" outlineLevel="0" collapsed="false">
      <c r="A47" s="26" t="n">
        <v>46</v>
      </c>
      <c r="B47" s="27"/>
      <c r="C47" s="27"/>
      <c r="D47" s="27"/>
      <c r="E47" s="27"/>
      <c r="F47" s="27"/>
      <c r="G47" s="27"/>
      <c r="H47" s="27"/>
      <c r="I47" s="27"/>
      <c r="J47" s="27"/>
      <c r="K47" s="30" t="n">
        <v>0.849</v>
      </c>
      <c r="L47" s="28"/>
      <c r="M47" s="28"/>
      <c r="N47" s="28"/>
      <c r="O47" s="28"/>
      <c r="P47" s="28"/>
      <c r="Q47" s="28"/>
    </row>
    <row r="48" customFormat="false" ht="13.8" hidden="false" customHeight="false" outlineLevel="0" collapsed="false">
      <c r="A48" s="26" t="n">
        <v>47</v>
      </c>
      <c r="B48" s="27"/>
      <c r="C48" s="27"/>
      <c r="D48" s="27"/>
      <c r="E48" s="27"/>
      <c r="F48" s="30" t="n">
        <v>0.756</v>
      </c>
      <c r="G48" s="27"/>
      <c r="H48" s="27"/>
      <c r="I48" s="27"/>
      <c r="J48" s="27"/>
      <c r="K48" s="27"/>
      <c r="L48" s="28"/>
      <c r="M48" s="28"/>
      <c r="N48" s="28"/>
      <c r="O48" s="28"/>
      <c r="P48" s="28"/>
      <c r="Q48" s="28"/>
    </row>
    <row r="49" customFormat="false" ht="13.8" hidden="false" customHeight="false" outlineLevel="0" collapsed="false">
      <c r="A49" s="26" t="n">
        <v>48</v>
      </c>
      <c r="B49" s="27"/>
      <c r="C49" s="27"/>
      <c r="D49" s="27"/>
      <c r="E49" s="27"/>
      <c r="F49" s="30" t="n">
        <v>0.772</v>
      </c>
      <c r="G49" s="27"/>
      <c r="H49" s="27"/>
      <c r="I49" s="27"/>
      <c r="J49" s="27"/>
      <c r="K49" s="27"/>
      <c r="L49" s="28"/>
      <c r="M49" s="28"/>
      <c r="N49" s="28"/>
      <c r="O49" s="28"/>
      <c r="P49" s="28"/>
      <c r="Q49" s="28"/>
    </row>
    <row r="50" customFormat="false" ht="13.8" hidden="false" customHeight="false" outlineLevel="0" collapsed="false">
      <c r="A50" s="26" t="n">
        <v>49</v>
      </c>
      <c r="B50" s="27"/>
      <c r="C50" s="27"/>
      <c r="D50" s="27"/>
      <c r="E50" s="27"/>
      <c r="F50" s="30" t="n">
        <v>0.772</v>
      </c>
      <c r="G50" s="27"/>
      <c r="H50" s="27"/>
      <c r="I50" s="27"/>
      <c r="J50" s="27"/>
      <c r="K50" s="27"/>
      <c r="L50" s="28"/>
      <c r="M50" s="28"/>
      <c r="N50" s="28"/>
      <c r="O50" s="28"/>
      <c r="P50" s="28"/>
      <c r="Q50" s="28"/>
    </row>
    <row r="51" customFormat="false" ht="13.8" hidden="false" customHeight="false" outlineLevel="0" collapsed="false">
      <c r="A51" s="26" t="n">
        <v>50</v>
      </c>
      <c r="B51" s="27"/>
      <c r="C51" s="27"/>
      <c r="D51" s="27"/>
      <c r="E51" s="27"/>
      <c r="F51" s="27"/>
      <c r="G51" s="27"/>
      <c r="H51" s="27"/>
      <c r="I51" s="27"/>
      <c r="J51" s="27"/>
      <c r="K51" s="31"/>
      <c r="L51" s="28"/>
      <c r="M51" s="28"/>
      <c r="N51" s="28"/>
      <c r="O51" s="28"/>
      <c r="P51" s="28"/>
      <c r="Q51" s="28"/>
    </row>
    <row r="52" customFormat="false" ht="13.8" hidden="false" customHeight="false" outlineLevel="0" collapsed="false">
      <c r="A52" s="26" t="n">
        <v>51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8"/>
      <c r="M52" s="32"/>
      <c r="N52" s="28"/>
      <c r="O52" s="28"/>
      <c r="P52" s="28"/>
      <c r="Q52" s="28"/>
    </row>
    <row r="53" customFormat="false" ht="13.8" hidden="false" customHeight="false" outlineLevel="0" collapsed="false">
      <c r="A53" s="26" t="n">
        <v>52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8"/>
      <c r="M53" s="32"/>
      <c r="N53" s="28"/>
      <c r="O53" s="28"/>
      <c r="P53" s="28"/>
      <c r="Q53" s="28"/>
    </row>
    <row r="54" customFormat="false" ht="13.8" hidden="false" customHeight="false" outlineLevel="0" collapsed="false">
      <c r="A54" s="26" t="n">
        <v>53</v>
      </c>
      <c r="B54" s="27"/>
      <c r="C54" s="27"/>
      <c r="D54" s="27"/>
      <c r="E54" s="31"/>
      <c r="F54" s="27"/>
      <c r="G54" s="27"/>
      <c r="H54" s="27"/>
      <c r="I54" s="27"/>
      <c r="J54" s="27"/>
      <c r="K54" s="27"/>
      <c r="L54" s="28"/>
      <c r="M54" s="28"/>
      <c r="N54" s="28"/>
      <c r="O54" s="28"/>
      <c r="P54" s="28"/>
      <c r="Q54" s="28"/>
    </row>
    <row r="55" customFormat="false" ht="13.8" hidden="false" customHeight="false" outlineLevel="0" collapsed="false">
      <c r="A55" s="26" t="n">
        <v>54</v>
      </c>
      <c r="B55" s="27"/>
      <c r="C55" s="27"/>
      <c r="D55" s="27"/>
      <c r="E55" s="31"/>
      <c r="F55" s="27"/>
      <c r="G55" s="27"/>
      <c r="H55" s="27"/>
      <c r="I55" s="27"/>
      <c r="J55" s="27"/>
      <c r="K55" s="27"/>
      <c r="L55" s="28"/>
      <c r="M55" s="28"/>
      <c r="N55" s="28"/>
      <c r="O55" s="28"/>
      <c r="P55" s="28"/>
      <c r="Q55" s="28"/>
    </row>
    <row r="56" customFormat="false" ht="13.8" hidden="false" customHeight="false" outlineLevel="0" collapsed="false">
      <c r="A56" s="26" t="n">
        <v>55</v>
      </c>
      <c r="B56" s="27"/>
      <c r="C56" s="27"/>
      <c r="D56" s="27"/>
      <c r="E56" s="31"/>
      <c r="F56" s="27"/>
      <c r="G56" s="27"/>
      <c r="H56" s="27"/>
      <c r="I56" s="27"/>
      <c r="J56" s="27"/>
      <c r="K56" s="27"/>
      <c r="L56" s="28"/>
      <c r="M56" s="28"/>
      <c r="N56" s="28"/>
      <c r="O56" s="28"/>
      <c r="P56" s="28"/>
      <c r="Q56" s="28"/>
    </row>
    <row r="57" customFormat="false" ht="13.8" hidden="false" customHeight="false" outlineLevel="0" collapsed="false">
      <c r="A57" s="26" t="n">
        <v>56</v>
      </c>
      <c r="B57" s="31"/>
      <c r="C57" s="27"/>
      <c r="D57" s="27"/>
      <c r="E57" s="27"/>
      <c r="F57" s="27"/>
      <c r="G57" s="27"/>
      <c r="H57" s="27"/>
      <c r="I57" s="27"/>
      <c r="J57" s="27"/>
      <c r="K57" s="27"/>
      <c r="L57" s="28"/>
      <c r="M57" s="28"/>
      <c r="N57" s="28"/>
      <c r="O57" s="28"/>
      <c r="P57" s="28"/>
      <c r="Q57" s="28"/>
    </row>
    <row r="58" customFormat="false" ht="13.8" hidden="false" customHeight="false" outlineLevel="0" collapsed="false">
      <c r="A58" s="26" t="n">
        <v>57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8"/>
      <c r="M58" s="28"/>
      <c r="N58" s="28"/>
      <c r="O58" s="28"/>
      <c r="P58" s="28"/>
      <c r="Q58" s="28"/>
    </row>
    <row r="59" customFormat="false" ht="13.8" hidden="false" customHeight="false" outlineLevel="0" collapsed="false">
      <c r="A59" s="26" t="n">
        <v>58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8"/>
      <c r="M59" s="28"/>
      <c r="N59" s="28"/>
      <c r="O59" s="28"/>
      <c r="P59" s="28"/>
      <c r="Q59" s="28"/>
    </row>
    <row r="60" customFormat="false" ht="13.8" hidden="false" customHeight="false" outlineLevel="0" collapsed="false">
      <c r="A60" s="26" t="n">
        <v>59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8"/>
      <c r="M60" s="28"/>
      <c r="N60" s="28"/>
      <c r="O60" s="28"/>
      <c r="P60" s="28"/>
      <c r="Q60" s="28"/>
    </row>
    <row r="61" customFormat="false" ht="13.8" hidden="false" customHeight="false" outlineLevel="0" collapsed="false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8"/>
      <c r="M61" s="28"/>
      <c r="N61" s="28"/>
      <c r="O61" s="28"/>
      <c r="P61" s="28"/>
      <c r="Q61" s="28"/>
    </row>
    <row r="62" customFormat="false" ht="13.8" hidden="false" customHeight="false" outlineLevel="0" collapsed="false">
      <c r="A62" s="33" t="s">
        <v>24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5"/>
      <c r="M62" s="35"/>
      <c r="N62" s="35"/>
      <c r="O62" s="35"/>
      <c r="P62" s="35"/>
      <c r="Q62" s="35"/>
    </row>
  </sheetData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&amp;CAttenuation</oddHeader>
    <oddFooter>&amp;LFile: &amp;F&amp;C&amp;P / &amp;N&amp;R&amp;D | &amp;T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Timmerman, Bert</dc:creator>
  <dc:description/>
  <dc:language>en-US</dc:language>
  <cp:lastModifiedBy/>
  <cp:lastPrinted>2021-04-04T17:21:59Z</cp:lastPrinted>
  <dcterms:modified xsi:type="dcterms:W3CDTF">2025-09-21T09:02:10Z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