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"/>
    </mc:Choice>
  </mc:AlternateContent>
  <xr:revisionPtr revIDLastSave="0" documentId="13_ncr:1_{BE0CB029-94C1-413B-A966-66656984DEF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Recipes" sheetId="2" r:id="rId1"/>
    <sheet name="Batches" sheetId="1" r:id="rId2"/>
    <sheet name="Results" sheetId="3" r:id="rId3"/>
    <sheet name="Pre-Boil Volume" sheetId="10" r:id="rId4"/>
    <sheet name="Mash pH" sheetId="22" r:id="rId5"/>
    <sheet name="Post-Boil Volume" sheetId="11" r:id="rId6"/>
    <sheet name="Trub Loss" sheetId="13" r:id="rId7"/>
    <sheet name="Top-up" sheetId="23" r:id="rId8"/>
    <sheet name="Fermenter Volume" sheetId="12" r:id="rId9"/>
    <sheet name="Bottling Volume" sheetId="14" r:id="rId10"/>
    <sheet name="Pre-Boil Gravity" sheetId="15" r:id="rId11"/>
    <sheet name="Post-Boil Gravity" sheetId="16" r:id="rId12"/>
    <sheet name="Mash Efficiency" sheetId="18" r:id="rId13"/>
    <sheet name="Original Gravity" sheetId="8" r:id="rId14"/>
    <sheet name="Attenuation" sheetId="17" r:id="rId15"/>
    <sheet name="Final Gravity" sheetId="9" r:id="rId16"/>
    <sheet name="ABV" sheetId="5" r:id="rId17"/>
    <sheet name="IBU" sheetId="6" r:id="rId18"/>
    <sheet name="BU_GU" sheetId="20" r:id="rId19"/>
    <sheet name="RB Ratio" sheetId="21" r:id="rId20"/>
    <sheet name="EBC" sheetId="7" r:id="rId21"/>
    <sheet name="BH Efficiency" sheetId="19" r:id="rId22"/>
  </sheets>
  <definedNames>
    <definedName name="_xlnm._FilterDatabase" localSheetId="1" hidden="1">Batches!$A$1:$Y$1</definedName>
    <definedName name="_xlnm._FilterDatabase" localSheetId="0" hidden="1">Recipes!$A$1:$Y$1</definedName>
    <definedName name="_xlnm._FilterDatabase" localSheetId="2" hidden="1">Results!$A$1:$Y$1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3" i="3" l="1"/>
  <c r="AG13" i="3"/>
  <c r="AF13" i="3"/>
  <c r="AE13" i="3"/>
  <c r="AC13" i="3"/>
  <c r="AB13" i="3"/>
  <c r="AA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13" i="1"/>
  <c r="D13" i="1"/>
  <c r="C13" i="1"/>
  <c r="B13" i="1"/>
  <c r="H12" i="3"/>
  <c r="G12" i="3"/>
  <c r="F12" i="3"/>
  <c r="AH12" i="3"/>
  <c r="AG12" i="3"/>
  <c r="AF12" i="3"/>
  <c r="AE12" i="3"/>
  <c r="AC12" i="3"/>
  <c r="AB12" i="3"/>
  <c r="AA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E12" i="3"/>
  <c r="D12" i="3"/>
  <c r="C12" i="3"/>
  <c r="B12" i="3"/>
  <c r="A12" i="3"/>
  <c r="E12" i="1"/>
  <c r="D12" i="1"/>
  <c r="C12" i="1"/>
  <c r="B12" i="1"/>
  <c r="AH11" i="3"/>
  <c r="AG11" i="3"/>
  <c r="AF11" i="3"/>
  <c r="AE11" i="3"/>
  <c r="AC11" i="3"/>
  <c r="AB11" i="3"/>
  <c r="AA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D11" i="1"/>
  <c r="C11" i="1"/>
  <c r="B11" i="1"/>
  <c r="E11" i="1"/>
  <c r="AH10" i="3"/>
  <c r="AG10" i="3"/>
  <c r="AF10" i="3"/>
  <c r="AE10" i="3"/>
  <c r="AC10" i="3"/>
  <c r="AB10" i="3"/>
  <c r="AA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10" i="1"/>
  <c r="D10" i="1"/>
  <c r="C10" i="1"/>
  <c r="B10" i="1"/>
  <c r="AH9" i="3"/>
  <c r="AG9" i="3"/>
  <c r="AF9" i="3"/>
  <c r="AE9" i="3"/>
  <c r="AC9" i="3"/>
  <c r="AB9" i="3"/>
  <c r="AA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D9" i="1"/>
  <c r="C9" i="1"/>
  <c r="B9" i="1"/>
  <c r="E9" i="1"/>
  <c r="AH2" i="3" l="1"/>
  <c r="AH3" i="3"/>
  <c r="AH4" i="3"/>
  <c r="AH5" i="3"/>
  <c r="AH6" i="3"/>
  <c r="AH7" i="3"/>
  <c r="AH8" i="3"/>
  <c r="AG2" i="3"/>
  <c r="AG3" i="3"/>
  <c r="AG4" i="3"/>
  <c r="AG5" i="3"/>
  <c r="AG6" i="3"/>
  <c r="AG7" i="3"/>
  <c r="AG8" i="3"/>
  <c r="AF2" i="3"/>
  <c r="AF3" i="3"/>
  <c r="AF4" i="3"/>
  <c r="AF5" i="3"/>
  <c r="AF6" i="3"/>
  <c r="AF7" i="3"/>
  <c r="AF8" i="3"/>
  <c r="AE2" i="3"/>
  <c r="AE3" i="3"/>
  <c r="AE4" i="3"/>
  <c r="AE5" i="3"/>
  <c r="AE6" i="3"/>
  <c r="AE7" i="3"/>
  <c r="AE8" i="3"/>
  <c r="AC2" i="3"/>
  <c r="AC3" i="3"/>
  <c r="AC4" i="3"/>
  <c r="AC5" i="3"/>
  <c r="AC6" i="3"/>
  <c r="AC7" i="3"/>
  <c r="AC8" i="3"/>
  <c r="AB2" i="3"/>
  <c r="AB3" i="3"/>
  <c r="AB4" i="3"/>
  <c r="AB5" i="3"/>
  <c r="AB6" i="3"/>
  <c r="AB7" i="3"/>
  <c r="AB8" i="3"/>
  <c r="AA2" i="3"/>
  <c r="AA3" i="3"/>
  <c r="AA4" i="3"/>
  <c r="AA5" i="3"/>
  <c r="AA6" i="3"/>
  <c r="AA7" i="3"/>
  <c r="AA8" i="3"/>
  <c r="N2" i="3" l="1"/>
  <c r="N3" i="3"/>
  <c r="N4" i="3"/>
  <c r="N5" i="3"/>
  <c r="N6" i="3"/>
  <c r="N7" i="3"/>
  <c r="N8" i="3"/>
  <c r="Y8" i="3"/>
  <c r="X8" i="3"/>
  <c r="W8" i="3"/>
  <c r="V8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8" i="1"/>
  <c r="D8" i="1"/>
  <c r="C8" i="1"/>
  <c r="B8" i="1"/>
  <c r="A8" i="1"/>
  <c r="E2" i="3" l="1"/>
  <c r="E3" i="3"/>
  <c r="E4" i="3"/>
  <c r="E5" i="3"/>
  <c r="E6" i="3"/>
  <c r="E7" i="3"/>
  <c r="E2" i="1"/>
  <c r="E3" i="1"/>
  <c r="E4" i="1"/>
  <c r="E5" i="1"/>
  <c r="E6" i="1"/>
  <c r="E7" i="1"/>
  <c r="Y2" i="3"/>
  <c r="Y3" i="3"/>
  <c r="Y4" i="3"/>
  <c r="Y5" i="3"/>
  <c r="Y6" i="3"/>
  <c r="Y7" i="3"/>
  <c r="X2" i="3"/>
  <c r="X3" i="3"/>
  <c r="X4" i="3"/>
  <c r="X5" i="3"/>
  <c r="X6" i="3"/>
  <c r="X7" i="3"/>
  <c r="W2" i="3"/>
  <c r="W3" i="3"/>
  <c r="W4" i="3"/>
  <c r="W5" i="3"/>
  <c r="W6" i="3"/>
  <c r="W7" i="3"/>
  <c r="V2" i="3"/>
  <c r="V3" i="3"/>
  <c r="V4" i="3"/>
  <c r="V5" i="3"/>
  <c r="V6" i="3"/>
  <c r="V7" i="3"/>
  <c r="U2" i="3"/>
  <c r="U3" i="3"/>
  <c r="U4" i="3"/>
  <c r="U5" i="3"/>
  <c r="U6" i="3"/>
  <c r="U7" i="3"/>
  <c r="T2" i="3"/>
  <c r="T3" i="3"/>
  <c r="T4" i="3"/>
  <c r="T5" i="3"/>
  <c r="T6" i="3"/>
  <c r="T7" i="3"/>
  <c r="S2" i="3"/>
  <c r="S3" i="3"/>
  <c r="S4" i="3"/>
  <c r="S5" i="3"/>
  <c r="S6" i="3"/>
  <c r="S7" i="3"/>
  <c r="R2" i="3"/>
  <c r="R3" i="3"/>
  <c r="R4" i="3"/>
  <c r="R5" i="3"/>
  <c r="R6" i="3"/>
  <c r="R7" i="3"/>
  <c r="Q2" i="3"/>
  <c r="Q3" i="3"/>
  <c r="Q4" i="3"/>
  <c r="Q5" i="3"/>
  <c r="Q6" i="3"/>
  <c r="Q7" i="3"/>
  <c r="P2" i="3"/>
  <c r="P3" i="3"/>
  <c r="P4" i="3"/>
  <c r="P5" i="3"/>
  <c r="P6" i="3"/>
  <c r="P7" i="3"/>
  <c r="O2" i="3"/>
  <c r="O3" i="3"/>
  <c r="O4" i="3"/>
  <c r="O5" i="3"/>
  <c r="O6" i="3"/>
  <c r="O7" i="3"/>
  <c r="M2" i="3"/>
  <c r="M3" i="3"/>
  <c r="M4" i="3"/>
  <c r="M5" i="3"/>
  <c r="M6" i="3"/>
  <c r="M7" i="3"/>
  <c r="L2" i="3"/>
  <c r="L3" i="3"/>
  <c r="L4" i="3"/>
  <c r="L5" i="3"/>
  <c r="L6" i="3"/>
  <c r="L7" i="3"/>
  <c r="K2" i="3"/>
  <c r="K3" i="3"/>
  <c r="K4" i="3"/>
  <c r="K5" i="3"/>
  <c r="K6" i="3"/>
  <c r="K7" i="3"/>
  <c r="J2" i="3"/>
  <c r="J3" i="3"/>
  <c r="J4" i="3"/>
  <c r="J5" i="3"/>
  <c r="J6" i="3"/>
  <c r="J7" i="3"/>
  <c r="I2" i="3"/>
  <c r="I3" i="3"/>
  <c r="I4" i="3"/>
  <c r="I5" i="3"/>
  <c r="I6" i="3"/>
  <c r="I7" i="3"/>
  <c r="H2" i="3"/>
  <c r="H3" i="3"/>
  <c r="H4" i="3"/>
  <c r="H5" i="3"/>
  <c r="H6" i="3"/>
  <c r="H7" i="3"/>
  <c r="G2" i="3"/>
  <c r="G3" i="3"/>
  <c r="G4" i="3"/>
  <c r="G5" i="3"/>
  <c r="G6" i="3"/>
  <c r="G7" i="3"/>
  <c r="F7" i="3" l="1"/>
  <c r="F6" i="3"/>
  <c r="F5" i="3"/>
  <c r="F4" i="3"/>
  <c r="F3" i="3"/>
  <c r="F2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A7" i="1"/>
  <c r="A6" i="1"/>
  <c r="A5" i="1"/>
  <c r="A4" i="1"/>
  <c r="A3" i="1"/>
  <c r="A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<sst xmlns="http://schemas.openxmlformats.org/spreadsheetml/2006/main" count="174" uniqueCount="62">
  <si>
    <t>Style</t>
  </si>
  <si>
    <t>Batch</t>
  </si>
  <si>
    <t>Name</t>
  </si>
  <si>
    <t>ABV</t>
  </si>
  <si>
    <t>IBU</t>
  </si>
  <si>
    <t>EBC</t>
  </si>
  <si>
    <t>OG</t>
  </si>
  <si>
    <t>FG</t>
  </si>
  <si>
    <t xml:space="preserve">Brouwpunt - Witbier </t>
  </si>
  <si>
    <t>Brouwpunt - Kruidig Wit</t>
  </si>
  <si>
    <t>03 SMaSH Godiva</t>
  </si>
  <si>
    <t>04 SMaSH Fuggle</t>
  </si>
  <si>
    <t>05 SMaSH Centennial</t>
  </si>
  <si>
    <t>All Grain</t>
  </si>
  <si>
    <t>All Grain brew kit</t>
  </si>
  <si>
    <t>06 SMaSH Citra</t>
  </si>
  <si>
    <t>Boil-Off</t>
  </si>
  <si>
    <t>24A Witbier</t>
  </si>
  <si>
    <t>12A British Golden Ale</t>
  </si>
  <si>
    <t>18B American Pale Ale</t>
  </si>
  <si>
    <t>Attenuation</t>
  </si>
  <si>
    <t>BU/GU</t>
  </si>
  <si>
    <t>Mash pH</t>
  </si>
  <si>
    <t>Type</t>
  </si>
  <si>
    <t>Date</t>
  </si>
  <si>
    <t>Brouwpunt - Sinterklaas Special</t>
  </si>
  <si>
    <t>30B Autumn Seasonal Beer</t>
  </si>
  <si>
    <t>Top-up</t>
  </si>
  <si>
    <t>Fermenter Volume</t>
  </si>
  <si>
    <t>Pre-Boil Volume</t>
  </si>
  <si>
    <t>Post-Boil Volume</t>
  </si>
  <si>
    <t>Pre-Boil Gravity</t>
  </si>
  <si>
    <t>Post-Boil Gravity</t>
  </si>
  <si>
    <t>Mash Efficiency</t>
  </si>
  <si>
    <t>Brewhouse Efficiency</t>
  </si>
  <si>
    <t>Trub Loss</t>
  </si>
  <si>
    <t>Bottling Volume</t>
  </si>
  <si>
    <t>Brewhous Efficiency</t>
  </si>
  <si>
    <t>Relative Bitterness Ratio</t>
  </si>
  <si>
    <t>Mash Profile</t>
  </si>
  <si>
    <t>Mash temp</t>
  </si>
  <si>
    <t>Mash Time</t>
  </si>
  <si>
    <t>Boil Time</t>
  </si>
  <si>
    <t>Fermentation Profile</t>
  </si>
  <si>
    <t>Ale</t>
  </si>
  <si>
    <t>fermentation Temperature</t>
  </si>
  <si>
    <t>Fermentation Duration</t>
  </si>
  <si>
    <t>Conditioning Temperature</t>
  </si>
  <si>
    <t>Conditioning Duration</t>
  </si>
  <si>
    <t>07 SMaSH Simcoe</t>
  </si>
  <si>
    <t>08 SMaSH Magnum</t>
  </si>
  <si>
    <t>18A Blonde Ale</t>
  </si>
  <si>
    <t>Fermentation Temperature</t>
  </si>
  <si>
    <t>09 SMaSH Sabro</t>
  </si>
  <si>
    <t>21B Specialty IPA</t>
  </si>
  <si>
    <t>10 American DIPA</t>
  </si>
  <si>
    <t>01 One Step mash</t>
  </si>
  <si>
    <t>01 One Step Mash</t>
  </si>
  <si>
    <t>Shambles Brewery - Summer Ale Afternoon Delight (clone)</t>
  </si>
  <si>
    <t>11 High fermentability plus mash out</t>
  </si>
  <si>
    <t>Five Points Brewing - Best Fuggles (clone) v2</t>
  </si>
  <si>
    <t>11B Best Bitter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</si>
</sst>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dd/mm/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67" fontId="0" fillId="0" borderId="0" xfId="0" applyNumberFormat="1" applyBorder="1" applyAlignment="1">
      <alignment horizontal="center" vertical="top"/>
    </xf>
    <xf numFmtId="166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165" fontId="0" fillId="0" borderId="0" xfId="0" applyNumberFormat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6" fontId="1" fillId="0" borderId="0" xfId="1" applyNumberFormat="1" applyFont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1" applyNumberFormat="1" applyFont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 wrapText="1"/>
    </xf>
    <xf numFmtId="167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2" borderId="0" xfId="0" applyFont="1" applyFill="1" applyBorder="1" applyAlignment="1">
      <alignment vertical="top"/>
    </xf>
    <xf numFmtId="166" fontId="0" fillId="0" borderId="3" xfId="1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165" fontId="0" fillId="0" borderId="3" xfId="0" applyNumberFormat="1" applyFont="1" applyBorder="1" applyAlignment="1">
      <alignment horizontal="center" vertical="top"/>
    </xf>
    <xf numFmtId="2" fontId="0" fillId="0" borderId="0" xfId="0" applyNumberForma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19">
    <dxf>
      <numFmt numFmtId="1" formatCode="0"/>
      <alignment horizontal="center" vertical="top" textRotation="0" wrapText="0" indent="0" justifyLastLine="0" shrinkToFit="0" readingOrder="0"/>
    </dxf>
    <dxf>
      <numFmt numFmtId="165" formatCode="0.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165" formatCode="0.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166" formatCode="0.0%"/>
      <alignment horizontal="center" vertical="top" textRotation="0" wrapText="0" indent="0" justifyLastLine="0" shrinkToFit="0" readingOrder="0"/>
    </dxf>
    <dxf>
      <numFmt numFmtId="166" formatCode="0.0%"/>
      <alignment horizontal="center" vertical="top" textRotation="0" wrapText="0" indent="0" justifyLastLine="0" shrinkToFit="0" readingOrder="0"/>
    </dxf>
    <dxf>
      <numFmt numFmtId="166" formatCode="0.0%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5" formatCode="0.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6" formatCode="0.0%"/>
      <alignment horizontal="center" vertical="top" textRotation="0" wrapText="0" indent="0" justifyLastLine="0" shrinkToFit="0" readingOrder="0"/>
    </dxf>
    <dxf>
      <numFmt numFmtId="167" formatCode="dd/mm/yyyy;@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6" formatCode="0.0%"/>
      <alignment horizontal="center" vertical="top" textRotation="0" wrapText="0" indent="0" justifyLastLine="0" shrinkToFit="0" readingOrder="0"/>
    </dxf>
    <dxf>
      <numFmt numFmtId="167" formatCode="dd/mm/yyyy;@"/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font>
        <color auto="1"/>
      </font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5" formatCode="0.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%"/>
      <alignment horizontal="center" vertical="top" textRotation="0" wrapText="0" indent="0" justifyLastLine="0" shrinkToFit="0" readingOrder="0"/>
    </dxf>
    <dxf>
      <numFmt numFmtId="167" formatCode="dd/mm/yyyy;@"/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8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23" Type="http://schemas.openxmlformats.org/officeDocument/2006/relationships/theme" Target="theme/theme1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Pre-Boil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Results!$K$2:$K$10</c:f>
              <c:numCache>
                <c:formatCode>0.000</c:formatCode>
                <c:ptCount val="9"/>
                <c:pt idx="0">
                  <c:v>-2.76</c:v>
                </c:pt>
                <c:pt idx="1">
                  <c:v>-1.46</c:v>
                </c:pt>
                <c:pt idx="2">
                  <c:v>-0.66000000000000014</c:v>
                </c:pt>
                <c:pt idx="3">
                  <c:v>-0.41000000000000014</c:v>
                </c:pt>
                <c:pt idx="4">
                  <c:v>-1.3599999999999994</c:v>
                </c:pt>
                <c:pt idx="5">
                  <c:v>0.49000000000000021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3C1-A207-8D79BF5F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052424"/>
        <c:axId val="416052752"/>
      </c:barChart>
      <c:catAx>
        <c:axId val="41605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052752"/>
        <c:crosses val="autoZero"/>
        <c:auto val="1"/>
        <c:lblAlgn val="ctr"/>
        <c:lblOffset val="100"/>
        <c:noMultiLvlLbl val="0"/>
      </c:catAx>
      <c:valAx>
        <c:axId val="416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Litres</a:t>
                </a:r>
                <a:r>
                  <a:rPr lang="nl-NL" baseline="0"/>
                  <a:t> [L]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05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Mash</a:t>
            </a:r>
            <a:r>
              <a:rPr lang="nl-NL" baseline="0"/>
              <a:t> Efficiency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Results!$U$2:$U$10</c:f>
              <c:numCache>
                <c:formatCode>0.0%</c:formatCode>
                <c:ptCount val="9"/>
                <c:pt idx="0">
                  <c:v>-0.30299999999999999</c:v>
                </c:pt>
                <c:pt idx="1">
                  <c:v>-0.21299999999999997</c:v>
                </c:pt>
                <c:pt idx="2">
                  <c:v>-0.18299999999999994</c:v>
                </c:pt>
                <c:pt idx="3">
                  <c:v>-4.3000000000000038E-2</c:v>
                </c:pt>
                <c:pt idx="4">
                  <c:v>-0.123</c:v>
                </c:pt>
                <c:pt idx="5">
                  <c:v>-9.2999999999999972E-2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2-45C8-9F46-029BB1913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331184"/>
        <c:axId val="638331512"/>
      </c:barChart>
      <c:catAx>
        <c:axId val="6383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8331512"/>
        <c:crosses val="autoZero"/>
        <c:auto val="1"/>
        <c:lblAlgn val="ctr"/>
        <c:lblOffset val="100"/>
        <c:noMultiLvlLbl val="0"/>
      </c:catAx>
      <c:valAx>
        <c:axId val="6383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83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Original 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Results!$I$2:$I$10</c:f>
              <c:numCache>
                <c:formatCode>0.000</c:formatCode>
                <c:ptCount val="9"/>
                <c:pt idx="0">
                  <c:v>6.0000000000000053E-3</c:v>
                </c:pt>
                <c:pt idx="1">
                  <c:v>1.0000000000000009E-2</c:v>
                </c:pt>
                <c:pt idx="2">
                  <c:v>-6.0000000000000053E-3</c:v>
                </c:pt>
                <c:pt idx="3">
                  <c:v>-2.0000000000000018E-3</c:v>
                </c:pt>
                <c:pt idx="4">
                  <c:v>-8.999999999999897E-3</c:v>
                </c:pt>
                <c:pt idx="5">
                  <c:v>1044.94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7-4171-B5D3-FA048D3B4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349688"/>
        <c:axId val="593355920"/>
      </c:barChart>
      <c:catAx>
        <c:axId val="59334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355920"/>
        <c:crosses val="autoZero"/>
        <c:auto val="1"/>
        <c:lblAlgn val="ctr"/>
        <c:lblOffset val="100"/>
        <c:noMultiLvlLbl val="0"/>
      </c:catAx>
      <c:valAx>
        <c:axId val="5933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Specific</a:t>
                </a:r>
                <a:r>
                  <a:rPr lang="nl-NL" baseline="0"/>
                  <a:t> Gravity [-]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34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Apparent</a:t>
            </a:r>
            <a:r>
              <a:rPr lang="nl-NL" baseline="0"/>
              <a:t> Attenuation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Results!$T$2:$T$10</c:f>
              <c:numCache>
                <c:formatCode>0.0%</c:formatCode>
                <c:ptCount val="9"/>
                <c:pt idx="0">
                  <c:v>-7.2999999999999954E-2</c:v>
                </c:pt>
                <c:pt idx="1">
                  <c:v>0.1100000000000001</c:v>
                </c:pt>
                <c:pt idx="2">
                  <c:v>0.18999999999999995</c:v>
                </c:pt>
                <c:pt idx="3">
                  <c:v>6.2999999999999945E-2</c:v>
                </c:pt>
                <c:pt idx="4">
                  <c:v>0.15399999999999991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EE1-8C02-5F80B871D1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543280"/>
        <c:axId val="600549184"/>
      </c:barChart>
      <c:catAx>
        <c:axId val="6005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549184"/>
        <c:crosses val="autoZero"/>
        <c:auto val="1"/>
        <c:lblAlgn val="ctr"/>
        <c:lblOffset val="100"/>
        <c:noMultiLvlLbl val="0"/>
      </c:catAx>
      <c:valAx>
        <c:axId val="600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Attenuation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5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Final 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Results!$J$2:$J$10</c:f>
              <c:numCache>
                <c:formatCode>0.000</c:formatCode>
                <c:ptCount val="9"/>
                <c:pt idx="0">
                  <c:v>6.0000000000000053E-3</c:v>
                </c:pt>
                <c:pt idx="1">
                  <c:v>-4.0000000000000036E-3</c:v>
                </c:pt>
                <c:pt idx="2">
                  <c:v>-8.999999999999897E-3</c:v>
                </c:pt>
                <c:pt idx="3">
                  <c:v>-3.0000000000001137E-3</c:v>
                </c:pt>
                <c:pt idx="4">
                  <c:v>-8.0000000000000071E-3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C68-A723-83E23B8F2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789648"/>
        <c:axId val="586788008"/>
      </c:barChart>
      <c:catAx>
        <c:axId val="5867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788008"/>
        <c:crosses val="autoZero"/>
        <c:auto val="1"/>
        <c:lblAlgn val="ctr"/>
        <c:lblOffset val="100"/>
        <c:noMultiLvlLbl val="0"/>
      </c:catAx>
      <c:valAx>
        <c:axId val="586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Specific Gravity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7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 </a:t>
            </a:r>
            <a:r>
              <a:rPr lang="en-US"/>
              <a:t>ABV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Results!$F$2:$F$10</c15:sqref>
                  </c15:fullRef>
                </c:ext>
              </c:extLst>
              <c:f>Results!$F$2:$F$8</c:f>
              <c:numCache>
                <c:formatCode>0.0%</c:formatCode>
                <c:ptCount val="7"/>
                <c:pt idx="0">
                  <c:v>0</c:v>
                </c:pt>
                <c:pt idx="1">
                  <c:v>1.8000000000000002E-2</c:v>
                </c:pt>
                <c:pt idx="2">
                  <c:v>3.9999999999999966E-3</c:v>
                </c:pt>
                <c:pt idx="3">
                  <c:v>2.0000000000000018E-3</c:v>
                </c:pt>
                <c:pt idx="4">
                  <c:v>-1.0000000000000009E-3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F-4F4B-A2E6-AC48FEF05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669784"/>
        <c:axId val="410667488"/>
      </c:barChart>
      <c:catAx>
        <c:axId val="41066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67488"/>
        <c:crosses val="autoZero"/>
        <c:auto val="1"/>
        <c:lblAlgn val="ctr"/>
        <c:lblOffset val="100"/>
        <c:noMultiLvlLbl val="0"/>
      </c:catAx>
      <c:valAx>
        <c:axId val="410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Alcohol By Volume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6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 </a:t>
            </a:r>
            <a:r>
              <a:rPr lang="en-US"/>
              <a:t>IBU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Results!$G$2:$G$10</c15:sqref>
                  </c15:fullRef>
                </c:ext>
              </c:extLst>
              <c:f>Results!$G$2:$G$8</c:f>
              <c:numCache>
                <c:formatCode>0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-2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0-4B14-9B04-9605CC49B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675360"/>
        <c:axId val="410674048"/>
      </c:barChart>
      <c:catAx>
        <c:axId val="410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74048"/>
        <c:crosses val="autoZero"/>
        <c:auto val="1"/>
        <c:lblAlgn val="ctr"/>
        <c:lblOffset val="100"/>
        <c:noMultiLvlLbl val="0"/>
      </c:catAx>
      <c:valAx>
        <c:axId val="410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Bitterness</a:t>
                </a:r>
                <a:r>
                  <a:rPr lang="nl-NL" baseline="0"/>
                  <a:t> [IBU]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BU/GU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Results!$W$2:$W$10</c:f>
              <c:numCache>
                <c:formatCode>0.00</c:formatCode>
                <c:ptCount val="9"/>
                <c:pt idx="0">
                  <c:v>4.9999999999999989E-2</c:v>
                </c:pt>
                <c:pt idx="1">
                  <c:v>-1.0000000000000009E-2</c:v>
                </c:pt>
                <c:pt idx="2">
                  <c:v>0.15000000000000002</c:v>
                </c:pt>
                <c:pt idx="3">
                  <c:v>3.0000000000000027E-2</c:v>
                </c:pt>
                <c:pt idx="4">
                  <c:v>0.25</c:v>
                </c:pt>
                <c:pt idx="5">
                  <c:v>0.14000000000000001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3-415A-AD92-DFCAD9C06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400824"/>
        <c:axId val="767398528"/>
      </c:barChart>
      <c:catAx>
        <c:axId val="76740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398528"/>
        <c:crosses val="autoZero"/>
        <c:auto val="1"/>
        <c:lblAlgn val="ctr"/>
        <c:lblOffset val="100"/>
        <c:noMultiLvlLbl val="0"/>
      </c:catAx>
      <c:valAx>
        <c:axId val="767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0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Relative Bitterness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Results!$X$2:$X$10</c:f>
              <c:numCache>
                <c:formatCode>0.00</c:formatCode>
                <c:ptCount val="9"/>
                <c:pt idx="0">
                  <c:v>1.999999999999999E-2</c:v>
                </c:pt>
                <c:pt idx="1">
                  <c:v>1.0000000000000009E-2</c:v>
                </c:pt>
                <c:pt idx="2">
                  <c:v>0.32000000000000006</c:v>
                </c:pt>
                <c:pt idx="3">
                  <c:v>4.0000000000000036E-2</c:v>
                </c:pt>
                <c:pt idx="4">
                  <c:v>0.40999999999999992</c:v>
                </c:pt>
                <c:pt idx="5">
                  <c:v>0.18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4377-8950-4EC6922F6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133008"/>
        <c:axId val="775124808"/>
      </c:barChart>
      <c:catAx>
        <c:axId val="7751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124808"/>
        <c:crosses val="autoZero"/>
        <c:auto val="1"/>
        <c:lblAlgn val="ctr"/>
        <c:lblOffset val="100"/>
        <c:noMultiLvlLbl val="0"/>
      </c:catAx>
      <c:valAx>
        <c:axId val="7751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13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 </a:t>
            </a:r>
            <a:r>
              <a:rPr lang="en-US"/>
              <a:t>EBC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2559055118111"/>
          <c:y val="2.5428331875182269E-2"/>
          <c:w val="0.88897440944881889"/>
          <c:h val="0.766481481481481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Results!$H$2:$H$10</c15:sqref>
                  </c15:fullRef>
                </c:ext>
              </c:extLst>
              <c:f>Results!$H$2:$H$8</c:f>
              <c:numCache>
                <c:formatCode>0.0</c:formatCode>
                <c:ptCount val="7"/>
                <c:pt idx="0">
                  <c:v>1.5999999999999996</c:v>
                </c:pt>
                <c:pt idx="1">
                  <c:v>0.40000000000000036</c:v>
                </c:pt>
                <c:pt idx="2">
                  <c:v>0</c:v>
                </c:pt>
                <c:pt idx="3">
                  <c:v>-0.20000000000000018</c:v>
                </c:pt>
                <c:pt idx="4">
                  <c:v>0.19999999999999929</c:v>
                </c:pt>
                <c:pt idx="5">
                  <c:v>-1.7999999999999989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3-48AE-ABA1-66666FCFD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805792"/>
        <c:axId val="487809400"/>
      </c:barChart>
      <c:catAx>
        <c:axId val="4878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809400"/>
        <c:crosses val="autoZero"/>
        <c:auto val="1"/>
        <c:lblAlgn val="ctr"/>
        <c:lblOffset val="100"/>
        <c:noMultiLvlLbl val="0"/>
      </c:catAx>
      <c:valAx>
        <c:axId val="487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Colour</a:t>
                </a:r>
                <a:r>
                  <a:rPr lang="nl-NL" baseline="0"/>
                  <a:t> [EBC]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8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Brewhouse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Results!$V$2:$V$10</c:f>
              <c:numCache>
                <c:formatCode>0.0%</c:formatCode>
                <c:ptCount val="9"/>
                <c:pt idx="0">
                  <c:v>-0.13800000000000001</c:v>
                </c:pt>
                <c:pt idx="1">
                  <c:v>2.0000000000000018E-3</c:v>
                </c:pt>
                <c:pt idx="2">
                  <c:v>-9.7999999999999976E-2</c:v>
                </c:pt>
                <c:pt idx="3">
                  <c:v>-6.7999999999999949E-2</c:v>
                </c:pt>
                <c:pt idx="4">
                  <c:v>3.2000000000000028E-2</c:v>
                </c:pt>
                <c:pt idx="5">
                  <c:v>-0.13800000000000001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0-457A-B6E1-13F3E83C56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404432"/>
        <c:axId val="767403448"/>
      </c:barChart>
      <c:catAx>
        <c:axId val="7674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03448"/>
        <c:crosses val="autoZero"/>
        <c:auto val="1"/>
        <c:lblAlgn val="ctr"/>
        <c:lblOffset val="100"/>
        <c:noMultiLvlLbl val="0"/>
      </c:catAx>
      <c:valAx>
        <c:axId val="7674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Mash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Results!$Y$2:$Y$10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8.0000000000000071E-2</c:v>
                </c:pt>
                <c:pt idx="3">
                  <c:v>7.0000000000000284E-2</c:v>
                </c:pt>
                <c:pt idx="4">
                  <c:v>9.9999999999999645E-2</c:v>
                </c:pt>
                <c:pt idx="5">
                  <c:v>0.48000000000000043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5-4C80-804B-A7F49C227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557920"/>
        <c:axId val="769554640"/>
      </c:barChart>
      <c:catAx>
        <c:axId val="7695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554640"/>
        <c:crosses val="autoZero"/>
        <c:auto val="1"/>
        <c:lblAlgn val="ctr"/>
        <c:lblOffset val="100"/>
        <c:noMultiLvlLbl val="0"/>
      </c:catAx>
      <c:valAx>
        <c:axId val="7695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pH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9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Post-Boil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Results!$L$2:$L$10</c:f>
              <c:numCache>
                <c:formatCode>0.000</c:formatCode>
                <c:ptCount val="9"/>
                <c:pt idx="0">
                  <c:v>-1.46</c:v>
                </c:pt>
                <c:pt idx="1">
                  <c:v>-1.6600000000000001</c:v>
                </c:pt>
                <c:pt idx="2">
                  <c:v>-0.66000000000000014</c:v>
                </c:pt>
                <c:pt idx="3">
                  <c:v>4.0000000000000036E-2</c:v>
                </c:pt>
                <c:pt idx="4">
                  <c:v>-1.3600000000000003</c:v>
                </c:pt>
                <c:pt idx="5">
                  <c:v>1.1900000000000004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B-4925-B27A-57564D4D2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943664"/>
        <c:axId val="494943992"/>
      </c:barChart>
      <c:catAx>
        <c:axId val="4949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43992"/>
        <c:crosses val="autoZero"/>
        <c:auto val="1"/>
        <c:lblAlgn val="ctr"/>
        <c:lblOffset val="100"/>
        <c:noMultiLvlLbl val="0"/>
      </c:catAx>
      <c:valAx>
        <c:axId val="4949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Litres 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Trub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Results!$P$2:$P$10</c:f>
              <c:numCache>
                <c:formatCode>0.000</c:formatCode>
                <c:ptCount val="9"/>
                <c:pt idx="0">
                  <c:v>0.06</c:v>
                </c:pt>
                <c:pt idx="1">
                  <c:v>0.7</c:v>
                </c:pt>
                <c:pt idx="2">
                  <c:v>0.39</c:v>
                </c:pt>
                <c:pt idx="3">
                  <c:v>4.0000000000000008E-2</c:v>
                </c:pt>
                <c:pt idx="4">
                  <c:v>-0.3</c:v>
                </c:pt>
                <c:pt idx="5">
                  <c:v>1.1400000000000001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A3F-9A95-3B57F0FF3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808328"/>
        <c:axId val="600810296"/>
      </c:barChart>
      <c:catAx>
        <c:axId val="60080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810296"/>
        <c:crosses val="autoZero"/>
        <c:auto val="1"/>
        <c:lblAlgn val="ctr"/>
        <c:lblOffset val="100"/>
        <c:noMultiLvlLbl val="0"/>
      </c:catAx>
      <c:valAx>
        <c:axId val="6008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Litres 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80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Results!$N$2:$N$10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D-4A8C-AA98-F66F350BD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198568"/>
        <c:axId val="447198896"/>
      </c:barChart>
      <c:catAx>
        <c:axId val="44719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198896"/>
        <c:crosses val="autoZero"/>
        <c:auto val="1"/>
        <c:lblAlgn val="ctr"/>
        <c:lblOffset val="100"/>
        <c:noMultiLvlLbl val="0"/>
      </c:catAx>
      <c:valAx>
        <c:axId val="4471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Volume</a:t>
                </a:r>
                <a:r>
                  <a:rPr lang="nl-NL" baseline="0"/>
                  <a:t> [L]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19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Fermenter Volume</a:t>
            </a:r>
          </a:p>
        </c:rich>
      </c:tx>
      <c:layout>
        <c:manualLayout>
          <c:xMode val="edge"/>
          <c:yMode val="edge"/>
          <c:x val="0.43179371753749446"/>
          <c:y val="2.0894199342507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Results!$O$2:$O$10</c:f>
              <c:numCache>
                <c:formatCode>0.000</c:formatCode>
                <c:ptCount val="9"/>
                <c:pt idx="0">
                  <c:v>-1.0999999999999996</c:v>
                </c:pt>
                <c:pt idx="1">
                  <c:v>-1.0999999999999996</c:v>
                </c:pt>
                <c:pt idx="2">
                  <c:v>-0.29999999999999982</c:v>
                </c:pt>
                <c:pt idx="3">
                  <c:v>-1.5999999999999996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3-4FCB-BAB9-1FBB93F83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696024"/>
        <c:axId val="410694712"/>
      </c:barChart>
      <c:catAx>
        <c:axId val="41069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94712"/>
        <c:crosses val="autoZero"/>
        <c:auto val="1"/>
        <c:lblAlgn val="ctr"/>
        <c:lblOffset val="100"/>
        <c:noMultiLvlLbl val="0"/>
      </c:catAx>
      <c:valAx>
        <c:axId val="410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Litres 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6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GreekC" panose="00000400000000000000" pitchFamily="2" charset="0"/>
              </a:rPr>
              <a:t>D</a:t>
            </a:r>
            <a:r>
              <a:rPr lang="en-US"/>
              <a:t> Bottling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Results!$Q$2:$Q$10</c:f>
              <c:numCache>
                <c:formatCode>0.000</c:formatCode>
                <c:ptCount val="9"/>
                <c:pt idx="0">
                  <c:v>-0.79999999999999982</c:v>
                </c:pt>
                <c:pt idx="1">
                  <c:v>-0.79999999999999982</c:v>
                </c:pt>
                <c:pt idx="2">
                  <c:v>-0.87000000000000011</c:v>
                </c:pt>
                <c:pt idx="3">
                  <c:v>-1</c:v>
                </c:pt>
                <c:pt idx="4">
                  <c:v>-0.37999999999999989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2-40C7-BDDB-04B05A9D3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978872"/>
        <c:axId val="501978216"/>
      </c:barChart>
      <c:catAx>
        <c:axId val="50197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1978216"/>
        <c:crosses val="autoZero"/>
        <c:auto val="1"/>
        <c:lblAlgn val="ctr"/>
        <c:lblOffset val="100"/>
        <c:noMultiLvlLbl val="0"/>
      </c:catAx>
      <c:valAx>
        <c:axId val="501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Litres [L]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197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/>
              <a:t> Pre</a:t>
            </a:r>
            <a:r>
              <a:rPr lang="nl-NL" baseline="0"/>
              <a:t>-Boil Gravity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Results!$R$2:$R$10</c:f>
              <c:numCache>
                <c:formatCode>0.000</c:formatCode>
                <c:ptCount val="9"/>
                <c:pt idx="0">
                  <c:v>-4.0000000000000036E-3</c:v>
                </c:pt>
                <c:pt idx="1">
                  <c:v>-5.0000000000001155E-3</c:v>
                </c:pt>
                <c:pt idx="2">
                  <c:v>-6.0000000000000053E-3</c:v>
                </c:pt>
                <c:pt idx="3">
                  <c:v>0</c:v>
                </c:pt>
                <c:pt idx="4">
                  <c:v>-6.9999999999998952E-3</c:v>
                </c:pt>
                <c:pt idx="5">
                  <c:v>-6.0000000000000053E-3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1E6-80F9-0B1A56FFD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522616"/>
        <c:axId val="600523600"/>
      </c:barChart>
      <c:catAx>
        <c:axId val="60052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523600"/>
        <c:crosses val="autoZero"/>
        <c:auto val="1"/>
        <c:lblAlgn val="ctr"/>
        <c:lblOffset val="100"/>
        <c:noMultiLvlLbl val="0"/>
      </c:catAx>
      <c:valAx>
        <c:axId val="6005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Specific</a:t>
                </a:r>
                <a:r>
                  <a:rPr lang="nl-NL" baseline="0"/>
                  <a:t> Gravity [-]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05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>
                <a:latin typeface="GreekC" panose="00000400000000000000" pitchFamily="2" charset="0"/>
              </a:rPr>
              <a:t>D</a:t>
            </a:r>
            <a:r>
              <a:rPr lang="nl-NL" baseline="0"/>
              <a:t> Post-Boil Gravity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Results!$S$2:$S$10</c:f>
              <c:numCache>
                <c:formatCode>0.000</c:formatCode>
                <c:ptCount val="9"/>
                <c:pt idx="0">
                  <c:v>0</c:v>
                </c:pt>
                <c:pt idx="1">
                  <c:v>1.2000000000000011E-2</c:v>
                </c:pt>
                <c:pt idx="2">
                  <c:v>-4.0000000000000036E-3</c:v>
                </c:pt>
                <c:pt idx="3">
                  <c:v>-2.0000000000000018E-3</c:v>
                </c:pt>
                <c:pt idx="4">
                  <c:v>2.0000000000000018E-3</c:v>
                </c:pt>
                <c:pt idx="5">
                  <c:v>-1.0999999999999899E-2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3-4841-A8FD-4683CF46E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02344"/>
        <c:axId val="775403984"/>
      </c:barChart>
      <c:catAx>
        <c:axId val="77540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Batch</a:t>
                </a:r>
                <a:r>
                  <a:rPr lang="nl-NL" baseline="0"/>
                  <a:t> #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403984"/>
        <c:crosses val="autoZero"/>
        <c:auto val="1"/>
        <c:lblAlgn val="ctr"/>
        <c:lblOffset val="100"/>
        <c:noMultiLvlLbl val="0"/>
      </c:catAx>
      <c:valAx>
        <c:axId val="7754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Specific</a:t>
                </a:r>
                <a:r>
                  <a:rPr lang="nl-NL" baseline="0"/>
                  <a:t> Gravity [-]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40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F2EC40-7A58-48D0-B1F0-BED3972E0E43}">
  <sheetPr/>
  <sheetViews>
    <sheetView zoomScale="74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6197C6-0EFA-4A11-AAAD-140D4B94D418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AAE583-8FA5-491B-8579-1DBD5A737AE5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A7D38F-1D73-4B35-9FBE-2D68128D579D}">
  <sheetPr/>
  <sheetViews>
    <sheetView zoomScale="110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5A0F03-676D-4713-9172-B4615FACA066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B02167-2A7F-477E-89FF-A974BFA8C5AB}">
  <sheetPr/>
  <sheetViews>
    <sheetView zoomScale="11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62D0D0-669E-42CD-A023-6492CD728BB6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045422-4C85-4E8A-B5A8-38AEF341E8B0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EB6783-3169-47ED-B053-1E63A4E0E560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2C7FC-A00A-4BDE-A32F-D2E97C187251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F81971-3119-4828-9D10-33696C2E9F39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D3B39-DCF2-451A-962F-55C5A8A1F4DD}">
  <sheetPr/>
  <sheetViews>
    <sheetView zoomScale="74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3CE852-BF57-4DA4-B545-DD0C549FC8D0}">
  <sheetPr/>
  <sheetViews>
    <sheetView zoomScale="74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05C24C-909D-4C55-81D2-A6294C5D6F87}">
  <sheetPr/>
  <sheetViews>
    <sheetView zoomScale="74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FC2B7A-1A32-4C53-A948-FD42F192AB08}">
  <sheetPr/>
  <sheetViews>
    <sheetView zoomScale="74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519922-16AD-4B62-9DB0-1D6F4AC1BCCB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\ &amp;T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9C597-D13B-4B3F-9C64-0E1C2255A356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48D68E-891A-4785-B28E-3A3D65B7D17B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0575B0-16D9-4C0C-A651-1618046871F9}">
  <sheetPr/>
  <sheetViews>
    <sheetView zoomScale="118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&amp;L&amp;F&amp;C&amp;P / &amp;N&amp;R&amp;D | &amp;T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88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F6C7-702D-448F-9916-5BE2569DD5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D9472-9409-4B72-8376-5559392BB8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F52C1-7144-4647-80D4-864D29AE71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960033" cy="65130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1D904-AEDB-4952-B841-374C1A79A4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CE00E-DB38-43F8-B107-45C08BE943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7692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04437-AF12-4000-9CCC-8D78EDCA1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AE7A8-E995-4BB9-BB5B-DD52EB237B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6F268-DF3E-494D-9019-3072D78B3D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5F1C9-3670-48EF-9CC1-FA911ED8EB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18C97-66DA-4624-B131-545C5D1D7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EC222-F492-44A0-AA18-CEDEC09821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88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3E782-8ACF-4D12-ACEF-AE628D70E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88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CD287-E23D-4E99-BF7F-8A5F68F76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88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03AB1-2BA0-4776-A7CF-3E8AC80C8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88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B55C7-C846-43CE-8EB7-2671A0D16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FFA1F-7113-4C11-9E0F-82EF4355F1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FF58-BD0A-475D-969A-B5F7429E1D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42034-A1F2-458A-9436-ED442EE575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4776" cy="60714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2EA0-3C7E-4FC6-85D0-C426F05611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8E10C-7CBD-4EF3-92F8-B17896F6ABE4}" name="Table1" displayName="Table1" ref="A1:AH13" totalsRowShown="0" headerRowDxfId="118" dataDxfId="116" headerRowBorderDxfId="117" tableBorderDxfId="115">
  <autoFilter ref="A1:AH13" xr:uid="{134E8737-F1E0-4F9A-AAEF-ADDA1FB7A02C}"/>
  <tableColumns count="34">
    <tableColumn id="1" xr3:uid="{7CDE951A-0480-48D6-90FA-0C28E4CE5C99}" name="Batch" dataDxfId="114"/>
    <tableColumn id="2" xr3:uid="{5A2B7678-98AB-41B1-BFF3-F77995F30DE8}" name="Name" dataDxfId="113"/>
    <tableColumn id="3" xr3:uid="{750C1BA2-6BAE-4E6A-B787-014C6ED69A9D}" name="Style" dataDxfId="112"/>
    <tableColumn id="4" xr3:uid="{4421C225-2DD9-4AA4-A3BD-97A8841CB535}" name="Type" dataDxfId="111"/>
    <tableColumn id="24" xr3:uid="{836E5EC7-276D-4CEF-86DD-35C5021A950A}" name="Date" dataDxfId="110"/>
    <tableColumn id="5" xr3:uid="{E2793A6F-16F7-496B-BE2F-FFC9DAF26030}" name="ABV" dataDxfId="109" dataCellStyle="Percent"/>
    <tableColumn id="6" xr3:uid="{02D4CCF1-4871-40E7-8012-793CFF9DA169}" name="IBU" dataDxfId="108"/>
    <tableColumn id="7" xr3:uid="{93F82524-43FA-4D6E-B3AB-E96AFB5F6A11}" name="EBC" dataDxfId="107"/>
    <tableColumn id="8" xr3:uid="{A67CCEF6-8E5D-4A0C-8278-CF2973464790}" name="OG" dataDxfId="106"/>
    <tableColumn id="9" xr3:uid="{768DDCE3-6C47-4D44-A063-B1872D27B4F7}" name="FG" dataDxfId="105"/>
    <tableColumn id="10" xr3:uid="{19B8E1AF-8138-40D0-A4A6-30958DE3BE85}" name="Pre-Boil Volume" dataDxfId="104"/>
    <tableColumn id="11" xr3:uid="{9749D691-931D-4508-89BF-7FAA95DC2082}" name="Post-Boil Volume" dataDxfId="103"/>
    <tableColumn id="12" xr3:uid="{D0DBC984-3960-41AB-B003-8854CA30A343}" name="Boil-Off" dataDxfId="102"/>
    <tableColumn id="14" xr3:uid="{A6CD1FB4-C200-4A0E-B3B8-84EF7654A678}" name="Trub Loss" dataDxfId="101"/>
    <tableColumn id="25" xr3:uid="{0F6AA6E3-F3FC-4E5C-BA07-FC3801780361}" name="Top-up" dataDxfId="100"/>
    <tableColumn id="13" xr3:uid="{A2EDDA43-15EC-423B-8B9C-6A1BE720ECE2}" name="Fermenter Volume" dataDxfId="99"/>
    <tableColumn id="15" xr3:uid="{246BB378-0133-4435-9E10-7F5D3841151C}" name="Bottling Volume" dataDxfId="98"/>
    <tableColumn id="16" xr3:uid="{1C1DAD0D-BDEE-4A52-B75D-4A824B711CE6}" name="Pre-Boil Gravity" dataDxfId="97"/>
    <tableColumn id="17" xr3:uid="{778DA683-2375-416B-9531-5C7210E997A2}" name="Post-Boil Gravity" dataDxfId="96"/>
    <tableColumn id="18" xr3:uid="{ED149EEF-3C7F-41AA-ABBB-7547B4C449EA}" name="Attenuation" dataDxfId="95" dataCellStyle="Percent"/>
    <tableColumn id="19" xr3:uid="{F7EE40FA-1EBB-4EC0-A96F-C694299CC9EE}" name="Mash Efficiency" dataDxfId="94" dataCellStyle="Percent"/>
    <tableColumn id="20" xr3:uid="{35B20B2F-DFB3-4B4B-A8DD-E4C602900FCA}" name="Brewhouse Efficiency" dataDxfId="93" dataCellStyle="Percent"/>
    <tableColumn id="21" xr3:uid="{909D4B14-647A-4B46-829E-91E026E69CD3}" name="BU/GU" dataDxfId="92"/>
    <tableColumn id="22" xr3:uid="{F2763A4F-55AB-440D-8CEF-08181CE41189}" name="Relative Bitterness Ratio" dataDxfId="91"/>
    <tableColumn id="23" xr3:uid="{FE59DFC9-BC38-4D44-BEF2-FAFDC4D062B3}" name="Mash pH" dataDxfId="90"/>
    <tableColumn id="26" xr3:uid="{FD4ECB6C-FC9D-4523-B306-69A4216F630C}" name="Mash Profile" dataDxfId="89"/>
    <tableColumn id="27" xr3:uid="{CBC7A9D2-E0CE-46B9-A122-294AFC9093AE}" name="Mash temp" dataDxfId="88"/>
    <tableColumn id="28" xr3:uid="{E6470D16-79FE-432F-B622-3B842C96A370}" name="Mash Time" dataDxfId="87"/>
    <tableColumn id="29" xr3:uid="{915F022E-89AA-4363-892A-7BE1A34501C5}" name="Boil Time" dataDxfId="86"/>
    <tableColumn id="30" xr3:uid="{0CCCF39D-13AD-40A1-BB7B-99889F27292C}" name="Fermentation Profile" dataDxfId="85"/>
    <tableColumn id="31" xr3:uid="{0C297FDC-F3D3-4ED6-874F-D2366797C4A1}" name="Fermentation Temperature" dataDxfId="84"/>
    <tableColumn id="32" xr3:uid="{036DF0BA-77C3-481B-BB30-D0758F40A427}" name="Fermentation Duration" dataDxfId="83"/>
    <tableColumn id="33" xr3:uid="{EE605F41-D662-40C3-8639-A75E60BDD49C}" name="Conditioning Temperature" dataDxfId="82"/>
    <tableColumn id="34" xr3:uid="{0DEAD349-BC8F-42E1-9BE0-1A6D29C0617F}" name="Conditioning Duration" dataDxfId="8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91022F-F906-4BDD-A3F5-2610798A05D8}" name="Table2" displayName="Table2" ref="A1:AH13" totalsRowShown="0" headerRowDxfId="80" dataDxfId="79">
  <autoFilter ref="A1:AH13" xr:uid="{6E4E5D73-850A-4CB5-BD0B-FA48FDD3C50A}"/>
  <tableColumns count="34">
    <tableColumn id="1" xr3:uid="{A2BB4A3A-F39F-4892-894A-11D13C27B453}" name="Batch" dataDxfId="78"/>
    <tableColumn id="2" xr3:uid="{07054FFA-6D16-45A5-9F26-7BB7B96603F9}" name="Name" dataDxfId="77"/>
    <tableColumn id="3" xr3:uid="{2E07C8BD-AB54-4BFD-8724-FBB4B02FD180}" name="Style" dataDxfId="76"/>
    <tableColumn id="4" xr3:uid="{ADD1D3E1-3B39-4F8C-818A-2439D7C69656}" name="Type" dataDxfId="75"/>
    <tableColumn id="24" xr3:uid="{0F79E1A7-E5C8-4A0C-B778-00051F5B70A8}" name="Date" dataDxfId="74">
      <calculatedColumnFormula>IF(Table1[[#This Row],[Date]]="","",Table1[[#This Row],[Date]])</calculatedColumnFormula>
    </tableColumn>
    <tableColumn id="5" xr3:uid="{1694A254-3171-4B49-8488-A0F465798132}" name="ABV" dataDxfId="73"/>
    <tableColumn id="6" xr3:uid="{F13844B4-5277-4EB0-9D7C-8058FE2132EA}" name="IBU" dataDxfId="72"/>
    <tableColumn id="7" xr3:uid="{0D535260-2A88-445B-A48E-D76BE22B5717}" name="EBC" dataDxfId="71"/>
    <tableColumn id="8" xr3:uid="{485703A0-E2EF-4DB0-AAD3-4D1E0AFD0287}" name="OG" dataDxfId="70"/>
    <tableColumn id="9" xr3:uid="{7A3970B1-392C-4AB7-ADA3-4052D4A96483}" name="FG" dataDxfId="69"/>
    <tableColumn id="10" xr3:uid="{23628BC6-B2FB-436F-A9C8-1B57FE484492}" name="Pre-Boil Volume" dataDxfId="68"/>
    <tableColumn id="11" xr3:uid="{68328168-13E0-4F9B-BA5E-6658EF41D98B}" name="Post-Boil Volume" dataDxfId="67"/>
    <tableColumn id="12" xr3:uid="{81B7A4FF-B6EE-44C5-8F3C-C2A7F087639A}" name="Boil-Off" dataDxfId="66"/>
    <tableColumn id="14" xr3:uid="{93313533-40D9-470C-A186-044FB98A5FA4}" name="Trub Loss" dataDxfId="65"/>
    <tableColumn id="25" xr3:uid="{B02FDFA6-7142-4615-BDDB-B8D10C0903F5}" name="Top-up" dataDxfId="64"/>
    <tableColumn id="13" xr3:uid="{6DF1AE5F-AEEA-4056-B96F-2CF72105CF32}" name="Fermenter Volume" dataDxfId="63"/>
    <tableColumn id="15" xr3:uid="{6B4A65BC-8F1E-440B-9C20-AD7034EBE385}" name="Bottling Volume" dataDxfId="62"/>
    <tableColumn id="16" xr3:uid="{EC64AC63-3B40-4CC7-97DA-03E98BAE05A9}" name="Pre-Boil Gravity" dataDxfId="61"/>
    <tableColumn id="17" xr3:uid="{0DA70A53-3824-4ED8-B592-71F3A932720A}" name="Post-Boil Gravity" dataDxfId="60"/>
    <tableColumn id="18" xr3:uid="{D0C3AC9D-DD89-4F68-A1F3-02865F1575C6}" name="Attenuation" dataDxfId="59"/>
    <tableColumn id="19" xr3:uid="{A30B6C1F-880B-441E-9BEF-9A70C36CAF88}" name="Mash Efficiency" dataDxfId="58"/>
    <tableColumn id="20" xr3:uid="{FA4C99FD-12AA-4013-A515-1926EF57EE08}" name="Brewhous Efficiency" dataDxfId="57"/>
    <tableColumn id="21" xr3:uid="{5D6EDBED-F178-4168-B45A-3305B6F38568}" name="BU/GU" dataDxfId="56"/>
    <tableColumn id="22" xr3:uid="{6C8E4646-1285-42AF-A337-ECEFA07E8164}" name="Relative Bitterness Ratio" dataDxfId="55"/>
    <tableColumn id="23" xr3:uid="{38AB6CCC-CC6E-4C81-8565-B73798501A20}" name="Mash pH" dataDxfId="54"/>
    <tableColumn id="26" xr3:uid="{96F77149-9ED8-4D09-A684-0E09E4831A99}" name="Mash Profile" dataDxfId="53"/>
    <tableColumn id="27" xr3:uid="{86B1CFAD-A84C-4318-ACC0-F2DCDEF391C9}" name="Mash temp" dataDxfId="52"/>
    <tableColumn id="28" xr3:uid="{82722EEF-6846-4208-8C7C-2BF2A41AE16E}" name="Mash Time" dataDxfId="51"/>
    <tableColumn id="29" xr3:uid="{82DDCCD1-4DBD-4B83-AE37-7B188F9B4D03}" name="Boil Time" dataDxfId="50"/>
    <tableColumn id="30" xr3:uid="{15EB89B9-F38E-4A74-9947-7D94CC719ECF}" name="Fermentation Profile" dataDxfId="49"/>
    <tableColumn id="31" xr3:uid="{24298BC5-3ECE-4AF5-92A2-7B2353E627AF}" name="fermentation Temperature" dataDxfId="48"/>
    <tableColumn id="32" xr3:uid="{68DAE346-C815-481C-B0F0-AEB1931084E4}" name="Fermentation Duration" dataDxfId="47"/>
    <tableColumn id="33" xr3:uid="{53ED2AA8-CB90-4883-A35A-1185BC075FA5}" name="Conditioning Temperature" dataDxfId="46"/>
    <tableColumn id="34" xr3:uid="{38FE8E80-C60C-4D72-925E-F28B08198493}" name="Conditioning Duration" dataDxfId="4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F8C5CD-4039-4A4B-9034-5E94DB6B12F8}" name="Table24" displayName="Table24" ref="A1:AH13" totalsRowShown="0" headerRowDxfId="35" dataDxfId="34">
  <autoFilter ref="A1:AH13" xr:uid="{6E4E5D73-850A-4CB5-BD0B-FA48FDD3C50A}"/>
  <tableColumns count="34">
    <tableColumn id="1" xr3:uid="{B98B36C3-8833-481B-9523-E3C01B3E295A}" name="Batch" dataDxfId="33">
      <calculatedColumnFormula>Table1[[#This Row],[Batch]]</calculatedColumnFormula>
    </tableColumn>
    <tableColumn id="2" xr3:uid="{06176023-927A-49C1-AE0A-84E808DED82F}" name="Name" dataDxfId="32">
      <calculatedColumnFormula>Table1[[#This Row],[Name]]</calculatedColumnFormula>
    </tableColumn>
    <tableColumn id="3" xr3:uid="{0A63052E-DF4A-4282-80CB-EA7B53963EA8}" name="Style" dataDxfId="31">
      <calculatedColumnFormula>Table1[[#This Row],[Style]]</calculatedColumnFormula>
    </tableColumn>
    <tableColumn id="4" xr3:uid="{FFB0764D-048A-4863-8CFE-4B20494CB137}" name="Type" dataDxfId="30">
      <calculatedColumnFormula>Table1[[#This Row],[Type]]</calculatedColumnFormula>
    </tableColumn>
    <tableColumn id="24" xr3:uid="{C62B5192-FD22-4ACF-9777-901AC6A18780}" name="Date" dataDxfId="29">
      <calculatedColumnFormula>IF(Table1[[#This Row],[Date]]="","",Table1[[#This Row],[Date]])</calculatedColumnFormula>
    </tableColumn>
    <tableColumn id="5" xr3:uid="{ED796A4C-2E16-4DB6-A6AA-FF0CEDF75CCB}" name="ABV" dataDxfId="28">
      <calculatedColumnFormula>IF(Table2[[#This Row],[ABV]]="","",(Table2[[#This Row],[ABV]]-Table1[[#This Row],[ABV]]))</calculatedColumnFormula>
    </tableColumn>
    <tableColumn id="6" xr3:uid="{B2D2237E-0E3C-4984-8068-0750BE3FE2B9}" name="IBU" dataDxfId="27">
      <calculatedColumnFormula>IF(Table2[[#This Row],[IBU]]="","",(Table2[[#This Row],[IBU]]-Table1[[#This Row],[IBU]]))</calculatedColumnFormula>
    </tableColumn>
    <tableColumn id="7" xr3:uid="{DEEE6769-A378-43A5-B056-1DF4CFB70AD2}" name="EBC" dataDxfId="26">
      <calculatedColumnFormula>IF(Table2[[#This Row],[EBC]]="","",Table2[[#This Row],[EBC]]-Table1[[#This Row],[EBC]])</calculatedColumnFormula>
    </tableColumn>
    <tableColumn id="8" xr3:uid="{C9EF051F-A902-459B-849B-7DB2729A008D}" name="OG" dataDxfId="25">
      <calculatedColumnFormula>IF(Table2[[#This Row],[OG]]="","",Table2[[#This Row],[OG]]-Table1[[#This Row],[OG]])</calculatedColumnFormula>
    </tableColumn>
    <tableColumn id="9" xr3:uid="{DD4C1D76-A1E1-464F-9ADF-9CF631C9CD0A}" name="FG" dataDxfId="24">
      <calculatedColumnFormula>IF(Table2[[#This Row],[FG]]="","",Table2[[#This Row],[FG]]-Table1[[#This Row],[FG]])</calculatedColumnFormula>
    </tableColumn>
    <tableColumn id="10" xr3:uid="{336E375D-BF4C-4DED-A15D-11182645F668}" name="Pre-Boil Volume" dataDxfId="23">
      <calculatedColumnFormula>IF(Table2[[#This Row],[Pre-Boil Volume]]="","",Table2[[#This Row],[Pre-Boil Volume]]-Table1[[#This Row],[Pre-Boil Volume]])</calculatedColumnFormula>
    </tableColumn>
    <tableColumn id="11" xr3:uid="{E2D424A3-56D3-4309-8AC4-5F29766FA5C9}" name="Post-Boil Volume" dataDxfId="22">
      <calculatedColumnFormula>IF(Table2[[#This Row],[Post-Boil Volume]]="","",Table2[[#This Row],[Post-Boil Volume]]-Table1[[#This Row],[Post-Boil Volume]])</calculatedColumnFormula>
    </tableColumn>
    <tableColumn id="12" xr3:uid="{6D794C81-29EA-406A-BD13-07637F8FB01E}" name="Boil-Off" dataDxfId="21">
      <calculatedColumnFormula>IF(Table2[[#This Row],[Boil-Off]]="","",Table2[[#This Row],[Boil-Off]]-Table1[[#This Row],[Boil-Off]])</calculatedColumnFormula>
    </tableColumn>
    <tableColumn id="25" xr3:uid="{BDF16CF4-A4CC-43BC-816F-BFB7E6BACED9}" name="Top-up" dataDxfId="20">
      <calculatedColumnFormula>IF(Table2[[#This Row],[Top-up]]="","",Table2[[#This Row],[Top-up]]-Table1[[#This Row],[Top-up]])</calculatedColumnFormula>
    </tableColumn>
    <tableColumn id="13" xr3:uid="{49005F40-E6E0-40CE-9B63-D3D7FF50A0A7}" name="Fermenter Volume" dataDxfId="19">
      <calculatedColumnFormula>IF(Table2[[#This Row],[Fermenter Volume]]="","",Table2[[#This Row],[Fermenter Volume]]-Table1[[#This Row],[Fermenter Volume]])</calculatedColumnFormula>
    </tableColumn>
    <tableColumn id="14" xr3:uid="{A28A9A43-6B0A-4812-BDBA-1690A7D0FBD6}" name="Trub Loss" dataDxfId="18">
      <calculatedColumnFormula>IF(Table2[[#This Row],[Trub Loss]]="","",Table2[[#This Row],[Trub Loss]]-Table1[[#This Row],[Trub Loss]])</calculatedColumnFormula>
    </tableColumn>
    <tableColumn id="15" xr3:uid="{D4283066-9123-432B-BFD6-58C51588E022}" name="Bottling Volume" dataDxfId="17">
      <calculatedColumnFormula>IF(Table2[[#This Row],[Bottling Volume]]="","",Table2[[#This Row],[Bottling Volume]]-Table1[[#This Row],[Bottling Volume]])</calculatedColumnFormula>
    </tableColumn>
    <tableColumn id="16" xr3:uid="{8EEFA686-5412-4D67-A332-88EF64065F82}" name="Pre-Boil Gravity" dataDxfId="16">
      <calculatedColumnFormula>IF(Table2[[#This Row],[Pre-Boil Gravity]]="","",Table2[[#This Row],[Pre-Boil Gravity]]-Table1[[#This Row],[Pre-Boil Gravity]])</calculatedColumnFormula>
    </tableColumn>
    <tableColumn id="17" xr3:uid="{48A107CC-795A-48F5-9CE5-90C6AAC6305F}" name="Post-Boil Gravity" dataDxfId="15">
      <calculatedColumnFormula>IF(Table2[[#This Row],[Post-Boil Gravity]]="","",Table2[[#This Row],[Post-Boil Gravity]]-Table1[[#This Row],[Post-Boil Gravity]])</calculatedColumnFormula>
    </tableColumn>
    <tableColumn id="18" xr3:uid="{4767EF82-098F-4D98-8BB8-B46C4EDC25B5}" name="Attenuation" dataDxfId="14">
      <calculatedColumnFormula>IF(Table2[[#This Row],[Attenuation]]="","",Table2[[#This Row],[Attenuation]]-Table1[[#This Row],[Attenuation]])</calculatedColumnFormula>
    </tableColumn>
    <tableColumn id="19" xr3:uid="{D99B4973-B649-49CC-B1E7-BBE5D40B0AFA}" name="Mash Efficiency" dataDxfId="13">
      <calculatedColumnFormula>IF(Table2[[#This Row],[Mash Efficiency]]="","",Table2[[#This Row],[Mash Efficiency]]-Table1[[#This Row],[Mash Efficiency]])</calculatedColumnFormula>
    </tableColumn>
    <tableColumn id="20" xr3:uid="{0E722FC0-B57A-48FE-BC94-F2F835EF84A8}" name="Brewhouse Efficiency" dataDxfId="12">
      <calculatedColumnFormula>IF(Table2[[#This Row],[Brewhous Efficiency]]="","",Table2[[#This Row],[Brewhous Efficiency]]-Table1[[#This Row],[Brewhouse Efficiency]])</calculatedColumnFormula>
    </tableColumn>
    <tableColumn id="21" xr3:uid="{E27B08CB-4A25-477C-9018-CF9E396EAC55}" name="BU/GU" dataDxfId="11">
      <calculatedColumnFormula>IF(Table2[[#This Row],[BU/GU]]="","",Table2[[#This Row],[BU/GU]]-Table1[[#This Row],[BU/GU]])</calculatedColumnFormula>
    </tableColumn>
    <tableColumn id="22" xr3:uid="{972DED10-2D85-4888-9D44-2A2749B7BAE8}" name="Relative Bitterness Ratio" dataDxfId="10">
      <calculatedColumnFormula>IF(Table2[[#This Row],[Relative Bitterness Ratio]]="","",Table2[[#This Row],[Relative Bitterness Ratio]]-Table1[[#This Row],[Relative Bitterness Ratio]])</calculatedColumnFormula>
    </tableColumn>
    <tableColumn id="23" xr3:uid="{596C47DF-C38C-4431-AB29-780B22EDC179}" name="Mash pH" dataDxfId="9">
      <calculatedColumnFormula>IF(Table2[[#This Row],[Mash pH]]="","",Table2[[#This Row],[Mash pH]]-Table1[[#This Row],[Mash pH]])</calculatedColumnFormula>
    </tableColumn>
    <tableColumn id="26" xr3:uid="{D5D147C7-8893-4A5E-89A4-52F8F546DAB9}" name="Mash Profile" dataDxfId="8"/>
    <tableColumn id="27" xr3:uid="{A4051DB3-D94F-4D8E-A7EA-354D2987F3F7}" name="Mash temp" dataDxfId="7">
      <calculatedColumnFormula>IF(Table2[[#This Row],[Mash temp]]="","",Table2[[#This Row],[Mash temp]]-Table1[[#This Row],[Mash temp]])</calculatedColumnFormula>
    </tableColumn>
    <tableColumn id="28" xr3:uid="{9F93E49A-730C-482C-A5EE-8B6651BDFE10}" name="Mash Time" dataDxfId="6">
      <calculatedColumnFormula>IF(Table2[[#This Row],[Mash Time]]="","",Table2[[#This Row],[Mash Time]]-Table1[[#This Row],[Mash Time]])</calculatedColumnFormula>
    </tableColumn>
    <tableColumn id="29" xr3:uid="{31F0294C-3182-41F9-9B0F-40B15E5E913A}" name="Boil Time" dataDxfId="5">
      <calculatedColumnFormula>IF(Table2[[#This Row],[Boil Time]]="","",Table2[[#This Row],[Boil Time]]-Table1[[#This Row],[Boil Time]])</calculatedColumnFormula>
    </tableColumn>
    <tableColumn id="30" xr3:uid="{8FE45BBD-12B3-420D-8B9E-B0AE8F8B752A}" name="Fermentation Profile" dataDxfId="4"/>
    <tableColumn id="31" xr3:uid="{2F01A243-9F98-4D2A-97B4-326300CA4E58}" name="fermentation Temperature" dataDxfId="3">
      <calculatedColumnFormula>IF(Table2[[#This Row],[fermentation Temperature]]="","",Table2[[#This Row],[fermentation Temperature]]-Table1[[#This Row],[Fermentation Temperature]])</calculatedColumnFormula>
    </tableColumn>
    <tableColumn id="32" xr3:uid="{9E9BE08D-585D-436A-9966-0BB9F4319B28}" name="Fermentation Duration" dataDxfId="2">
      <calculatedColumnFormula>IF(Table2[[#This Row],[Fermentation Duration]]="","",Table2[[#This Row],[Fermentation Duration]]-Table1[[#This Row],[Fermentation Duration]])</calculatedColumnFormula>
    </tableColumn>
    <tableColumn id="33" xr3:uid="{563FF694-D135-476D-BDD5-90DF70D2EE6E}" name="Conditioning Temperature" dataDxfId="1">
      <calculatedColumnFormula>IF(Table2[[#This Row],[Conditioning Temperature]]="","",Table2[[#This Row],[Conditioning Temperature]]-Table1[[#This Row],[Conditioning Temperature]])</calculatedColumnFormula>
    </tableColumn>
    <tableColumn id="34" xr3:uid="{7DC28A9E-BD8E-4F29-A2CB-3BBAA2F52A89}" name="Conditioning Duration" dataDxfId="0">
      <calculatedColumnFormula>IF(Table2[[#This Row],[Conditioning Duration]]="","",Table2[[#This Row],[Conditioning Duration]]-Table1[[#This Row],[Conditioning Duration]])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90F6-282D-41EB-B7C1-AC83340D4B91}">
  <sheetPr>
    <pageSetUpPr fitToPage="1"/>
  </sheetPr>
  <dimension ref="A1:AH2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x14ac:dyDescent="0.25"/>
  <cols>
    <col min="1" max="1" width="10.42578125" style="4" bestFit="1" customWidth="1"/>
    <col min="2" max="2" width="30.7109375" style="13" customWidth="1"/>
    <col min="3" max="3" width="25" style="4" bestFit="1" customWidth="1"/>
    <col min="4" max="4" width="16.42578125" style="4" bestFit="1" customWidth="1"/>
    <col min="5" max="5" width="10.42578125" style="4" bestFit="1" customWidth="1"/>
    <col min="6" max="6" width="9.28515625" style="4" bestFit="1" customWidth="1"/>
    <col min="7" max="7" width="8.7109375" style="2" bestFit="1" customWidth="1"/>
    <col min="8" max="8" width="8.85546875" style="2" bestFit="1" customWidth="1"/>
    <col min="9" max="9" width="8.42578125" style="2" bestFit="1" customWidth="1"/>
    <col min="10" max="10" width="8" style="2" bestFit="1" customWidth="1"/>
    <col min="11" max="11" width="12.7109375" style="2" bestFit="1" customWidth="1"/>
    <col min="12" max="12" width="13.5703125" style="2" bestFit="1" customWidth="1"/>
    <col min="13" max="13" width="12.5703125" style="2" bestFit="1" customWidth="1"/>
    <col min="14" max="14" width="13.7109375" style="2" bestFit="1" customWidth="1"/>
    <col min="15" max="15" width="11.85546875" style="2" bestFit="1" customWidth="1"/>
    <col min="16" max="16" width="15" style="2" bestFit="1" customWidth="1"/>
    <col min="17" max="17" width="12.5703125" bestFit="1" customWidth="1"/>
    <col min="18" max="18" width="12.7109375" style="2" bestFit="1" customWidth="1"/>
    <col min="19" max="19" width="13.5703125" style="2" bestFit="1" customWidth="1"/>
    <col min="20" max="20" width="16.28515625" style="2" bestFit="1" customWidth="1"/>
    <col min="21" max="21" width="14.140625" style="2" bestFit="1" customWidth="1"/>
    <col min="22" max="22" width="15.5703125" style="2" bestFit="1" customWidth="1"/>
    <col min="23" max="23" width="11.85546875" style="2" bestFit="1" customWidth="1"/>
    <col min="24" max="24" width="14.5703125" style="2" bestFit="1" customWidth="1"/>
    <col min="25" max="25" width="13.28515625" style="2" bestFit="1" customWidth="1"/>
    <col min="26" max="26" width="20.42578125" style="39" customWidth="1"/>
    <col min="27" max="27" width="10.85546875" style="2" customWidth="1"/>
    <col min="28" max="16384" width="9.140625" style="4"/>
  </cols>
  <sheetData>
    <row r="1" spans="1:34" s="20" customFormat="1" ht="60" x14ac:dyDescent="0.25">
      <c r="A1" s="18" t="s">
        <v>1</v>
      </c>
      <c r="B1" s="19" t="s">
        <v>2</v>
      </c>
      <c r="C1" s="19" t="s">
        <v>0</v>
      </c>
      <c r="D1" s="19" t="s">
        <v>23</v>
      </c>
      <c r="E1" s="18" t="s">
        <v>24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29</v>
      </c>
      <c r="L1" s="18" t="s">
        <v>30</v>
      </c>
      <c r="M1" s="18" t="s">
        <v>16</v>
      </c>
      <c r="N1" s="18" t="s">
        <v>35</v>
      </c>
      <c r="O1" s="18" t="s">
        <v>27</v>
      </c>
      <c r="P1" s="18" t="s">
        <v>28</v>
      </c>
      <c r="Q1" s="18" t="s">
        <v>36</v>
      </c>
      <c r="R1" s="18" t="s">
        <v>31</v>
      </c>
      <c r="S1" s="18" t="s">
        <v>32</v>
      </c>
      <c r="T1" s="18" t="s">
        <v>20</v>
      </c>
      <c r="U1" s="18" t="s">
        <v>33</v>
      </c>
      <c r="V1" s="18" t="s">
        <v>34</v>
      </c>
      <c r="W1" s="18" t="s">
        <v>21</v>
      </c>
      <c r="X1" s="18" t="s">
        <v>38</v>
      </c>
      <c r="Y1" s="18" t="s">
        <v>22</v>
      </c>
      <c r="Z1" s="37" t="s">
        <v>39</v>
      </c>
      <c r="AA1" s="25" t="s">
        <v>40</v>
      </c>
      <c r="AB1" s="25" t="s">
        <v>41</v>
      </c>
      <c r="AC1" s="25" t="s">
        <v>42</v>
      </c>
      <c r="AD1" s="25" t="s">
        <v>43</v>
      </c>
      <c r="AE1" s="25" t="s">
        <v>52</v>
      </c>
      <c r="AF1" s="25" t="s">
        <v>46</v>
      </c>
      <c r="AG1" s="25" t="s">
        <v>47</v>
      </c>
      <c r="AH1" s="25" t="s">
        <v>48</v>
      </c>
    </row>
    <row r="2" spans="1:34" x14ac:dyDescent="0.25">
      <c r="A2" s="2">
        <v>1</v>
      </c>
      <c r="B2" s="3" t="s">
        <v>8</v>
      </c>
      <c r="C2" s="4" t="s">
        <v>17</v>
      </c>
      <c r="D2" s="4" t="s">
        <v>14</v>
      </c>
      <c r="E2" s="5">
        <v>43972</v>
      </c>
      <c r="F2" s="15">
        <v>0.05</v>
      </c>
      <c r="G2" s="11">
        <v>11</v>
      </c>
      <c r="H2" s="8">
        <v>7.5</v>
      </c>
      <c r="I2" s="9">
        <v>1.054</v>
      </c>
      <c r="J2" s="12">
        <v>1.016</v>
      </c>
      <c r="K2" s="12">
        <v>7.76</v>
      </c>
      <c r="L2" s="12">
        <v>5.96</v>
      </c>
      <c r="M2" s="12">
        <v>1.8</v>
      </c>
      <c r="N2" s="9">
        <v>0.12</v>
      </c>
      <c r="O2" s="12">
        <v>0</v>
      </c>
      <c r="P2" s="12">
        <v>5.6</v>
      </c>
      <c r="Q2" s="9">
        <v>5</v>
      </c>
      <c r="R2" s="9">
        <v>1.04</v>
      </c>
      <c r="S2" s="9">
        <v>1.052</v>
      </c>
      <c r="T2" s="6">
        <v>0.69399999999999995</v>
      </c>
      <c r="U2" s="6">
        <v>0.73299999999999998</v>
      </c>
      <c r="V2" s="6">
        <v>0.71799999999999997</v>
      </c>
      <c r="W2" s="10">
        <v>0.2</v>
      </c>
      <c r="X2" s="10">
        <v>0.19</v>
      </c>
      <c r="Y2" s="10">
        <v>6.02</v>
      </c>
      <c r="Z2" s="38" t="s">
        <v>56</v>
      </c>
      <c r="AA2" s="7">
        <v>67</v>
      </c>
      <c r="AB2" s="7">
        <v>60</v>
      </c>
      <c r="AC2" s="7">
        <v>60</v>
      </c>
      <c r="AD2" s="7" t="s">
        <v>44</v>
      </c>
      <c r="AE2" s="7">
        <v>20</v>
      </c>
      <c r="AF2" s="7">
        <v>10</v>
      </c>
      <c r="AG2" s="7">
        <v>20</v>
      </c>
      <c r="AH2" s="7">
        <v>45</v>
      </c>
    </row>
    <row r="3" spans="1:34" x14ac:dyDescent="0.25">
      <c r="A3" s="2">
        <v>2</v>
      </c>
      <c r="B3" s="3" t="s">
        <v>9</v>
      </c>
      <c r="C3" s="4" t="s">
        <v>17</v>
      </c>
      <c r="D3" s="4" t="s">
        <v>14</v>
      </c>
      <c r="E3" s="5">
        <v>44016</v>
      </c>
      <c r="F3" s="15">
        <v>0.05</v>
      </c>
      <c r="G3" s="11">
        <v>11</v>
      </c>
      <c r="H3" s="8">
        <v>7.5</v>
      </c>
      <c r="I3" s="9">
        <v>1.054</v>
      </c>
      <c r="J3" s="12">
        <v>1.016</v>
      </c>
      <c r="K3" s="12">
        <v>7.76</v>
      </c>
      <c r="L3" s="12">
        <v>5.96</v>
      </c>
      <c r="M3" s="12">
        <v>1.8</v>
      </c>
      <c r="N3" s="9">
        <v>0.12</v>
      </c>
      <c r="O3" s="12">
        <v>0</v>
      </c>
      <c r="P3" s="12">
        <v>5.6</v>
      </c>
      <c r="Q3" s="9">
        <v>5</v>
      </c>
      <c r="R3" s="9">
        <v>1.04</v>
      </c>
      <c r="S3" s="9">
        <v>1.052</v>
      </c>
      <c r="T3" s="6">
        <v>0.69399999999999995</v>
      </c>
      <c r="U3" s="6">
        <v>0.73299999999999998</v>
      </c>
      <c r="V3" s="6">
        <v>0.71799999999999997</v>
      </c>
      <c r="W3" s="10">
        <v>0.2</v>
      </c>
      <c r="X3" s="10">
        <v>0.19</v>
      </c>
      <c r="Y3" s="10">
        <v>6.01</v>
      </c>
      <c r="Z3" s="38" t="s">
        <v>56</v>
      </c>
      <c r="AA3" s="7">
        <v>67</v>
      </c>
      <c r="AB3" s="7">
        <v>60</v>
      </c>
      <c r="AC3" s="7">
        <v>60</v>
      </c>
      <c r="AD3" s="7" t="s">
        <v>44</v>
      </c>
      <c r="AE3" s="7">
        <v>20</v>
      </c>
      <c r="AF3" s="7">
        <v>10</v>
      </c>
      <c r="AG3" s="7">
        <v>20</v>
      </c>
      <c r="AH3" s="7">
        <v>45</v>
      </c>
    </row>
    <row r="4" spans="1:34" x14ac:dyDescent="0.25">
      <c r="A4" s="2">
        <v>3</v>
      </c>
      <c r="B4" s="3" t="s">
        <v>10</v>
      </c>
      <c r="C4" s="4" t="s">
        <v>18</v>
      </c>
      <c r="D4" s="4" t="s">
        <v>13</v>
      </c>
      <c r="E4" s="5">
        <v>44080</v>
      </c>
      <c r="F4" s="15">
        <v>4.7E-2</v>
      </c>
      <c r="G4" s="11">
        <v>36</v>
      </c>
      <c r="H4" s="8">
        <v>8.6999999999999993</v>
      </c>
      <c r="I4" s="9">
        <v>1.0469999999999999</v>
      </c>
      <c r="J4" s="12">
        <v>1.0109999999999999</v>
      </c>
      <c r="K4" s="12">
        <v>7.76</v>
      </c>
      <c r="L4" s="12">
        <v>5.96</v>
      </c>
      <c r="M4" s="12">
        <v>1.8</v>
      </c>
      <c r="N4" s="9">
        <v>0.12</v>
      </c>
      <c r="O4" s="12">
        <v>0</v>
      </c>
      <c r="P4" s="12">
        <v>5.6</v>
      </c>
      <c r="Q4" s="9">
        <v>5</v>
      </c>
      <c r="R4" s="9">
        <v>1.034</v>
      </c>
      <c r="S4" s="9">
        <v>1.0449999999999999</v>
      </c>
      <c r="T4" s="6">
        <v>0.75900000000000001</v>
      </c>
      <c r="U4" s="6">
        <v>0.73299999999999998</v>
      </c>
      <c r="V4" s="6">
        <v>0.71799999999999997</v>
      </c>
      <c r="W4" s="10">
        <v>0.76</v>
      </c>
      <c r="X4" s="10">
        <v>0.76</v>
      </c>
      <c r="Y4" s="10">
        <v>5.42</v>
      </c>
      <c r="Z4" s="38" t="s">
        <v>56</v>
      </c>
      <c r="AA4" s="7">
        <v>63</v>
      </c>
      <c r="AB4" s="7">
        <v>60</v>
      </c>
      <c r="AC4" s="7">
        <v>60</v>
      </c>
      <c r="AD4" s="7" t="s">
        <v>44</v>
      </c>
      <c r="AE4" s="7">
        <v>20</v>
      </c>
      <c r="AF4" s="7">
        <v>10</v>
      </c>
      <c r="AG4" s="7">
        <v>20</v>
      </c>
      <c r="AH4" s="7">
        <v>45</v>
      </c>
    </row>
    <row r="5" spans="1:34" x14ac:dyDescent="0.25">
      <c r="A5" s="2">
        <v>4</v>
      </c>
      <c r="B5" s="3" t="s">
        <v>11</v>
      </c>
      <c r="C5" s="4" t="s">
        <v>18</v>
      </c>
      <c r="D5" s="4" t="s">
        <v>13</v>
      </c>
      <c r="E5" s="5">
        <v>44128</v>
      </c>
      <c r="F5" s="15">
        <v>4.2999999999999997E-2</v>
      </c>
      <c r="G5" s="11">
        <v>27</v>
      </c>
      <c r="H5" s="8">
        <v>5.3</v>
      </c>
      <c r="I5" s="9">
        <v>1.0429999999999999</v>
      </c>
      <c r="J5" s="12">
        <v>1.01</v>
      </c>
      <c r="K5" s="12">
        <v>7.76</v>
      </c>
      <c r="L5" s="12">
        <v>5.96</v>
      </c>
      <c r="M5" s="12">
        <v>1.8</v>
      </c>
      <c r="N5" s="9">
        <v>0.12</v>
      </c>
      <c r="O5" s="12">
        <v>0</v>
      </c>
      <c r="P5" s="12">
        <v>5.6</v>
      </c>
      <c r="Q5" s="9">
        <v>5</v>
      </c>
      <c r="R5" s="9">
        <v>1.0309999999999999</v>
      </c>
      <c r="S5" s="9">
        <v>1.0409999999999999</v>
      </c>
      <c r="T5" s="6">
        <v>0.76100000000000001</v>
      </c>
      <c r="U5" s="6">
        <v>0.73299999999999998</v>
      </c>
      <c r="V5" s="6">
        <v>0.71799999999999997</v>
      </c>
      <c r="W5" s="10">
        <v>0.62</v>
      </c>
      <c r="X5" s="10">
        <v>0.62</v>
      </c>
      <c r="Y5" s="10">
        <v>5.43</v>
      </c>
      <c r="Z5" s="38" t="s">
        <v>56</v>
      </c>
      <c r="AA5" s="7">
        <v>63</v>
      </c>
      <c r="AB5" s="7">
        <v>60</v>
      </c>
      <c r="AC5" s="7">
        <v>60</v>
      </c>
      <c r="AD5" s="7" t="s">
        <v>44</v>
      </c>
      <c r="AE5" s="7">
        <v>20</v>
      </c>
      <c r="AF5" s="7">
        <v>10</v>
      </c>
      <c r="AG5" s="7">
        <v>20</v>
      </c>
      <c r="AH5" s="7">
        <v>45</v>
      </c>
    </row>
    <row r="6" spans="1:34" x14ac:dyDescent="0.25">
      <c r="A6" s="2">
        <v>5</v>
      </c>
      <c r="B6" s="3" t="s">
        <v>12</v>
      </c>
      <c r="C6" s="4" t="s">
        <v>19</v>
      </c>
      <c r="D6" s="4" t="s">
        <v>13</v>
      </c>
      <c r="E6" s="5">
        <v>44156</v>
      </c>
      <c r="F6" s="15">
        <v>5.3999999999999999E-2</v>
      </c>
      <c r="G6" s="11">
        <v>38</v>
      </c>
      <c r="H6" s="8">
        <v>9.3000000000000007</v>
      </c>
      <c r="I6" s="9">
        <v>1.0509999999999999</v>
      </c>
      <c r="J6" s="12">
        <v>1.01</v>
      </c>
      <c r="K6" s="12">
        <v>7.76</v>
      </c>
      <c r="L6" s="12">
        <v>5.96</v>
      </c>
      <c r="M6" s="12">
        <v>1.8</v>
      </c>
      <c r="N6" s="9">
        <v>0.12</v>
      </c>
      <c r="O6" s="12">
        <v>0</v>
      </c>
      <c r="P6" s="12">
        <v>5.6</v>
      </c>
      <c r="Q6" s="9">
        <v>5</v>
      </c>
      <c r="R6" s="9">
        <v>1.0369999999999999</v>
      </c>
      <c r="S6" s="9">
        <v>1.0489999999999999</v>
      </c>
      <c r="T6" s="6">
        <v>0.79700000000000004</v>
      </c>
      <c r="U6" s="6">
        <v>0.73299999999999998</v>
      </c>
      <c r="V6" s="6">
        <v>0.71799999999999997</v>
      </c>
      <c r="W6" s="10">
        <v>0.74</v>
      </c>
      <c r="X6" s="10">
        <v>0.76</v>
      </c>
      <c r="Y6" s="10">
        <v>5.4</v>
      </c>
      <c r="Z6" s="38" t="s">
        <v>56</v>
      </c>
      <c r="AA6" s="7">
        <v>63</v>
      </c>
      <c r="AB6" s="7">
        <v>60</v>
      </c>
      <c r="AC6" s="7">
        <v>60</v>
      </c>
      <c r="AD6" s="7" t="s">
        <v>44</v>
      </c>
      <c r="AE6" s="7">
        <v>20</v>
      </c>
      <c r="AF6" s="7">
        <v>10</v>
      </c>
      <c r="AG6" s="7">
        <v>20</v>
      </c>
      <c r="AH6" s="7">
        <v>45</v>
      </c>
    </row>
    <row r="7" spans="1:34" x14ac:dyDescent="0.25">
      <c r="A7" s="2">
        <v>6</v>
      </c>
      <c r="B7" s="16" t="s">
        <v>25</v>
      </c>
      <c r="C7" s="17" t="s">
        <v>26</v>
      </c>
      <c r="D7" s="4" t="s">
        <v>14</v>
      </c>
      <c r="E7" s="5">
        <v>44171</v>
      </c>
      <c r="F7" s="15">
        <v>6.8000000000000005E-2</v>
      </c>
      <c r="G7" s="11">
        <v>15</v>
      </c>
      <c r="H7" s="8">
        <v>15.2</v>
      </c>
      <c r="I7" s="9">
        <v>1.06</v>
      </c>
      <c r="J7" s="12">
        <v>1.008</v>
      </c>
      <c r="K7" s="12">
        <v>7.76</v>
      </c>
      <c r="L7" s="12">
        <v>5.96</v>
      </c>
      <c r="M7" s="12">
        <v>1.8</v>
      </c>
      <c r="N7" s="9">
        <v>0.12</v>
      </c>
      <c r="O7" s="12">
        <v>0</v>
      </c>
      <c r="P7" s="12">
        <v>5.6</v>
      </c>
      <c r="Q7" s="9">
        <v>5</v>
      </c>
      <c r="R7" s="9">
        <v>1.034</v>
      </c>
      <c r="S7" s="9">
        <v>1.0569999999999999</v>
      </c>
      <c r="T7" s="6">
        <v>0.86099999999999999</v>
      </c>
      <c r="U7" s="6">
        <v>0.73299999999999998</v>
      </c>
      <c r="V7" s="6">
        <v>0.71799999999999997</v>
      </c>
      <c r="W7" s="10">
        <v>0.25</v>
      </c>
      <c r="X7" s="10">
        <v>0.27</v>
      </c>
      <c r="Y7" s="10">
        <v>5.42</v>
      </c>
      <c r="Z7" s="38" t="s">
        <v>56</v>
      </c>
      <c r="AA7" s="7">
        <v>57</v>
      </c>
      <c r="AB7" s="7">
        <v>60</v>
      </c>
      <c r="AC7" s="7">
        <v>60</v>
      </c>
      <c r="AD7" s="7" t="s">
        <v>44</v>
      </c>
      <c r="AE7" s="7">
        <v>20</v>
      </c>
      <c r="AF7" s="7">
        <v>10</v>
      </c>
      <c r="AG7" s="7">
        <v>20</v>
      </c>
      <c r="AH7" s="7">
        <v>45</v>
      </c>
    </row>
    <row r="8" spans="1:34" x14ac:dyDescent="0.25">
      <c r="A8" s="2">
        <v>7</v>
      </c>
      <c r="B8" s="3" t="s">
        <v>15</v>
      </c>
      <c r="C8" s="4" t="s">
        <v>19</v>
      </c>
      <c r="D8" s="4" t="s">
        <v>13</v>
      </c>
      <c r="E8" s="5">
        <v>43832</v>
      </c>
      <c r="F8" s="15">
        <v>0.06</v>
      </c>
      <c r="G8" s="11">
        <v>40</v>
      </c>
      <c r="H8" s="8">
        <v>9.6999999999999993</v>
      </c>
      <c r="I8" s="9">
        <v>1.0549999999999999</v>
      </c>
      <c r="J8" s="12">
        <v>1.0089999999999999</v>
      </c>
      <c r="K8" s="12">
        <v>7.76</v>
      </c>
      <c r="L8" s="12">
        <v>5.96</v>
      </c>
      <c r="M8" s="12">
        <v>1.8</v>
      </c>
      <c r="N8" s="9">
        <v>0.12</v>
      </c>
      <c r="O8" s="12">
        <v>0</v>
      </c>
      <c r="P8" s="12">
        <v>5.6</v>
      </c>
      <c r="Q8" s="9">
        <v>5</v>
      </c>
      <c r="R8" s="9">
        <v>1.0409999999999999</v>
      </c>
      <c r="S8" s="9">
        <v>1.0529999999999999</v>
      </c>
      <c r="T8" s="6">
        <v>0.83</v>
      </c>
      <c r="U8" s="6">
        <v>0.73299999999999998</v>
      </c>
      <c r="V8" s="6">
        <v>0.71799999999999997</v>
      </c>
      <c r="W8" s="10">
        <v>0.73</v>
      </c>
      <c r="X8" s="10">
        <v>0.78</v>
      </c>
      <c r="Y8" s="10">
        <v>5.4</v>
      </c>
      <c r="Z8" s="38" t="s">
        <v>56</v>
      </c>
      <c r="AA8" s="7">
        <v>63</v>
      </c>
      <c r="AB8" s="7">
        <v>60</v>
      </c>
      <c r="AC8" s="7">
        <v>60</v>
      </c>
      <c r="AD8" s="7" t="s">
        <v>44</v>
      </c>
      <c r="AE8" s="7">
        <v>20</v>
      </c>
      <c r="AF8" s="7">
        <v>10</v>
      </c>
      <c r="AG8" s="7">
        <v>20</v>
      </c>
      <c r="AH8" s="7">
        <v>45</v>
      </c>
    </row>
    <row r="9" spans="1:34" x14ac:dyDescent="0.25">
      <c r="A9" s="2">
        <v>8</v>
      </c>
      <c r="B9" s="16" t="s">
        <v>49</v>
      </c>
      <c r="C9" s="4" t="s">
        <v>19</v>
      </c>
      <c r="D9" s="4" t="s">
        <v>13</v>
      </c>
      <c r="E9" s="5">
        <v>44233</v>
      </c>
      <c r="F9" s="15">
        <v>0.06</v>
      </c>
      <c r="G9" s="11">
        <v>39</v>
      </c>
      <c r="H9" s="8">
        <v>9.9</v>
      </c>
      <c r="I9" s="9">
        <v>1.056</v>
      </c>
      <c r="J9" s="12">
        <v>1.01</v>
      </c>
      <c r="K9" s="12">
        <v>7.76</v>
      </c>
      <c r="L9" s="12">
        <v>5.96</v>
      </c>
      <c r="M9" s="12">
        <v>1.8</v>
      </c>
      <c r="N9" s="9">
        <v>0.12</v>
      </c>
      <c r="O9" s="12">
        <v>0</v>
      </c>
      <c r="P9" s="12">
        <v>5.6</v>
      </c>
      <c r="Q9" s="9">
        <v>5</v>
      </c>
      <c r="R9" s="9">
        <v>1.0409999999999999</v>
      </c>
      <c r="S9" s="9">
        <v>1.054</v>
      </c>
      <c r="T9" s="6">
        <v>0.81399999999999995</v>
      </c>
      <c r="U9" s="6">
        <v>0.73299999999999998</v>
      </c>
      <c r="V9" s="6">
        <v>0.71799999999999997</v>
      </c>
      <c r="W9" s="30">
        <v>0.7</v>
      </c>
      <c r="X9" s="10">
        <v>0.73</v>
      </c>
      <c r="Y9" s="10">
        <v>5.42</v>
      </c>
      <c r="Z9" s="38" t="s">
        <v>56</v>
      </c>
      <c r="AA9" s="7">
        <v>67</v>
      </c>
      <c r="AB9" s="7">
        <v>60</v>
      </c>
      <c r="AC9" s="7">
        <v>60</v>
      </c>
      <c r="AD9" s="7" t="s">
        <v>44</v>
      </c>
      <c r="AE9" s="7">
        <v>20</v>
      </c>
      <c r="AF9" s="7">
        <v>10</v>
      </c>
      <c r="AG9" s="7">
        <v>20</v>
      </c>
      <c r="AH9" s="7">
        <v>45</v>
      </c>
    </row>
    <row r="10" spans="1:34" x14ac:dyDescent="0.25">
      <c r="A10" s="2">
        <v>9</v>
      </c>
      <c r="B10" s="32" t="s">
        <v>50</v>
      </c>
      <c r="C10" s="17" t="s">
        <v>51</v>
      </c>
      <c r="D10" s="4" t="s">
        <v>13</v>
      </c>
      <c r="E10" s="5">
        <v>44261</v>
      </c>
      <c r="F10" s="15">
        <v>4.7E-2</v>
      </c>
      <c r="G10" s="11">
        <v>23</v>
      </c>
      <c r="H10" s="8">
        <v>8.6999999999999993</v>
      </c>
      <c r="I10" s="9">
        <v>1.0469999999999999</v>
      </c>
      <c r="J10" s="12">
        <v>1.0109999999999999</v>
      </c>
      <c r="K10" s="12">
        <v>7.76</v>
      </c>
      <c r="L10" s="12">
        <v>5.96</v>
      </c>
      <c r="M10" s="12">
        <v>1.8</v>
      </c>
      <c r="N10" s="9">
        <v>0.12</v>
      </c>
      <c r="O10" s="12">
        <v>0</v>
      </c>
      <c r="P10" s="12">
        <v>5.6</v>
      </c>
      <c r="Q10" s="9">
        <v>5</v>
      </c>
      <c r="R10" s="9">
        <v>1.034</v>
      </c>
      <c r="S10" s="9">
        <v>1.0449999999999999</v>
      </c>
      <c r="T10" s="6">
        <v>0.75900000000000001</v>
      </c>
      <c r="U10" s="6">
        <v>0.73299999999999998</v>
      </c>
      <c r="V10" s="6">
        <v>0.71799999999999997</v>
      </c>
      <c r="W10" s="10">
        <v>0.49</v>
      </c>
      <c r="X10" s="10">
        <v>0.49</v>
      </c>
      <c r="Y10" s="10">
        <v>5.42</v>
      </c>
      <c r="Z10" s="38" t="s">
        <v>56</v>
      </c>
      <c r="AA10" s="7">
        <v>63</v>
      </c>
      <c r="AB10" s="7">
        <v>60</v>
      </c>
      <c r="AC10" s="7">
        <v>60</v>
      </c>
      <c r="AD10" s="7" t="s">
        <v>44</v>
      </c>
      <c r="AE10" s="7">
        <v>20</v>
      </c>
      <c r="AF10" s="7">
        <v>10</v>
      </c>
      <c r="AG10" s="7">
        <v>20</v>
      </c>
      <c r="AH10" s="7">
        <v>45</v>
      </c>
    </row>
    <row r="11" spans="1:34" x14ac:dyDescent="0.25">
      <c r="A11" s="2">
        <v>10</v>
      </c>
      <c r="B11" s="32" t="s">
        <v>53</v>
      </c>
      <c r="C11" s="17" t="s">
        <v>54</v>
      </c>
      <c r="D11" s="4" t="s">
        <v>13</v>
      </c>
      <c r="E11" s="5">
        <v>44289</v>
      </c>
      <c r="F11" s="15">
        <v>6.6000000000000003E-2</v>
      </c>
      <c r="G11" s="11">
        <v>75</v>
      </c>
      <c r="H11" s="8">
        <v>9.6999999999999993</v>
      </c>
      <c r="I11" s="9">
        <v>1.0629999999999999</v>
      </c>
      <c r="J11" s="12">
        <v>1.0129999999999999</v>
      </c>
      <c r="K11" s="12">
        <v>7.76</v>
      </c>
      <c r="L11" s="12">
        <v>5.96</v>
      </c>
      <c r="M11" s="12">
        <v>1.8</v>
      </c>
      <c r="N11" s="9">
        <v>0.12</v>
      </c>
      <c r="O11" s="12">
        <v>0</v>
      </c>
      <c r="P11" s="12">
        <v>5.6</v>
      </c>
      <c r="Q11" s="9">
        <v>5</v>
      </c>
      <c r="R11" s="9">
        <v>1.046</v>
      </c>
      <c r="S11" s="9">
        <v>1.0609999999999999</v>
      </c>
      <c r="T11" s="6">
        <v>0.78500000000000003</v>
      </c>
      <c r="U11" s="6">
        <v>0.73299999999999998</v>
      </c>
      <c r="V11" s="6">
        <v>0.71799999999999997</v>
      </c>
      <c r="W11" s="10">
        <v>1.19</v>
      </c>
      <c r="X11" s="10">
        <v>1.21</v>
      </c>
      <c r="Y11" s="10">
        <v>5.41</v>
      </c>
      <c r="Z11" s="38" t="s">
        <v>55</v>
      </c>
      <c r="AA11" s="7">
        <v>68</v>
      </c>
      <c r="AB11" s="7">
        <v>75</v>
      </c>
      <c r="AC11" s="7">
        <v>60</v>
      </c>
      <c r="AD11" s="7" t="s">
        <v>44</v>
      </c>
      <c r="AE11" s="7">
        <v>20</v>
      </c>
      <c r="AF11" s="7">
        <v>10</v>
      </c>
      <c r="AG11" s="7">
        <v>20</v>
      </c>
      <c r="AH11" s="7">
        <v>45</v>
      </c>
    </row>
    <row r="12" spans="1:34" ht="30" customHeight="1" x14ac:dyDescent="0.25">
      <c r="A12" s="2">
        <v>11</v>
      </c>
      <c r="B12" s="32" t="s">
        <v>58</v>
      </c>
      <c r="C12" s="17" t="s">
        <v>51</v>
      </c>
      <c r="D12" s="4" t="s">
        <v>13</v>
      </c>
      <c r="E12" s="5">
        <v>44317</v>
      </c>
      <c r="F12" s="15">
        <v>4.5999999999999999E-2</v>
      </c>
      <c r="G12" s="11">
        <v>24</v>
      </c>
      <c r="H12" s="8">
        <v>8.1</v>
      </c>
      <c r="I12" s="9">
        <v>1.042</v>
      </c>
      <c r="J12" s="12">
        <v>1.0069999999999999</v>
      </c>
      <c r="K12" s="12">
        <v>7.76</v>
      </c>
      <c r="L12" s="12">
        <v>5.96</v>
      </c>
      <c r="M12" s="12">
        <v>1.8</v>
      </c>
      <c r="N12" s="9">
        <v>0.12</v>
      </c>
      <c r="O12" s="12">
        <v>0</v>
      </c>
      <c r="P12" s="12">
        <v>5.6</v>
      </c>
      <c r="Q12" s="9">
        <v>5</v>
      </c>
      <c r="R12" s="9">
        <v>1.03</v>
      </c>
      <c r="S12" s="9">
        <v>1.04</v>
      </c>
      <c r="T12" s="6">
        <v>0.82799999999999996</v>
      </c>
      <c r="U12" s="6">
        <v>0.73299999999999998</v>
      </c>
      <c r="V12" s="6">
        <v>0.71799999999999997</v>
      </c>
      <c r="W12" s="10">
        <v>0.56000000000000005</v>
      </c>
      <c r="X12" s="10">
        <v>0.6</v>
      </c>
      <c r="Y12" s="10">
        <v>5.41</v>
      </c>
      <c r="Z12" s="44" t="s">
        <v>59</v>
      </c>
      <c r="AA12" s="7">
        <v>75</v>
      </c>
      <c r="AB12" s="7">
        <v>70</v>
      </c>
      <c r="AC12" s="7">
        <v>60</v>
      </c>
      <c r="AD12" s="7" t="s">
        <v>44</v>
      </c>
      <c r="AE12" s="7">
        <v>20</v>
      </c>
      <c r="AF12" s="7">
        <v>10</v>
      </c>
      <c r="AG12" s="7">
        <v>20</v>
      </c>
      <c r="AH12" s="7">
        <v>45</v>
      </c>
    </row>
    <row r="13" spans="1:34" ht="30" x14ac:dyDescent="0.25">
      <c r="A13" s="2">
        <v>12</v>
      </c>
      <c r="B13" s="32" t="s">
        <v>60</v>
      </c>
      <c r="C13" s="17" t="s">
        <v>61</v>
      </c>
      <c r="D13" s="4" t="s">
        <v>13</v>
      </c>
      <c r="E13" s="5">
        <v>44352</v>
      </c>
      <c r="F13" s="15">
        <v>4.1000000000000002E-2</v>
      </c>
      <c r="G13" s="11">
        <v>29</v>
      </c>
      <c r="H13" s="8">
        <v>15.4</v>
      </c>
      <c r="I13" s="9">
        <v>1.042</v>
      </c>
      <c r="J13" s="12">
        <v>1.0109999999999999</v>
      </c>
      <c r="K13" s="12">
        <v>7.76</v>
      </c>
      <c r="L13" s="12">
        <v>5.96</v>
      </c>
      <c r="M13" s="12">
        <v>1.8</v>
      </c>
      <c r="N13" s="9">
        <v>0.12</v>
      </c>
      <c r="O13" s="12">
        <v>0</v>
      </c>
      <c r="P13" s="12">
        <v>5.6</v>
      </c>
      <c r="Q13" s="9">
        <v>5</v>
      </c>
      <c r="R13" s="9">
        <v>1.032</v>
      </c>
      <c r="S13" s="9">
        <v>1.042</v>
      </c>
      <c r="T13" s="6">
        <v>0.73099999999999998</v>
      </c>
      <c r="U13" s="6">
        <v>0.73299999999999998</v>
      </c>
      <c r="V13" s="6">
        <v>0.71799999999999997</v>
      </c>
      <c r="W13" s="10">
        <v>0.69</v>
      </c>
      <c r="X13" s="10">
        <v>0.67</v>
      </c>
      <c r="Y13" s="10">
        <v>5.4</v>
      </c>
      <c r="Z13" s="38" t="s">
        <v>56</v>
      </c>
      <c r="AA13" s="7">
        <v>67</v>
      </c>
      <c r="AB13" s="7">
        <v>60</v>
      </c>
      <c r="AC13" s="7">
        <v>60</v>
      </c>
      <c r="AD13" s="7" t="s">
        <v>44</v>
      </c>
      <c r="AE13" s="7">
        <v>20</v>
      </c>
      <c r="AF13" s="7">
        <v>10</v>
      </c>
      <c r="AG13" s="7">
        <v>20</v>
      </c>
      <c r="AH13" s="7">
        <v>45</v>
      </c>
    </row>
    <row r="14" spans="1:34" x14ac:dyDescent="0.25">
      <c r="A14" s="2"/>
      <c r="F14" s="2"/>
      <c r="Q14" s="4"/>
    </row>
    <row r="15" spans="1:34" x14ac:dyDescent="0.25">
      <c r="A15" s="2"/>
      <c r="F15" s="2"/>
      <c r="Q15" s="4"/>
    </row>
    <row r="16" spans="1:34" x14ac:dyDescent="0.25">
      <c r="A16" s="2"/>
      <c r="F16" s="2"/>
      <c r="Q16" s="4"/>
    </row>
    <row r="17" spans="1:17" x14ac:dyDescent="0.25">
      <c r="A17" s="2"/>
      <c r="F17" s="2"/>
      <c r="Q17" s="4"/>
    </row>
    <row r="18" spans="1:17" x14ac:dyDescent="0.25">
      <c r="A18" s="2"/>
      <c r="F18" s="2"/>
      <c r="Q18" s="4"/>
    </row>
    <row r="19" spans="1:17" x14ac:dyDescent="0.25">
      <c r="A19" s="2"/>
      <c r="F19" s="2"/>
      <c r="Q19" s="4"/>
    </row>
    <row r="20" spans="1:17" x14ac:dyDescent="0.25">
      <c r="A20" s="2"/>
      <c r="F20" s="2"/>
      <c r="Q20" s="4"/>
    </row>
    <row r="21" spans="1:17" x14ac:dyDescent="0.25">
      <c r="A21" s="2"/>
      <c r="F21" s="2"/>
      <c r="Q21" s="4"/>
    </row>
  </sheetData>
  <pageMargins left="0.70866141732283472" right="0.70866141732283472" top="0.74803149606299213" bottom="0.74803149606299213" header="0.31496062992125984" footer="0.31496062992125984"/>
  <pageSetup paperSize="8" scale="44" orientation="landscape" r:id="rId1"/>
  <headerFooter>
    <oddHeader>&amp;C&amp;A</oddHeader>
    <oddFooter>&amp;L&amp;F&amp;C&amp;P / &amp;N&amp;R&amp;D |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 x14ac:dyDescent="0.25"/>
  <cols>
    <col min="1" max="1" width="10.42578125" style="1" bestFit="1" customWidth="1"/>
    <col min="2" max="2" width="30.7109375" style="13" customWidth="1"/>
    <col min="3" max="3" width="25" style="1" bestFit="1" customWidth="1"/>
    <col min="4" max="4" width="16.42578125" style="1" bestFit="1" customWidth="1"/>
    <col min="5" max="5" width="10.42578125" style="1" bestFit="1" customWidth="1"/>
    <col min="6" max="6" width="9.28515625" style="1" bestFit="1" customWidth="1"/>
    <col min="7" max="7" width="8.7109375" style="14" bestFit="1" customWidth="1"/>
    <col min="8" max="8" width="8.85546875" style="14" bestFit="1" customWidth="1"/>
    <col min="9" max="9" width="8.42578125" style="14" bestFit="1" customWidth="1"/>
    <col min="10" max="10" width="8" style="14" bestFit="1" customWidth="1"/>
    <col min="11" max="11" width="12.7109375" style="14" bestFit="1" customWidth="1"/>
    <col min="12" max="12" width="13.5703125" style="14" bestFit="1" customWidth="1"/>
    <col min="13" max="13" width="12.5703125" style="14" bestFit="1" customWidth="1"/>
    <col min="14" max="14" width="13.7109375" style="14" bestFit="1" customWidth="1"/>
    <col min="15" max="15" width="11.85546875" style="14" bestFit="1" customWidth="1"/>
    <col min="16" max="16" width="15" style="14" bestFit="1" customWidth="1"/>
    <col min="17" max="17" width="12.5703125" bestFit="1" customWidth="1"/>
    <col min="18" max="18" width="12.7109375" style="14" bestFit="1" customWidth="1"/>
    <col min="19" max="19" width="13.5703125" style="14" bestFit="1" customWidth="1"/>
    <col min="20" max="20" width="16.28515625" style="14" bestFit="1" customWidth="1"/>
    <col min="21" max="21" width="19.5703125" style="14" bestFit="1" customWidth="1"/>
    <col min="22" max="22" width="14.42578125" style="14" bestFit="1" customWidth="1"/>
    <col min="23" max="23" width="11.85546875" style="14" bestFit="1" customWidth="1"/>
    <col min="24" max="24" width="14.5703125" style="14" bestFit="1" customWidth="1"/>
    <col min="25" max="25" width="13.28515625" style="14" bestFit="1" customWidth="1"/>
    <col min="26" max="26" width="16.85546875" style="14" bestFit="1" customWidth="1"/>
    <col min="27" max="27" width="10.85546875" style="14" customWidth="1"/>
    <col min="28" max="16384" width="9.140625" style="1"/>
  </cols>
  <sheetData>
    <row r="1" spans="1:34" s="24" customFormat="1" ht="60" x14ac:dyDescent="0.25">
      <c r="A1" s="18" t="s">
        <v>1</v>
      </c>
      <c r="B1" s="19" t="s">
        <v>2</v>
      </c>
      <c r="C1" s="19" t="s">
        <v>0</v>
      </c>
      <c r="D1" s="19" t="s">
        <v>23</v>
      </c>
      <c r="E1" s="18" t="s">
        <v>24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29</v>
      </c>
      <c r="L1" s="18" t="s">
        <v>30</v>
      </c>
      <c r="M1" s="18" t="s">
        <v>16</v>
      </c>
      <c r="N1" s="18" t="s">
        <v>35</v>
      </c>
      <c r="O1" s="18" t="s">
        <v>27</v>
      </c>
      <c r="P1" s="18" t="s">
        <v>28</v>
      </c>
      <c r="Q1" s="18" t="s">
        <v>36</v>
      </c>
      <c r="R1" s="18" t="s">
        <v>31</v>
      </c>
      <c r="S1" s="18" t="s">
        <v>32</v>
      </c>
      <c r="T1" s="18" t="s">
        <v>20</v>
      </c>
      <c r="U1" s="18" t="s">
        <v>33</v>
      </c>
      <c r="V1" s="18" t="s">
        <v>37</v>
      </c>
      <c r="W1" s="18" t="s">
        <v>21</v>
      </c>
      <c r="X1" s="18" t="s">
        <v>38</v>
      </c>
      <c r="Y1" s="18" t="s">
        <v>22</v>
      </c>
      <c r="Z1" s="26" t="s">
        <v>39</v>
      </c>
      <c r="AA1" s="26" t="s">
        <v>40</v>
      </c>
      <c r="AB1" s="26" t="s">
        <v>41</v>
      </c>
      <c r="AC1" s="26" t="s">
        <v>42</v>
      </c>
      <c r="AD1" s="26" t="s">
        <v>43</v>
      </c>
      <c r="AE1" s="26" t="s">
        <v>45</v>
      </c>
      <c r="AF1" s="26" t="s">
        <v>46</v>
      </c>
      <c r="AG1" s="26" t="s">
        <v>47</v>
      </c>
      <c r="AH1" s="26" t="s">
        <v>48</v>
      </c>
    </row>
    <row r="2" spans="1:34" x14ac:dyDescent="0.25">
      <c r="A2" s="2">
        <f>Table1[[#This Row],[Batch]]</f>
        <v>1</v>
      </c>
      <c r="B2" s="3" t="str">
        <f>Table1[[#This Row],[Name]]</f>
        <v xml:space="preserve">Brouwpunt - Witbier </v>
      </c>
      <c r="C2" s="4" t="str">
        <f>Table1[[#This Row],[Style]]</f>
        <v>24A Witbier</v>
      </c>
      <c r="D2" s="4" t="str">
        <f>Table1[[#This Row],[Type]]</f>
        <v>All Grain brew kit</v>
      </c>
      <c r="E2" s="5">
        <f>IF(Table1[[#This Row],[Date]]="","",Table1[[#This Row],[Date]])</f>
        <v>43972</v>
      </c>
      <c r="F2" s="6">
        <v>0.05</v>
      </c>
      <c r="G2" s="7">
        <v>15</v>
      </c>
      <c r="H2" s="8">
        <v>9.1</v>
      </c>
      <c r="I2" s="9">
        <v>1.06</v>
      </c>
      <c r="J2" s="9">
        <v>1.022</v>
      </c>
      <c r="K2" s="9">
        <v>5</v>
      </c>
      <c r="L2" s="9">
        <v>4.5</v>
      </c>
      <c r="M2" s="9">
        <v>0.5</v>
      </c>
      <c r="N2" s="9">
        <v>0.18</v>
      </c>
      <c r="O2" s="9">
        <v>0</v>
      </c>
      <c r="P2" s="9">
        <v>4.5</v>
      </c>
      <c r="Q2" s="9">
        <v>4.2</v>
      </c>
      <c r="R2" s="9">
        <v>1.036</v>
      </c>
      <c r="S2" s="9"/>
      <c r="T2" s="6">
        <v>0.621</v>
      </c>
      <c r="U2" s="6">
        <v>0.43</v>
      </c>
      <c r="V2" s="6">
        <v>0.57999999999999996</v>
      </c>
      <c r="W2" s="10">
        <v>0.25</v>
      </c>
      <c r="X2" s="10">
        <v>0.21</v>
      </c>
      <c r="Y2" s="10"/>
      <c r="Z2" s="14" t="s">
        <v>57</v>
      </c>
      <c r="AA2" s="14">
        <v>68</v>
      </c>
      <c r="AB2" s="14">
        <v>60</v>
      </c>
      <c r="AC2" s="14">
        <v>60</v>
      </c>
      <c r="AD2" s="14" t="s">
        <v>44</v>
      </c>
      <c r="AE2" s="14">
        <v>21</v>
      </c>
      <c r="AF2" s="14">
        <v>10</v>
      </c>
      <c r="AG2" s="14">
        <v>22</v>
      </c>
      <c r="AH2" s="14">
        <v>45</v>
      </c>
    </row>
    <row r="3" spans="1:34" x14ac:dyDescent="0.25">
      <c r="A3" s="2">
        <f>Table1[[#This Row],[Batch]]</f>
        <v>2</v>
      </c>
      <c r="B3" s="3" t="str">
        <f>Table1[[#This Row],[Name]]</f>
        <v>Brouwpunt - Kruidig Wit</v>
      </c>
      <c r="C3" s="4" t="str">
        <f>Table1[[#This Row],[Style]]</f>
        <v>24A Witbier</v>
      </c>
      <c r="D3" s="4" t="str">
        <f>Table1[[#This Row],[Type]]</f>
        <v>All Grain brew kit</v>
      </c>
      <c r="E3" s="5">
        <f>IF(Table1[[#This Row],[Date]]="","",Table1[[#This Row],[Date]])</f>
        <v>44016</v>
      </c>
      <c r="F3" s="6">
        <v>6.8000000000000005E-2</v>
      </c>
      <c r="G3" s="7">
        <v>12</v>
      </c>
      <c r="H3" s="8">
        <v>7.9</v>
      </c>
      <c r="I3" s="9">
        <v>1.0640000000000001</v>
      </c>
      <c r="J3" s="9">
        <v>1.012</v>
      </c>
      <c r="K3" s="9">
        <v>6.3</v>
      </c>
      <c r="L3" s="9">
        <v>4.3</v>
      </c>
      <c r="M3" s="9">
        <v>1.8</v>
      </c>
      <c r="N3" s="9">
        <v>0.82</v>
      </c>
      <c r="O3" s="9">
        <v>0</v>
      </c>
      <c r="P3" s="9">
        <v>4.5</v>
      </c>
      <c r="Q3" s="9">
        <v>4.2</v>
      </c>
      <c r="R3" s="9">
        <v>1.0349999999999999</v>
      </c>
      <c r="S3" s="9">
        <v>1.0640000000000001</v>
      </c>
      <c r="T3" s="6">
        <v>0.80400000000000005</v>
      </c>
      <c r="U3" s="6">
        <v>0.52</v>
      </c>
      <c r="V3" s="6">
        <v>0.72</v>
      </c>
      <c r="W3" s="10">
        <v>0.19</v>
      </c>
      <c r="X3" s="10">
        <v>0.2</v>
      </c>
      <c r="Y3" s="10"/>
      <c r="Z3" s="14" t="s">
        <v>57</v>
      </c>
      <c r="AA3" s="14">
        <v>68</v>
      </c>
      <c r="AB3" s="14">
        <v>60</v>
      </c>
      <c r="AC3" s="14">
        <v>60</v>
      </c>
      <c r="AD3" s="14" t="s">
        <v>44</v>
      </c>
      <c r="AE3" s="14">
        <v>20</v>
      </c>
      <c r="AF3" s="14">
        <v>10</v>
      </c>
      <c r="AG3" s="14">
        <v>24</v>
      </c>
      <c r="AH3" s="14">
        <v>45</v>
      </c>
    </row>
    <row r="4" spans="1:34" x14ac:dyDescent="0.25">
      <c r="A4" s="2">
        <f>Table1[[#This Row],[Batch]]</f>
        <v>3</v>
      </c>
      <c r="B4" s="3" t="str">
        <f>Table1[[#This Row],[Name]]</f>
        <v>03 SMaSH Godiva</v>
      </c>
      <c r="C4" s="4" t="str">
        <f>Table1[[#This Row],[Style]]</f>
        <v>12A British Golden Ale</v>
      </c>
      <c r="D4" s="4" t="str">
        <f>Table1[[#This Row],[Type]]</f>
        <v>All Grain</v>
      </c>
      <c r="E4" s="5">
        <f>IF(Table1[[#This Row],[Date]]="","",Table1[[#This Row],[Date]])</f>
        <v>44080</v>
      </c>
      <c r="F4" s="6">
        <v>5.0999999999999997E-2</v>
      </c>
      <c r="G4" s="7">
        <v>37</v>
      </c>
      <c r="H4" s="8">
        <v>8.6999999999999993</v>
      </c>
      <c r="I4" s="9">
        <v>1.0409999999999999</v>
      </c>
      <c r="J4" s="9">
        <v>1.002</v>
      </c>
      <c r="K4" s="9">
        <v>7.1</v>
      </c>
      <c r="L4" s="9">
        <v>5.3</v>
      </c>
      <c r="M4" s="9">
        <v>1.8</v>
      </c>
      <c r="N4" s="9">
        <v>0.51</v>
      </c>
      <c r="O4" s="9">
        <v>0</v>
      </c>
      <c r="P4" s="9">
        <v>5.3</v>
      </c>
      <c r="Q4" s="9">
        <v>4.13</v>
      </c>
      <c r="R4" s="9">
        <v>1.028</v>
      </c>
      <c r="S4" s="9">
        <v>1.0409999999999999</v>
      </c>
      <c r="T4" s="6">
        <v>0.94899999999999995</v>
      </c>
      <c r="U4" s="6">
        <v>0.55000000000000004</v>
      </c>
      <c r="V4" s="6">
        <v>0.62</v>
      </c>
      <c r="W4" s="10">
        <v>0.91</v>
      </c>
      <c r="X4" s="10">
        <v>1.08</v>
      </c>
      <c r="Y4" s="10">
        <v>5.5</v>
      </c>
      <c r="Z4" s="14" t="s">
        <v>57</v>
      </c>
      <c r="AA4" s="14">
        <v>69</v>
      </c>
      <c r="AB4" s="14">
        <v>60</v>
      </c>
      <c r="AC4" s="14">
        <v>60</v>
      </c>
      <c r="AD4" s="14" t="s">
        <v>44</v>
      </c>
      <c r="AE4" s="14">
        <v>21</v>
      </c>
      <c r="AF4" s="14">
        <v>10</v>
      </c>
      <c r="AG4" s="14">
        <v>21</v>
      </c>
      <c r="AH4" s="14">
        <v>45</v>
      </c>
    </row>
    <row r="5" spans="1:34" x14ac:dyDescent="0.25">
      <c r="A5" s="2">
        <f>Table1[[#This Row],[Batch]]</f>
        <v>4</v>
      </c>
      <c r="B5" s="3" t="str">
        <f>Table1[[#This Row],[Name]]</f>
        <v>04 SMaSH Fuggle</v>
      </c>
      <c r="C5" s="4" t="str">
        <f>Table1[[#This Row],[Style]]</f>
        <v>12A British Golden Ale</v>
      </c>
      <c r="D5" s="4" t="str">
        <f>Table1[[#This Row],[Type]]</f>
        <v>All Grain</v>
      </c>
      <c r="E5" s="5">
        <f>IF(Table1[[#This Row],[Date]]="","",Table1[[#This Row],[Date]])</f>
        <v>44128</v>
      </c>
      <c r="F5" s="15">
        <v>4.4999999999999998E-2</v>
      </c>
      <c r="G5" s="11">
        <v>25</v>
      </c>
      <c r="H5" s="8">
        <v>5.0999999999999996</v>
      </c>
      <c r="I5" s="9">
        <v>1.0409999999999999</v>
      </c>
      <c r="J5" s="12">
        <v>1.0069999999999999</v>
      </c>
      <c r="K5" s="12">
        <v>7.35</v>
      </c>
      <c r="L5" s="12">
        <v>6</v>
      </c>
      <c r="M5" s="12">
        <v>1.35</v>
      </c>
      <c r="N5" s="9">
        <v>0.16</v>
      </c>
      <c r="O5" s="12">
        <v>0</v>
      </c>
      <c r="P5" s="12">
        <v>4</v>
      </c>
      <c r="Q5" s="9">
        <v>4</v>
      </c>
      <c r="R5" s="9">
        <v>1.0309999999999999</v>
      </c>
      <c r="S5" s="9">
        <v>1.0389999999999999</v>
      </c>
      <c r="T5" s="6">
        <v>0.82399999999999995</v>
      </c>
      <c r="U5" s="6">
        <v>0.69</v>
      </c>
      <c r="V5" s="6">
        <v>0.65</v>
      </c>
      <c r="W5" s="10">
        <v>0.65</v>
      </c>
      <c r="X5" s="10">
        <v>0.66</v>
      </c>
      <c r="Y5" s="10">
        <v>5.5</v>
      </c>
      <c r="Z5" s="14" t="s">
        <v>57</v>
      </c>
      <c r="AA5" s="14">
        <v>63</v>
      </c>
      <c r="AB5" s="14">
        <v>60</v>
      </c>
      <c r="AC5" s="14">
        <v>60</v>
      </c>
      <c r="AD5" s="14" t="s">
        <v>44</v>
      </c>
      <c r="AE5" s="14">
        <v>19</v>
      </c>
      <c r="AF5" s="14">
        <v>11</v>
      </c>
      <c r="AG5" s="14">
        <v>19</v>
      </c>
      <c r="AH5" s="14">
        <v>44</v>
      </c>
    </row>
    <row r="6" spans="1:34" x14ac:dyDescent="0.25">
      <c r="A6" s="2">
        <f>Table1[[#This Row],[Batch]]</f>
        <v>5</v>
      </c>
      <c r="B6" s="3" t="str">
        <f>Table1[[#This Row],[Name]]</f>
        <v>05 SMaSH Centennial</v>
      </c>
      <c r="C6" s="4" t="str">
        <f>Table1[[#This Row],[Style]]</f>
        <v>18B American Pale Ale</v>
      </c>
      <c r="D6" s="4" t="str">
        <f>Table1[[#This Row],[Type]]</f>
        <v>All Grain</v>
      </c>
      <c r="E6" s="5">
        <f>IF(Table1[[#This Row],[Date]]="","",Table1[[#This Row],[Date]])</f>
        <v>44156</v>
      </c>
      <c r="F6" s="6">
        <v>5.2999999999999999E-2</v>
      </c>
      <c r="G6" s="7">
        <v>42</v>
      </c>
      <c r="H6" s="8">
        <v>9.5</v>
      </c>
      <c r="I6" s="9">
        <v>1.042</v>
      </c>
      <c r="J6" s="9">
        <v>1.002</v>
      </c>
      <c r="K6" s="9">
        <v>6.4</v>
      </c>
      <c r="L6" s="9">
        <v>4.5999999999999996</v>
      </c>
      <c r="M6" s="9">
        <v>1.8</v>
      </c>
      <c r="N6" s="9">
        <v>-0.18</v>
      </c>
      <c r="O6" s="9">
        <v>1</v>
      </c>
      <c r="P6" s="9">
        <v>5.6</v>
      </c>
      <c r="Q6" s="9">
        <v>4.62</v>
      </c>
      <c r="R6" s="9">
        <v>1.03</v>
      </c>
      <c r="S6" s="9">
        <v>1.0509999999999999</v>
      </c>
      <c r="T6" s="6">
        <v>0.95099999999999996</v>
      </c>
      <c r="U6" s="6">
        <v>0.61</v>
      </c>
      <c r="V6" s="6">
        <v>0.75</v>
      </c>
      <c r="W6" s="10">
        <v>0.99</v>
      </c>
      <c r="X6" s="10">
        <v>1.17</v>
      </c>
      <c r="Y6" s="10">
        <v>5.5</v>
      </c>
      <c r="Z6" s="14" t="s">
        <v>57</v>
      </c>
      <c r="AA6" s="14">
        <v>63</v>
      </c>
      <c r="AB6" s="14">
        <v>60</v>
      </c>
      <c r="AC6" s="14">
        <v>60</v>
      </c>
      <c r="AD6" s="14" t="s">
        <v>44</v>
      </c>
      <c r="AE6" s="14">
        <v>17</v>
      </c>
      <c r="AF6" s="14">
        <v>14</v>
      </c>
      <c r="AG6" s="14">
        <v>17</v>
      </c>
      <c r="AH6" s="14"/>
    </row>
    <row r="7" spans="1:34" x14ac:dyDescent="0.25">
      <c r="A7" s="2">
        <f>Table1[[#This Row],[Batch]]</f>
        <v>6</v>
      </c>
      <c r="B7" s="3" t="str">
        <f>Table1[[#This Row],[Name]]</f>
        <v>Brouwpunt - Sinterklaas Special</v>
      </c>
      <c r="C7" s="4" t="str">
        <f>Table1[[#This Row],[Style]]</f>
        <v>30B Autumn Seasonal Beer</v>
      </c>
      <c r="D7" s="4" t="str">
        <f>Table1[[#This Row],[Type]]</f>
        <v>All Grain brew kit</v>
      </c>
      <c r="E7" s="5">
        <f>IF(Table1[[#This Row],[Date]]="","",Table1[[#This Row],[Date]])</f>
        <v>44171</v>
      </c>
      <c r="F7" s="6"/>
      <c r="G7" s="7">
        <v>18</v>
      </c>
      <c r="H7" s="8">
        <v>13.4</v>
      </c>
      <c r="I7" s="9">
        <v>1046</v>
      </c>
      <c r="J7" s="9"/>
      <c r="K7" s="9">
        <v>8.25</v>
      </c>
      <c r="L7" s="9">
        <v>7.15</v>
      </c>
      <c r="M7" s="9">
        <v>1.1000000000000001</v>
      </c>
      <c r="N7" s="9">
        <v>1.26</v>
      </c>
      <c r="O7" s="9">
        <v>0</v>
      </c>
      <c r="P7" s="9">
        <v>5.6</v>
      </c>
      <c r="Q7" s="9"/>
      <c r="R7" s="9">
        <v>1.028</v>
      </c>
      <c r="S7" s="9">
        <v>1.046</v>
      </c>
      <c r="T7" s="6"/>
      <c r="U7" s="6">
        <v>0.64</v>
      </c>
      <c r="V7" s="6">
        <v>0.57999999999999996</v>
      </c>
      <c r="W7" s="10">
        <v>0.39</v>
      </c>
      <c r="X7" s="10">
        <v>0.45</v>
      </c>
      <c r="Y7" s="10">
        <v>5.9</v>
      </c>
      <c r="Z7" s="14" t="s">
        <v>57</v>
      </c>
      <c r="AA7" s="14">
        <v>67</v>
      </c>
      <c r="AB7" s="14">
        <v>60</v>
      </c>
      <c r="AC7" s="14">
        <v>60</v>
      </c>
      <c r="AD7" s="14" t="s">
        <v>44</v>
      </c>
      <c r="AE7" s="14"/>
      <c r="AF7" s="14"/>
      <c r="AG7" s="14"/>
      <c r="AH7" s="14"/>
    </row>
    <row r="8" spans="1:34" x14ac:dyDescent="0.25">
      <c r="A8" s="2">
        <f>Table1[[#This Row],[Batch]]</f>
        <v>7</v>
      </c>
      <c r="B8" s="3" t="str">
        <f>Table1[[#This Row],[Name]]</f>
        <v>06 SMaSH Citra</v>
      </c>
      <c r="C8" s="4" t="str">
        <f>Table1[[#This Row],[Style]]</f>
        <v>18B American Pale Ale</v>
      </c>
      <c r="D8" s="4" t="str">
        <f>Table1[[#This Row],[Type]]</f>
        <v>All Grain</v>
      </c>
      <c r="E8" s="5">
        <f>IF(Table1[[#This Row],[Date]]="","",Table1[[#This Row],[Date]])</f>
        <v>43832</v>
      </c>
      <c r="F8" s="6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6"/>
      <c r="U8" s="6"/>
      <c r="V8" s="6"/>
      <c r="W8" s="10"/>
      <c r="X8" s="10"/>
      <c r="Y8" s="10"/>
      <c r="AB8" s="14"/>
      <c r="AC8" s="14"/>
      <c r="AD8" s="14"/>
      <c r="AE8" s="14"/>
      <c r="AF8" s="14"/>
      <c r="AG8" s="14"/>
      <c r="AH8" s="14"/>
    </row>
    <row r="9" spans="1:34" x14ac:dyDescent="0.25">
      <c r="A9" s="31">
        <v>8</v>
      </c>
      <c r="B9" s="3" t="str">
        <f>Table1[[#This Row],[Name]]</f>
        <v>07 SMaSH Simcoe</v>
      </c>
      <c r="C9" s="4" t="str">
        <f>Table1[[#This Row],[Style]]</f>
        <v>18B American Pale Ale</v>
      </c>
      <c r="D9" s="4" t="str">
        <f>Table1[[#This Row],[Type]]</f>
        <v>All Grain</v>
      </c>
      <c r="E9" s="33">
        <f>IF(Table1[[#This Row],[Date]]="","",Table1[[#This Row],[Date]])</f>
        <v>44233</v>
      </c>
      <c r="F9" s="34"/>
      <c r="N9" s="35"/>
      <c r="O9" s="35"/>
      <c r="Q9" s="14"/>
      <c r="AB9" s="14"/>
      <c r="AC9" s="14"/>
      <c r="AD9" s="14"/>
      <c r="AE9" s="14"/>
      <c r="AF9" s="14"/>
      <c r="AG9" s="14"/>
      <c r="AH9" s="14"/>
    </row>
    <row r="10" spans="1:34" x14ac:dyDescent="0.25">
      <c r="A10" s="31">
        <v>9</v>
      </c>
      <c r="B10" s="16" t="str">
        <f>Table1[[#This Row],[Name]]</f>
        <v>08 SMaSH Magnum</v>
      </c>
      <c r="C10" s="17" t="str">
        <f>Table1[[#This Row],[Style]]</f>
        <v>18A Blonde Ale</v>
      </c>
      <c r="D10" s="4" t="str">
        <f>Table1[[#This Row],[Type]]</f>
        <v>All Grain</v>
      </c>
      <c r="E10" s="33">
        <f>IF(Table1[[#This Row],[Date]]="","",Table1[[#This Row],[Date]])</f>
        <v>44261</v>
      </c>
      <c r="F10" s="34"/>
      <c r="N10" s="35"/>
      <c r="O10" s="35"/>
      <c r="Q10" s="14"/>
      <c r="AB10" s="14"/>
      <c r="AC10" s="14"/>
      <c r="AD10" s="14"/>
      <c r="AE10" s="14"/>
      <c r="AF10" s="14"/>
      <c r="AG10" s="14"/>
      <c r="AH10" s="14"/>
    </row>
    <row r="11" spans="1:34" x14ac:dyDescent="0.25">
      <c r="A11" s="31">
        <v>10</v>
      </c>
      <c r="B11" s="16" t="str">
        <f>Table1[[#This Row],[Name]]</f>
        <v>09 SMaSH Sabro</v>
      </c>
      <c r="C11" s="17" t="str">
        <f>Table1[[#This Row],[Style]]</f>
        <v>21B Specialty IPA</v>
      </c>
      <c r="D11" s="4" t="str">
        <f>Table1[[#This Row],[Type]]</f>
        <v>All Grain</v>
      </c>
      <c r="E11" s="33">
        <f>IF(Table1[[#This Row],[Date]]="","",Table1[[#This Row],[Date]])</f>
        <v>44289</v>
      </c>
      <c r="F11" s="34"/>
      <c r="N11" s="35"/>
      <c r="O11" s="35"/>
      <c r="Q11" s="14"/>
      <c r="AB11" s="14"/>
      <c r="AC11" s="14"/>
      <c r="AD11" s="14"/>
      <c r="AE11" s="14"/>
      <c r="AF11" s="14"/>
      <c r="AG11" s="14"/>
      <c r="AH11" s="14"/>
    </row>
    <row r="12" spans="1:34" ht="30" x14ac:dyDescent="0.25">
      <c r="A12" s="31">
        <v>11</v>
      </c>
      <c r="B12" s="16" t="str">
        <f>Table1[[#This Row],[Name]]</f>
        <v>Shambles Brewery - Summer Ale Afternoon Delight (clone)</v>
      </c>
      <c r="C12" s="17" t="str">
        <f>Table1[[#This Row],[Style]]</f>
        <v>18A Blonde Ale</v>
      </c>
      <c r="D12" s="4" t="str">
        <f>Table1[[#This Row],[Type]]</f>
        <v>All Grain</v>
      </c>
      <c r="E12" s="33">
        <f>IF(Table1[[#This Row],[Date]]="","",Table1[[#This Row],[Date]])</f>
        <v>44317</v>
      </c>
      <c r="F12" s="34"/>
      <c r="N12" s="35"/>
      <c r="O12" s="35"/>
      <c r="Q12" s="14"/>
      <c r="AB12" s="14"/>
      <c r="AC12" s="14"/>
      <c r="AD12" s="14"/>
      <c r="AE12" s="14"/>
      <c r="AF12" s="14"/>
      <c r="AG12" s="14"/>
      <c r="AH12" s="14"/>
    </row>
    <row r="13" spans="1:34" ht="30" x14ac:dyDescent="0.25">
      <c r="A13" s="31">
        <v>12</v>
      </c>
      <c r="B13" s="16" t="str">
        <f>Table1[[#This Row],[Name]]</f>
        <v>Five Points Brewing - Best Fuggles (clone) v2</v>
      </c>
      <c r="C13" s="17" t="str">
        <f>Table1[[#This Row],[Style]]</f>
        <v>11B Best Bitter</v>
      </c>
      <c r="D13" s="4" t="str">
        <f>Table1[[#This Row],[Type]]</f>
        <v>All Grain</v>
      </c>
      <c r="E13" s="33">
        <f>IF(Table1[[#This Row],[Date]]="","",Table1[[#This Row],[Date]])</f>
        <v>44352</v>
      </c>
      <c r="F13" s="34"/>
      <c r="N13" s="35"/>
      <c r="O13" s="35"/>
      <c r="Q13" s="14"/>
      <c r="AB13" s="14"/>
      <c r="AC13" s="14"/>
      <c r="AD13" s="14"/>
      <c r="AE13" s="14"/>
      <c r="AF13" s="14"/>
      <c r="AG13" s="14"/>
      <c r="AH13" s="14"/>
    </row>
  </sheetData>
  <pageMargins left="0.70866141732283472" right="0.70866141732283472" top="0.74803149606299213" bottom="0.74803149606299213" header="0.31496062992125984" footer="0.31496062992125984"/>
  <pageSetup paperSize="8" scale="44" orientation="landscape" r:id="rId1"/>
  <headerFooter>
    <oddHeader>&amp;C&amp;A</oddHeader>
    <oddFooter>&amp;L&amp;F&amp;C&amp;P / &amp;N&amp;R&amp;D | &amp;T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BC3D-DCA7-4689-9989-70FC54331D73}">
  <sheetPr>
    <pageSetUpPr fitToPage="1"/>
  </sheetPr>
  <dimension ref="A1:AH13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5" x14ac:dyDescent="0.25"/>
  <cols>
    <col min="1" max="1" width="10.42578125" style="1" bestFit="1" customWidth="1"/>
    <col min="2" max="2" width="30.7109375" style="1" customWidth="1"/>
    <col min="3" max="3" width="25" style="1" bestFit="1" customWidth="1"/>
    <col min="4" max="4" width="16.42578125" style="1" bestFit="1" customWidth="1"/>
    <col min="5" max="5" width="10.42578125" style="1" bestFit="1" customWidth="1"/>
    <col min="6" max="6" width="9.28515625" style="1" bestFit="1" customWidth="1"/>
    <col min="7" max="7" width="8.7109375" style="14" bestFit="1" customWidth="1"/>
    <col min="8" max="8" width="8.85546875" style="14" bestFit="1" customWidth="1"/>
    <col min="9" max="9" width="8.42578125" style="14" bestFit="1" customWidth="1"/>
    <col min="10" max="10" width="8" style="14" bestFit="1" customWidth="1"/>
    <col min="11" max="11" width="12.7109375" style="14" bestFit="1" customWidth="1"/>
    <col min="12" max="12" width="13.5703125" style="14" bestFit="1" customWidth="1"/>
    <col min="13" max="13" width="12.5703125" style="14" bestFit="1" customWidth="1"/>
    <col min="14" max="14" width="11.85546875" style="14" bestFit="1" customWidth="1"/>
    <col min="15" max="15" width="15" style="14" bestFit="1" customWidth="1"/>
    <col min="16" max="16" width="13.7109375" style="14" bestFit="1" customWidth="1"/>
    <col min="17" max="17" width="12.5703125" style="14" bestFit="1" customWidth="1"/>
    <col min="18" max="18" width="12.7109375" style="14" bestFit="1" customWidth="1"/>
    <col min="19" max="19" width="13.5703125" style="14" bestFit="1" customWidth="1"/>
    <col min="20" max="20" width="16.28515625" style="14" bestFit="1" customWidth="1"/>
    <col min="21" max="21" width="14.140625" style="14" bestFit="1" customWidth="1"/>
    <col min="22" max="22" width="14.42578125" style="14" bestFit="1" customWidth="1"/>
    <col min="23" max="23" width="11.85546875" style="14" bestFit="1" customWidth="1"/>
    <col min="24" max="24" width="12.85546875" style="14" bestFit="1" customWidth="1"/>
    <col min="25" max="25" width="13.28515625" style="14" bestFit="1" customWidth="1"/>
    <col min="26" max="26" width="10.85546875" style="14" customWidth="1"/>
    <col min="27" max="16384" width="9.140625" style="1"/>
  </cols>
  <sheetData>
    <row r="1" spans="1:34" s="23" customFormat="1" ht="60" x14ac:dyDescent="0.25">
      <c r="A1" s="21" t="s">
        <v>1</v>
      </c>
      <c r="B1" s="40" t="s">
        <v>2</v>
      </c>
      <c r="C1" s="22" t="s">
        <v>0</v>
      </c>
      <c r="D1" s="22" t="s">
        <v>23</v>
      </c>
      <c r="E1" s="21" t="s">
        <v>24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29</v>
      </c>
      <c r="L1" s="21" t="s">
        <v>30</v>
      </c>
      <c r="M1" s="21" t="s">
        <v>16</v>
      </c>
      <c r="N1" s="21" t="s">
        <v>27</v>
      </c>
      <c r="O1" s="21" t="s">
        <v>28</v>
      </c>
      <c r="P1" s="21" t="s">
        <v>35</v>
      </c>
      <c r="Q1" s="21" t="s">
        <v>36</v>
      </c>
      <c r="R1" s="21" t="s">
        <v>31</v>
      </c>
      <c r="S1" s="21" t="s">
        <v>32</v>
      </c>
      <c r="T1" s="21" t="s">
        <v>20</v>
      </c>
      <c r="U1" s="21" t="s">
        <v>33</v>
      </c>
      <c r="V1" s="21" t="s">
        <v>34</v>
      </c>
      <c r="W1" s="21" t="s">
        <v>21</v>
      </c>
      <c r="X1" s="21" t="s">
        <v>38</v>
      </c>
      <c r="Y1" s="21" t="s">
        <v>22</v>
      </c>
      <c r="Z1" s="26" t="s">
        <v>39</v>
      </c>
      <c r="AA1" s="26" t="s">
        <v>40</v>
      </c>
      <c r="AB1" s="26" t="s">
        <v>41</v>
      </c>
      <c r="AC1" s="26" t="s">
        <v>42</v>
      </c>
      <c r="AD1" s="26" t="s">
        <v>43</v>
      </c>
      <c r="AE1" s="26" t="s">
        <v>45</v>
      </c>
      <c r="AF1" s="26" t="s">
        <v>46</v>
      </c>
      <c r="AG1" s="26" t="s">
        <v>47</v>
      </c>
      <c r="AH1" s="26" t="s">
        <v>48</v>
      </c>
    </row>
    <row r="2" spans="1:34" x14ac:dyDescent="0.25">
      <c r="A2" s="2">
        <f>Table1[[#This Row],[Batch]]</f>
        <v>1</v>
      </c>
      <c r="B2" s="4" t="str">
        <f>Table1[[#This Row],[Name]]</f>
        <v xml:space="preserve">Brouwpunt - Witbier </v>
      </c>
      <c r="C2" s="4" t="str">
        <f>Table1[[#This Row],[Style]]</f>
        <v>24A Witbier</v>
      </c>
      <c r="D2" s="4" t="str">
        <f>Table1[[#This Row],[Type]]</f>
        <v>All Grain brew kit</v>
      </c>
      <c r="E2" s="5">
        <f>IF(Table1[[#This Row],[Date]]="","",Table1[[#This Row],[Date]])</f>
        <v>43972</v>
      </c>
      <c r="F2" s="6">
        <f>IF(Table2[[#This Row],[ABV]]="","",(Table2[[#This Row],[ABV]]-Table1[[#This Row],[ABV]]))</f>
        <v>0</v>
      </c>
      <c r="G2" s="7">
        <f>IF(Table2[[#This Row],[IBU]]="","",(Table2[[#This Row],[IBU]]-Table1[[#This Row],[IBU]]))</f>
        <v>4</v>
      </c>
      <c r="H2" s="8">
        <f>IF(Table2[[#This Row],[EBC]]="","",Table2[[#This Row],[EBC]]-Table1[[#This Row],[EBC]])</f>
        <v>1.5999999999999996</v>
      </c>
      <c r="I2" s="9">
        <f>IF(Table2[[#This Row],[OG]]="","",Table2[[#This Row],[OG]]-Table1[[#This Row],[OG]])</f>
        <v>6.0000000000000053E-3</v>
      </c>
      <c r="J2" s="9">
        <f>IF(Table2[[#This Row],[FG]]="","",Table2[[#This Row],[FG]]-Table1[[#This Row],[FG]])</f>
        <v>6.0000000000000053E-3</v>
      </c>
      <c r="K2" s="9">
        <f>IF(Table2[[#This Row],[Pre-Boil Volume]]="","",Table2[[#This Row],[Pre-Boil Volume]]-Table1[[#This Row],[Pre-Boil Volume]])</f>
        <v>-2.76</v>
      </c>
      <c r="L2" s="9">
        <f>IF(Table2[[#This Row],[Post-Boil Volume]]="","",Table2[[#This Row],[Post-Boil Volume]]-Table1[[#This Row],[Post-Boil Volume]])</f>
        <v>-1.46</v>
      </c>
      <c r="M2" s="9">
        <f>IF(Table2[[#This Row],[Boil-Off]]="","",Table2[[#This Row],[Boil-Off]]-Table1[[#This Row],[Boil-Off]])</f>
        <v>-1.3</v>
      </c>
      <c r="N2" s="9">
        <f>IF(Table2[[#This Row],[Top-up]]="","",Table2[[#This Row],[Top-up]]-Table1[[#This Row],[Top-up]])</f>
        <v>0</v>
      </c>
      <c r="O2" s="9">
        <f>IF(Table2[[#This Row],[Fermenter Volume]]="","",Table2[[#This Row],[Fermenter Volume]]-Table1[[#This Row],[Fermenter Volume]])</f>
        <v>-1.0999999999999996</v>
      </c>
      <c r="P2" s="9">
        <f>IF(Table2[[#This Row],[Trub Loss]]="","",Table2[[#This Row],[Trub Loss]]-Table1[[#This Row],[Trub Loss]])</f>
        <v>0.06</v>
      </c>
      <c r="Q2" s="9">
        <f>IF(Table2[[#This Row],[Bottling Volume]]="","",Table2[[#This Row],[Bottling Volume]]-Table1[[#This Row],[Bottling Volume]])</f>
        <v>-0.79999999999999982</v>
      </c>
      <c r="R2" s="9">
        <f>IF(Table2[[#This Row],[Pre-Boil Gravity]]="","",Table2[[#This Row],[Pre-Boil Gravity]]-Table1[[#This Row],[Pre-Boil Gravity]])</f>
        <v>-4.0000000000000036E-3</v>
      </c>
      <c r="S2" s="9" t="str">
        <f>IF(Table2[[#This Row],[Post-Boil Gravity]]="","",Table2[[#This Row],[Post-Boil Gravity]]-Table1[[#This Row],[Post-Boil Gravity]])</f>
        <v/>
      </c>
      <c r="T2" s="6">
        <f>IF(Table2[[#This Row],[Attenuation]]="","",Table2[[#This Row],[Attenuation]]-Table1[[#This Row],[Attenuation]])</f>
        <v>-7.2999999999999954E-2</v>
      </c>
      <c r="U2" s="6">
        <f>IF(Table2[[#This Row],[Mash Efficiency]]="","",Table2[[#This Row],[Mash Efficiency]]-Table1[[#This Row],[Mash Efficiency]])</f>
        <v>-0.30299999999999999</v>
      </c>
      <c r="V2" s="6">
        <f>IF(Table2[[#This Row],[Brewhous Efficiency]]="","",Table2[[#This Row],[Brewhous Efficiency]]-Table1[[#This Row],[Brewhouse Efficiency]])</f>
        <v>-0.13800000000000001</v>
      </c>
      <c r="W2" s="10">
        <f>IF(Table2[[#This Row],[BU/GU]]="","",Table2[[#This Row],[BU/GU]]-Table1[[#This Row],[BU/GU]])</f>
        <v>4.9999999999999989E-2</v>
      </c>
      <c r="X2" s="10">
        <f>IF(Table2[[#This Row],[Relative Bitterness Ratio]]="","",Table2[[#This Row],[Relative Bitterness Ratio]]-Table1[[#This Row],[Relative Bitterness Ratio]])</f>
        <v>1.999999999999999E-2</v>
      </c>
      <c r="Y2" s="10" t="str">
        <f>IF(Table2[[#This Row],[Mash pH]]="","",Table2[[#This Row],[Mash pH]]-Table1[[#This Row],[Mash pH]])</f>
        <v/>
      </c>
      <c r="Z2" s="27"/>
      <c r="AA2" s="28">
        <f>IF(Table2[[#This Row],[Mash temp]]="","",Table2[[#This Row],[Mash temp]]-Table1[[#This Row],[Mash temp]])</f>
        <v>1</v>
      </c>
      <c r="AB2" s="29">
        <f>IF(Table2[[#This Row],[Mash Time]]="","",Table2[[#This Row],[Mash Time]]-Table1[[#This Row],[Mash Time]])</f>
        <v>0</v>
      </c>
      <c r="AC2" s="29">
        <f>IF(Table2[[#This Row],[Boil Time]]="","",Table2[[#This Row],[Boil Time]]-Table1[[#This Row],[Boil Time]])</f>
        <v>0</v>
      </c>
      <c r="AD2" s="27"/>
      <c r="AE2" s="28">
        <f>IF(Table2[[#This Row],[fermentation Temperature]]="","",Table2[[#This Row],[fermentation Temperature]]-Table1[[#This Row],[Fermentation Temperature]])</f>
        <v>1</v>
      </c>
      <c r="AF2" s="29">
        <f>IF(Table2[[#This Row],[Fermentation Duration]]="","",Table2[[#This Row],[Fermentation Duration]]-Table1[[#This Row],[Fermentation Duration]])</f>
        <v>0</v>
      </c>
      <c r="AG2" s="28">
        <f>IF(Table2[[#This Row],[Conditioning Temperature]]="","",Table2[[#This Row],[Conditioning Temperature]]-Table1[[#This Row],[Conditioning Temperature]])</f>
        <v>2</v>
      </c>
      <c r="AH2" s="29">
        <f>IF(Table2[[#This Row],[Conditioning Duration]]="","",Table2[[#This Row],[Conditioning Duration]]-Table1[[#This Row],[Conditioning Duration]])</f>
        <v>0</v>
      </c>
    </row>
    <row r="3" spans="1:34" x14ac:dyDescent="0.25">
      <c r="A3" s="2">
        <f>Table1[[#This Row],[Batch]]</f>
        <v>2</v>
      </c>
      <c r="B3" s="4" t="str">
        <f>Table1[[#This Row],[Name]]</f>
        <v>Brouwpunt - Kruidig Wit</v>
      </c>
      <c r="C3" s="4" t="str">
        <f>Table1[[#This Row],[Style]]</f>
        <v>24A Witbier</v>
      </c>
      <c r="D3" s="4" t="str">
        <f>Table1[[#This Row],[Type]]</f>
        <v>All Grain brew kit</v>
      </c>
      <c r="E3" s="5">
        <f>IF(Table1[[#This Row],[Date]]="","",Table1[[#This Row],[Date]])</f>
        <v>44016</v>
      </c>
      <c r="F3" s="6">
        <f>IF(Table2[[#This Row],[ABV]]="","",(Table2[[#This Row],[ABV]]-Table1[[#This Row],[ABV]]))</f>
        <v>1.8000000000000002E-2</v>
      </c>
      <c r="G3" s="7">
        <f>IF(Table2[[#This Row],[IBU]]="","",(Table2[[#This Row],[IBU]]-Table1[[#This Row],[IBU]]))</f>
        <v>1</v>
      </c>
      <c r="H3" s="8">
        <f>IF(Table2[[#This Row],[EBC]]="","",Table2[[#This Row],[EBC]]-Table1[[#This Row],[EBC]])</f>
        <v>0.40000000000000036</v>
      </c>
      <c r="I3" s="9">
        <f>IF(Table2[[#This Row],[OG]]="","",Table2[[#This Row],[OG]]-Table1[[#This Row],[OG]])</f>
        <v>1.0000000000000009E-2</v>
      </c>
      <c r="J3" s="9">
        <f>IF(Table2[[#This Row],[FG]]="","",Table2[[#This Row],[FG]]-Table1[[#This Row],[FG]])</f>
        <v>-4.0000000000000036E-3</v>
      </c>
      <c r="K3" s="9">
        <f>IF(Table2[[#This Row],[Pre-Boil Volume]]="","",Table2[[#This Row],[Pre-Boil Volume]]-Table1[[#This Row],[Pre-Boil Volume]])</f>
        <v>-1.46</v>
      </c>
      <c r="L3" s="9">
        <f>IF(Table2[[#This Row],[Post-Boil Volume]]="","",Table2[[#This Row],[Post-Boil Volume]]-Table1[[#This Row],[Post-Boil Volume]])</f>
        <v>-1.6600000000000001</v>
      </c>
      <c r="M3" s="9">
        <f>IF(Table2[[#This Row],[Boil-Off]]="","",Table2[[#This Row],[Boil-Off]]-Table1[[#This Row],[Boil-Off]])</f>
        <v>0</v>
      </c>
      <c r="N3" s="9">
        <f>IF(Table2[[#This Row],[Top-up]]="","",Table2[[#This Row],[Top-up]]-Table1[[#This Row],[Top-up]])</f>
        <v>0</v>
      </c>
      <c r="O3" s="9">
        <f>IF(Table2[[#This Row],[Fermenter Volume]]="","",Table2[[#This Row],[Fermenter Volume]]-Table1[[#This Row],[Fermenter Volume]])</f>
        <v>-1.0999999999999996</v>
      </c>
      <c r="P3" s="9">
        <f>IF(Table2[[#This Row],[Trub Loss]]="","",Table2[[#This Row],[Trub Loss]]-Table1[[#This Row],[Trub Loss]])</f>
        <v>0.7</v>
      </c>
      <c r="Q3" s="9">
        <f>IF(Table2[[#This Row],[Bottling Volume]]="","",Table2[[#This Row],[Bottling Volume]]-Table1[[#This Row],[Bottling Volume]])</f>
        <v>-0.79999999999999982</v>
      </c>
      <c r="R3" s="9">
        <f>IF(Table2[[#This Row],[Pre-Boil Gravity]]="","",Table2[[#This Row],[Pre-Boil Gravity]]-Table1[[#This Row],[Pre-Boil Gravity]])</f>
        <v>-5.0000000000001155E-3</v>
      </c>
      <c r="S3" s="9">
        <f>IF(Table2[[#This Row],[Post-Boil Gravity]]="","",Table2[[#This Row],[Post-Boil Gravity]]-Table1[[#This Row],[Post-Boil Gravity]])</f>
        <v>1.2000000000000011E-2</v>
      </c>
      <c r="T3" s="6">
        <f>IF(Table2[[#This Row],[Attenuation]]="","",Table2[[#This Row],[Attenuation]]-Table1[[#This Row],[Attenuation]])</f>
        <v>0.1100000000000001</v>
      </c>
      <c r="U3" s="6">
        <f>IF(Table2[[#This Row],[Mash Efficiency]]="","",Table2[[#This Row],[Mash Efficiency]]-Table1[[#This Row],[Mash Efficiency]])</f>
        <v>-0.21299999999999997</v>
      </c>
      <c r="V3" s="6">
        <f>IF(Table2[[#This Row],[Brewhous Efficiency]]="","",Table2[[#This Row],[Brewhous Efficiency]]-Table1[[#This Row],[Brewhouse Efficiency]])</f>
        <v>2.0000000000000018E-3</v>
      </c>
      <c r="W3" s="10">
        <f>IF(Table2[[#This Row],[BU/GU]]="","",Table2[[#This Row],[BU/GU]]-Table1[[#This Row],[BU/GU]])</f>
        <v>-1.0000000000000009E-2</v>
      </c>
      <c r="X3" s="10">
        <f>IF(Table2[[#This Row],[Relative Bitterness Ratio]]="","",Table2[[#This Row],[Relative Bitterness Ratio]]-Table1[[#This Row],[Relative Bitterness Ratio]])</f>
        <v>1.0000000000000009E-2</v>
      </c>
      <c r="Y3" s="10" t="str">
        <f>IF(Table2[[#This Row],[Mash pH]]="","",Table2[[#This Row],[Mash pH]]-Table1[[#This Row],[Mash pH]])</f>
        <v/>
      </c>
      <c r="Z3" s="27"/>
      <c r="AA3" s="28">
        <f>IF(Table2[[#This Row],[Mash temp]]="","",Table2[[#This Row],[Mash temp]]-Table1[[#This Row],[Mash temp]])</f>
        <v>1</v>
      </c>
      <c r="AB3" s="29">
        <f>IF(Table2[[#This Row],[Mash Time]]="","",Table2[[#This Row],[Mash Time]]-Table1[[#This Row],[Mash Time]])</f>
        <v>0</v>
      </c>
      <c r="AC3" s="29">
        <f>IF(Table2[[#This Row],[Boil Time]]="","",Table2[[#This Row],[Boil Time]]-Table1[[#This Row],[Boil Time]])</f>
        <v>0</v>
      </c>
      <c r="AD3" s="27"/>
      <c r="AE3" s="28">
        <f>IF(Table2[[#This Row],[fermentation Temperature]]="","",Table2[[#This Row],[fermentation Temperature]]-Table1[[#This Row],[Fermentation Temperature]])</f>
        <v>0</v>
      </c>
      <c r="AF3" s="29">
        <f>IF(Table2[[#This Row],[Fermentation Duration]]="","",Table2[[#This Row],[Fermentation Duration]]-Table1[[#This Row],[Fermentation Duration]])</f>
        <v>0</v>
      </c>
      <c r="AG3" s="28">
        <f>IF(Table2[[#This Row],[Conditioning Temperature]]="","",Table2[[#This Row],[Conditioning Temperature]]-Table1[[#This Row],[Conditioning Temperature]])</f>
        <v>4</v>
      </c>
      <c r="AH3" s="29">
        <f>IF(Table2[[#This Row],[Conditioning Duration]]="","",Table2[[#This Row],[Conditioning Duration]]-Table1[[#This Row],[Conditioning Duration]])</f>
        <v>0</v>
      </c>
    </row>
    <row r="4" spans="1:34" x14ac:dyDescent="0.25">
      <c r="A4" s="2">
        <f>Table1[[#This Row],[Batch]]</f>
        <v>3</v>
      </c>
      <c r="B4" s="4" t="str">
        <f>Table1[[#This Row],[Name]]</f>
        <v>03 SMaSH Godiva</v>
      </c>
      <c r="C4" s="4" t="str">
        <f>Table1[[#This Row],[Style]]</f>
        <v>12A British Golden Ale</v>
      </c>
      <c r="D4" s="4" t="str">
        <f>Table1[[#This Row],[Type]]</f>
        <v>All Grain</v>
      </c>
      <c r="E4" s="5">
        <f>IF(Table1[[#This Row],[Date]]="","",Table1[[#This Row],[Date]])</f>
        <v>44080</v>
      </c>
      <c r="F4" s="6">
        <f>IF(Table2[[#This Row],[ABV]]="","",(Table2[[#This Row],[ABV]]-Table1[[#This Row],[ABV]]))</f>
        <v>3.9999999999999966E-3</v>
      </c>
      <c r="G4" s="7">
        <f>IF(Table2[[#This Row],[IBU]]="","",(Table2[[#This Row],[IBU]]-Table1[[#This Row],[IBU]]))</f>
        <v>1</v>
      </c>
      <c r="H4" s="8">
        <f>IF(Table2[[#This Row],[EBC]]="","",Table2[[#This Row],[EBC]]-Table1[[#This Row],[EBC]])</f>
        <v>0</v>
      </c>
      <c r="I4" s="9">
        <f>IF(Table2[[#This Row],[OG]]="","",Table2[[#This Row],[OG]]-Table1[[#This Row],[OG]])</f>
        <v>-6.0000000000000053E-3</v>
      </c>
      <c r="J4" s="9">
        <f>IF(Table2[[#This Row],[FG]]="","",Table2[[#This Row],[FG]]-Table1[[#This Row],[FG]])</f>
        <v>-8.999999999999897E-3</v>
      </c>
      <c r="K4" s="9">
        <f>IF(Table2[[#This Row],[Pre-Boil Volume]]="","",Table2[[#This Row],[Pre-Boil Volume]]-Table1[[#This Row],[Pre-Boil Volume]])</f>
        <v>-0.66000000000000014</v>
      </c>
      <c r="L4" s="9">
        <f>IF(Table2[[#This Row],[Post-Boil Volume]]="","",Table2[[#This Row],[Post-Boil Volume]]-Table1[[#This Row],[Post-Boil Volume]])</f>
        <v>-0.66000000000000014</v>
      </c>
      <c r="M4" s="9">
        <f>IF(Table2[[#This Row],[Boil-Off]]="","",Table2[[#This Row],[Boil-Off]]-Table1[[#This Row],[Boil-Off]])</f>
        <v>0</v>
      </c>
      <c r="N4" s="9">
        <f>IF(Table2[[#This Row],[Top-up]]="","",Table2[[#This Row],[Top-up]]-Table1[[#This Row],[Top-up]])</f>
        <v>0</v>
      </c>
      <c r="O4" s="9">
        <f>IF(Table2[[#This Row],[Fermenter Volume]]="","",Table2[[#This Row],[Fermenter Volume]]-Table1[[#This Row],[Fermenter Volume]])</f>
        <v>-0.29999999999999982</v>
      </c>
      <c r="P4" s="9">
        <f>IF(Table2[[#This Row],[Trub Loss]]="","",Table2[[#This Row],[Trub Loss]]-Table1[[#This Row],[Trub Loss]])</f>
        <v>0.39</v>
      </c>
      <c r="Q4" s="9">
        <f>IF(Table2[[#This Row],[Bottling Volume]]="","",Table2[[#This Row],[Bottling Volume]]-Table1[[#This Row],[Bottling Volume]])</f>
        <v>-0.87000000000000011</v>
      </c>
      <c r="R4" s="9">
        <f>IF(Table2[[#This Row],[Pre-Boil Gravity]]="","",Table2[[#This Row],[Pre-Boil Gravity]]-Table1[[#This Row],[Pre-Boil Gravity]])</f>
        <v>-6.0000000000000053E-3</v>
      </c>
      <c r="S4" s="9">
        <f>IF(Table2[[#This Row],[Post-Boil Gravity]]="","",Table2[[#This Row],[Post-Boil Gravity]]-Table1[[#This Row],[Post-Boil Gravity]])</f>
        <v>-4.0000000000000036E-3</v>
      </c>
      <c r="T4" s="6">
        <f>IF(Table2[[#This Row],[Attenuation]]="","",Table2[[#This Row],[Attenuation]]-Table1[[#This Row],[Attenuation]])</f>
        <v>0.18999999999999995</v>
      </c>
      <c r="U4" s="6">
        <f>IF(Table2[[#This Row],[Mash Efficiency]]="","",Table2[[#This Row],[Mash Efficiency]]-Table1[[#This Row],[Mash Efficiency]])</f>
        <v>-0.18299999999999994</v>
      </c>
      <c r="V4" s="6">
        <f>IF(Table2[[#This Row],[Brewhous Efficiency]]="","",Table2[[#This Row],[Brewhous Efficiency]]-Table1[[#This Row],[Brewhouse Efficiency]])</f>
        <v>-9.7999999999999976E-2</v>
      </c>
      <c r="W4" s="10">
        <f>IF(Table2[[#This Row],[BU/GU]]="","",Table2[[#This Row],[BU/GU]]-Table1[[#This Row],[BU/GU]])</f>
        <v>0.15000000000000002</v>
      </c>
      <c r="X4" s="10">
        <f>IF(Table2[[#This Row],[Relative Bitterness Ratio]]="","",Table2[[#This Row],[Relative Bitterness Ratio]]-Table1[[#This Row],[Relative Bitterness Ratio]])</f>
        <v>0.32000000000000006</v>
      </c>
      <c r="Y4" s="10">
        <f>IF(Table2[[#This Row],[Mash pH]]="","",Table2[[#This Row],[Mash pH]]-Table1[[#This Row],[Mash pH]])</f>
        <v>8.0000000000000071E-2</v>
      </c>
      <c r="Z4" s="27"/>
      <c r="AA4" s="28">
        <f>IF(Table2[[#This Row],[Mash temp]]="","",Table2[[#This Row],[Mash temp]]-Table1[[#This Row],[Mash temp]])</f>
        <v>6</v>
      </c>
      <c r="AB4" s="29">
        <f>IF(Table2[[#This Row],[Mash Time]]="","",Table2[[#This Row],[Mash Time]]-Table1[[#This Row],[Mash Time]])</f>
        <v>0</v>
      </c>
      <c r="AC4" s="29">
        <f>IF(Table2[[#This Row],[Boil Time]]="","",Table2[[#This Row],[Boil Time]]-Table1[[#This Row],[Boil Time]])</f>
        <v>0</v>
      </c>
      <c r="AD4" s="27"/>
      <c r="AE4" s="28">
        <f>IF(Table2[[#This Row],[fermentation Temperature]]="","",Table2[[#This Row],[fermentation Temperature]]-Table1[[#This Row],[Fermentation Temperature]])</f>
        <v>1</v>
      </c>
      <c r="AF4" s="29">
        <f>IF(Table2[[#This Row],[Fermentation Duration]]="","",Table2[[#This Row],[Fermentation Duration]]-Table1[[#This Row],[Fermentation Duration]])</f>
        <v>0</v>
      </c>
      <c r="AG4" s="28">
        <f>IF(Table2[[#This Row],[Conditioning Temperature]]="","",Table2[[#This Row],[Conditioning Temperature]]-Table1[[#This Row],[Conditioning Temperature]])</f>
        <v>1</v>
      </c>
      <c r="AH4" s="29">
        <f>IF(Table2[[#This Row],[Conditioning Duration]]="","",Table2[[#This Row],[Conditioning Duration]]-Table1[[#This Row],[Conditioning Duration]])</f>
        <v>0</v>
      </c>
    </row>
    <row r="5" spans="1:34" x14ac:dyDescent="0.25">
      <c r="A5" s="2">
        <f>Table1[[#This Row],[Batch]]</f>
        <v>4</v>
      </c>
      <c r="B5" s="4" t="str">
        <f>Table1[[#This Row],[Name]]</f>
        <v>04 SMaSH Fuggle</v>
      </c>
      <c r="C5" s="4" t="str">
        <f>Table1[[#This Row],[Style]]</f>
        <v>12A British Golden Ale</v>
      </c>
      <c r="D5" s="4" t="str">
        <f>Table1[[#This Row],[Type]]</f>
        <v>All Grain</v>
      </c>
      <c r="E5" s="5">
        <f>IF(Table1[[#This Row],[Date]]="","",Table1[[#This Row],[Date]])</f>
        <v>44128</v>
      </c>
      <c r="F5" s="6">
        <f>IF(Table2[[#This Row],[ABV]]="","",(Table2[[#This Row],[ABV]]-Table1[[#This Row],[ABV]]))</f>
        <v>2.0000000000000018E-3</v>
      </c>
      <c r="G5" s="11">
        <f>IF(Table2[[#This Row],[IBU]]="","",(Table2[[#This Row],[IBU]]-Table1[[#This Row],[IBU]]))</f>
        <v>-2</v>
      </c>
      <c r="H5" s="8">
        <f>IF(Table2[[#This Row],[EBC]]="","",Table2[[#This Row],[EBC]]-Table1[[#This Row],[EBC]])</f>
        <v>-0.20000000000000018</v>
      </c>
      <c r="I5" s="9">
        <f>IF(Table2[[#This Row],[OG]]="","",Table2[[#This Row],[OG]]-Table1[[#This Row],[OG]])</f>
        <v>-2.0000000000000018E-3</v>
      </c>
      <c r="J5" s="12">
        <f>IF(Table2[[#This Row],[FG]]="","",Table2[[#This Row],[FG]]-Table1[[#This Row],[FG]])</f>
        <v>-3.0000000000001137E-3</v>
      </c>
      <c r="K5" s="12">
        <f>IF(Table2[[#This Row],[Pre-Boil Volume]]="","",Table2[[#This Row],[Pre-Boil Volume]]-Table1[[#This Row],[Pre-Boil Volume]])</f>
        <v>-0.41000000000000014</v>
      </c>
      <c r="L5" s="12">
        <f>IF(Table2[[#This Row],[Post-Boil Volume]]="","",Table2[[#This Row],[Post-Boil Volume]]-Table1[[#This Row],[Post-Boil Volume]])</f>
        <v>4.0000000000000036E-2</v>
      </c>
      <c r="M5" s="12">
        <f>IF(Table2[[#This Row],[Boil-Off]]="","",Table2[[#This Row],[Boil-Off]]-Table1[[#This Row],[Boil-Off]])</f>
        <v>-0.44999999999999996</v>
      </c>
      <c r="N5" s="12">
        <f>IF(Table2[[#This Row],[Top-up]]="","",Table2[[#This Row],[Top-up]]-Table1[[#This Row],[Top-up]])</f>
        <v>0</v>
      </c>
      <c r="O5" s="12">
        <f>IF(Table2[[#This Row],[Fermenter Volume]]="","",Table2[[#This Row],[Fermenter Volume]]-Table1[[#This Row],[Fermenter Volume]])</f>
        <v>-1.5999999999999996</v>
      </c>
      <c r="P5" s="9">
        <f>IF(Table2[[#This Row],[Trub Loss]]="","",Table2[[#This Row],[Trub Loss]]-Table1[[#This Row],[Trub Loss]])</f>
        <v>4.0000000000000008E-2</v>
      </c>
      <c r="Q5" s="9">
        <f>IF(Table2[[#This Row],[Bottling Volume]]="","",Table2[[#This Row],[Bottling Volume]]-Table1[[#This Row],[Bottling Volume]])</f>
        <v>-1</v>
      </c>
      <c r="R5" s="9">
        <f>IF(Table2[[#This Row],[Pre-Boil Gravity]]="","",Table2[[#This Row],[Pre-Boil Gravity]]-Table1[[#This Row],[Pre-Boil Gravity]])</f>
        <v>0</v>
      </c>
      <c r="S5" s="9">
        <f>IF(Table2[[#This Row],[Post-Boil Gravity]]="","",Table2[[#This Row],[Post-Boil Gravity]]-Table1[[#This Row],[Post-Boil Gravity]])</f>
        <v>-2.0000000000000018E-3</v>
      </c>
      <c r="T5" s="6">
        <f>IF(Table2[[#This Row],[Attenuation]]="","",Table2[[#This Row],[Attenuation]]-Table1[[#This Row],[Attenuation]])</f>
        <v>6.2999999999999945E-2</v>
      </c>
      <c r="U5" s="6">
        <f>IF(Table2[[#This Row],[Mash Efficiency]]="","",Table2[[#This Row],[Mash Efficiency]]-Table1[[#This Row],[Mash Efficiency]])</f>
        <v>-4.3000000000000038E-2</v>
      </c>
      <c r="V5" s="6">
        <f>IF(Table2[[#This Row],[Brewhous Efficiency]]="","",Table2[[#This Row],[Brewhous Efficiency]]-Table1[[#This Row],[Brewhouse Efficiency]])</f>
        <v>-6.7999999999999949E-2</v>
      </c>
      <c r="W5" s="10">
        <f>IF(Table2[[#This Row],[BU/GU]]="","",Table2[[#This Row],[BU/GU]]-Table1[[#This Row],[BU/GU]])</f>
        <v>3.0000000000000027E-2</v>
      </c>
      <c r="X5" s="10">
        <f>IF(Table2[[#This Row],[Relative Bitterness Ratio]]="","",Table2[[#This Row],[Relative Bitterness Ratio]]-Table1[[#This Row],[Relative Bitterness Ratio]])</f>
        <v>4.0000000000000036E-2</v>
      </c>
      <c r="Y5" s="10">
        <f>IF(Table2[[#This Row],[Mash pH]]="","",Table2[[#This Row],[Mash pH]]-Table1[[#This Row],[Mash pH]])</f>
        <v>7.0000000000000284E-2</v>
      </c>
      <c r="Z5" s="27"/>
      <c r="AA5" s="28">
        <f>IF(Table2[[#This Row],[Mash temp]]="","",Table2[[#This Row],[Mash temp]]-Table1[[#This Row],[Mash temp]])</f>
        <v>0</v>
      </c>
      <c r="AB5" s="29">
        <f>IF(Table2[[#This Row],[Mash Time]]="","",Table2[[#This Row],[Mash Time]]-Table1[[#This Row],[Mash Time]])</f>
        <v>0</v>
      </c>
      <c r="AC5" s="29">
        <f>IF(Table2[[#This Row],[Boil Time]]="","",Table2[[#This Row],[Boil Time]]-Table1[[#This Row],[Boil Time]])</f>
        <v>0</v>
      </c>
      <c r="AD5" s="27"/>
      <c r="AE5" s="28">
        <f>IF(Table2[[#This Row],[fermentation Temperature]]="","",Table2[[#This Row],[fermentation Temperature]]-Table1[[#This Row],[Fermentation Temperature]])</f>
        <v>-1</v>
      </c>
      <c r="AF5" s="29">
        <f>IF(Table2[[#This Row],[Fermentation Duration]]="","",Table2[[#This Row],[Fermentation Duration]]-Table1[[#This Row],[Fermentation Duration]])</f>
        <v>1</v>
      </c>
      <c r="AG5" s="28">
        <f>IF(Table2[[#This Row],[Conditioning Temperature]]="","",Table2[[#This Row],[Conditioning Temperature]]-Table1[[#This Row],[Conditioning Temperature]])</f>
        <v>-1</v>
      </c>
      <c r="AH5" s="29">
        <f>IF(Table2[[#This Row],[Conditioning Duration]]="","",Table2[[#This Row],[Conditioning Duration]]-Table1[[#This Row],[Conditioning Duration]])</f>
        <v>-1</v>
      </c>
    </row>
    <row r="6" spans="1:34" x14ac:dyDescent="0.25">
      <c r="A6" s="2">
        <f>Table1[[#This Row],[Batch]]</f>
        <v>5</v>
      </c>
      <c r="B6" s="4" t="str">
        <f>Table1[[#This Row],[Name]]</f>
        <v>05 SMaSH Centennial</v>
      </c>
      <c r="C6" s="4" t="str">
        <f>Table1[[#This Row],[Style]]</f>
        <v>18B American Pale Ale</v>
      </c>
      <c r="D6" s="4" t="str">
        <f>Table1[[#This Row],[Type]]</f>
        <v>All Grain</v>
      </c>
      <c r="E6" s="5">
        <f>IF(Table1[[#This Row],[Date]]="","",Table1[[#This Row],[Date]])</f>
        <v>44156</v>
      </c>
      <c r="F6" s="6">
        <f>IF(Table2[[#This Row],[ABV]]="","",(Table2[[#This Row],[ABV]]-Table1[[#This Row],[ABV]]))</f>
        <v>-1.0000000000000009E-3</v>
      </c>
      <c r="G6" s="7">
        <f>IF(Table2[[#This Row],[IBU]]="","",(Table2[[#This Row],[IBU]]-Table1[[#This Row],[IBU]]))</f>
        <v>4</v>
      </c>
      <c r="H6" s="8">
        <f>IF(Table2[[#This Row],[EBC]]="","",Table2[[#This Row],[EBC]]-Table1[[#This Row],[EBC]])</f>
        <v>0.19999999999999929</v>
      </c>
      <c r="I6" s="9">
        <f>IF(Table2[[#This Row],[OG]]="","",Table2[[#This Row],[OG]]-Table1[[#This Row],[OG]])</f>
        <v>-8.999999999999897E-3</v>
      </c>
      <c r="J6" s="9">
        <f>IF(Table2[[#This Row],[FG]]="","",Table2[[#This Row],[FG]]-Table1[[#This Row],[FG]])</f>
        <v>-8.0000000000000071E-3</v>
      </c>
      <c r="K6" s="9">
        <f>IF(Table2[[#This Row],[Pre-Boil Volume]]="","",Table2[[#This Row],[Pre-Boil Volume]]-Table1[[#This Row],[Pre-Boil Volume]])</f>
        <v>-1.3599999999999994</v>
      </c>
      <c r="L6" s="9">
        <f>IF(Table2[[#This Row],[Post-Boil Volume]]="","",Table2[[#This Row],[Post-Boil Volume]]-Table1[[#This Row],[Post-Boil Volume]])</f>
        <v>-1.3600000000000003</v>
      </c>
      <c r="M6" s="9">
        <f>IF(Table2[[#This Row],[Boil-Off]]="","",Table2[[#This Row],[Boil-Off]]-Table1[[#This Row],[Boil-Off]])</f>
        <v>0</v>
      </c>
      <c r="N6" s="9">
        <f>IF(Table2[[#This Row],[Top-up]]="","",Table2[[#This Row],[Top-up]]-Table1[[#This Row],[Top-up]])</f>
        <v>1</v>
      </c>
      <c r="O6" s="9">
        <f>IF(Table2[[#This Row],[Fermenter Volume]]="","",Table2[[#This Row],[Fermenter Volume]]-Table1[[#This Row],[Fermenter Volume]])</f>
        <v>0</v>
      </c>
      <c r="P6" s="9">
        <f>IF(Table2[[#This Row],[Trub Loss]]="","",Table2[[#This Row],[Trub Loss]]-Table1[[#This Row],[Trub Loss]])</f>
        <v>-0.3</v>
      </c>
      <c r="Q6" s="9">
        <f>IF(Table2[[#This Row],[Bottling Volume]]="","",Table2[[#This Row],[Bottling Volume]]-Table1[[#This Row],[Bottling Volume]])</f>
        <v>-0.37999999999999989</v>
      </c>
      <c r="R6" s="9">
        <f>IF(Table2[[#This Row],[Pre-Boil Gravity]]="","",Table2[[#This Row],[Pre-Boil Gravity]]-Table1[[#This Row],[Pre-Boil Gravity]])</f>
        <v>-6.9999999999998952E-3</v>
      </c>
      <c r="S6" s="9">
        <f>IF(Table2[[#This Row],[Post-Boil Gravity]]="","",Table2[[#This Row],[Post-Boil Gravity]]-Table1[[#This Row],[Post-Boil Gravity]])</f>
        <v>2.0000000000000018E-3</v>
      </c>
      <c r="T6" s="6">
        <f>IF(Table2[[#This Row],[Attenuation]]="","",Table2[[#This Row],[Attenuation]]-Table1[[#This Row],[Attenuation]])</f>
        <v>0.15399999999999991</v>
      </c>
      <c r="U6" s="6">
        <f>IF(Table2[[#This Row],[Mash Efficiency]]="","",Table2[[#This Row],[Mash Efficiency]]-Table1[[#This Row],[Mash Efficiency]])</f>
        <v>-0.123</v>
      </c>
      <c r="V6" s="6">
        <f>IF(Table2[[#This Row],[Brewhous Efficiency]]="","",Table2[[#This Row],[Brewhous Efficiency]]-Table1[[#This Row],[Brewhouse Efficiency]])</f>
        <v>3.2000000000000028E-2</v>
      </c>
      <c r="W6" s="10">
        <f>IF(Table2[[#This Row],[BU/GU]]="","",Table2[[#This Row],[BU/GU]]-Table1[[#This Row],[BU/GU]])</f>
        <v>0.25</v>
      </c>
      <c r="X6" s="10">
        <f>IF(Table2[[#This Row],[Relative Bitterness Ratio]]="","",Table2[[#This Row],[Relative Bitterness Ratio]]-Table1[[#This Row],[Relative Bitterness Ratio]])</f>
        <v>0.40999999999999992</v>
      </c>
      <c r="Y6" s="10">
        <f>IF(Table2[[#This Row],[Mash pH]]="","",Table2[[#This Row],[Mash pH]]-Table1[[#This Row],[Mash pH]])</f>
        <v>9.9999999999999645E-2</v>
      </c>
      <c r="Z6" s="27"/>
      <c r="AA6" s="28">
        <f>IF(Table2[[#This Row],[Mash temp]]="","",Table2[[#This Row],[Mash temp]]-Table1[[#This Row],[Mash temp]])</f>
        <v>0</v>
      </c>
      <c r="AB6" s="29">
        <f>IF(Table2[[#This Row],[Mash Time]]="","",Table2[[#This Row],[Mash Time]]-Table1[[#This Row],[Mash Time]])</f>
        <v>0</v>
      </c>
      <c r="AC6" s="29">
        <f>IF(Table2[[#This Row],[Boil Time]]="","",Table2[[#This Row],[Boil Time]]-Table1[[#This Row],[Boil Time]])</f>
        <v>0</v>
      </c>
      <c r="AD6" s="27"/>
      <c r="AE6" s="28">
        <f>IF(Table2[[#This Row],[fermentation Temperature]]="","",Table2[[#This Row],[fermentation Temperature]]-Table1[[#This Row],[Fermentation Temperature]])</f>
        <v>-3</v>
      </c>
      <c r="AF6" s="29">
        <f>IF(Table2[[#This Row],[Fermentation Duration]]="","",Table2[[#This Row],[Fermentation Duration]]-Table1[[#This Row],[Fermentation Duration]])</f>
        <v>4</v>
      </c>
      <c r="AG6" s="28">
        <f>IF(Table2[[#This Row],[Conditioning Temperature]]="","",Table2[[#This Row],[Conditioning Temperature]]-Table1[[#This Row],[Conditioning Temperature]])</f>
        <v>-3</v>
      </c>
      <c r="AH6" s="29" t="str">
        <f>IF(Table2[[#This Row],[Conditioning Duration]]="","",Table2[[#This Row],[Conditioning Duration]]-Table1[[#This Row],[Conditioning Duration]])</f>
        <v/>
      </c>
    </row>
    <row r="7" spans="1:34" x14ac:dyDescent="0.25">
      <c r="A7" s="2">
        <f>Table1[[#This Row],[Batch]]</f>
        <v>6</v>
      </c>
      <c r="B7" s="4" t="str">
        <f>Table1[[#This Row],[Name]]</f>
        <v>Brouwpunt - Sinterklaas Special</v>
      </c>
      <c r="C7" s="4" t="str">
        <f>Table1[[#This Row],[Style]]</f>
        <v>30B Autumn Seasonal Beer</v>
      </c>
      <c r="D7" s="4" t="str">
        <f>Table1[[#This Row],[Type]]</f>
        <v>All Grain brew kit</v>
      </c>
      <c r="E7" s="5">
        <f>IF(Table1[[#This Row],[Date]]="","",Table1[[#This Row],[Date]])</f>
        <v>44171</v>
      </c>
      <c r="F7" s="6" t="str">
        <f>IF(Table2[[#This Row],[ABV]]="","",(Table2[[#This Row],[ABV]]-Table1[[#This Row],[ABV]]))</f>
        <v/>
      </c>
      <c r="G7" s="7">
        <f>IF(Table2[[#This Row],[IBU]]="","",(Table2[[#This Row],[IBU]]-Table1[[#This Row],[IBU]]))</f>
        <v>3</v>
      </c>
      <c r="H7" s="8">
        <f>IF(Table2[[#This Row],[EBC]]="","",Table2[[#This Row],[EBC]]-Table1[[#This Row],[EBC]])</f>
        <v>-1.7999999999999989</v>
      </c>
      <c r="I7" s="9">
        <f>IF(Table2[[#This Row],[OG]]="","",Table2[[#This Row],[OG]]-Table1[[#This Row],[OG]])</f>
        <v>1044.94</v>
      </c>
      <c r="J7" s="9" t="str">
        <f>IF(Table2[[#This Row],[FG]]="","",Table2[[#This Row],[FG]]-Table1[[#This Row],[FG]])</f>
        <v/>
      </c>
      <c r="K7" s="9">
        <f>IF(Table2[[#This Row],[Pre-Boil Volume]]="","",Table2[[#This Row],[Pre-Boil Volume]]-Table1[[#This Row],[Pre-Boil Volume]])</f>
        <v>0.49000000000000021</v>
      </c>
      <c r="L7" s="9">
        <f>IF(Table2[[#This Row],[Post-Boil Volume]]="","",Table2[[#This Row],[Post-Boil Volume]]-Table1[[#This Row],[Post-Boil Volume]])</f>
        <v>1.1900000000000004</v>
      </c>
      <c r="M7" s="9">
        <f>IF(Table2[[#This Row],[Boil-Off]]="","",Table2[[#This Row],[Boil-Off]]-Table1[[#This Row],[Boil-Off]])</f>
        <v>-0.7</v>
      </c>
      <c r="N7" s="9">
        <f>IF(Table2[[#This Row],[Top-up]]="","",Table2[[#This Row],[Top-up]]-Table1[[#This Row],[Top-up]])</f>
        <v>0</v>
      </c>
      <c r="O7" s="9">
        <f>IF(Table2[[#This Row],[Fermenter Volume]]="","",Table2[[#This Row],[Fermenter Volume]]-Table1[[#This Row],[Fermenter Volume]])</f>
        <v>0</v>
      </c>
      <c r="P7" s="9">
        <f>IF(Table2[[#This Row],[Trub Loss]]="","",Table2[[#This Row],[Trub Loss]]-Table1[[#This Row],[Trub Loss]])</f>
        <v>1.1400000000000001</v>
      </c>
      <c r="Q7" s="9" t="str">
        <f>IF(Table2[[#This Row],[Bottling Volume]]="","",Table2[[#This Row],[Bottling Volume]]-Table1[[#This Row],[Bottling Volume]])</f>
        <v/>
      </c>
      <c r="R7" s="9">
        <f>IF(Table2[[#This Row],[Pre-Boil Gravity]]="","",Table2[[#This Row],[Pre-Boil Gravity]]-Table1[[#This Row],[Pre-Boil Gravity]])</f>
        <v>-6.0000000000000053E-3</v>
      </c>
      <c r="S7" s="9">
        <f>IF(Table2[[#This Row],[Post-Boil Gravity]]="","",Table2[[#This Row],[Post-Boil Gravity]]-Table1[[#This Row],[Post-Boil Gravity]])</f>
        <v>-1.0999999999999899E-2</v>
      </c>
      <c r="T7" s="6" t="str">
        <f>IF(Table2[[#This Row],[Attenuation]]="","",Table2[[#This Row],[Attenuation]]-Table1[[#This Row],[Attenuation]])</f>
        <v/>
      </c>
      <c r="U7" s="6">
        <f>IF(Table2[[#This Row],[Mash Efficiency]]="","",Table2[[#This Row],[Mash Efficiency]]-Table1[[#This Row],[Mash Efficiency]])</f>
        <v>-9.2999999999999972E-2</v>
      </c>
      <c r="V7" s="6">
        <f>IF(Table2[[#This Row],[Brewhous Efficiency]]="","",Table2[[#This Row],[Brewhous Efficiency]]-Table1[[#This Row],[Brewhouse Efficiency]])</f>
        <v>-0.13800000000000001</v>
      </c>
      <c r="W7" s="10">
        <f>IF(Table2[[#This Row],[BU/GU]]="","",Table2[[#This Row],[BU/GU]]-Table1[[#This Row],[BU/GU]])</f>
        <v>0.14000000000000001</v>
      </c>
      <c r="X7" s="10">
        <f>IF(Table2[[#This Row],[Relative Bitterness Ratio]]="","",Table2[[#This Row],[Relative Bitterness Ratio]]-Table1[[#This Row],[Relative Bitterness Ratio]])</f>
        <v>0.18</v>
      </c>
      <c r="Y7" s="10">
        <f>IF(Table2[[#This Row],[Mash pH]]="","",Table2[[#This Row],[Mash pH]]-Table1[[#This Row],[Mash pH]])</f>
        <v>0.48000000000000043</v>
      </c>
      <c r="Z7" s="27"/>
      <c r="AA7" s="29">
        <f>IF(Table2[[#This Row],[Mash temp]]="","",Table2[[#This Row],[Mash temp]]-Table1[[#This Row],[Mash temp]])</f>
        <v>10</v>
      </c>
      <c r="AB7" s="29">
        <f>IF(Table2[[#This Row],[Mash Time]]="","",Table2[[#This Row],[Mash Time]]-Table1[[#This Row],[Mash Time]])</f>
        <v>0</v>
      </c>
      <c r="AC7" s="29">
        <f>IF(Table2[[#This Row],[Boil Time]]="","",Table2[[#This Row],[Boil Time]]-Table1[[#This Row],[Boil Time]])</f>
        <v>0</v>
      </c>
      <c r="AD7" s="27"/>
      <c r="AE7" s="28" t="str">
        <f>IF(Table2[[#This Row],[fermentation Temperature]]="","",Table2[[#This Row],[fermentation Temperature]]-Table1[[#This Row],[Fermentation Temperature]])</f>
        <v/>
      </c>
      <c r="AF7" s="27" t="str">
        <f>IF(Table2[[#This Row],[Fermentation Duration]]="","",Table2[[#This Row],[Fermentation Duration]]-Table1[[#This Row],[Fermentation Duration]])</f>
        <v/>
      </c>
      <c r="AG7" s="28" t="str">
        <f>IF(Table2[[#This Row],[Conditioning Temperature]]="","",Table2[[#This Row],[Conditioning Temperature]]-Table1[[#This Row],[Conditioning Temperature]])</f>
        <v/>
      </c>
      <c r="AH7" s="29" t="str">
        <f>IF(Table2[[#This Row],[Conditioning Duration]]="","",Table2[[#This Row],[Conditioning Duration]]-Table1[[#This Row],[Conditioning Duration]])</f>
        <v/>
      </c>
    </row>
    <row r="8" spans="1:34" x14ac:dyDescent="0.25">
      <c r="A8" s="2">
        <f>Table1[[#This Row],[Batch]]</f>
        <v>7</v>
      </c>
      <c r="B8" s="4" t="str">
        <f>Table1[[#This Row],[Name]]</f>
        <v>06 SMaSH Citra</v>
      </c>
      <c r="C8" s="4" t="str">
        <f>Table1[[#This Row],[Style]]</f>
        <v>18B American Pale Ale</v>
      </c>
      <c r="D8" s="4" t="str">
        <f>Table1[[#This Row],[Type]]</f>
        <v>All Grain</v>
      </c>
      <c r="E8" s="5">
        <f>IF(Table1[[#This Row],[Date]]="","",Table1[[#This Row],[Date]])</f>
        <v>43832</v>
      </c>
      <c r="F8" s="6" t="str">
        <f>IF(Table2[[#This Row],[ABV]]="","",(Table2[[#This Row],[ABV]]-Table1[[#This Row],[ABV]]))</f>
        <v/>
      </c>
      <c r="G8" s="7" t="str">
        <f>IF(Table2[[#This Row],[IBU]]="","",(Table2[[#This Row],[IBU]]-Table1[[#This Row],[IBU]]))</f>
        <v/>
      </c>
      <c r="H8" s="8" t="str">
        <f>IF(Table2[[#This Row],[EBC]]="","",Table2[[#This Row],[EBC]]-Table1[[#This Row],[EBC]])</f>
        <v/>
      </c>
      <c r="I8" s="9" t="str">
        <f>IF(Table2[[#This Row],[OG]]="","",Table2[[#This Row],[OG]]-Table1[[#This Row],[OG]])</f>
        <v/>
      </c>
      <c r="J8" s="9" t="str">
        <f>IF(Table2[[#This Row],[FG]]="","",Table2[[#This Row],[FG]]-Table1[[#This Row],[FG]])</f>
        <v/>
      </c>
      <c r="K8" s="9" t="str">
        <f>IF(Table2[[#This Row],[Pre-Boil Volume]]="","",Table2[[#This Row],[Pre-Boil Volume]]-Table1[[#This Row],[Pre-Boil Volume]])</f>
        <v/>
      </c>
      <c r="L8" s="9" t="str">
        <f>IF(Table2[[#This Row],[Post-Boil Volume]]="","",Table2[[#This Row],[Post-Boil Volume]]-Table1[[#This Row],[Post-Boil Volume]])</f>
        <v/>
      </c>
      <c r="M8" s="9" t="str">
        <f>IF(Table2[[#This Row],[Boil-Off]]="","",Table2[[#This Row],[Boil-Off]]-Table1[[#This Row],[Boil-Off]])</f>
        <v/>
      </c>
      <c r="N8" s="9" t="str">
        <f>IF(Table2[[#This Row],[Top-up]]="","",Table2[[#This Row],[Top-up]]-Table1[[#This Row],[Top-up]])</f>
        <v/>
      </c>
      <c r="O8" s="9" t="str">
        <f>IF(Table2[[#This Row],[Fermenter Volume]]="","",Table2[[#This Row],[Fermenter Volume]]-Table1[[#This Row],[Fermenter Volume]])</f>
        <v/>
      </c>
      <c r="P8" s="9" t="str">
        <f>IF(Table2[[#This Row],[Trub Loss]]="","",Table2[[#This Row],[Trub Loss]]-Table1[[#This Row],[Trub Loss]])</f>
        <v/>
      </c>
      <c r="Q8" s="9" t="str">
        <f>IF(Table2[[#This Row],[Bottling Volume]]="","",Table2[[#This Row],[Bottling Volume]]-Table1[[#This Row],[Bottling Volume]])</f>
        <v/>
      </c>
      <c r="R8" s="9" t="str">
        <f>IF(Table2[[#This Row],[Pre-Boil Gravity]]="","",Table2[[#This Row],[Pre-Boil Gravity]]-Table1[[#This Row],[Pre-Boil Gravity]])</f>
        <v/>
      </c>
      <c r="S8" s="9" t="str">
        <f>IF(Table2[[#This Row],[Post-Boil Gravity]]="","",Table2[[#This Row],[Post-Boil Gravity]]-Table1[[#This Row],[Post-Boil Gravity]])</f>
        <v/>
      </c>
      <c r="T8" s="6" t="str">
        <f>IF(Table2[[#This Row],[Attenuation]]="","",Table2[[#This Row],[Attenuation]]-Table1[[#This Row],[Attenuation]])</f>
        <v/>
      </c>
      <c r="U8" s="6" t="str">
        <f>IF(Table2[[#This Row],[Mash Efficiency]]="","",Table2[[#This Row],[Mash Efficiency]]-Table1[[#This Row],[Mash Efficiency]])</f>
        <v/>
      </c>
      <c r="V8" s="6" t="str">
        <f>IF(Table2[[#This Row],[Brewhous Efficiency]]="","",Table2[[#This Row],[Brewhous Efficiency]]-Table1[[#This Row],[Brewhouse Efficiency]])</f>
        <v/>
      </c>
      <c r="W8" s="10" t="str">
        <f>IF(Table2[[#This Row],[BU/GU]]="","",Table2[[#This Row],[BU/GU]]-Table1[[#This Row],[BU/GU]])</f>
        <v/>
      </c>
      <c r="X8" s="10" t="str">
        <f>IF(Table2[[#This Row],[Relative Bitterness Ratio]]="","",Table2[[#This Row],[Relative Bitterness Ratio]]-Table1[[#This Row],[Relative Bitterness Ratio]])</f>
        <v/>
      </c>
      <c r="Y8" s="10" t="str">
        <f>IF(Table2[[#This Row],[Mash pH]]="","",Table2[[#This Row],[Mash pH]]-Table1[[#This Row],[Mash pH]])</f>
        <v/>
      </c>
      <c r="Z8" s="27"/>
      <c r="AA8" s="29" t="str">
        <f>IF(Table2[[#This Row],[Mash temp]]="","",Table2[[#This Row],[Mash temp]]-Table1[[#This Row],[Mash temp]])</f>
        <v/>
      </c>
      <c r="AB8" s="29" t="str">
        <f>IF(Table2[[#This Row],[Mash Time]]="","",Table2[[#This Row],[Mash Time]]-Table1[[#This Row],[Mash Time]])</f>
        <v/>
      </c>
      <c r="AC8" s="29" t="str">
        <f>IF(Table2[[#This Row],[Boil Time]]="","",Table2[[#This Row],[Boil Time]]-Table1[[#This Row],[Boil Time]])</f>
        <v/>
      </c>
      <c r="AD8" s="27"/>
      <c r="AE8" s="28" t="str">
        <f>IF(Table2[[#This Row],[fermentation Temperature]]="","",Table2[[#This Row],[fermentation Temperature]]-Table1[[#This Row],[Fermentation Temperature]])</f>
        <v/>
      </c>
      <c r="AF8" s="27" t="str">
        <f>IF(Table2[[#This Row],[Fermentation Duration]]="","",Table2[[#This Row],[Fermentation Duration]]-Table1[[#This Row],[Fermentation Duration]])</f>
        <v/>
      </c>
      <c r="AG8" s="28" t="str">
        <f>IF(Table2[[#This Row],[Conditioning Temperature]]="","",Table2[[#This Row],[Conditioning Temperature]]-Table1[[#This Row],[Conditioning Temperature]])</f>
        <v/>
      </c>
      <c r="AH8" s="29" t="str">
        <f>IF(Table2[[#This Row],[Conditioning Duration]]="","",Table2[[#This Row],[Conditioning Duration]]-Table1[[#This Row],[Conditioning Duration]])</f>
        <v/>
      </c>
    </row>
    <row r="9" spans="1:34" x14ac:dyDescent="0.25">
      <c r="A9" s="36">
        <f>Table1[[#This Row],[Batch]]</f>
        <v>8</v>
      </c>
      <c r="B9" s="17" t="str">
        <f>Table1[[#This Row],[Name]]</f>
        <v>07 SMaSH Simcoe</v>
      </c>
      <c r="C9" s="17" t="str">
        <f>Table1[[#This Row],[Style]]</f>
        <v>18B American Pale Ale</v>
      </c>
      <c r="D9" s="4" t="str">
        <f>Table1[[#This Row],[Type]]</f>
        <v>All Grain</v>
      </c>
      <c r="E9" s="5">
        <f>IF(Table1[[#This Row],[Date]]="","",Table1[[#This Row],[Date]])</f>
        <v>44233</v>
      </c>
      <c r="F9" s="6" t="str">
        <f>IF(Table2[[#This Row],[ABV]]="","",(Table2[[#This Row],[ABV]]-Table1[[#This Row],[ABV]]))</f>
        <v/>
      </c>
      <c r="G9" s="7" t="str">
        <f>IF(Table2[[#This Row],[IBU]]="","",(Table2[[#This Row],[IBU]]-Table1[[#This Row],[IBU]]))</f>
        <v/>
      </c>
      <c r="H9" s="8" t="str">
        <f>IF(Table2[[#This Row],[EBC]]="","",Table2[[#This Row],[EBC]]-Table1[[#This Row],[EBC]])</f>
        <v/>
      </c>
      <c r="I9" s="9" t="str">
        <f>IF(Table2[[#This Row],[OG]]="","",Table2[[#This Row],[OG]]-Table1[[#This Row],[OG]])</f>
        <v/>
      </c>
      <c r="J9" s="9" t="str">
        <f>IF(Table2[[#This Row],[FG]]="","",Table2[[#This Row],[FG]]-Table1[[#This Row],[FG]])</f>
        <v/>
      </c>
      <c r="K9" s="9" t="str">
        <f>IF(Table2[[#This Row],[Pre-Boil Volume]]="","",Table2[[#This Row],[Pre-Boil Volume]]-Table1[[#This Row],[Pre-Boil Volume]])</f>
        <v/>
      </c>
      <c r="L9" s="9" t="str">
        <f>IF(Table2[[#This Row],[Post-Boil Volume]]="","",Table2[[#This Row],[Post-Boil Volume]]-Table1[[#This Row],[Post-Boil Volume]])</f>
        <v/>
      </c>
      <c r="M9" s="9" t="str">
        <f>IF(Table2[[#This Row],[Boil-Off]]="","",Table2[[#This Row],[Boil-Off]]-Table1[[#This Row],[Boil-Off]])</f>
        <v/>
      </c>
      <c r="N9" s="9" t="str">
        <f>IF(Table2[[#This Row],[Top-up]]="","",Table2[[#This Row],[Top-up]]-Table1[[#This Row],[Top-up]])</f>
        <v/>
      </c>
      <c r="O9" s="9" t="str">
        <f>IF(Table2[[#This Row],[Fermenter Volume]]="","",Table2[[#This Row],[Fermenter Volume]]-Table1[[#This Row],[Fermenter Volume]])</f>
        <v/>
      </c>
      <c r="P9" s="9" t="str">
        <f>IF(Table2[[#This Row],[Trub Loss]]="","",Table2[[#This Row],[Trub Loss]]-Table1[[#This Row],[Trub Loss]])</f>
        <v/>
      </c>
      <c r="Q9" s="9" t="str">
        <f>IF(Table2[[#This Row],[Bottling Volume]]="","",Table2[[#This Row],[Bottling Volume]]-Table1[[#This Row],[Bottling Volume]])</f>
        <v/>
      </c>
      <c r="R9" s="9" t="str">
        <f>IF(Table2[[#This Row],[Pre-Boil Gravity]]="","",Table2[[#This Row],[Pre-Boil Gravity]]-Table1[[#This Row],[Pre-Boil Gravity]])</f>
        <v/>
      </c>
      <c r="S9" s="9" t="str">
        <f>IF(Table2[[#This Row],[Post-Boil Gravity]]="","",Table2[[#This Row],[Post-Boil Gravity]]-Table1[[#This Row],[Post-Boil Gravity]])</f>
        <v/>
      </c>
      <c r="T9" s="6" t="str">
        <f>IF(Table2[[#This Row],[Attenuation]]="","",Table2[[#This Row],[Attenuation]]-Table1[[#This Row],[Attenuation]])</f>
        <v/>
      </c>
      <c r="U9" s="6" t="str">
        <f>IF(Table2[[#This Row],[Mash Efficiency]]="","",Table2[[#This Row],[Mash Efficiency]]-Table1[[#This Row],[Mash Efficiency]])</f>
        <v/>
      </c>
      <c r="V9" s="6" t="str">
        <f>IF(Table2[[#This Row],[Brewhous Efficiency]]="","",Table2[[#This Row],[Brewhous Efficiency]]-Table1[[#This Row],[Brewhouse Efficiency]])</f>
        <v/>
      </c>
      <c r="W9" s="10" t="str">
        <f>IF(Table2[[#This Row],[BU/GU]]="","",Table2[[#This Row],[BU/GU]]-Table1[[#This Row],[BU/GU]])</f>
        <v/>
      </c>
      <c r="X9" s="10" t="str">
        <f>IF(Table2[[#This Row],[Relative Bitterness Ratio]]="","",Table2[[#This Row],[Relative Bitterness Ratio]]-Table1[[#This Row],[Relative Bitterness Ratio]])</f>
        <v/>
      </c>
      <c r="Y9" s="10" t="str">
        <f>IF(Table2[[#This Row],[Mash pH]]="","",Table2[[#This Row],[Mash pH]]-Table1[[#This Row],[Mash pH]])</f>
        <v/>
      </c>
      <c r="Z9" s="27"/>
      <c r="AA9" s="29" t="str">
        <f>IF(Table2[[#This Row],[Mash temp]]="","",Table2[[#This Row],[Mash temp]]-Table1[[#This Row],[Mash temp]])</f>
        <v/>
      </c>
      <c r="AB9" s="29" t="str">
        <f>IF(Table2[[#This Row],[Mash Time]]="","",Table2[[#This Row],[Mash Time]]-Table1[[#This Row],[Mash Time]])</f>
        <v/>
      </c>
      <c r="AC9" s="29" t="str">
        <f>IF(Table2[[#This Row],[Boil Time]]="","",Table2[[#This Row],[Boil Time]]-Table1[[#This Row],[Boil Time]])</f>
        <v/>
      </c>
      <c r="AD9" s="27"/>
      <c r="AE9" s="28" t="str">
        <f>IF(Table2[[#This Row],[fermentation Temperature]]="","",Table2[[#This Row],[fermentation Temperature]]-Table1[[#This Row],[Fermentation Temperature]])</f>
        <v/>
      </c>
      <c r="AF9" s="27" t="str">
        <f>IF(Table2[[#This Row],[Fermentation Duration]]="","",Table2[[#This Row],[Fermentation Duration]]-Table1[[#This Row],[Fermentation Duration]])</f>
        <v/>
      </c>
      <c r="AG9" s="28" t="str">
        <f>IF(Table2[[#This Row],[Conditioning Temperature]]="","",Table2[[#This Row],[Conditioning Temperature]]-Table1[[#This Row],[Conditioning Temperature]])</f>
        <v/>
      </c>
      <c r="AH9" s="29" t="str">
        <f>IF(Table2[[#This Row],[Conditioning Duration]]="","",Table2[[#This Row],[Conditioning Duration]]-Table1[[#This Row],[Conditioning Duration]])</f>
        <v/>
      </c>
    </row>
    <row r="10" spans="1:34" x14ac:dyDescent="0.25">
      <c r="A10" s="36">
        <f>Table1[[#This Row],[Batch]]</f>
        <v>9</v>
      </c>
      <c r="B10" s="17" t="str">
        <f>Table1[[#This Row],[Name]]</f>
        <v>08 SMaSH Magnum</v>
      </c>
      <c r="C10" s="17" t="str">
        <f>Table1[[#This Row],[Style]]</f>
        <v>18A Blonde Ale</v>
      </c>
      <c r="D10" s="4" t="str">
        <f>Table1[[#This Row],[Type]]</f>
        <v>All Grain</v>
      </c>
      <c r="E10" s="5">
        <f>IF(Table1[[#This Row],[Date]]="","",Table1[[#This Row],[Date]])</f>
        <v>44261</v>
      </c>
      <c r="F10" s="6" t="str">
        <f>IF(Table2[[#This Row],[ABV]]="","",(Table2[[#This Row],[ABV]]-Table1[[#This Row],[ABV]]))</f>
        <v/>
      </c>
      <c r="G10" s="7" t="str">
        <f>IF(Table2[[#This Row],[IBU]]="","",(Table2[[#This Row],[IBU]]-Table1[[#This Row],[IBU]]))</f>
        <v/>
      </c>
      <c r="H10" s="8" t="str">
        <f>IF(Table2[[#This Row],[EBC]]="","",Table2[[#This Row],[EBC]]-Table1[[#This Row],[EBC]])</f>
        <v/>
      </c>
      <c r="I10" s="9" t="str">
        <f>IF(Table2[[#This Row],[OG]]="","",Table2[[#This Row],[OG]]-Table1[[#This Row],[OG]])</f>
        <v/>
      </c>
      <c r="J10" s="9" t="str">
        <f>IF(Table2[[#This Row],[FG]]="","",Table2[[#This Row],[FG]]-Table1[[#This Row],[FG]])</f>
        <v/>
      </c>
      <c r="K10" s="9" t="str">
        <f>IF(Table2[[#This Row],[Pre-Boil Volume]]="","",Table2[[#This Row],[Pre-Boil Volume]]-Table1[[#This Row],[Pre-Boil Volume]])</f>
        <v/>
      </c>
      <c r="L10" s="9" t="str">
        <f>IF(Table2[[#This Row],[Post-Boil Volume]]="","",Table2[[#This Row],[Post-Boil Volume]]-Table1[[#This Row],[Post-Boil Volume]])</f>
        <v/>
      </c>
      <c r="M10" s="9" t="str">
        <f>IF(Table2[[#This Row],[Boil-Off]]="","",Table2[[#This Row],[Boil-Off]]-Table1[[#This Row],[Boil-Off]])</f>
        <v/>
      </c>
      <c r="N10" s="9" t="str">
        <f>IF(Table2[[#This Row],[Top-up]]="","",Table2[[#This Row],[Top-up]]-Table1[[#This Row],[Top-up]])</f>
        <v/>
      </c>
      <c r="O10" s="9" t="str">
        <f>IF(Table2[[#This Row],[Fermenter Volume]]="","",Table2[[#This Row],[Fermenter Volume]]-Table1[[#This Row],[Fermenter Volume]])</f>
        <v/>
      </c>
      <c r="P10" s="9" t="str">
        <f>IF(Table2[[#This Row],[Trub Loss]]="","",Table2[[#This Row],[Trub Loss]]-Table1[[#This Row],[Trub Loss]])</f>
        <v/>
      </c>
      <c r="Q10" s="9" t="str">
        <f>IF(Table2[[#This Row],[Bottling Volume]]="","",Table2[[#This Row],[Bottling Volume]]-Table1[[#This Row],[Bottling Volume]])</f>
        <v/>
      </c>
      <c r="R10" s="9" t="str">
        <f>IF(Table2[[#This Row],[Pre-Boil Gravity]]="","",Table2[[#This Row],[Pre-Boil Gravity]]-Table1[[#This Row],[Pre-Boil Gravity]])</f>
        <v/>
      </c>
      <c r="S10" s="9" t="str">
        <f>IF(Table2[[#This Row],[Post-Boil Gravity]]="","",Table2[[#This Row],[Post-Boil Gravity]]-Table1[[#This Row],[Post-Boil Gravity]])</f>
        <v/>
      </c>
      <c r="T10" s="6" t="str">
        <f>IF(Table2[[#This Row],[Attenuation]]="","",Table2[[#This Row],[Attenuation]]-Table1[[#This Row],[Attenuation]])</f>
        <v/>
      </c>
      <c r="U10" s="6" t="str">
        <f>IF(Table2[[#This Row],[Mash Efficiency]]="","",Table2[[#This Row],[Mash Efficiency]]-Table1[[#This Row],[Mash Efficiency]])</f>
        <v/>
      </c>
      <c r="V10" s="6" t="str">
        <f>IF(Table2[[#This Row],[Brewhous Efficiency]]="","",Table2[[#This Row],[Brewhous Efficiency]]-Table1[[#This Row],[Brewhouse Efficiency]])</f>
        <v/>
      </c>
      <c r="W10" s="10" t="str">
        <f>IF(Table2[[#This Row],[BU/GU]]="","",Table2[[#This Row],[BU/GU]]-Table1[[#This Row],[BU/GU]])</f>
        <v/>
      </c>
      <c r="X10" s="10" t="str">
        <f>IF(Table2[[#This Row],[Relative Bitterness Ratio]]="","",Table2[[#This Row],[Relative Bitterness Ratio]]-Table1[[#This Row],[Relative Bitterness Ratio]])</f>
        <v/>
      </c>
      <c r="Y10" s="10" t="str">
        <f>IF(Table2[[#This Row],[Mash pH]]="","",Table2[[#This Row],[Mash pH]]-Table1[[#This Row],[Mash pH]])</f>
        <v/>
      </c>
      <c r="Z10" s="27"/>
      <c r="AA10" s="29" t="str">
        <f>IF(Table2[[#This Row],[Mash temp]]="","",Table2[[#This Row],[Mash temp]]-Table1[[#This Row],[Mash temp]])</f>
        <v/>
      </c>
      <c r="AB10" s="29" t="str">
        <f>IF(Table2[[#This Row],[Mash Time]]="","",Table2[[#This Row],[Mash Time]]-Table1[[#This Row],[Mash Time]])</f>
        <v/>
      </c>
      <c r="AC10" s="29" t="str">
        <f>IF(Table2[[#This Row],[Boil Time]]="","",Table2[[#This Row],[Boil Time]]-Table1[[#This Row],[Boil Time]])</f>
        <v/>
      </c>
      <c r="AD10" s="27"/>
      <c r="AE10" s="28" t="str">
        <f>IF(Table2[[#This Row],[fermentation Temperature]]="","",Table2[[#This Row],[fermentation Temperature]]-Table1[[#This Row],[Fermentation Temperature]])</f>
        <v/>
      </c>
      <c r="AF10" s="27" t="str">
        <f>IF(Table2[[#This Row],[Fermentation Duration]]="","",Table2[[#This Row],[Fermentation Duration]]-Table1[[#This Row],[Fermentation Duration]])</f>
        <v/>
      </c>
      <c r="AG10" s="28" t="str">
        <f>IF(Table2[[#This Row],[Conditioning Temperature]]="","",Table2[[#This Row],[Conditioning Temperature]]-Table1[[#This Row],[Conditioning Temperature]])</f>
        <v/>
      </c>
      <c r="AH10" s="29" t="str">
        <f>IF(Table2[[#This Row],[Conditioning Duration]]="","",Table2[[#This Row],[Conditioning Duration]]-Table1[[#This Row],[Conditioning Duration]])</f>
        <v/>
      </c>
    </row>
    <row r="11" spans="1:34" x14ac:dyDescent="0.25">
      <c r="A11" s="36">
        <f>Table1[[#This Row],[Batch]]</f>
        <v>10</v>
      </c>
      <c r="B11" s="17" t="str">
        <f>Table1[[#This Row],[Name]]</f>
        <v>09 SMaSH Sabro</v>
      </c>
      <c r="C11" s="17" t="str">
        <f>Table1[[#This Row],[Style]]</f>
        <v>21B Specialty IPA</v>
      </c>
      <c r="D11" s="4" t="str">
        <f>Table1[[#This Row],[Type]]</f>
        <v>All Grain</v>
      </c>
      <c r="E11" s="5">
        <f>IF(Table1[[#This Row],[Date]]="","",Table1[[#This Row],[Date]])</f>
        <v>44289</v>
      </c>
      <c r="F11" s="6" t="str">
        <f>IF(Table2[[#This Row],[ABV]]="","",(Table2[[#This Row],[ABV]]-Table1[[#This Row],[ABV]]))</f>
        <v/>
      </c>
      <c r="G11" s="7" t="str">
        <f>IF(Table2[[#This Row],[IBU]]="","",(Table2[[#This Row],[IBU]]-Table1[[#This Row],[IBU]]))</f>
        <v/>
      </c>
      <c r="H11" s="8" t="str">
        <f>IF(Table2[[#This Row],[EBC]]="","",Table2[[#This Row],[EBC]]-Table1[[#This Row],[EBC]])</f>
        <v/>
      </c>
      <c r="I11" s="9" t="str">
        <f>IF(Table2[[#This Row],[OG]]="","",Table2[[#This Row],[OG]]-Table1[[#This Row],[OG]])</f>
        <v/>
      </c>
      <c r="J11" s="9" t="str">
        <f>IF(Table2[[#This Row],[FG]]="","",Table2[[#This Row],[FG]]-Table1[[#This Row],[FG]])</f>
        <v/>
      </c>
      <c r="K11" s="9" t="str">
        <f>IF(Table2[[#This Row],[Pre-Boil Volume]]="","",Table2[[#This Row],[Pre-Boil Volume]]-Table1[[#This Row],[Pre-Boil Volume]])</f>
        <v/>
      </c>
      <c r="L11" s="9" t="str">
        <f>IF(Table2[[#This Row],[Post-Boil Volume]]="","",Table2[[#This Row],[Post-Boil Volume]]-Table1[[#This Row],[Post-Boil Volume]])</f>
        <v/>
      </c>
      <c r="M11" s="9" t="str">
        <f>IF(Table2[[#This Row],[Boil-Off]]="","",Table2[[#This Row],[Boil-Off]]-Table1[[#This Row],[Boil-Off]])</f>
        <v/>
      </c>
      <c r="N11" s="9" t="str">
        <f>IF(Table2[[#This Row],[Top-up]]="","",Table2[[#This Row],[Top-up]]-Table1[[#This Row],[Top-up]])</f>
        <v/>
      </c>
      <c r="O11" s="9" t="str">
        <f>IF(Table2[[#This Row],[Fermenter Volume]]="","",Table2[[#This Row],[Fermenter Volume]]-Table1[[#This Row],[Fermenter Volume]])</f>
        <v/>
      </c>
      <c r="P11" s="9" t="str">
        <f>IF(Table2[[#This Row],[Trub Loss]]="","",Table2[[#This Row],[Trub Loss]]-Table1[[#This Row],[Trub Loss]])</f>
        <v/>
      </c>
      <c r="Q11" s="9" t="str">
        <f>IF(Table2[[#This Row],[Bottling Volume]]="","",Table2[[#This Row],[Bottling Volume]]-Table1[[#This Row],[Bottling Volume]])</f>
        <v/>
      </c>
      <c r="R11" s="9" t="str">
        <f>IF(Table2[[#This Row],[Pre-Boil Gravity]]="","",Table2[[#This Row],[Pre-Boil Gravity]]-Table1[[#This Row],[Pre-Boil Gravity]])</f>
        <v/>
      </c>
      <c r="S11" s="9" t="str">
        <f>IF(Table2[[#This Row],[Post-Boil Gravity]]="","",Table2[[#This Row],[Post-Boil Gravity]]-Table1[[#This Row],[Post-Boil Gravity]])</f>
        <v/>
      </c>
      <c r="T11" s="6" t="str">
        <f>IF(Table2[[#This Row],[Attenuation]]="","",Table2[[#This Row],[Attenuation]]-Table1[[#This Row],[Attenuation]])</f>
        <v/>
      </c>
      <c r="U11" s="6" t="str">
        <f>IF(Table2[[#This Row],[Mash Efficiency]]="","",Table2[[#This Row],[Mash Efficiency]]-Table1[[#This Row],[Mash Efficiency]])</f>
        <v/>
      </c>
      <c r="V11" s="6" t="str">
        <f>IF(Table2[[#This Row],[Brewhous Efficiency]]="","",Table2[[#This Row],[Brewhous Efficiency]]-Table1[[#This Row],[Brewhouse Efficiency]])</f>
        <v/>
      </c>
      <c r="W11" s="10" t="str">
        <f>IF(Table2[[#This Row],[BU/GU]]="","",Table2[[#This Row],[BU/GU]]-Table1[[#This Row],[BU/GU]])</f>
        <v/>
      </c>
      <c r="X11" s="10" t="str">
        <f>IF(Table2[[#This Row],[Relative Bitterness Ratio]]="","",Table2[[#This Row],[Relative Bitterness Ratio]]-Table1[[#This Row],[Relative Bitterness Ratio]])</f>
        <v/>
      </c>
      <c r="Y11" s="10" t="str">
        <f>IF(Table2[[#This Row],[Mash pH]]="","",Table2[[#This Row],[Mash pH]]-Table1[[#This Row],[Mash pH]])</f>
        <v/>
      </c>
      <c r="Z11" s="27"/>
      <c r="AA11" s="29" t="str">
        <f>IF(Table2[[#This Row],[Mash temp]]="","",Table2[[#This Row],[Mash temp]]-Table1[[#This Row],[Mash temp]])</f>
        <v/>
      </c>
      <c r="AB11" s="29" t="str">
        <f>IF(Table2[[#This Row],[Mash Time]]="","",Table2[[#This Row],[Mash Time]]-Table1[[#This Row],[Mash Time]])</f>
        <v/>
      </c>
      <c r="AC11" s="29" t="str">
        <f>IF(Table2[[#This Row],[Boil Time]]="","",Table2[[#This Row],[Boil Time]]-Table1[[#This Row],[Boil Time]])</f>
        <v/>
      </c>
      <c r="AD11" s="27"/>
      <c r="AE11" s="28" t="str">
        <f>IF(Table2[[#This Row],[fermentation Temperature]]="","",Table2[[#This Row],[fermentation Temperature]]-Table1[[#This Row],[Fermentation Temperature]])</f>
        <v/>
      </c>
      <c r="AF11" s="27" t="str">
        <f>IF(Table2[[#This Row],[Fermentation Duration]]="","",Table2[[#This Row],[Fermentation Duration]]-Table1[[#This Row],[Fermentation Duration]])</f>
        <v/>
      </c>
      <c r="AG11" s="28" t="str">
        <f>IF(Table2[[#This Row],[Conditioning Temperature]]="","",Table2[[#This Row],[Conditioning Temperature]]-Table1[[#This Row],[Conditioning Temperature]])</f>
        <v/>
      </c>
      <c r="AH11" s="29" t="str">
        <f>IF(Table2[[#This Row],[Conditioning Duration]]="","",Table2[[#This Row],[Conditioning Duration]]-Table1[[#This Row],[Conditioning Duration]])</f>
        <v/>
      </c>
    </row>
    <row r="12" spans="1:34" ht="30" x14ac:dyDescent="0.25">
      <c r="A12" s="36">
        <f>Table1[[#This Row],[Batch]]</f>
        <v>11</v>
      </c>
      <c r="B12" s="16" t="str">
        <f>Table1[[#This Row],[Name]]</f>
        <v>Shambles Brewery - Summer Ale Afternoon Delight (clone)</v>
      </c>
      <c r="C12" s="17" t="str">
        <f>Table1[[#This Row],[Style]]</f>
        <v>18A Blonde Ale</v>
      </c>
      <c r="D12" s="4" t="str">
        <f>Table1[[#This Row],[Type]]</f>
        <v>All Grain</v>
      </c>
      <c r="E12" s="5">
        <f>IF(Table1[[#This Row],[Date]]="","",Table1[[#This Row],[Date]])</f>
        <v>44317</v>
      </c>
      <c r="F12" s="41" t="str">
        <f>IF(Table2[[#This Row],[ABV]]="","",(Table2[[#This Row],[ABV]]-Table1[[#This Row],[ABV]]))</f>
        <v/>
      </c>
      <c r="G12" s="42" t="str">
        <f>IF(Table2[[#This Row],[IBU]]="","",(Table2[[#This Row],[IBU]]-Table1[[#This Row],[IBU]]))</f>
        <v/>
      </c>
      <c r="H12" s="43" t="str">
        <f>IF(Table2[[#This Row],[EBC]]="","",Table2[[#This Row],[EBC]]-Table1[[#This Row],[EBC]])</f>
        <v/>
      </c>
      <c r="I12" s="9" t="str">
        <f>IF(Table2[[#This Row],[OG]]="","",Table2[[#This Row],[OG]]-Table1[[#This Row],[OG]])</f>
        <v/>
      </c>
      <c r="J12" s="9" t="str">
        <f>IF(Table2[[#This Row],[FG]]="","",Table2[[#This Row],[FG]]-Table1[[#This Row],[FG]])</f>
        <v/>
      </c>
      <c r="K12" s="9" t="str">
        <f>IF(Table2[[#This Row],[Pre-Boil Volume]]="","",Table2[[#This Row],[Pre-Boil Volume]]-Table1[[#This Row],[Pre-Boil Volume]])</f>
        <v/>
      </c>
      <c r="L12" s="9" t="str">
        <f>IF(Table2[[#This Row],[Post-Boil Volume]]="","",Table2[[#This Row],[Post-Boil Volume]]-Table1[[#This Row],[Post-Boil Volume]])</f>
        <v/>
      </c>
      <c r="M12" s="9" t="str">
        <f>IF(Table2[[#This Row],[Boil-Off]]="","",Table2[[#This Row],[Boil-Off]]-Table1[[#This Row],[Boil-Off]])</f>
        <v/>
      </c>
      <c r="N12" s="9" t="str">
        <f>IF(Table2[[#This Row],[Top-up]]="","",Table2[[#This Row],[Top-up]]-Table1[[#This Row],[Top-up]])</f>
        <v/>
      </c>
      <c r="O12" s="9" t="str">
        <f>IF(Table2[[#This Row],[Fermenter Volume]]="","",Table2[[#This Row],[Fermenter Volume]]-Table1[[#This Row],[Fermenter Volume]])</f>
        <v/>
      </c>
      <c r="P12" s="9" t="str">
        <f>IF(Table2[[#This Row],[Trub Loss]]="","",Table2[[#This Row],[Trub Loss]]-Table1[[#This Row],[Trub Loss]])</f>
        <v/>
      </c>
      <c r="Q12" s="9" t="str">
        <f>IF(Table2[[#This Row],[Bottling Volume]]="","",Table2[[#This Row],[Bottling Volume]]-Table1[[#This Row],[Bottling Volume]])</f>
        <v/>
      </c>
      <c r="R12" s="9" t="str">
        <f>IF(Table2[[#This Row],[Pre-Boil Gravity]]="","",Table2[[#This Row],[Pre-Boil Gravity]]-Table1[[#This Row],[Pre-Boil Gravity]])</f>
        <v/>
      </c>
      <c r="S12" s="9" t="str">
        <f>IF(Table2[[#This Row],[Post-Boil Gravity]]="","",Table2[[#This Row],[Post-Boil Gravity]]-Table1[[#This Row],[Post-Boil Gravity]])</f>
        <v/>
      </c>
      <c r="T12" s="6" t="str">
        <f>IF(Table2[[#This Row],[Attenuation]]="","",Table2[[#This Row],[Attenuation]]-Table1[[#This Row],[Attenuation]])</f>
        <v/>
      </c>
      <c r="U12" s="6" t="str">
        <f>IF(Table2[[#This Row],[Mash Efficiency]]="","",Table2[[#This Row],[Mash Efficiency]]-Table1[[#This Row],[Mash Efficiency]])</f>
        <v/>
      </c>
      <c r="V12" s="6" t="str">
        <f>IF(Table2[[#This Row],[Brewhous Efficiency]]="","",Table2[[#This Row],[Brewhous Efficiency]]-Table1[[#This Row],[Brewhouse Efficiency]])</f>
        <v/>
      </c>
      <c r="W12" s="10" t="str">
        <f>IF(Table2[[#This Row],[BU/GU]]="","",Table2[[#This Row],[BU/GU]]-Table1[[#This Row],[BU/GU]])</f>
        <v/>
      </c>
      <c r="X12" s="10" t="str">
        <f>IF(Table2[[#This Row],[Relative Bitterness Ratio]]="","",Table2[[#This Row],[Relative Bitterness Ratio]]-Table1[[#This Row],[Relative Bitterness Ratio]])</f>
        <v/>
      </c>
      <c r="Y12" s="10" t="str">
        <f>IF(Table2[[#This Row],[Mash pH]]="","",Table2[[#This Row],[Mash pH]]-Table1[[#This Row],[Mash pH]])</f>
        <v/>
      </c>
      <c r="Z12" s="10"/>
      <c r="AA12" s="7" t="str">
        <f>IF(Table2[[#This Row],[Mash temp]]="","",Table2[[#This Row],[Mash temp]]-Table1[[#This Row],[Mash temp]])</f>
        <v/>
      </c>
      <c r="AB12" s="7" t="str">
        <f>IF(Table2[[#This Row],[Mash Time]]="","",Table2[[#This Row],[Mash Time]]-Table1[[#This Row],[Mash Time]])</f>
        <v/>
      </c>
      <c r="AC12" s="7" t="str">
        <f>IF(Table2[[#This Row],[Boil Time]]="","",Table2[[#This Row],[Boil Time]]-Table1[[#This Row],[Boil Time]])</f>
        <v/>
      </c>
      <c r="AD12" s="10"/>
      <c r="AE12" s="8" t="str">
        <f>IF(Table2[[#This Row],[fermentation Temperature]]="","",Table2[[#This Row],[fermentation Temperature]]-Table1[[#This Row],[Fermentation Temperature]])</f>
        <v/>
      </c>
      <c r="AF12" s="10" t="str">
        <f>IF(Table2[[#This Row],[Fermentation Duration]]="","",Table2[[#This Row],[Fermentation Duration]]-Table1[[#This Row],[Fermentation Duration]])</f>
        <v/>
      </c>
      <c r="AG12" s="8" t="str">
        <f>IF(Table2[[#This Row],[Conditioning Temperature]]="","",Table2[[#This Row],[Conditioning Temperature]]-Table1[[#This Row],[Conditioning Temperature]])</f>
        <v/>
      </c>
      <c r="AH12" s="7" t="str">
        <f>IF(Table2[[#This Row],[Conditioning Duration]]="","",Table2[[#This Row],[Conditioning Duration]]-Table1[[#This Row],[Conditioning Duration]])</f>
        <v/>
      </c>
    </row>
    <row r="13" spans="1:34" ht="30" x14ac:dyDescent="0.25">
      <c r="A13" s="36">
        <f>Table1[[#This Row],[Batch]]</f>
        <v>12</v>
      </c>
      <c r="B13" s="16" t="str">
        <f>Table1[[#This Row],[Name]]</f>
        <v>Five Points Brewing - Best Fuggles (clone) v2</v>
      </c>
      <c r="C13" s="17" t="str">
        <f>Table1[[#This Row],[Style]]</f>
        <v>11B Best Bitter</v>
      </c>
      <c r="D13" s="4" t="str">
        <f>Table1[[#This Row],[Type]]</f>
        <v>All Grain</v>
      </c>
      <c r="E13" s="5">
        <f>IF(Table1[[#This Row],[Date]]="","",Table1[[#This Row],[Date]])</f>
        <v>44352</v>
      </c>
      <c r="F13" s="41" t="str">
        <f>IF(Table2[[#This Row],[ABV]]="","",(Table2[[#This Row],[ABV]]-Table1[[#This Row],[ABV]]))</f>
        <v/>
      </c>
      <c r="G13" s="42" t="str">
        <f>IF(Table2[[#This Row],[IBU]]="","",(Table2[[#This Row],[IBU]]-Table1[[#This Row],[IBU]]))</f>
        <v/>
      </c>
      <c r="H13" s="43" t="str">
        <f>IF(Table2[[#This Row],[EBC]]="","",Table2[[#This Row],[EBC]]-Table1[[#This Row],[EBC]])</f>
        <v/>
      </c>
      <c r="I13" s="9" t="str">
        <f>IF(Table2[[#This Row],[OG]]="","",Table2[[#This Row],[OG]]-Table1[[#This Row],[OG]])</f>
        <v/>
      </c>
      <c r="J13" s="9" t="str">
        <f>IF(Table2[[#This Row],[FG]]="","",Table2[[#This Row],[FG]]-Table1[[#This Row],[FG]])</f>
        <v/>
      </c>
      <c r="K13" s="9" t="str">
        <f>IF(Table2[[#This Row],[Pre-Boil Volume]]="","",Table2[[#This Row],[Pre-Boil Volume]]-Table1[[#This Row],[Pre-Boil Volume]])</f>
        <v/>
      </c>
      <c r="L13" s="9" t="str">
        <f>IF(Table2[[#This Row],[Post-Boil Volume]]="","",Table2[[#This Row],[Post-Boil Volume]]-Table1[[#This Row],[Post-Boil Volume]])</f>
        <v/>
      </c>
      <c r="M13" s="9" t="str">
        <f>IF(Table2[[#This Row],[Boil-Off]]="","",Table2[[#This Row],[Boil-Off]]-Table1[[#This Row],[Boil-Off]])</f>
        <v/>
      </c>
      <c r="N13" s="9" t="str">
        <f>IF(Table2[[#This Row],[Top-up]]="","",Table2[[#This Row],[Top-up]]-Table1[[#This Row],[Top-up]])</f>
        <v/>
      </c>
      <c r="O13" s="9" t="str">
        <f>IF(Table2[[#This Row],[Fermenter Volume]]="","",Table2[[#This Row],[Fermenter Volume]]-Table1[[#This Row],[Fermenter Volume]])</f>
        <v/>
      </c>
      <c r="P13" s="9" t="str">
        <f>IF(Table2[[#This Row],[Trub Loss]]="","",Table2[[#This Row],[Trub Loss]]-Table1[[#This Row],[Trub Loss]])</f>
        <v/>
      </c>
      <c r="Q13" s="9" t="str">
        <f>IF(Table2[[#This Row],[Bottling Volume]]="","",Table2[[#This Row],[Bottling Volume]]-Table1[[#This Row],[Bottling Volume]])</f>
        <v/>
      </c>
      <c r="R13" s="9" t="str">
        <f>IF(Table2[[#This Row],[Pre-Boil Gravity]]="","",Table2[[#This Row],[Pre-Boil Gravity]]-Table1[[#This Row],[Pre-Boil Gravity]])</f>
        <v/>
      </c>
      <c r="S13" s="9" t="str">
        <f>IF(Table2[[#This Row],[Post-Boil Gravity]]="","",Table2[[#This Row],[Post-Boil Gravity]]-Table1[[#This Row],[Post-Boil Gravity]])</f>
        <v/>
      </c>
      <c r="T13" s="6" t="str">
        <f>IF(Table2[[#This Row],[Attenuation]]="","",Table2[[#This Row],[Attenuation]]-Table1[[#This Row],[Attenuation]])</f>
        <v/>
      </c>
      <c r="U13" s="6" t="str">
        <f>IF(Table2[[#This Row],[Mash Efficiency]]="","",Table2[[#This Row],[Mash Efficiency]]-Table1[[#This Row],[Mash Efficiency]])</f>
        <v/>
      </c>
      <c r="V13" s="6" t="str">
        <f>IF(Table2[[#This Row],[Brewhous Efficiency]]="","",Table2[[#This Row],[Brewhous Efficiency]]-Table1[[#This Row],[Brewhouse Efficiency]])</f>
        <v/>
      </c>
      <c r="W13" s="10" t="str">
        <f>IF(Table2[[#This Row],[BU/GU]]="","",Table2[[#This Row],[BU/GU]]-Table1[[#This Row],[BU/GU]])</f>
        <v/>
      </c>
      <c r="X13" s="10" t="str">
        <f>IF(Table2[[#This Row],[Relative Bitterness Ratio]]="","",Table2[[#This Row],[Relative Bitterness Ratio]]-Table1[[#This Row],[Relative Bitterness Ratio]])</f>
        <v/>
      </c>
      <c r="Y13" s="10" t="str">
        <f>IF(Table2[[#This Row],[Mash pH]]="","",Table2[[#This Row],[Mash pH]]-Table1[[#This Row],[Mash pH]])</f>
        <v/>
      </c>
      <c r="Z13" s="10"/>
      <c r="AA13" s="7" t="str">
        <f>IF(Table2[[#This Row],[Mash temp]]="","",Table2[[#This Row],[Mash temp]]-Table1[[#This Row],[Mash temp]])</f>
        <v/>
      </c>
      <c r="AB13" s="7" t="str">
        <f>IF(Table2[[#This Row],[Mash Time]]="","",Table2[[#This Row],[Mash Time]]-Table1[[#This Row],[Mash Time]])</f>
        <v/>
      </c>
      <c r="AC13" s="7" t="str">
        <f>IF(Table2[[#This Row],[Boil Time]]="","",Table2[[#This Row],[Boil Time]]-Table1[[#This Row],[Boil Time]])</f>
        <v/>
      </c>
      <c r="AD13" s="10"/>
      <c r="AE13" s="8" t="str">
        <f>IF(Table2[[#This Row],[fermentation Temperature]]="","",Table2[[#This Row],[fermentation Temperature]]-Table1[[#This Row],[Fermentation Temperature]])</f>
        <v/>
      </c>
      <c r="AF13" s="10" t="str">
        <f>IF(Table2[[#This Row],[Fermentation Duration]]="","",Table2[[#This Row],[Fermentation Duration]]-Table1[[#This Row],[Fermentation Duration]])</f>
        <v/>
      </c>
      <c r="AG13" s="8" t="str">
        <f>IF(Table2[[#This Row],[Conditioning Temperature]]="","",Table2[[#This Row],[Conditioning Temperature]]-Table1[[#This Row],[Conditioning Temperature]])</f>
        <v/>
      </c>
      <c r="AH13" s="7" t="str">
        <f>IF(Table2[[#This Row],[Conditioning Duration]]="","",Table2[[#This Row],[Conditioning Duration]]-Table1[[#This Row],[Conditioning Duration]])</f>
        <v/>
      </c>
    </row>
  </sheetData>
  <conditionalFormatting sqref="F2:Y7">
    <cfRule type="cellIs" dxfId="44" priority="9" operator="lessThan">
      <formula>0</formula>
    </cfRule>
  </conditionalFormatting>
  <conditionalFormatting sqref="F8:Y8">
    <cfRule type="cellIs" dxfId="43" priority="8" operator="lessThan">
      <formula>0</formula>
    </cfRule>
  </conditionalFormatting>
  <conditionalFormatting sqref="F9:Y9">
    <cfRule type="cellIs" dxfId="42" priority="7" operator="lessThan">
      <formula>0</formula>
    </cfRule>
  </conditionalFormatting>
  <conditionalFormatting sqref="F10:Y10">
    <cfRule type="cellIs" dxfId="41" priority="6" operator="lessThan">
      <formula>0</formula>
    </cfRule>
  </conditionalFormatting>
  <conditionalFormatting sqref="F11:Y11">
    <cfRule type="cellIs" dxfId="40" priority="5" operator="lessThan">
      <formula>0</formula>
    </cfRule>
  </conditionalFormatting>
  <conditionalFormatting sqref="I12:Y12">
    <cfRule type="cellIs" dxfId="39" priority="4" operator="lessThan">
      <formula>0</formula>
    </cfRule>
  </conditionalFormatting>
  <conditionalFormatting sqref="F12:H12">
    <cfRule type="cellIs" dxfId="38" priority="3" operator="lessThan">
      <formula>0</formula>
    </cfRule>
  </conditionalFormatting>
  <conditionalFormatting sqref="I13:Y13">
    <cfRule type="cellIs" dxfId="37" priority="2" operator="lessThan">
      <formula>0</formula>
    </cfRule>
  </conditionalFormatting>
  <conditionalFormatting sqref="F13:H13">
    <cfRule type="cellIs" dxfId="36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6" orientation="landscape" r:id="rId1"/>
  <headerFooter>
    <oddHeader>&amp;C&amp;A</oddHeader>
    <oddFooter>&amp;L&amp;F&amp;C&amp;P / &amp;N&amp;R&amp;D | &amp;T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19</vt:i4>
      </vt:variant>
    </vt:vector>
  </HeadingPairs>
  <TitlesOfParts>
    <vt:vector size="22" baseType="lpstr">
      <vt:lpstr>Recipes</vt:lpstr>
      <vt:lpstr>Batches</vt:lpstr>
      <vt:lpstr>Results</vt:lpstr>
      <vt:lpstr>Pre-Boil Volume</vt:lpstr>
      <vt:lpstr>Mash pH</vt:lpstr>
      <vt:lpstr>Post-Boil Volume</vt:lpstr>
      <vt:lpstr>Trub Loss</vt:lpstr>
      <vt:lpstr>Top-up</vt:lpstr>
      <vt:lpstr>Fermenter Volume</vt:lpstr>
      <vt:lpstr>Bottling Volume</vt:lpstr>
      <vt:lpstr>Pre-Boil Gravity</vt:lpstr>
      <vt:lpstr>Post-Boil Gravity</vt:lpstr>
      <vt:lpstr>Mash Efficiency</vt:lpstr>
      <vt:lpstr>Original Gravity</vt:lpstr>
      <vt:lpstr>Attenuation</vt:lpstr>
      <vt:lpstr>Final Gravity</vt:lpstr>
      <vt:lpstr>ABV</vt:lpstr>
      <vt:lpstr>IBU</vt:lpstr>
      <vt:lpstr>BU_GU</vt:lpstr>
      <vt:lpstr>RB Ratio</vt:lpstr>
      <vt:lpstr>EBC</vt:lpstr>
      <vt:lpstr>BH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2020-12-05T20:21:46Z</cp:lastPrinted>
  <dcterms:created xsi:type="dcterms:W3CDTF">2015-06-05T18:19:34Z</dcterms:created>
  <dcterms:modified xsi:type="dcterms:W3CDTF">2020-12-06T20:51:37Z</dcterms:modified>
</cp:coreProperties>
</file>