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hcs-data\albert_hu$\Documents\bbg\"/>
    </mc:Choice>
  </mc:AlternateContent>
  <bookViews>
    <workbookView xWindow="10395" yWindow="-105" windowWidth="14850" windowHeight="12735"/>
  </bookViews>
  <sheets>
    <sheet name="Municipals" sheetId="2" r:id="rId1"/>
    <sheet name="Sheet1" sheetId="4" r:id="rId2"/>
    <sheet name="Sheet2" sheetId="5" r:id="rId3"/>
    <sheet name="Context" sheetId="3" r:id="rId4"/>
  </sheets>
  <calcPr calcId="162913"/>
</workbook>
</file>

<file path=xl/calcChain.xml><?xml version="1.0" encoding="utf-8"?>
<calcChain xmlns="http://schemas.openxmlformats.org/spreadsheetml/2006/main">
  <c r="B45" i="4" l="1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E46" i="2"/>
  <c r="C45" i="2"/>
  <c r="A44" i="2"/>
  <c r="E42" i="2"/>
  <c r="C41" i="2"/>
  <c r="A40" i="2"/>
  <c r="E38" i="2"/>
  <c r="C37" i="2"/>
  <c r="A36" i="2"/>
  <c r="E34" i="2"/>
  <c r="C33" i="2"/>
  <c r="A32" i="2"/>
  <c r="E30" i="2"/>
  <c r="C29" i="2"/>
  <c r="A28" i="2"/>
  <c r="E26" i="2"/>
  <c r="C25" i="2"/>
  <c r="A24" i="2"/>
  <c r="E22" i="2"/>
  <c r="C21" i="2"/>
  <c r="A20" i="2"/>
  <c r="E18" i="2"/>
  <c r="C17" i="2"/>
  <c r="A16" i="2"/>
  <c r="E14" i="2"/>
  <c r="C13" i="2"/>
  <c r="A12" i="2"/>
  <c r="E10" i="2"/>
  <c r="C9" i="2"/>
  <c r="A8" i="2"/>
  <c r="E6" i="2"/>
  <c r="C5" i="2"/>
  <c r="D46" i="2"/>
  <c r="B45" i="2"/>
  <c r="F43" i="2"/>
  <c r="D42" i="2"/>
  <c r="B41" i="2"/>
  <c r="F39" i="2"/>
  <c r="D38" i="2"/>
  <c r="B37" i="2"/>
  <c r="F35" i="2"/>
  <c r="D34" i="2"/>
  <c r="B33" i="2"/>
  <c r="F31" i="2"/>
  <c r="D30" i="2"/>
  <c r="B29" i="2"/>
  <c r="F27" i="2"/>
  <c r="D26" i="2"/>
  <c r="B25" i="2"/>
  <c r="F23" i="2"/>
  <c r="D22" i="2"/>
  <c r="B21" i="2"/>
  <c r="F19" i="2"/>
  <c r="D18" i="2"/>
  <c r="B17" i="2"/>
  <c r="F15" i="2"/>
  <c r="D14" i="2"/>
  <c r="B13" i="2"/>
  <c r="F11" i="2"/>
  <c r="D10" i="2"/>
  <c r="B9" i="2"/>
  <c r="F7" i="2"/>
  <c r="D6" i="2"/>
  <c r="B5" i="2"/>
  <c r="F3" i="2"/>
  <c r="C46" i="2"/>
  <c r="A45" i="2"/>
  <c r="E43" i="2"/>
  <c r="C42" i="2"/>
  <c r="A41" i="2"/>
  <c r="E39" i="2"/>
  <c r="C38" i="2"/>
  <c r="A37" i="2"/>
  <c r="E35" i="2"/>
  <c r="C34" i="2"/>
  <c r="A33" i="2"/>
  <c r="E31" i="2"/>
  <c r="C30" i="2"/>
  <c r="A29" i="2"/>
  <c r="E27" i="2"/>
  <c r="C26" i="2"/>
  <c r="A25" i="2"/>
  <c r="E23" i="2"/>
  <c r="C22" i="2"/>
  <c r="A21" i="2"/>
  <c r="E19" i="2"/>
  <c r="C18" i="2"/>
  <c r="A17" i="2"/>
  <c r="E15" i="2"/>
  <c r="C14" i="2"/>
  <c r="A13" i="2"/>
  <c r="E11" i="2"/>
  <c r="C10" i="2"/>
  <c r="A9" i="2"/>
  <c r="E7" i="2"/>
  <c r="C6" i="2"/>
  <c r="A5" i="2"/>
  <c r="E3" i="2"/>
  <c r="C2" i="2"/>
  <c r="B44" i="2"/>
  <c r="B36" i="2"/>
  <c r="D29" i="2"/>
  <c r="F22" i="2"/>
  <c r="D17" i="2"/>
  <c r="F10" i="2"/>
  <c r="B4" i="2"/>
  <c r="B46" i="2"/>
  <c r="F44" i="2"/>
  <c r="D43" i="2"/>
  <c r="B42" i="2"/>
  <c r="F40" i="2"/>
  <c r="D39" i="2"/>
  <c r="B38" i="2"/>
  <c r="F36" i="2"/>
  <c r="D35" i="2"/>
  <c r="B34" i="2"/>
  <c r="F32" i="2"/>
  <c r="D31" i="2"/>
  <c r="B30" i="2"/>
  <c r="F28" i="2"/>
  <c r="D27" i="2"/>
  <c r="B26" i="2"/>
  <c r="F24" i="2"/>
  <c r="D23" i="2"/>
  <c r="B22" i="2"/>
  <c r="F20" i="2"/>
  <c r="D19" i="2"/>
  <c r="B18" i="2"/>
  <c r="F16" i="2"/>
  <c r="D15" i="2"/>
  <c r="B14" i="2"/>
  <c r="F12" i="2"/>
  <c r="D11" i="2"/>
  <c r="B10" i="2"/>
  <c r="F8" i="2"/>
  <c r="D7" i="2"/>
  <c r="B6" i="2"/>
  <c r="F4" i="2"/>
  <c r="D3" i="2"/>
  <c r="B2" i="2"/>
  <c r="F42" i="2"/>
  <c r="B40" i="2"/>
  <c r="F34" i="2"/>
  <c r="D25" i="2"/>
  <c r="F18" i="2"/>
  <c r="B12" i="2"/>
  <c r="F6" i="2"/>
  <c r="A4" i="2"/>
  <c r="A46" i="2"/>
  <c r="E44" i="2"/>
  <c r="C43" i="2"/>
  <c r="A42" i="2"/>
  <c r="E40" i="2"/>
  <c r="C39" i="2"/>
  <c r="A38" i="2"/>
  <c r="E36" i="2"/>
  <c r="C35" i="2"/>
  <c r="A34" i="2"/>
  <c r="E32" i="2"/>
  <c r="C31" i="2"/>
  <c r="A30" i="2"/>
  <c r="E28" i="2"/>
  <c r="C27" i="2"/>
  <c r="A26" i="2"/>
  <c r="E24" i="2"/>
  <c r="C23" i="2"/>
  <c r="A22" i="2"/>
  <c r="E20" i="2"/>
  <c r="C19" i="2"/>
  <c r="A18" i="2"/>
  <c r="E16" i="2"/>
  <c r="C15" i="2"/>
  <c r="A14" i="2"/>
  <c r="E12" i="2"/>
  <c r="C11" i="2"/>
  <c r="A10" i="2"/>
  <c r="E8" i="2"/>
  <c r="C7" i="2"/>
  <c r="A6" i="2"/>
  <c r="E4" i="2"/>
  <c r="C3" i="2"/>
  <c r="A2" i="2"/>
  <c r="D41" i="2"/>
  <c r="F30" i="2"/>
  <c r="B24" i="2"/>
  <c r="B16" i="2"/>
  <c r="B8" i="2"/>
  <c r="E2" i="2"/>
  <c r="F45" i="2"/>
  <c r="D44" i="2"/>
  <c r="B43" i="2"/>
  <c r="F41" i="2"/>
  <c r="D40" i="2"/>
  <c r="B39" i="2"/>
  <c r="F37" i="2"/>
  <c r="D36" i="2"/>
  <c r="B35" i="2"/>
  <c r="F33" i="2"/>
  <c r="D32" i="2"/>
  <c r="B31" i="2"/>
  <c r="F29" i="2"/>
  <c r="D28" i="2"/>
  <c r="B27" i="2"/>
  <c r="F25" i="2"/>
  <c r="D24" i="2"/>
  <c r="B23" i="2"/>
  <c r="F21" i="2"/>
  <c r="D20" i="2"/>
  <c r="B19" i="2"/>
  <c r="F17" i="2"/>
  <c r="D16" i="2"/>
  <c r="B15" i="2"/>
  <c r="F13" i="2"/>
  <c r="D12" i="2"/>
  <c r="B11" i="2"/>
  <c r="F9" i="2"/>
  <c r="D8" i="2"/>
  <c r="B7" i="2"/>
  <c r="F5" i="2"/>
  <c r="D4" i="2"/>
  <c r="B3" i="2"/>
  <c r="D45" i="2"/>
  <c r="F38" i="2"/>
  <c r="D33" i="2"/>
  <c r="F26" i="2"/>
  <c r="B20" i="2"/>
  <c r="D13" i="2"/>
  <c r="D5" i="2"/>
  <c r="D2" i="2"/>
  <c r="E45" i="2"/>
  <c r="C44" i="2"/>
  <c r="A43" i="2"/>
  <c r="E41" i="2"/>
  <c r="C40" i="2"/>
  <c r="A39" i="2"/>
  <c r="E37" i="2"/>
  <c r="C36" i="2"/>
  <c r="A35" i="2"/>
  <c r="E33" i="2"/>
  <c r="C32" i="2"/>
  <c r="A31" i="2"/>
  <c r="E29" i="2"/>
  <c r="C28" i="2"/>
  <c r="A27" i="2"/>
  <c r="E25" i="2"/>
  <c r="C24" i="2"/>
  <c r="A23" i="2"/>
  <c r="E21" i="2"/>
  <c r="C20" i="2"/>
  <c r="A19" i="2"/>
  <c r="E17" i="2"/>
  <c r="C16" i="2"/>
  <c r="A15" i="2"/>
  <c r="E13" i="2"/>
  <c r="C12" i="2"/>
  <c r="A11" i="2"/>
  <c r="E9" i="2"/>
  <c r="C8" i="2"/>
  <c r="A7" i="2"/>
  <c r="E5" i="2"/>
  <c r="C4" i="2"/>
  <c r="A3" i="2"/>
  <c r="F46" i="2"/>
  <c r="D37" i="2"/>
  <c r="B32" i="2"/>
  <c r="B28" i="2"/>
  <c r="D21" i="2"/>
  <c r="F14" i="2"/>
  <c r="D9" i="2"/>
  <c r="F2" i="2"/>
</calcChain>
</file>

<file path=xl/sharedStrings.xml><?xml version="1.0" encoding="utf-8"?>
<sst xmlns="http://schemas.openxmlformats.org/spreadsheetml/2006/main" count="315" uniqueCount="131">
  <si>
    <t>CUSIP</t>
  </si>
  <si>
    <t>Issuer Name</t>
  </si>
  <si>
    <t>State</t>
  </si>
  <si>
    <t>Cpn</t>
  </si>
  <si>
    <t>Dated Date</t>
  </si>
  <si>
    <t>Maturity</t>
  </si>
  <si>
    <t>Mty Size</t>
  </si>
  <si>
    <t>Amt Out</t>
  </si>
  <si>
    <t>Summary</t>
  </si>
  <si>
    <t>SRCH Results</t>
  </si>
  <si>
    <t>Number of securities: 45</t>
  </si>
  <si>
    <t>Currency: USD</t>
  </si>
  <si>
    <t>Created by  ALBERT HU ( UNIVERSITY OF CALIFORNIA, IRVINE )  on  02/17/2017 23:43:34 GMT-0500 (EST)</t>
  </si>
  <si>
    <t>SRCH Criteria</t>
  </si>
  <si>
    <t>Asset Classes: Municipals</t>
  </si>
  <si>
    <t>Sources: FIINDEX</t>
  </si>
  <si>
    <t xml:space="preserve">Security: </t>
  </si>
  <si>
    <t xml:space="preserve"> AND </t>
  </si>
  <si>
    <t>Security Status</t>
  </si>
  <si>
    <t>Include</t>
  </si>
  <si>
    <t>Municipals : Active</t>
  </si>
  <si>
    <t>Muni Issue Type</t>
  </si>
  <si>
    <t>Include [Match Any]</t>
  </si>
  <si>
    <t>General Obligation Limited Bonds or General Obligation Unlimited Bonds or General Obligation Unlimited Notes or General Obligation Limited Notes</t>
  </si>
  <si>
    <t>S&amp;P Long Term Rating</t>
  </si>
  <si>
    <t>between</t>
  </si>
  <si>
    <t>AA+ and AA+</t>
  </si>
  <si>
    <t>U.S. States &amp; Territories</t>
  </si>
  <si>
    <t>California</t>
  </si>
  <si>
    <t>MSRB Most Recent Trading Day</t>
  </si>
  <si>
    <t>Greater than</t>
  </si>
  <si>
    <t>02/01/2017</t>
  </si>
  <si>
    <t>In the range</t>
  </si>
  <si>
    <t>02/01/2026 to 02/28/2028</t>
  </si>
  <si>
    <t>Issue Date</t>
  </si>
  <si>
    <t>Less than</t>
  </si>
  <si>
    <t>04/01/2017</t>
  </si>
  <si>
    <t>797272PD7</t>
  </si>
  <si>
    <t>190335DF3</t>
  </si>
  <si>
    <t>797646V52</t>
  </si>
  <si>
    <t>54438CTB8</t>
  </si>
  <si>
    <t>797646ZK5</t>
  </si>
  <si>
    <t>56781RDM6</t>
  </si>
  <si>
    <t>797646A71</t>
  </si>
  <si>
    <t>54438CUU4</t>
  </si>
  <si>
    <t>652113UL3</t>
  </si>
  <si>
    <t>797646V45</t>
  </si>
  <si>
    <t>13063CJ27</t>
  </si>
  <si>
    <t>617403CL2</t>
  </si>
  <si>
    <t>799017DG0</t>
  </si>
  <si>
    <t>54438CTA0</t>
  </si>
  <si>
    <t>54438CKR2</t>
  </si>
  <si>
    <t>797272LT6</t>
  </si>
  <si>
    <t>797646YP5</t>
  </si>
  <si>
    <t>13063AZV9</t>
  </si>
  <si>
    <t>13063CH45</t>
  </si>
  <si>
    <t>797272PT2</t>
  </si>
  <si>
    <t>799017NZ7</t>
  </si>
  <si>
    <t>084113QL6</t>
  </si>
  <si>
    <t>652113WW7</t>
  </si>
  <si>
    <t>54438CJK9</t>
  </si>
  <si>
    <t>799017FZ6</t>
  </si>
  <si>
    <t>54438CPY2</t>
  </si>
  <si>
    <t>799017TJ7</t>
  </si>
  <si>
    <t>121457HA6</t>
  </si>
  <si>
    <t>54438CVG4</t>
  </si>
  <si>
    <t>54438CVF6</t>
  </si>
  <si>
    <t>231237A73</t>
  </si>
  <si>
    <t>797272JG7</t>
  </si>
  <si>
    <t>799017NH7</t>
  </si>
  <si>
    <t>799017CH9</t>
  </si>
  <si>
    <t>088023KN5</t>
  </si>
  <si>
    <t>697634ZV8</t>
  </si>
  <si>
    <t>797646QG4</t>
  </si>
  <si>
    <t>799017RF7</t>
  </si>
  <si>
    <t>088023LN4</t>
  </si>
  <si>
    <t>231237D88</t>
  </si>
  <si>
    <t>13063CH37</t>
  </si>
  <si>
    <t>121457FD2</t>
  </si>
  <si>
    <t>088023LP9</t>
  </si>
  <si>
    <t>012086CR3</t>
  </si>
  <si>
    <t>798866ZG7</t>
  </si>
  <si>
    <t>797272PD7 Muni</t>
  </si>
  <si>
    <t>Date</t>
  </si>
  <si>
    <t>PX_LAST</t>
  </si>
  <si>
    <t>PX_BID</t>
  </si>
  <si>
    <t>BID_YIELD</t>
  </si>
  <si>
    <t>190335DF3 Muni</t>
  </si>
  <si>
    <t>797646V52 Muni</t>
  </si>
  <si>
    <t>54438CTB8 Muni</t>
  </si>
  <si>
    <t>797646ZK5 Muni</t>
  </si>
  <si>
    <t>56781RDM6 Muni</t>
  </si>
  <si>
    <t>797646A71 Muni</t>
  </si>
  <si>
    <t>54438CUU4 Muni</t>
  </si>
  <si>
    <t>652113UL3 Muni</t>
  </si>
  <si>
    <t>797646V45 Muni</t>
  </si>
  <si>
    <t>13063CJ27 Muni</t>
  </si>
  <si>
    <t>617403CL2 Muni</t>
  </si>
  <si>
    <t>799017DG0 Muni</t>
  </si>
  <si>
    <t>54438CTA0 Muni</t>
  </si>
  <si>
    <t>54438CKR2 Muni</t>
  </si>
  <si>
    <t>797272LT6 Muni</t>
  </si>
  <si>
    <t>797646YP5 Muni</t>
  </si>
  <si>
    <t>13063AZV9 Muni</t>
  </si>
  <si>
    <t>13063CH45 Muni</t>
  </si>
  <si>
    <t>797272PT2 Muni</t>
  </si>
  <si>
    <t>799017NZ7 Muni</t>
  </si>
  <si>
    <t>084113QL6 Muni</t>
  </si>
  <si>
    <t>652113WW7 Muni</t>
  </si>
  <si>
    <t>54438CJK9 Muni</t>
  </si>
  <si>
    <t>799017FZ6 Muni</t>
  </si>
  <si>
    <t>54438CPY2 Muni</t>
  </si>
  <si>
    <t>799017TJ7 Muni</t>
  </si>
  <si>
    <t>121457HA6 Muni</t>
  </si>
  <si>
    <t>54438CVG4 Muni</t>
  </si>
  <si>
    <t>54438CVF6 Muni</t>
  </si>
  <si>
    <t>231237A73 Muni</t>
  </si>
  <si>
    <t>797272JG7 Muni</t>
  </si>
  <si>
    <t>799017NH7 Muni</t>
  </si>
  <si>
    <t>799017CH9 Muni</t>
  </si>
  <si>
    <t>088023KN5 Muni</t>
  </si>
  <si>
    <t>697634ZV8 Muni</t>
  </si>
  <si>
    <t>797646QG4 Muni</t>
  </si>
  <si>
    <t>799017RF7 Muni</t>
  </si>
  <si>
    <t>088023LN4 Muni</t>
  </si>
  <si>
    <t>231237D88 Muni</t>
  </si>
  <si>
    <t>13063CH37 Muni</t>
  </si>
  <si>
    <t>121457FD2 Muni</t>
  </si>
  <si>
    <t>088023LP9 Muni</t>
  </si>
  <si>
    <t>012086CR3 Muni</t>
  </si>
  <si>
    <t>798866ZG7 Muni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</si>
</sst>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AC09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9" fillId="12" borderId="0" applyNumberFormat="0" applyBorder="0" applyAlignment="0" applyProtection="0"/>
    <xf numFmtId="0" fontId="19" fillId="16" borderId="0" applyNumberFormat="0" applyBorder="0" applyAlignment="0" applyProtection="0"/>
    <xf numFmtId="0" fontId="19" fillId="20" borderId="0" applyNumberFormat="0" applyBorder="0" applyAlignment="0" applyProtection="0"/>
    <xf numFmtId="0" fontId="19" fillId="24" borderId="0" applyNumberFormat="0" applyBorder="0" applyAlignment="0" applyProtection="0"/>
    <xf numFmtId="0" fontId="19" fillId="28" borderId="0" applyNumberFormat="0" applyBorder="0" applyAlignment="0" applyProtection="0"/>
    <xf numFmtId="0" fontId="19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9" fillId="3" borderId="0" applyNumberFormat="0" applyBorder="0" applyAlignment="0" applyProtection="0"/>
    <xf numFmtId="0" fontId="2" fillId="33" borderId="0"/>
    <xf numFmtId="0" fontId="1" fillId="0" borderId="0">
      <alignment horizontal="centerContinuous"/>
    </xf>
    <xf numFmtId="0" fontId="3" fillId="0" borderId="0" applyNumberFormat="0" applyFont="0" applyFill="0" applyBorder="0" applyProtection="0">
      <alignment wrapText="1"/>
    </xf>
    <xf numFmtId="0" fontId="1" fillId="34" borderId="0"/>
    <xf numFmtId="0" fontId="13" fillId="6" borderId="4" applyNumberFormat="0" applyAlignment="0" applyProtection="0"/>
    <xf numFmtId="0" fontId="15" fillId="7" borderId="7" applyNumberFormat="0" applyAlignment="0" applyProtection="0"/>
    <xf numFmtId="0" fontId="1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11" fillId="5" borderId="4" applyNumberFormat="0" applyAlignment="0" applyProtection="0"/>
    <xf numFmtId="0" fontId="14" fillId="0" borderId="6" applyNumberFormat="0" applyFill="0" applyAlignment="0" applyProtection="0"/>
    <xf numFmtId="0" fontId="10" fillId="4" borderId="0" applyNumberFormat="0" applyBorder="0" applyAlignment="0" applyProtection="0"/>
    <xf numFmtId="0" fontId="3" fillId="8" borderId="8" applyNumberFormat="0" applyFont="0" applyAlignment="0" applyProtection="0"/>
    <xf numFmtId="0" fontId="12" fillId="6" borderId="5" applyNumberFormat="0" applyAlignment="0" applyProtection="0"/>
    <xf numFmtId="0" fontId="4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" fillId="34" borderId="0" xfId="29" applyNumberFormat="1" applyFont="1" applyFill="1" applyBorder="1" applyAlignment="1" applyProtection="1"/>
    <xf numFmtId="0" fontId="2" fillId="33" borderId="0" xfId="26" applyNumberFormat="1" applyFont="1" applyFill="1" applyBorder="1" applyAlignment="1" applyProtection="1"/>
    <xf numFmtId="0" fontId="0" fillId="0" borderId="0" xfId="0"/>
    <xf numFmtId="0" fontId="1" fillId="0" borderId="0" xfId="27" applyNumberFormat="1" applyFont="1" applyFill="1" applyBorder="1" applyAlignment="1" applyProtection="1">
      <alignment horizontal="center"/>
    </xf>
    <xf numFmtId="0" fontId="2" fillId="33" borderId="0" xfId="26" applyNumberFormat="1" applyFont="1" applyFill="1" applyBorder="1" applyAlignment="1" applyProtection="1"/>
    <xf numFmtId="0" fontId="3" fillId="0" borderId="0" xfId="28" applyFont="1" applyAlignment="1">
      <alignment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blp_financial_statement_name" xfId="27"/>
    <cellStyle name="blp_multiline_cell" xfId="28"/>
    <cellStyle name="blp_row_header" xfId="29"/>
    <cellStyle name="Calculation" xfId="30" builtinId="22" customBuiltin="1"/>
    <cellStyle name="Check Cell" xfId="31" builtinId="23" customBuiltin="1"/>
    <cellStyle name="Explanatory Text" xfId="32" builtinId="53" customBuiltin="1"/>
    <cellStyle name="Good" xfId="33" builtinId="26" customBuiltin="1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Linked Cell" xfId="39" builtinId="24" customBuiltin="1"/>
    <cellStyle name="Neutral" xfId="40" builtinId="28" customBuiltin="1"/>
    <cellStyle name="Normal" xfId="0" builtinId="0"/>
    <cellStyle name="Note" xfId="41" builtinId="10" customBuiltin="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CA</v>
        <stp/>
        <stp>##V3_BDPV12</stp>
        <stp>088023LP Muni</stp>
        <stp>STATE_CODE</stp>
        <stp>[grid1_xnsj2b23.xlsx]Municipals!R44C3</stp>
        <tr r="C44" s="2"/>
      </tp>
      <tp t="s">
        <v>CA</v>
        <stp/>
        <stp>##V3_BDPV12</stp>
        <stp>012086CR Muni</stp>
        <stp>STATE_CODE</stp>
        <stp>[grid1_xnsj2b23.xlsx]Municipals!R45C3</stp>
        <tr r="C45" s="2"/>
      </tp>
      <tp t="s">
        <v>CA</v>
        <stp/>
        <stp>##V3_BDPV12</stp>
        <stp>54438CKR Muni</stp>
        <stp>STATE_CODE</stp>
        <stp>[grid1_xnsj2b23.xlsx]Municipals!R16C3</stp>
        <tr r="C16" s="2"/>
      </tp>
      <tp t="s">
        <v>CA</v>
        <stp/>
        <stp>##V3_BDPV12</stp>
        <stp>797272PT Muni</stp>
        <stp>STATE_CODE</stp>
        <stp>[grid1_xnsj2b23.xlsx]Municipals!R21C3</stp>
        <tr r="C21" s="2"/>
      </tp>
      <tp t="s">
        <v>CA</v>
        <stp/>
        <stp>##V3_BDPV12</stp>
        <stp>697634ZV Muni</stp>
        <stp>STATE_CODE</stp>
        <stp>[grid1_xnsj2b23.xlsx]Municipals!R37C3</stp>
        <tr r="C37" s="2"/>
      </tp>
      <tp t="s">
        <v>CA</v>
        <stp/>
        <stp>##V3_BDPV12</stp>
        <stp>797272LT Muni</stp>
        <stp>STATE_CODE</stp>
        <stp>[grid1_xnsj2b23.xlsx]Municipals!R17C3</stp>
        <tr r="C17" s="2"/>
      </tp>
      <tp t="s">
        <v>6/15/2026</v>
        <stp/>
        <stp>##V3_BDPV12</stp>
        <stp>797646A7 Muni</stp>
        <stp>MATURITY</stp>
        <stp>[grid1_xnsj2b23.xlsx]Municipals!R8C6</stp>
        <tr r="F8" s="2"/>
      </tp>
      <tp t="s">
        <v>Coast Community College District</v>
        <stp/>
        <stp>##V3_BDPV12</stp>
        <stp>190335DF Muni</stp>
        <stp>LONG_COMP_NAME</stp>
        <stp>[grid1_xnsj2b23.xlsx]Municipals!R3C2</stp>
        <tr r="B3" s="2"/>
      </tp>
      <tp t="s">
        <v>Marin Community College District</v>
        <stp/>
        <stp>##V3_BDPV12</stp>
        <stp>56781RDM Muni</stp>
        <stp>LONG_COMP_NAME</stp>
        <stp>[grid1_xnsj2b23.xlsx]Municipals!R7C2</stp>
        <tr r="B7" s="2"/>
      </tp>
      <tp t="s">
        <v>8/1/2027</v>
        <stp/>
        <stp>##V3_BDPV12</stp>
        <stp>54438CTB Muni</stp>
        <stp>MATURITY</stp>
        <stp>[grid1_xnsj2b23.xlsx]Municipals!R5C6</stp>
        <tr r="F5" s="2"/>
      </tp>
      <tp t="s">
        <v>CA</v>
        <stp/>
        <stp>##V3_BDPV12</stp>
        <stp>652113WW Muni</stp>
        <stp>STATE_CODE</stp>
        <stp>[grid1_xnsj2b23.xlsx]Municipals!R24C3</stp>
        <tr r="C24" s="2"/>
      </tp>
      <tp t="s">
        <v>CA</v>
        <stp/>
        <stp>##V3_BDPV12</stp>
        <stp>54438CPY Muni</stp>
        <stp>STATE_CODE</stp>
        <stp>[grid1_xnsj2b23.xlsx]Municipals!R27C3</stp>
        <tr r="C27" s="2"/>
      </tp>
      <tp t="s">
        <v>CA</v>
        <stp/>
        <stp>##V3_BDPV12</stp>
        <stp>799017FZ Muni</stp>
        <stp>STATE_CODE</stp>
        <stp>[grid1_xnsj2b23.xlsx]Municipals!R26C3</stp>
        <tr r="C26" s="2"/>
      </tp>
      <tp t="s">
        <v>6/15/2027</v>
        <stp/>
        <stp>##V3_BDPV12</stp>
        <stp>797646V5 Muni</stp>
        <stp>MATURITY</stp>
        <stp>[grid1_xnsj2b23.xlsx]Municipals!R4C6</stp>
        <tr r="F4" s="2"/>
      </tp>
      <tp t="s">
        <v>6/1/2026</v>
        <stp/>
        <stp>##V3_BDPV12</stp>
        <stp>54438CUU Muni</stp>
        <stp>MATURITY</stp>
        <stp>[grid1_xnsj2b23.xlsx]Municipals!R9C6</stp>
        <tr r="F9" s="2"/>
      </tp>
      <tp t="s">
        <v>CA</v>
        <stp/>
        <stp>##V3_BDPV12</stp>
        <stp>797646YP Muni</stp>
        <stp>STATE_CODE</stp>
        <stp>[grid1_xnsj2b23.xlsx]Municipals!R18C3</stp>
        <tr r="C18" s="2"/>
      </tp>
      <tp t="s">
        <v>6/15/2026</v>
        <stp/>
        <stp>##V3_BDPV12</stp>
        <stp>797646ZK Muni</stp>
        <stp>MATURITY</stp>
        <stp>[grid1_xnsj2b23.xlsx]Municipals!R6C6</stp>
        <tr r="F6" s="2"/>
      </tp>
      <tp t="s">
        <v>CA</v>
        <stp/>
        <stp>##V3_BDPV12</stp>
        <stp>13063AZV Muni</stp>
        <stp>STATE_CODE</stp>
        <stp>[grid1_xnsj2b23.xlsx]Municipals!R19C3</stp>
        <tr r="C19" s="2"/>
      </tp>
      <tp t="s">
        <v>8/1/2026</v>
        <stp/>
        <stp>##V3_BDPV12</stp>
        <stp>797272PD Muni</stp>
        <stp>MATURITY</stp>
        <stp>[grid1_xnsj2b23.xlsx]Municipals!R2C6</stp>
        <tr r="F2" s="2"/>
      </tp>
      <tp t="s">
        <v>City &amp; County of San Francisco CA</v>
        <stp/>
        <stp>##V3_BDPV12</stp>
        <stp>797646A7 Muni</stp>
        <stp>LONG_COMP_NAME</stp>
        <stp>[grid1_xnsj2b23.xlsx]Municipals!R8C2</stp>
        <tr r="B8" s="2"/>
      </tp>
      <tp t="s">
        <v>CA</v>
        <stp/>
        <stp>##V3_BDPV12</stp>
        <stp>799017NZ Muni</stp>
        <stp>STATE_CODE</stp>
        <stp>[grid1_xnsj2b23.xlsx]Municipals!R22C3</stp>
        <tr r="C22" s="2"/>
      </tp>
      <tp t="s">
        <v>8/1/2027</v>
        <stp/>
        <stp>##V3_BDPV12</stp>
        <stp>56781RDM Muni</stp>
        <stp>MATURITY</stp>
        <stp>[grid1_xnsj2b23.xlsx]Municipals!R7C6</stp>
        <tr r="F7" s="2"/>
      </tp>
      <tp t="s">
        <v>8/1/2027</v>
        <stp/>
        <stp>##V3_BDPV12</stp>
        <stp>190335DF Muni</stp>
        <stp>MATURITY</stp>
        <stp>[grid1_xnsj2b23.xlsx]Municipals!R3C6</stp>
        <tr r="F3" s="2"/>
      </tp>
      <tp>
        <v>5</v>
        <stp/>
        <stp>##V3_BDPV12</stp>
        <stp>797272PT Muni</stp>
        <stp>CPN</stp>
        <stp>[grid1_xnsj2b23.xlsx]Municipals!R21C4</stp>
        <tr r="D21" s="2"/>
      </tp>
      <tp t="s">
        <v>54438CTB8</v>
        <stp/>
        <stp>##V3_BDPV12</stp>
        <stp>54438CTB Muni</stp>
        <stp>ID_CUSIP</stp>
        <stp>[grid1_xnsj2b23.xlsx]Municipals!R5C1</stp>
        <tr r="A5" s="2"/>
      </tp>
      <tp t="s">
        <v>CA</v>
        <stp/>
        <stp>##V3_BDPV12</stp>
        <stp>54438CVF Muni</stp>
        <stp>STATE_CODE</stp>
        <stp>[grid1_xnsj2b23.xlsx]Municipals!R31C3</stp>
        <tr r="C31" s="2"/>
      </tp>
      <tp t="s">
        <v>CA</v>
        <stp/>
        <stp>##V3_BDPV12</stp>
        <stp>54438CVG Muni</stp>
        <stp>STATE_CODE</stp>
        <stp>[grid1_xnsj2b23.xlsx]Municipals!R30C3</stp>
        <tr r="C30" s="2"/>
      </tp>
      <tp>
        <v>6</v>
        <stp/>
        <stp>##V3_BDPV12</stp>
        <stp>799017FZ Muni</stp>
        <stp>CPN</stp>
        <stp>[grid1_xnsj2b23.xlsx]Municipals!R26C4</stp>
        <tr r="D26" s="2"/>
      </tp>
      <tp>
        <v>5</v>
        <stp/>
        <stp>##V3_BDPV12</stp>
        <stp>231237D8 Muni</stp>
        <stp>CPN</stp>
        <stp>[grid1_xnsj2b23.xlsx]Municipals!R41C4</stp>
        <tr r="D41" s="2"/>
      </tp>
      <tp>
        <v>5</v>
        <stp/>
        <stp>##V3_BDPV12</stp>
        <stp>13063CJ2 Muni</stp>
        <stp>CPN</stp>
        <stp>[grid1_xnsj2b23.xlsx]Municipals!R12C4</stp>
        <tr r="D12" s="2"/>
      </tp>
      <tp>
        <v>4.5</v>
        <stp/>
        <stp>##V3_BDPV12</stp>
        <stp>13063CH3 Muni</stp>
        <stp>CPN</stp>
        <stp>[grid1_xnsj2b23.xlsx]Municipals!R42C4</stp>
        <tr r="D42" s="2"/>
      </tp>
      <tp t="s">
        <v>CA</v>
        <stp/>
        <stp>##V3_BDPV12</stp>
        <stp>54438CTA Muni</stp>
        <stp>STATE_CODE</stp>
        <stp>[grid1_xnsj2b23.xlsx]Municipals!R15C3</stp>
        <tr r="C15" s="2"/>
      </tp>
      <tp>
        <v>0</v>
        <stp/>
        <stp>##V3_BDPV12</stp>
        <stp>799017CH Muni</stp>
        <stp>CPN</stp>
        <stp>[grid1_xnsj2b23.xlsx]Municipals!R35C4</stp>
        <tr r="D35" s="2"/>
      </tp>
      <tp>
        <v>4</v>
        <stp/>
        <stp>##V3_BDPV12</stp>
        <stp>797272JG Muni</stp>
        <stp>CPN</stp>
        <stp>[grid1_xnsj2b23.xlsx]Municipals!R33C4</stp>
        <tr r="D33" s="2"/>
      </tp>
      <tp>
        <v>5</v>
        <stp/>
        <stp>##V3_BDPV12</stp>
        <stp>652113WW Muni</stp>
        <stp>CPN</stp>
        <stp>[grid1_xnsj2b23.xlsx]Municipals!R24C4</stp>
        <tr r="D24" s="2"/>
      </tp>
      <tp>
        <v>5</v>
        <stp/>
        <stp>##V3_BDPV12</stp>
        <stp>231237A7 Muni</stp>
        <stp>CPN</stp>
        <stp>[grid1_xnsj2b23.xlsx]Municipals!R32C4</stp>
        <tr r="D32" s="2"/>
      </tp>
      <tp t="s">
        <v>CA</v>
        <stp/>
        <stp>##V3_BDPV12</stp>
        <stp>797272JG Muni</stp>
        <stp>STATE_CODE</stp>
        <stp>[grid1_xnsj2b23.xlsx]Municipals!R33C3</stp>
        <tr r="C33" s="2"/>
      </tp>
      <tp t="s">
        <v>797646A71</v>
        <stp/>
        <stp>##V3_BDPV12</stp>
        <stp>797646A7 Muni</stp>
        <stp>ID_CUSIP</stp>
        <stp>[grid1_xnsj2b23.xlsx]Municipals!R8C1</stp>
        <tr r="A8" s="2"/>
      </tp>
      <tp>
        <v>0</v>
        <stp/>
        <stp>##V3_BDPV12</stp>
        <stp>799017DG Muni</stp>
        <stp>CPN</stp>
        <stp>[grid1_xnsj2b23.xlsx]Municipals!R14C4</stp>
        <tr r="D14" s="2"/>
      </tp>
      <tp>
        <v>5</v>
        <stp/>
        <stp>##V3_BDPV12</stp>
        <stp>799017NH Muni</stp>
        <stp>CPN</stp>
        <stp>[grid1_xnsj2b23.xlsx]Municipals!R34C4</stp>
        <tr r="D34" s="2"/>
      </tp>
      <tp>
        <v>4</v>
        <stp/>
        <stp>##V3_BDPV12</stp>
        <stp>797646V4 Muni</stp>
        <stp>CPN</stp>
        <stp>[grid1_xnsj2b23.xlsx]Municipals!R11C4</stp>
        <tr r="D11" s="2"/>
      </tp>
      <tp>
        <v>5</v>
        <stp/>
        <stp>##V3_BDPV12</stp>
        <stp>697634ZV Muni</stp>
        <stp>CPN</stp>
        <stp>[grid1_xnsj2b23.xlsx]Municipals!R37C4</stp>
        <tr r="D37" s="2"/>
      </tp>
      <tp>
        <v>3.25</v>
        <stp/>
        <stp>##V3_BDPV12</stp>
        <stp>084113QL Muni</stp>
        <stp>CPN</stp>
        <stp>[grid1_xnsj2b23.xlsx]Municipals!R23C4</stp>
        <tr r="D23" s="2"/>
      </tp>
      <tp>
        <v>5</v>
        <stp/>
        <stp>##V3_BDPV12</stp>
        <stp>088023LN Muni</stp>
        <stp>CPN</stp>
        <stp>[grid1_xnsj2b23.xlsx]Municipals!R40C4</stp>
        <tr r="D40" s="2"/>
      </tp>
      <tp>
        <v>5</v>
        <stp/>
        <stp>##V3_BDPV12</stp>
        <stp>13063CH4 Muni</stp>
        <stp>CPN</stp>
        <stp>[grid1_xnsj2b23.xlsx]Municipals!R20C4</stp>
        <tr r="D20" s="2"/>
      </tp>
      <tp>
        <v>0</v>
        <stp/>
        <stp>##V3_BDPV12</stp>
        <stp>617403CL Muni</stp>
        <stp>CPN</stp>
        <stp>[grid1_xnsj2b23.xlsx]Municipals!R13C4</stp>
        <tr r="D13" s="2"/>
      </tp>
      <tp>
        <v>5</v>
        <stp/>
        <stp>##V3_BDPV12</stp>
        <stp>799017NZ Muni</stp>
        <stp>CPN</stp>
        <stp>[grid1_xnsj2b23.xlsx]Municipals!R22C4</stp>
        <tr r="D22" s="2"/>
      </tp>
      <tp>
        <v>5</v>
        <stp/>
        <stp>##V3_BDPV12</stp>
        <stp>088023KN Muni</stp>
        <stp>CPN</stp>
        <stp>[grid1_xnsj2b23.xlsx]Municipals!R36C4</stp>
        <tr r="D36" s="2"/>
      </tp>
      <tp t="s">
        <v>CA</v>
        <stp/>
        <stp>##V3_BDPV12</stp>
        <stp>121457FD Muni</stp>
        <stp>STATE_CODE</stp>
        <stp>[grid1_xnsj2b23.xlsx]Municipals!R43C3</stp>
        <tr r="C43" s="2"/>
      </tp>
      <tp t="s">
        <v>CA</v>
        <stp/>
        <stp>##V3_BDPV12</stp>
        <stp>799017DG Muni</stp>
        <stp>STATE_CODE</stp>
        <stp>[grid1_xnsj2b23.xlsx]Municipals!R14C3</stp>
        <tr r="C14" s="2"/>
      </tp>
      <tp>
        <v>4</v>
        <stp/>
        <stp>##V3_BDPV12</stp>
        <stp>798866ZG Muni</stp>
        <stp>CPN</stp>
        <stp>[grid1_xnsj2b23.xlsx]Municipals!R46C4</stp>
        <tr r="D46" s="2"/>
      </tp>
      <tp>
        <v>5</v>
        <stp/>
        <stp>##V3_BDPV12</stp>
        <stp>797272LT Muni</stp>
        <stp>CPN</stp>
        <stp>[grid1_xnsj2b23.xlsx]Municipals!R17C4</stp>
        <tr r="D17" s="2"/>
      </tp>
      <tp>
        <v>0</v>
        <stp/>
        <stp>##V3_BDPV12</stp>
        <stp>652113UL Muni</stp>
        <stp>CPN</stp>
        <stp>[grid1_xnsj2b23.xlsx]Municipals!R10C4</stp>
        <tr r="D10" s="2"/>
      </tp>
      <tp>
        <v>5</v>
        <stp/>
        <stp>##V3_BDPV12</stp>
        <stp>121457FD Muni</stp>
        <stp>CPN</stp>
        <stp>[grid1_xnsj2b23.xlsx]Municipals!R43C4</stp>
        <tr r="D43" s="2"/>
      </tp>
      <tp t="s">
        <v>CA</v>
        <stp/>
        <stp>##V3_BDPV12</stp>
        <stp>799017TJ Muni</stp>
        <stp>STATE_CODE</stp>
        <stp>[grid1_xnsj2b23.xlsx]Municipals!R28C3</stp>
        <tr r="C28" s="2"/>
      </tp>
      <tp>
        <v>5</v>
        <stp/>
        <stp>##V3_BDPV12</stp>
        <stp>088023LP Muni</stp>
        <stp>CPN</stp>
        <stp>[grid1_xnsj2b23.xlsx]Municipals!R44C4</stp>
        <tr r="D44" s="2"/>
      </tp>
      <tp t="s">
        <v>San Diego Community College District</v>
        <stp/>
        <stp>##V3_BDPV12</stp>
        <stp>797272PD Muni</stp>
        <stp>LONG_COMP_NAME</stp>
        <stp>[grid1_xnsj2b23.xlsx]Municipals!R2C2</stp>
        <tr r="B2" s="2"/>
      </tp>
      <tp t="s">
        <v>Los Angeles Community College District/CA</v>
        <stp/>
        <stp>##V3_BDPV12</stp>
        <stp>54438CTB Muni</stp>
        <stp>LONG_COMP_NAME</stp>
        <stp>[grid1_xnsj2b23.xlsx]Municipals!R5C2</stp>
        <tr r="B5" s="2"/>
      </tp>
      <tp t="s">
        <v>City &amp; County of San Francisco CA</v>
        <stp/>
        <stp>##V3_BDPV12</stp>
        <stp>797646V5 Muni</stp>
        <stp>LONG_COMP_NAME</stp>
        <stp>[grid1_xnsj2b23.xlsx]Municipals!R4C2</stp>
        <tr r="B4" s="2"/>
      </tp>
      <tp t="s">
        <v>CA</v>
        <stp/>
        <stp>##V3_BDPV12</stp>
        <stp>54438CJK Muni</stp>
        <stp>STATE_CODE</stp>
        <stp>[grid1_xnsj2b23.xlsx]Municipals!R25C3</stp>
        <tr r="C25" s="2"/>
      </tp>
      <tp t="s">
        <v>CA</v>
        <stp/>
        <stp>##V3_BDPV12</stp>
        <stp>652113UL Muni</stp>
        <stp>STATE_CODE</stp>
        <stp>[grid1_xnsj2b23.xlsx]Municipals!R10C3</stp>
        <tr r="C10" s="2"/>
      </tp>
      <tp t="s">
        <v>CA</v>
        <stp/>
        <stp>##V3_BDPV12</stp>
        <stp>799017CH Muni</stp>
        <stp>STATE_CODE</stp>
        <stp>[grid1_xnsj2b23.xlsx]Municipals!R35C3</stp>
        <tr r="C35" s="2"/>
      </tp>
      <tp t="s">
        <v>190335DF3</v>
        <stp/>
        <stp>##V3_BDPV12</stp>
        <stp>190335DF Muni</stp>
        <stp>ID_CUSIP</stp>
        <stp>[grid1_xnsj2b23.xlsx]Municipals!R3C1</stp>
        <tr r="A3" s="2"/>
      </tp>
      <tp t="s">
        <v>CA</v>
        <stp/>
        <stp>##V3_BDPV12</stp>
        <stp>121457HA Muni</stp>
        <stp>STATE_CODE</stp>
        <stp>[grid1_xnsj2b23.xlsx]Municipals!R29C3</stp>
        <tr r="C29" s="2"/>
      </tp>
      <tp t="s">
        <v>CA</v>
        <stp/>
        <stp>##V3_BDPV12</stp>
        <stp>799017NH Muni</stp>
        <stp>STATE_CODE</stp>
        <stp>[grid1_xnsj2b23.xlsx]Municipals!R34C3</stp>
        <tr r="C34" s="2"/>
      </tp>
      <tp t="s">
        <v>City &amp; County of San Francisco CA</v>
        <stp/>
        <stp>##V3_BDPV12</stp>
        <stp>797646ZK Muni</stp>
        <stp>LONG_COMP_NAME</stp>
        <stp>[grid1_xnsj2b23.xlsx]Municipals!R6C2</stp>
        <tr r="B6" s="2"/>
      </tp>
      <tp>
        <v>5</v>
        <stp/>
        <stp>##V3_BDPV12</stp>
        <stp>54438CTA Muni</stp>
        <stp>CPN</stp>
        <stp>[grid1_xnsj2b23.xlsx]Municipals!R15C4</stp>
        <tr r="D15" s="2"/>
      </tp>
      <tp>
        <v>5</v>
        <stp/>
        <stp>##V3_BDPV12</stp>
        <stp>54438CJK Muni</stp>
        <stp>CPN</stp>
        <stp>[grid1_xnsj2b23.xlsx]Municipals!R25C4</stp>
        <tr r="D25" s="2"/>
      </tp>
      <tp t="s">
        <v>Los Angeles Community College District/CA</v>
        <stp/>
        <stp>##V3_BDPV12</stp>
        <stp>54438CUU Muni</stp>
        <stp>LONG_COMP_NAME</stp>
        <stp>[grid1_xnsj2b23.xlsx]Municipals!R9C2</stp>
        <tr r="B9" s="2"/>
      </tp>
      <tp t="s">
        <v>797272PD7</v>
        <stp/>
        <stp>##V3_BDPV12</stp>
        <stp>797272PD Muni</stp>
        <stp>ID_CUSIP</stp>
        <stp>[grid1_xnsj2b23.xlsx]Municipals!R2C1</stp>
        <tr r="A2" s="2"/>
      </tp>
      <tp t="s">
        <v>CA</v>
        <stp/>
        <stp>##V3_BDPV12</stp>
        <stp>799017RF Muni</stp>
        <stp>STATE_CODE</stp>
        <stp>[grid1_xnsj2b23.xlsx]Municipals!R39C3</stp>
        <tr r="C39" s="2"/>
      </tp>
      <tp>
        <v>4</v>
        <stp/>
        <stp>##V3_BDPV12</stp>
        <stp>797646YP Muni</stp>
        <stp>CPN</stp>
        <stp>[grid1_xnsj2b23.xlsx]Municipals!R18C4</stp>
        <tr r="D18" s="2"/>
      </tp>
      <tp>
        <v>4</v>
        <stp/>
        <stp>##V3_BDPV12</stp>
        <stp>797646QG Muni</stp>
        <stp>CPN</stp>
        <stp>[grid1_xnsj2b23.xlsx]Municipals!R38C4</stp>
        <tr r="D38" s="2"/>
      </tp>
      <tp>
        <v>5</v>
        <stp/>
        <stp>##V3_BDPV12</stp>
        <stp>54438CKR Muni</stp>
        <stp>CPN</stp>
        <stp>[grid1_xnsj2b23.xlsx]Municipals!R16C4</stp>
        <tr r="D16" s="2"/>
      </tp>
      <tp>
        <v>3.5</v>
        <stp/>
        <stp>##V3_BDPV12</stp>
        <stp>13063AZV Muni</stp>
        <stp>CPN</stp>
        <stp>[grid1_xnsj2b23.xlsx]Municipals!R19C4</stp>
        <tr r="D19" s="2"/>
      </tp>
      <tp t="s">
        <v>CA</v>
        <stp/>
        <stp>##V3_BDPV12</stp>
        <stp>084113QL Muni</stp>
        <stp>STATE_CODE</stp>
        <stp>[grid1_xnsj2b23.xlsx]Municipals!R23C3</stp>
        <tr r="C23" s="2"/>
      </tp>
      <tp t="s">
        <v>CA</v>
        <stp/>
        <stp>##V3_BDPV12</stp>
        <stp>088023LN Muni</stp>
        <stp>STATE_CODE</stp>
        <stp>[grid1_xnsj2b23.xlsx]Municipals!R40C3</stp>
        <tr r="C40" s="2"/>
      </tp>
      <tp t="s">
        <v>56781RDM6</v>
        <stp/>
        <stp>##V3_BDPV12</stp>
        <stp>56781RDM Muni</stp>
        <stp>ID_CUSIP</stp>
        <stp>[grid1_xnsj2b23.xlsx]Municipals!R7C1</stp>
        <tr r="A7" s="2"/>
      </tp>
      <tp>
        <v>5</v>
        <stp/>
        <stp>##V3_BDPV12</stp>
        <stp>54438CPY Muni</stp>
        <stp>CPN</stp>
        <stp>[grid1_xnsj2b23.xlsx]Municipals!R27C4</stp>
        <tr r="D27" s="2"/>
      </tp>
      <tp t="s">
        <v>CA</v>
        <stp/>
        <stp>##V3_BDPV12</stp>
        <stp>798866ZG Muni</stp>
        <stp>STATE_CODE</stp>
        <stp>[grid1_xnsj2b23.xlsx]Municipals!R46C3</stp>
        <tr r="C46" s="2"/>
      </tp>
      <tp t="s">
        <v>CA</v>
        <stp/>
        <stp>##V3_BDPV12</stp>
        <stp>797646QG Muni</stp>
        <stp>STATE_CODE</stp>
        <stp>[grid1_xnsj2b23.xlsx]Municipals!R38C3</stp>
        <tr r="C38" s="2"/>
      </tp>
      <tp>
        <v>4.5</v>
        <stp/>
        <stp>##V3_BDPV12</stp>
        <stp>012086CR Muni</stp>
        <stp>CPN</stp>
        <stp>[grid1_xnsj2b23.xlsx]Municipals!R45C4</stp>
        <tr r="D45" s="2"/>
      </tp>
      <tp>
        <v>5</v>
        <stp/>
        <stp>##V3_BDPV12</stp>
        <stp>121457HA Muni</stp>
        <stp>CPN</stp>
        <stp>[grid1_xnsj2b23.xlsx]Municipals!R29C4</stp>
        <tr r="D29" s="2"/>
      </tp>
      <tp>
        <v>4</v>
        <stp/>
        <stp>##V3_BDPV12</stp>
        <stp>54438CVG Muni</stp>
        <stp>CPN</stp>
        <stp>[grid1_xnsj2b23.xlsx]Municipals!R30C4</stp>
        <tr r="D30" s="2"/>
      </tp>
      <tp t="s">
        <v>54438CUU4</v>
        <stp/>
        <stp>##V3_BDPV12</stp>
        <stp>54438CUU Muni</stp>
        <stp>ID_CUSIP</stp>
        <stp>[grid1_xnsj2b23.xlsx]Municipals!R9C1</stp>
        <tr r="A9" s="2"/>
      </tp>
      <tp t="s">
        <v>CA</v>
        <stp/>
        <stp>##V3_BDPV12</stp>
        <stp>088023KN Muni</stp>
        <stp>STATE_CODE</stp>
        <stp>[grid1_xnsj2b23.xlsx]Municipals!R36C3</stp>
        <tr r="C36" s="2"/>
      </tp>
      <tp t="s">
        <v>797646ZK5</v>
        <stp/>
        <stp>##V3_BDPV12</stp>
        <stp>797646ZK Muni</stp>
        <stp>ID_CUSIP</stp>
        <stp>[grid1_xnsj2b23.xlsx]Municipals!R6C1</stp>
        <tr r="A6" s="2"/>
      </tp>
      <tp>
        <v>4</v>
        <stp/>
        <stp>##V3_BDPV12</stp>
        <stp>54438CVF Muni</stp>
        <stp>CPN</stp>
        <stp>[grid1_xnsj2b23.xlsx]Municipals!R31C4</stp>
        <tr r="D31" s="2"/>
      </tp>
      <tp t="s">
        <v>CA</v>
        <stp/>
        <stp>##V3_BDPV12</stp>
        <stp>617403CL Muni</stp>
        <stp>STATE_CODE</stp>
        <stp>[grid1_xnsj2b23.xlsx]Municipals!R13C3</stp>
        <tr r="C13" s="2"/>
      </tp>
      <tp>
        <v>4</v>
        <stp/>
        <stp>##V3_BDPV12</stp>
        <stp>799017RF Muni</stp>
        <stp>CPN</stp>
        <stp>[grid1_xnsj2b23.xlsx]Municipals!R39C4</stp>
        <tr r="D39" s="2"/>
      </tp>
      <tp t="s">
        <v>797646V52</v>
        <stp/>
        <stp>##V3_BDPV12</stp>
        <stp>797646V5 Muni</stp>
        <stp>ID_CUSIP</stp>
        <stp>[grid1_xnsj2b23.xlsx]Municipals!R4C1</stp>
        <tr r="A4" s="2"/>
      </tp>
      <tp>
        <v>5</v>
        <stp/>
        <stp>##V3_BDPV12</stp>
        <stp>799017TJ Muni</stp>
        <stp>CPN</stp>
        <stp>[grid1_xnsj2b23.xlsx]Municipals!R28C4</stp>
        <tr r="D28" s="2"/>
      </tp>
    </main>
    <main first="bloomberg.rtd">
      <tp t="s">
        <v>54438CTA0</v>
        <stp/>
        <stp>##V3_BDPV12</stp>
        <stp>54438CTA Muni</stp>
        <stp>ID_CUSIP</stp>
        <stp>[grid1_xnsj2b23.xlsx]Municipals!R15C1</stp>
        <tr r="A15" s="2"/>
      </tp>
      <tp t="s">
        <v>54438CJK9</v>
        <stp/>
        <stp>##V3_BDPV12</stp>
        <stp>54438CJK Muni</stp>
        <stp>ID_CUSIP</stp>
        <stp>[grid1_xnsj2b23.xlsx]Municipals!R25C1</stp>
        <tr r="A25" s="2"/>
      </tp>
      <tp t="s">
        <v>13063CH37</v>
        <stp/>
        <stp>##V3_BDPV12</stp>
        <stp>13063CH3 Muni</stp>
        <stp>ID_CUSIP</stp>
        <stp>[grid1_xnsj2b23.xlsx]Municipals!R42C1</stp>
        <tr r="A42" s="2"/>
      </tp>
      <tp t="s">
        <v>13063CJ27</v>
        <stp/>
        <stp>##V3_BDPV12</stp>
        <stp>13063CJ2 Muni</stp>
        <stp>ID_CUSIP</stp>
        <stp>[grid1_xnsj2b23.xlsx]Municipals!R12C1</stp>
        <tr r="A12" s="2"/>
      </tp>
    </main>
    <main first="bloomberg.rtd">
      <tp t="s">
        <v>54438CPY2</v>
        <stp/>
        <stp>##V3_BDPV12</stp>
        <stp>54438CPY Muni</stp>
        <stp>ID_CUSIP</stp>
        <stp>[grid1_xnsj2b23.xlsx]Municipals!R27C1</stp>
        <tr r="A27" s="2"/>
      </tp>
      <tp t="s">
        <v>13063CH45</v>
        <stp/>
        <stp>##V3_BDPV12</stp>
        <stp>13063CH4 Muni</stp>
        <stp>ID_CUSIP</stp>
        <stp>[grid1_xnsj2b23.xlsx]Municipals!R20C1</stp>
        <tr r="A20" s="2"/>
      </tp>
      <tp t="s">
        <v>54438CKR2</v>
        <stp/>
        <stp>##V3_BDPV12</stp>
        <stp>54438CKR Muni</stp>
        <stp>ID_CUSIP</stp>
        <stp>[grid1_xnsj2b23.xlsx]Municipals!R16C1</stp>
        <tr r="A16" s="2"/>
      </tp>
      <tp>
        <v>5</v>
        <stp/>
        <stp>##V3_BDPV12</stp>
        <stp>797646A7 Muni</stp>
        <stp>CPN</stp>
        <stp>[grid1_xnsj2b23.xlsx]Municipals!R8C4</stp>
        <tr r="D8" s="2"/>
      </tp>
      <tp t="s">
        <v>54438CVF6</v>
        <stp/>
        <stp>##V3_BDPV12</stp>
        <stp>54438CVF Muni</stp>
        <stp>ID_CUSIP</stp>
        <stp>[grid1_xnsj2b23.xlsx]Municipals!R31C1</stp>
        <tr r="A31" s="2"/>
      </tp>
      <tp t="s">
        <v>54438CVG4</v>
        <stp/>
        <stp>##V3_BDPV12</stp>
        <stp>54438CVG Muni</stp>
        <stp>ID_CUSIP</stp>
        <stp>[grid1_xnsj2b23.xlsx]Municipals!R30C1</stp>
        <tr r="A30" s="2"/>
      </tp>
      <tp t="s">
        <v>13063AZV9</v>
        <stp/>
        <stp>##V3_BDPV12</stp>
        <stp>13063AZV Muni</stp>
        <stp>ID_CUSIP</stp>
        <stp>[grid1_xnsj2b23.xlsx]Municipals!R19C1</stp>
        <tr r="A19" s="2"/>
      </tp>
      <tp>
        <v>4</v>
        <stp/>
        <stp>##V3_BDPV12</stp>
        <stp>797646V5 Muni</stp>
        <stp>CPN</stp>
        <stp>[grid1_xnsj2b23.xlsx]Municipals!R4C4</stp>
        <tr r="D4" s="2"/>
      </tp>
      <tp t="s">
        <v>12/4/2012</v>
        <stp/>
        <stp>##V3_BDPV12</stp>
        <stp>56781RDM Muni</stp>
        <stp>MUNI_DATED_DT</stp>
        <stp>[grid1_xnsj2b23.xlsx]Municipals!R7C5</stp>
        <tr r="E7" s="2"/>
      </tp>
      <tp t="s">
        <v>6/3/2015</v>
        <stp/>
        <stp>##V3_BDPV12</stp>
        <stp>54438CUU Muni</stp>
        <stp>MUNI_DATED_DT</stp>
        <stp>[grid1_xnsj2b23.xlsx]Municipals!R9C5</stp>
        <tr r="E9" s="2"/>
      </tp>
      <tp t="s">
        <v>10/1/2027</v>
        <stp/>
        <stp>##V3_BDPV12</stp>
        <stp>13063AZV Muni</stp>
        <stp>MATURITY</stp>
        <stp>[grid1_xnsj2b23.xlsx]Municipals!R19C6</stp>
        <tr r="F19" s="2"/>
      </tp>
      <tp t="s">
        <v>Cupertino Union School District</v>
        <stp/>
        <stp>##V3_BDPV12</stp>
        <stp>231237D8 Muni</stp>
        <stp>LONG_COMP_NAME</stp>
        <stp>[grid1_xnsj2b23.xlsx]Municipals!R41C2</stp>
        <tr r="B41" s="2"/>
      </tp>
      <tp t="s">
        <v>8/1/2027</v>
        <stp/>
        <stp>##V3_BDPV12</stp>
        <stp>54438CVG Muni</stp>
        <stp>MATURITY</stp>
        <stp>[grid1_xnsj2b23.xlsx]Municipals!R30C6</stp>
        <tr r="F30" s="2"/>
      </tp>
      <tp t="s">
        <v>Cupertino Union School District</v>
        <stp/>
        <stp>##V3_BDPV12</stp>
        <stp>231237A7 Muni</stp>
        <stp>LONG_COMP_NAME</stp>
        <stp>[grid1_xnsj2b23.xlsx]Municipals!R32C2</stp>
        <tr r="B32" s="2"/>
      </tp>
      <tp t="s">
        <v>State of California</v>
        <stp/>
        <stp>##V3_BDPV12</stp>
        <stp>13063CH3 Muni</stp>
        <stp>LONG_COMP_NAME</stp>
        <stp>[grid1_xnsj2b23.xlsx]Municipals!R42C2</stp>
        <tr r="B42" s="2"/>
      </tp>
      <tp t="s">
        <v>8/1/2026</v>
        <stp/>
        <stp>##V3_BDPV12</stp>
        <stp>54438CVF Muni</stp>
        <stp>MATURITY</stp>
        <stp>[grid1_xnsj2b23.xlsx]Municipals!R31C6</stp>
        <tr r="F31" s="2"/>
      </tp>
      <tp t="s">
        <v>State of California</v>
        <stp/>
        <stp>##V3_BDPV12</stp>
        <stp>13063CJ2 Muni</stp>
        <stp>LONG_COMP_NAME</stp>
        <stp>[grid1_xnsj2b23.xlsx]Municipals!R12C2</stp>
        <tr r="B12" s="2"/>
      </tp>
      <tp t="s">
        <v>8/1/2026</v>
        <stp/>
        <stp>##V3_BDPV12</stp>
        <stp>54438CKR Muni</stp>
        <stp>MATURITY</stp>
        <stp>[grid1_xnsj2b23.xlsx]Municipals!R16C6</stp>
        <tr r="F16" s="2"/>
      </tp>
      <tp t="s">
        <v>8/1/2026</v>
        <stp/>
        <stp>##V3_BDPV12</stp>
        <stp>54438CPY Muni</stp>
        <stp>MATURITY</stp>
        <stp>[grid1_xnsj2b23.xlsx]Municipals!R27C6</stp>
        <tr r="F27" s="2"/>
      </tp>
      <tp t="s">
        <v>6/1/2027</v>
        <stp/>
        <stp>##V3_BDPV12</stp>
        <stp>13063CH4 Muni</stp>
        <stp>MATURITY</stp>
        <stp>[grid1_xnsj2b23.xlsx]Municipals!R20C6</stp>
        <tr r="F20" s="2"/>
      </tp>
      <tp t="s">
        <v>1/8/2015</v>
        <stp/>
        <stp>##V3_BDPV12</stp>
        <stp>54438CTB Muni</stp>
        <stp>MUNI_DATED_DT</stp>
        <stp>[grid1_xnsj2b23.xlsx]Municipals!R5C5</stp>
        <tr r="E5" s="2"/>
      </tp>
      <tp t="s">
        <v>City &amp; County of San Francisco CA</v>
        <stp/>
        <stp>##V3_BDPV12</stp>
        <stp>797646V4 Muni</stp>
        <stp>LONG_COMP_NAME</stp>
        <stp>[grid1_xnsj2b23.xlsx]Municipals!R11C2</stp>
        <tr r="B11" s="2"/>
      </tp>
      <tp t="s">
        <v>8/1/2026</v>
        <stp/>
        <stp>##V3_BDPV12</stp>
        <stp>54438CTA Muni</stp>
        <stp>MATURITY</stp>
        <stp>[grid1_xnsj2b23.xlsx]Municipals!R15C6</stp>
        <tr r="F15" s="2"/>
      </tp>
      <tp t="s">
        <v>8/1/2027</v>
        <stp/>
        <stp>##V3_BDPV12</stp>
        <stp>54438CJK Muni</stp>
        <stp>MATURITY</stp>
        <stp>[grid1_xnsj2b23.xlsx]Municipals!R25C6</stp>
        <tr r="F25" s="2"/>
      </tp>
      <tp t="s">
        <v>6/1/2027</v>
        <stp/>
        <stp>##V3_BDPV12</stp>
        <stp>13063CJ2 Muni</stp>
        <stp>MATURITY</stp>
        <stp>[grid1_xnsj2b23.xlsx]Municipals!R12C6</stp>
        <tr r="F12" s="2"/>
      </tp>
      <tp t="s">
        <v>6/1/2027</v>
        <stp/>
        <stp>##V3_BDPV12</stp>
        <stp>13063CH3 Muni</stp>
        <stp>MATURITY</stp>
        <stp>[grid1_xnsj2b23.xlsx]Municipals!R42C6</stp>
        <tr r="F42" s="2"/>
      </tp>
      <tp t="s">
        <v>State of California</v>
        <stp/>
        <stp>##V3_BDPV12</stp>
        <stp>13063CH4 Muni</stp>
        <stp>LONG_COMP_NAME</stp>
        <stp>[grid1_xnsj2b23.xlsx]Municipals!R20C2</stp>
        <tr r="B20" s="2"/>
      </tp>
      <tp t="s">
        <v>8/1/2026</v>
        <stp/>
        <stp>##V3_BDPV12</stp>
        <stp>088023KN Muni</stp>
        <stp>MATURITY</stp>
        <stp>[grid1_xnsj2b23.xlsx]Municipals!R36C6</stp>
        <tr r="F36" s="2"/>
      </tp>
      <tp t="s">
        <v>San Mateo Union High School District</v>
        <stp/>
        <stp>##V3_BDPV12</stp>
        <stp>799017CH Muni</stp>
        <stp>LONG_COMP_NAME</stp>
        <stp>[grid1_xnsj2b23.xlsx]Municipals!R35C2</stp>
        <tr r="B35" s="2"/>
      </tp>
      <tp t="s">
        <v>Newport Mesa Unified School District</v>
        <stp/>
        <stp>##V3_BDPV12</stp>
        <stp>652113UL Muni</stp>
        <stp>LONG_COMP_NAME</stp>
        <stp>[grid1_xnsj2b23.xlsx]Municipals!R10C2</stp>
        <tr r="B10" s="2"/>
      </tp>
      <tp t="s">
        <v>Los Angeles Community College District/CA</v>
        <stp/>
        <stp>##V3_BDPV12</stp>
        <stp>54438CJK Muni</stp>
        <stp>LONG_COMP_NAME</stp>
        <stp>[grid1_xnsj2b23.xlsx]Municipals!R25C2</stp>
        <tr r="B25" s="2"/>
      </tp>
      <tp t="s">
        <v>11/30/2011</v>
        <stp/>
        <stp>##V3_BDPV12</stp>
        <stp>797646QG Muni</stp>
        <stp>MUNI_DATED_DT</stp>
        <stp>[grid1_xnsj2b23.xlsx]Municipals!R38C5</stp>
        <tr r="E38" s="2"/>
      </tp>
      <tp t="s">
        <v>9/1/2026</v>
        <stp/>
        <stp>##V3_BDPV12</stp>
        <stp>799017NZ Muni</stp>
        <stp>MATURITY</stp>
        <stp>[grid1_xnsj2b23.xlsx]Municipals!R22C6</stp>
        <tr r="F22" s="2"/>
      </tp>
      <tp t="s">
        <v>8/1/2026</v>
        <stp/>
        <stp>##V3_BDPV12</stp>
        <stp>797272LT Muni</stp>
        <stp>MATURITY</stp>
        <stp>[grid1_xnsj2b23.xlsx]Municipals!R17C6</stp>
        <tr r="F17" s="2"/>
      </tp>
      <tp t="s">
        <v>8/1/2026</v>
        <stp/>
        <stp>##V3_BDPV12</stp>
        <stp>121457HA Muni</stp>
        <stp>MATURITY</stp>
        <stp>[grid1_xnsj2b23.xlsx]Municipals!R29C6</stp>
        <tr r="F29" s="2"/>
      </tp>
      <tp t="s">
        <v>Burlingame School District</v>
        <stp/>
        <stp>##V3_BDPV12</stp>
        <stp>121457HA Muni</stp>
        <stp>LONG_COMP_NAME</stp>
        <stp>[grid1_xnsj2b23.xlsx]Municipals!R29C2</stp>
        <tr r="B29" s="2"/>
      </tp>
      <tp t="s">
        <v>San Mateo Union High School District</v>
        <stp/>
        <stp>##V3_BDPV12</stp>
        <stp>799017NH Muni</stp>
        <stp>LONG_COMP_NAME</stp>
        <stp>[grid1_xnsj2b23.xlsx]Municipals!R34C2</stp>
        <tr r="B34" s="2"/>
      </tp>
      <tp t="s">
        <v>8/1/2027</v>
        <stp/>
        <stp>##V3_BDPV12</stp>
        <stp>088023LP Muni</stp>
        <stp>MATURITY</stp>
        <stp>[grid1_xnsj2b23.xlsx]Municipals!R44C6</stp>
        <tr r="F44" s="2"/>
      </tp>
      <tp t="s">
        <v>San Mateo Union High School District</v>
        <stp/>
        <stp>##V3_BDPV12</stp>
        <stp>799017RF Muni</stp>
        <stp>LONG_COMP_NAME</stp>
        <stp>[grid1_xnsj2b23.xlsx]Municipals!R39C2</stp>
        <tr r="B39" s="2"/>
      </tp>
      <tp t="s">
        <v>6/15/2026</v>
        <stp/>
        <stp>##V3_BDPV12</stp>
        <stp>797646V4 Muni</stp>
        <stp>MATURITY</stp>
        <stp>[grid1_xnsj2b23.xlsx]Municipals!R11C6</stp>
        <tr r="F11" s="2"/>
      </tp>
      <tp t="s">
        <v>7/19/2006</v>
        <stp/>
        <stp>##V3_BDPV12</stp>
        <stp>190335DF Muni</stp>
        <stp>MUNI_DATED_DT</stp>
        <stp>[grid1_xnsj2b23.xlsx]Municipals!R3C5</stp>
        <tr r="E3" s="2"/>
      </tp>
      <tp t="s">
        <v>City of Berkeley CA</v>
        <stp/>
        <stp>##V3_BDPV12</stp>
        <stp>084113QL Muni</stp>
        <stp>LONG_COMP_NAME</stp>
        <stp>[grid1_xnsj2b23.xlsx]Municipals!R23C2</stp>
        <tr r="B23" s="2"/>
      </tp>
      <tp t="s">
        <v>Beverly Hills Unified School District CA</v>
        <stp/>
        <stp>##V3_BDPV12</stp>
        <stp>088023LN Muni</stp>
        <stp>LONG_COMP_NAME</stp>
        <stp>[grid1_xnsj2b23.xlsx]Municipals!R40C2</stp>
        <tr r="B40" s="2"/>
      </tp>
      <tp t="s">
        <v>8/1/2027</v>
        <stp/>
        <stp>##V3_BDPV12</stp>
        <stp>798866ZG Muni</stp>
        <stp>MATURITY</stp>
        <stp>[grid1_xnsj2b23.xlsx]Municipals!R46C6</stp>
        <tr r="F46" s="2"/>
      </tp>
      <tp t="s">
        <v>City of San Mateo CA</v>
        <stp/>
        <stp>##V3_BDPV12</stp>
        <stp>798866ZG Muni</stp>
        <stp>LONG_COMP_NAME</stp>
        <stp>[grid1_xnsj2b23.xlsx]Municipals!R46C2</stp>
        <tr r="B46" s="2"/>
      </tp>
      <tp t="s">
        <v>City &amp; County of San Francisco CA</v>
        <stp/>
        <stp>##V3_BDPV12</stp>
        <stp>797646QG Muni</stp>
        <stp>LONG_COMP_NAME</stp>
        <stp>[grid1_xnsj2b23.xlsx]Municipals!R38C2</stp>
        <tr r="B38" s="2"/>
      </tp>
      <tp t="s">
        <v>3/11/2014</v>
        <stp/>
        <stp>##V3_BDPV12</stp>
        <stp>697634ZV Muni</stp>
        <stp>MUNI_DATED_DT</stp>
        <stp>[grid1_xnsj2b23.xlsx]Municipals!R37C5</stp>
        <tr r="E37" s="2"/>
      </tp>
      <tp t="s">
        <v>9/1/2026</v>
        <stp/>
        <stp>##V3_BDPV12</stp>
        <stp>084113QL Muni</stp>
        <stp>MATURITY</stp>
        <stp>[grid1_xnsj2b23.xlsx]Municipals!R23C6</stp>
        <tr r="F23" s="2"/>
      </tp>
      <tp t="s">
        <v>10/2/2014</v>
        <stp/>
        <stp>##V3_BDPV12</stp>
        <stp>797646ZK Muni</stp>
        <stp>MUNI_DATED_DT</stp>
        <stp>[grid1_xnsj2b23.xlsx]Municipals!R6C5</stp>
        <tr r="E6" s="2"/>
      </tp>
      <tp t="s">
        <v>9/1/2026</v>
        <stp/>
        <stp>##V3_BDPV12</stp>
        <stp>799017FZ Muni</stp>
        <stp>MATURITY</stp>
        <stp>[grid1_xnsj2b23.xlsx]Municipals!R26C6</stp>
        <tr r="F26" s="2"/>
      </tp>
      <tp t="s">
        <v>11/3/2016</v>
        <stp/>
        <stp>##V3_BDPV12</stp>
        <stp>797272PD Muni</stp>
        <stp>MUNI_DATED_DT</stp>
        <stp>[grid1_xnsj2b23.xlsx]Municipals!R2C5</stp>
        <tr r="E2" s="2"/>
      </tp>
      <tp t="s">
        <v>8/1/2026</v>
        <stp/>
        <stp>##V3_BDPV12</stp>
        <stp>797272JG Muni</stp>
        <stp>MATURITY</stp>
        <stp>[grid1_xnsj2b23.xlsx]Municipals!R33C6</stp>
        <tr r="F33" s="2"/>
      </tp>
      <tp t="s">
        <v>Beverly Hills Unified School District CA</v>
        <stp/>
        <stp>##V3_BDPV12</stp>
        <stp>088023KN Muni</stp>
        <stp>LONG_COMP_NAME</stp>
        <stp>[grid1_xnsj2b23.xlsx]Municipals!R36C2</stp>
        <tr r="B36" s="2"/>
      </tp>
      <tp t="s">
        <v>CA</v>
        <stp/>
        <stp>##V3_BDPV12</stp>
        <stp>797646ZK Muni</stp>
        <stp>STATE_CODE</stp>
        <stp>[grid1_xnsj2b23.xlsx]Municipals!R6C3</stp>
        <tr r="C6" s="2"/>
      </tp>
      <tp>
        <v>5</v>
        <stp/>
        <stp>##V3_BDPV12</stp>
        <stp>54438CUU Muni</stp>
        <stp>CPN</stp>
        <stp>[grid1_xnsj2b23.xlsx]Municipals!R9C4</stp>
        <tr r="D9" s="2"/>
      </tp>
      <tp t="s">
        <v>8/1/2026</v>
        <stp/>
        <stp>##V3_BDPV12</stp>
        <stp>088023LN Muni</stp>
        <stp>MATURITY</stp>
        <stp>[grid1_xnsj2b23.xlsx]Municipals!R40C6</stp>
        <tr r="F40" s="2"/>
      </tp>
      <tp t="s">
        <v>9/1/2026</v>
        <stp/>
        <stp>##V3_BDPV12</stp>
        <stp>799017CH Muni</stp>
        <stp>MATURITY</stp>
        <stp>[grid1_xnsj2b23.xlsx]Municipals!R35C6</stp>
        <tr r="F35" s="2"/>
      </tp>
      <tp t="s">
        <v>Morgan Hill Unified School District</v>
        <stp/>
        <stp>##V3_BDPV12</stp>
        <stp>617403CL Muni</stp>
        <stp>LONG_COMP_NAME</stp>
        <stp>[grid1_xnsj2b23.xlsx]Municipals!R13C2</stp>
        <tr r="B13" s="2"/>
      </tp>
      <tp t="s">
        <v>CA</v>
        <stp/>
        <stp>##V3_BDPV12</stp>
        <stp>54438CUU Muni</stp>
        <stp>STATE_CODE</stp>
        <stp>[grid1_xnsj2b23.xlsx]Municipals!R9C3</stp>
        <tr r="C9" s="2"/>
      </tp>
      <tp t="s">
        <v>8/1/2027</v>
        <stp/>
        <stp>##V3_BDPV12</stp>
        <stp>797272PT Muni</stp>
        <stp>MATURITY</stp>
        <stp>[grid1_xnsj2b23.xlsx]Municipals!R21C6</stp>
        <tr r="F21" s="2"/>
      </tp>
      <tp t="s">
        <v>9/1/2027</v>
        <stp/>
        <stp>##V3_BDPV12</stp>
        <stp>697634ZV Muni</stp>
        <stp>MATURITY</stp>
        <stp>[grid1_xnsj2b23.xlsx]Municipals!R37C6</stp>
        <tr r="F37" s="2"/>
      </tp>
      <tp t="s">
        <v>9/1/2027</v>
        <stp/>
        <stp>##V3_BDPV12</stp>
        <stp>799017NH Muni</stp>
        <stp>MATURITY</stp>
        <stp>[grid1_xnsj2b23.xlsx]Municipals!R34C6</stp>
        <tr r="F34" s="2"/>
      </tp>
      <tp t="s">
        <v>9/1/2027</v>
        <stp/>
        <stp>##V3_BDPV12</stp>
        <stp>799017DG Muni</stp>
        <stp>MATURITY</stp>
        <stp>[grid1_xnsj2b23.xlsx]Municipals!R14C6</stp>
        <tr r="F14" s="2"/>
      </tp>
      <tp t="s">
        <v>2/1/2017</v>
        <stp/>
        <stp>##V3_BDPV12</stp>
        <stp>797646V5 Muni</stp>
        <stp>MUNI_DATED_DT</stp>
        <stp>[grid1_xnsj2b23.xlsx]Municipals!R4C5</stp>
        <tr r="E4" s="2"/>
      </tp>
      <tp t="s">
        <v>8/1/2027</v>
        <stp/>
        <stp>##V3_BDPV12</stp>
        <stp>231237D8 Muni</stp>
        <stp>MATURITY</stp>
        <stp>[grid1_xnsj2b23.xlsx]Municipals!R41C6</stp>
        <tr r="F41" s="2"/>
      </tp>
      <tp t="s">
        <v>10/2/2014</v>
        <stp/>
        <stp>##V3_BDPV12</stp>
        <stp>797646YP Muni</stp>
        <stp>MUNI_DATED_DT</stp>
        <stp>[grid1_xnsj2b23.xlsx]Municipals!R18C5</stp>
        <tr r="E18" s="2"/>
      </tp>
      <tp t="s">
        <v>11/3/2016</v>
        <stp/>
        <stp>##V3_BDPV12</stp>
        <stp>797272PT Muni</stp>
        <stp>MUNI_DATED_DT</stp>
        <stp>[grid1_xnsj2b23.xlsx]Municipals!R21C5</stp>
        <tr r="E21" s="2"/>
      </tp>
      <tp t="s">
        <v>1/21/2014</v>
        <stp/>
        <stp>##V3_BDPV12</stp>
        <stp>084113QL Muni</stp>
        <stp>MUNI_DATED_DT</stp>
        <stp>[grid1_xnsj2b23.xlsx]Municipals!R23C5</stp>
        <tr r="E23" s="2"/>
      </tp>
      <tp t="s">
        <v>Los Angeles Community College District/CA</v>
        <stp/>
        <stp>##V3_BDPV12</stp>
        <stp>54438CVF Muni</stp>
        <stp>LONG_COMP_NAME</stp>
        <stp>[grid1_xnsj2b23.xlsx]Municipals!R31C2</stp>
        <tr r="B31" s="2"/>
      </tp>
      <tp t="s">
        <v>Los Angeles Community College District/CA</v>
        <stp/>
        <stp>##V3_BDPV12</stp>
        <stp>54438CVG Muni</stp>
        <stp>LONG_COMP_NAME</stp>
        <stp>[grid1_xnsj2b23.xlsx]Municipals!R30C2</stp>
        <tr r="B30" s="2"/>
      </tp>
      <tp t="s">
        <v>1/4/2007</v>
        <stp/>
        <stp>##V3_BDPV12</stp>
        <stp>652113UL Muni</stp>
        <stp>MUNI_DATED_DT</stp>
        <stp>[grid1_xnsj2b23.xlsx]Municipals!R10C5</stp>
        <tr r="E10" s="2"/>
      </tp>
      <tp t="s">
        <v>6/15/2026</v>
        <stp/>
        <stp>##V3_BDPV12</stp>
        <stp>797646QG Muni</stp>
        <stp>MATURITY</stp>
        <stp>[grid1_xnsj2b23.xlsx]Municipals!R38C6</stp>
        <tr r="F38" s="2"/>
      </tp>
      <tp t="s">
        <v>6/15/2026</v>
        <stp/>
        <stp>##V3_BDPV12</stp>
        <stp>797646YP Muni</stp>
        <stp>MATURITY</stp>
        <stp>[grid1_xnsj2b23.xlsx]Municipals!R18C6</stp>
        <tr r="F18" s="2"/>
      </tp>
      <tp t="s">
        <v>9/1/2026</v>
        <stp/>
        <stp>##V3_BDPV12</stp>
        <stp>799017RF Muni</stp>
        <stp>MATURITY</stp>
        <stp>[grid1_xnsj2b23.xlsx]Municipals!R39C6</stp>
        <tr r="F39" s="2"/>
      </tp>
      <tp t="s">
        <v>Los Angeles Community College District/CA</v>
        <stp/>
        <stp>##V3_BDPV12</stp>
        <stp>54438CTA Muni</stp>
        <stp>LONG_COMP_NAME</stp>
        <stp>[grid1_xnsj2b23.xlsx]Municipals!R15C2</stp>
        <tr r="B15" s="2"/>
      </tp>
      <tp t="s">
        <v>3/21/2013</v>
        <stp/>
        <stp>##V3_BDPV12</stp>
        <stp>798866ZG Muni</stp>
        <stp>MUNI_DATED_DT</stp>
        <stp>[grid1_xnsj2b23.xlsx]Municipals!R46C5</stp>
        <tr r="E46" s="2"/>
      </tp>
      <tp t="s">
        <v>CA</v>
        <stp/>
        <stp>##V3_BDPV12</stp>
        <stp>797646V5 Muni</stp>
        <stp>STATE_CODE</stp>
        <stp>[grid1_xnsj2b23.xlsx]Municipals!R4C3</stp>
        <tr r="C4" s="2"/>
      </tp>
      <tp t="s">
        <v>8/1/2027</v>
        <stp/>
        <stp>##V3_BDPV12</stp>
        <stp>652113UL Muni</stp>
        <stp>MATURITY</stp>
        <stp>[grid1_xnsj2b23.xlsx]Municipals!R10C6</stp>
        <tr r="F10" s="2"/>
      </tp>
      <tp t="s">
        <v>9/1/2026</v>
        <stp/>
        <stp>##V3_BDPV12</stp>
        <stp>799017TJ Muni</stp>
        <stp>MATURITY</stp>
        <stp>[grid1_xnsj2b23.xlsx]Municipals!R28C6</stp>
        <tr r="F28" s="2"/>
      </tp>
      <tp t="s">
        <v>2/25/2015</v>
        <stp/>
        <stp>##V3_BDPV12</stp>
        <stp>797646A7 Muni</stp>
        <stp>MUNI_DATED_DT</stp>
        <stp>[grid1_xnsj2b23.xlsx]Municipals!R8C5</stp>
        <tr r="E8" s="2"/>
      </tp>
      <tp t="s">
        <v>8/1/2026</v>
        <stp/>
        <stp>##V3_BDPV12</stp>
        <stp>121457FD Muni</stp>
        <stp>MATURITY</stp>
        <stp>[grid1_xnsj2b23.xlsx]Municipals!R43C6</stp>
        <tr r="F43" s="2"/>
      </tp>
      <tp t="s">
        <v>8/1/2027</v>
        <stp/>
        <stp>##V3_BDPV12</stp>
        <stp>231237A7 Muni</stp>
        <stp>MATURITY</stp>
        <stp>[grid1_xnsj2b23.xlsx]Municipals!R32C6</stp>
        <tr r="F32" s="2"/>
      </tp>
      <tp t="s">
        <v>CA</v>
        <stp/>
        <stp>##V3_BDPV12</stp>
        <stp>797272PD Muni</stp>
        <stp>STATE_CODE</stp>
        <stp>[grid1_xnsj2b23.xlsx]Municipals!R2C3</stp>
        <tr r="C2" s="2"/>
      </tp>
      <tp t="s">
        <v>San Diego Community College District</v>
        <stp/>
        <stp>##V3_BDPV12</stp>
        <stp>797272JG Muni</stp>
        <stp>LONG_COMP_NAME</stp>
        <stp>[grid1_xnsj2b23.xlsx]Municipals!R33C2</stp>
        <tr r="B33" s="2"/>
      </tp>
      <tp t="s">
        <v>CA</v>
        <stp/>
        <stp>##V3_BDPV12</stp>
        <stp>54438CTB Muni</stp>
        <stp>STATE_CODE</stp>
        <stp>[grid1_xnsj2b23.xlsx]Municipals!R5C3</stp>
        <tr r="C5" s="2"/>
      </tp>
      <tp t="s">
        <v>12/20/2013</v>
        <stp/>
        <stp>##V3_BDPV12</stp>
        <stp>799017TJ Muni</stp>
        <stp>MUNI_DATED_DT</stp>
        <stp>[grid1_xnsj2b23.xlsx]Municipals!R28C5</stp>
        <tr r="E28" s="2"/>
      </tp>
      <tp t="s">
        <v>1/8/2015</v>
        <stp/>
        <stp>##V3_BDPV12</stp>
        <stp>54438CTA Muni</stp>
        <stp>MUNI_DATED_DT</stp>
        <stp>[grid1_xnsj2b23.xlsx]Municipals!R15C5</stp>
        <tr r="E15" s="2"/>
      </tp>
      <tp t="s">
        <v>8/1/2026</v>
        <stp/>
        <stp>##V3_BDPV12</stp>
        <stp>617403CL Muni</stp>
        <stp>MATURITY</stp>
        <stp>[grid1_xnsj2b23.xlsx]Municipals!R13C6</stp>
        <tr r="F13" s="2"/>
      </tp>
      <tp t="s">
        <v>9/21/2016</v>
        <stp/>
        <stp>##V3_BDPV12</stp>
        <stp>799017RF Muni</stp>
        <stp>MUNI_DATED_DT</stp>
        <stp>[grid1_xnsj2b23.xlsx]Municipals!R39C5</stp>
        <tr r="E39" s="2"/>
      </tp>
      <tp t="s">
        <v>7/27/2016</v>
        <stp/>
        <stp>##V3_BDPV12</stp>
        <stp>54438CVG Muni</stp>
        <stp>MUNI_DATED_DT</stp>
        <stp>[grid1_xnsj2b23.xlsx]Municipals!R30C5</stp>
        <tr r="E30" s="2"/>
      </tp>
      <tp t="s">
        <v>6/11/2013</v>
        <stp/>
        <stp>##V3_BDPV12</stp>
        <stp>54438CPY Muni</stp>
        <stp>MUNI_DATED_DT</stp>
        <stp>[grid1_xnsj2b23.xlsx]Municipals!R27C5</stp>
        <tr r="E27" s="2"/>
      </tp>
      <tp t="s">
        <v>11/1/2006</v>
        <stp/>
        <stp>##V3_BDPV12</stp>
        <stp>13063AZV Muni</stp>
        <stp>MUNI_DATED_DT</stp>
        <stp>[grid1_xnsj2b23.xlsx]Municipals!R19C5</stp>
        <tr r="E19" s="2"/>
      </tp>
      <tp t="s">
        <v>7/27/2016</v>
        <stp/>
        <stp>##V3_BDPV12</stp>
        <stp>54438CVF Muni</stp>
        <stp>MUNI_DATED_DT</stp>
        <stp>[grid1_xnsj2b23.xlsx]Municipals!R31C5</stp>
        <tr r="E31" s="2"/>
      </tp>
      <tp t="s">
        <v>2/1/2017</v>
        <stp/>
        <stp>##V3_BDPV12</stp>
        <stp>797646V4 Muni</stp>
        <stp>MUNI_DATED_DT</stp>
        <stp>[grid1_xnsj2b23.xlsx]Municipals!R11C5</stp>
        <tr r="E11" s="2"/>
      </tp>
      <tp t="s">
        <v>Burlingame School District</v>
        <stp/>
        <stp>##V3_BDPV12</stp>
        <stp>121457FD Muni</stp>
        <stp>LONG_COMP_NAME</stp>
        <stp>[grid1_xnsj2b23.xlsx]Municipals!R43C2</stp>
        <tr r="B43" s="2"/>
      </tp>
      <tp t="s">
        <v>San Mateo Union High School District</v>
        <stp/>
        <stp>##V3_BDPV12</stp>
        <stp>799017DG Muni</stp>
        <stp>LONG_COMP_NAME</stp>
        <stp>[grid1_xnsj2b23.xlsx]Municipals!R14C2</stp>
        <tr r="B14" s="2"/>
      </tp>
      <tp t="s">
        <v>8/1/2027</v>
        <stp/>
        <stp>##V3_BDPV12</stp>
        <stp>652113WW Muni</stp>
        <stp>MATURITY</stp>
        <stp>[grid1_xnsj2b23.xlsx]Municipals!R24C6</stp>
        <tr r="F24" s="2"/>
      </tp>
      <tp t="s">
        <v>8/1/2026</v>
        <stp/>
        <stp>##V3_BDPV12</stp>
        <stp>012086CR Muni</stp>
        <stp>MATURITY</stp>
        <stp>[grid1_xnsj2b23.xlsx]Municipals!R45C6</stp>
        <tr r="F45" s="2"/>
      </tp>
      <tp t="s">
        <v>San Mateo Union High School District</v>
        <stp/>
        <stp>##V3_BDPV12</stp>
        <stp>799017TJ Muni</stp>
        <stp>LONG_COMP_NAME</stp>
        <stp>[grid1_xnsj2b23.xlsx]Municipals!R28C2</stp>
        <tr r="B28" s="2"/>
      </tp>
      <tp t="s">
        <v>5/9/2012</v>
        <stp/>
        <stp>##V3_BDPV12</stp>
        <stp>652113WW Muni</stp>
        <stp>MUNI_DATED_DT</stp>
        <stp>[grid1_xnsj2b23.xlsx]Municipals!R24C5</stp>
        <tr r="E24" s="2"/>
      </tp>
      <tp t="s">
        <v>CA</v>
        <stp/>
        <stp>##V3_BDPV12</stp>
        <stp>797646A7 Muni</stp>
        <stp>STATE_CODE</stp>
        <stp>[grid1_xnsj2b23.xlsx]Municipals!R8C3</stp>
        <tr r="C8" s="2"/>
      </tp>
      <tp t="s">
        <v>652113WW7</v>
        <stp/>
        <stp>##V3_BDPV12</stp>
        <stp>652113WW Muni</stp>
        <stp>ID_CUSIP</stp>
        <stp>[grid1_xnsj2b23.xlsx]Municipals!R24C1</stp>
        <tr r="A24" s="2"/>
      </tp>
      <tp t="s">
        <v>012086CR3</v>
        <stp/>
        <stp>##V3_BDPV12</stp>
        <stp>012086CR Muni</stp>
        <stp>ID_CUSIP</stp>
        <stp>[grid1_xnsj2b23.xlsx]Municipals!R45C1</stp>
        <tr r="A45" s="2"/>
      </tp>
      <tp t="s">
        <v>Los Angeles Community College District/CA</v>
        <stp/>
        <stp>##V3_BDPV12</stp>
        <stp>54438CPY Muni</stp>
        <stp>LONG_COMP_NAME</stp>
        <stp>[grid1_xnsj2b23.xlsx]Municipals!R27C2</stp>
        <tr r="B27" s="2"/>
      </tp>
      <tp t="s">
        <v>7/21/2011</v>
        <stp/>
        <stp>##V3_BDPV12</stp>
        <stp>797272JG Muni</stp>
        <stp>MUNI_DATED_DT</stp>
        <stp>[grid1_xnsj2b23.xlsx]Municipals!R33C5</stp>
        <tr r="E33" s="2"/>
      </tp>
      <tp>
        <v>4</v>
        <stp/>
        <stp>##V3_BDPV12</stp>
        <stp>797646ZK Muni</stp>
        <stp>CPN</stp>
        <stp>[grid1_xnsj2b23.xlsx]Municipals!R6C4</stp>
        <tr r="D6" s="2"/>
      </tp>
      <tp t="s">
        <v>San Mateo Union High School District</v>
        <stp/>
        <stp>##V3_BDPV12</stp>
        <stp>799017FZ Muni</stp>
        <stp>LONG_COMP_NAME</stp>
        <stp>[grid1_xnsj2b23.xlsx]Municipals!R26C2</stp>
        <tr r="B26" s="2"/>
      </tp>
      <tp t="s">
        <v>7/24/2002</v>
        <stp/>
        <stp>##V3_BDPV12</stp>
        <stp>799017CH Muni</stp>
        <stp>MUNI_DATED_DT</stp>
        <stp>[grid1_xnsj2b23.xlsx]Municipals!R35C5</stp>
        <tr r="E35" s="2"/>
      </tp>
      <tp t="s">
        <v>3/22/2012</v>
        <stp/>
        <stp>##V3_BDPV12</stp>
        <stp>797272LT Muni</stp>
        <stp>MUNI_DATED_DT</stp>
        <stp>[grid1_xnsj2b23.xlsx]Municipals!R17C5</stp>
        <tr r="E17" s="2"/>
      </tp>
      <tp t="s">
        <v>617403CL2</v>
        <stp/>
        <stp>##V3_BDPV12</stp>
        <stp>617403CL Muni</stp>
        <stp>ID_CUSIP</stp>
        <stp>[grid1_xnsj2b23.xlsx]Municipals!R13C1</stp>
        <tr r="A13" s="2"/>
      </tp>
      <tp t="s">
        <v>City &amp; County of San Francisco CA</v>
        <stp/>
        <stp>##V3_BDPV12</stp>
        <stp>797646YP Muni</stp>
        <stp>LONG_COMP_NAME</stp>
        <stp>[grid1_xnsj2b23.xlsx]Municipals!R18C2</stp>
        <tr r="B18" s="2"/>
      </tp>
      <tp t="s">
        <v>6/1/2007</v>
        <stp/>
        <stp>##V3_BDPV12</stp>
        <stp>13063CH3 Muni</stp>
        <stp>MUNI_DATED_DT</stp>
        <stp>[grid1_xnsj2b23.xlsx]Municipals!R42C5</stp>
        <tr r="E42" s="2"/>
      </tp>
      <tp t="s">
        <v>652113UL3</v>
        <stp/>
        <stp>##V3_BDPV12</stp>
        <stp>652113UL Muni</stp>
        <stp>ID_CUSIP</stp>
        <stp>[grid1_xnsj2b23.xlsx]Municipals!R10C1</stp>
        <tr r="A10" s="2"/>
      </tp>
      <tp t="s">
        <v>799017TJ7</v>
        <stp/>
        <stp>##V3_BDPV12</stp>
        <stp>799017TJ Muni</stp>
        <stp>ID_CUSIP</stp>
        <stp>[grid1_xnsj2b23.xlsx]Municipals!R28C1</stp>
        <tr r="A28" s="2"/>
      </tp>
      <tp t="s">
        <v>121457FD2</v>
        <stp/>
        <stp>##V3_BDPV12</stp>
        <stp>121457FD Muni</stp>
        <stp>ID_CUSIP</stp>
        <stp>[grid1_xnsj2b23.xlsx]Municipals!R43C1</stp>
        <tr r="A43" s="2"/>
      </tp>
      <tp t="s">
        <v>231237A73</v>
        <stp/>
        <stp>##V3_BDPV12</stp>
        <stp>231237A7 Muni</stp>
        <stp>ID_CUSIP</stp>
        <stp>[grid1_xnsj2b23.xlsx]Municipals!R32C1</stp>
        <tr r="A32" s="2"/>
      </tp>
      <tp t="s">
        <v>State of California</v>
        <stp/>
        <stp>##V3_BDPV12</stp>
        <stp>13063AZV Muni</stp>
        <stp>LONG_COMP_NAME</stp>
        <stp>[grid1_xnsj2b23.xlsx]Municipals!R19C2</stp>
        <tr r="B19" s="2"/>
      </tp>
      <tp t="s">
        <v>797646QG4</v>
        <stp/>
        <stp>##V3_BDPV12</stp>
        <stp>797646QG Muni</stp>
        <stp>ID_CUSIP</stp>
        <stp>[grid1_xnsj2b23.xlsx]Municipals!R38C1</stp>
        <tr r="A38" s="2"/>
      </tp>
      <tp t="s">
        <v>797646YP5</v>
        <stp/>
        <stp>##V3_BDPV12</stp>
        <stp>797646YP Muni</stp>
        <stp>ID_CUSIP</stp>
        <stp>[grid1_xnsj2b23.xlsx]Municipals!R18C1</stp>
        <tr r="A18" s="2"/>
      </tp>
      <tp t="s">
        <v>799017RF7</v>
        <stp/>
        <stp>##V3_BDPV12</stp>
        <stp>799017RF Muni</stp>
        <stp>ID_CUSIP</stp>
        <stp>[grid1_xnsj2b23.xlsx]Municipals!R39C1</stp>
        <tr r="A39" s="2"/>
      </tp>
      <tp t="s">
        <v>San Mateo Union High School District</v>
        <stp/>
        <stp>##V3_BDPV12</stp>
        <stp>799017NZ Muni</stp>
        <stp>LONG_COMP_NAME</stp>
        <stp>[grid1_xnsj2b23.xlsx]Municipals!R22C2</stp>
        <tr r="B22" s="2"/>
      </tp>
      <tp t="s">
        <v>10/23/2007</v>
        <stp/>
        <stp>##V3_BDPV12</stp>
        <stp>54438CJK Muni</stp>
        <stp>MUNI_DATED_DT</stp>
        <stp>[grid1_xnsj2b23.xlsx]Municipals!R25C5</stp>
        <tr r="E25" s="2"/>
      </tp>
      <tp t="s">
        <v>6/1/2007</v>
        <stp/>
        <stp>##V3_BDPV12</stp>
        <stp>13063CH4 Muni</stp>
        <stp>MUNI_DATED_DT</stp>
        <stp>[grid1_xnsj2b23.xlsx]Municipals!R20C5</stp>
        <tr r="E20" s="2"/>
      </tp>
      <tp t="s">
        <v>6/1/2007</v>
        <stp/>
        <stp>##V3_BDPV12</stp>
        <stp>13063CJ2 Muni</stp>
        <stp>MUNI_DATED_DT</stp>
        <stp>[grid1_xnsj2b23.xlsx]Municipals!R12C5</stp>
        <tr r="E12" s="2"/>
      </tp>
      <tp t="s">
        <v>231237D88</v>
        <stp/>
        <stp>##V3_BDPV12</stp>
        <stp>231237D8 Muni</stp>
        <stp>ID_CUSIP</stp>
        <stp>[grid1_xnsj2b23.xlsx]Municipals!R41C1</stp>
        <tr r="A41" s="2"/>
      </tp>
      <tp t="s">
        <v>2/17/2010</v>
        <stp/>
        <stp>##V3_BDPV12</stp>
        <stp>799017FZ Muni</stp>
        <stp>MUNI_DATED_DT</stp>
        <stp>[grid1_xnsj2b23.xlsx]Municipals!R26C5</stp>
        <tr r="E26" s="2"/>
      </tp>
      <tp t="s">
        <v>9/23/2008</v>
        <stp/>
        <stp>##V3_BDPV12</stp>
        <stp>54438CKR Muni</stp>
        <stp>MUNI_DATED_DT</stp>
        <stp>[grid1_xnsj2b23.xlsx]Municipals!R16C5</stp>
        <tr r="E16" s="2"/>
      </tp>
      <tp t="s">
        <v>3/4/2004</v>
        <stp/>
        <stp>##V3_BDPV12</stp>
        <stp>799017DG Muni</stp>
        <stp>MUNI_DATED_DT</stp>
        <stp>[grid1_xnsj2b23.xlsx]Municipals!R14C5</stp>
        <tr r="E14" s="2"/>
      </tp>
      <tp t="s">
        <v>797272PT2</v>
        <stp/>
        <stp>##V3_BDPV12</stp>
        <stp>797272PT Muni</stp>
        <stp>ID_CUSIP</stp>
        <stp>[grid1_xnsj2b23.xlsx]Municipals!R21C1</stp>
        <tr r="A21" s="2"/>
      </tp>
      <tp t="s">
        <v>697634ZV8</v>
        <stp/>
        <stp>##V3_BDPV12</stp>
        <stp>697634ZV Muni</stp>
        <stp>ID_CUSIP</stp>
        <stp>[grid1_xnsj2b23.xlsx]Municipals!R37C1</stp>
        <tr r="A37" s="2"/>
      </tp>
      <tp t="s">
        <v>799017NH7</v>
        <stp/>
        <stp>##V3_BDPV12</stp>
        <stp>799017NH Muni</stp>
        <stp>ID_CUSIP</stp>
        <stp>[grid1_xnsj2b23.xlsx]Municipals!R34C1</stp>
        <tr r="A34" s="2"/>
      </tp>
      <tp t="s">
        <v>799017DG0</v>
        <stp/>
        <stp>##V3_BDPV12</stp>
        <stp>799017DG Muni</stp>
        <stp>ID_CUSIP</stp>
        <stp>[grid1_xnsj2b23.xlsx]Municipals!R14C1</stp>
        <tr r="A14" s="2"/>
      </tp>
      <tp>
        <v>4</v>
        <stp/>
        <stp>##V3_BDPV12</stp>
        <stp>56781RDM Muni</stp>
        <stp>CPN</stp>
        <stp>[grid1_xnsj2b23.xlsx]Municipals!R7C4</stp>
        <tr r="D7" s="2"/>
      </tp>
      <tp t="s">
        <v>088023LN4</v>
        <stp/>
        <stp>##V3_BDPV12</stp>
        <stp>088023LN Muni</stp>
        <stp>ID_CUSIP</stp>
        <stp>[grid1_xnsj2b23.xlsx]Municipals!R40C1</stp>
        <tr r="A40" s="2"/>
      </tp>
      <tp t="s">
        <v>799017CH9</v>
        <stp/>
        <stp>##V3_BDPV12</stp>
        <stp>799017CH Muni</stp>
        <stp>ID_CUSIP</stp>
        <stp>[grid1_xnsj2b23.xlsx]Municipals!R35C1</stp>
        <tr r="A35" s="2"/>
      </tp>
      <tp t="s">
        <v>CA</v>
        <stp/>
        <stp>##V3_BDPV12</stp>
        <stp>190335DF Muni</stp>
        <stp>STATE_CODE</stp>
        <stp>[grid1_xnsj2b23.xlsx]Municipals!R3C3</stp>
        <tr r="C3" s="2"/>
      </tp>
      <tp t="s">
        <v>Beverly Hills Unified School District CA</v>
        <stp/>
        <stp>##V3_BDPV12</stp>
        <stp>088023LP Muni</stp>
        <stp>LONG_COMP_NAME</stp>
        <stp>[grid1_xnsj2b23.xlsx]Municipals!R44C2</stp>
        <tr r="B44" s="2"/>
      </tp>
      <tp t="s">
        <v>2/26/2002</v>
        <stp/>
        <stp>##V3_BDPV12</stp>
        <stp>617403CL Muni</stp>
        <stp>MUNI_DATED_DT</stp>
        <stp>[grid1_xnsj2b23.xlsx]Municipals!R13C5</stp>
        <tr r="E13" s="2"/>
      </tp>
      <tp t="s">
        <v>4/10/2014</v>
        <stp/>
        <stp>##V3_BDPV12</stp>
        <stp>231237D8 Muni</stp>
        <stp>MUNI_DATED_DT</stp>
        <stp>[grid1_xnsj2b23.xlsx]Municipals!R41C5</stp>
        <tr r="E41" s="2"/>
      </tp>
      <tp t="s">
        <v>084113QL6</v>
        <stp/>
        <stp>##V3_BDPV12</stp>
        <stp>084113QL Muni</stp>
        <stp>ID_CUSIP</stp>
        <stp>[grid1_xnsj2b23.xlsx]Municipals!R23C1</stp>
        <tr r="A23" s="2"/>
      </tp>
      <tp t="s">
        <v>797272JG7</v>
        <stp/>
        <stp>##V3_BDPV12</stp>
        <stp>797272JG Muni</stp>
        <stp>ID_CUSIP</stp>
        <stp>[grid1_xnsj2b23.xlsx]Municipals!R33C1</stp>
        <tr r="A33" s="2"/>
      </tp>
      <tp t="s">
        <v>799017FZ6</v>
        <stp/>
        <stp>##V3_BDPV12</stp>
        <stp>799017FZ Muni</stp>
        <stp>ID_CUSIP</stp>
        <stp>[grid1_xnsj2b23.xlsx]Municipals!R26C1</stp>
        <tr r="A26" s="2"/>
      </tp>
      <tp t="s">
        <v>Palos Verdes Peninsula Unified School District</v>
        <stp/>
        <stp>##V3_BDPV12</stp>
        <stp>697634ZV Muni</stp>
        <stp>LONG_COMP_NAME</stp>
        <stp>[grid1_xnsj2b23.xlsx]Municipals!R37C2</stp>
        <tr r="B37" s="2"/>
      </tp>
      <tp t="s">
        <v>CA</v>
        <stp/>
        <stp>##V3_BDPV12</stp>
        <stp>56781RDM Muni</stp>
        <stp>STATE_CODE</stp>
        <stp>[grid1_xnsj2b23.xlsx]Municipals!R7C3</stp>
        <tr r="C7" s="2"/>
      </tp>
      <tp t="s">
        <v>San Diego Community College District</v>
        <stp/>
        <stp>##V3_BDPV12</stp>
        <stp>797272PT Muni</stp>
        <stp>LONG_COMP_NAME</stp>
        <stp>[grid1_xnsj2b23.xlsx]Municipals!R21C2</stp>
        <tr r="B21" s="2"/>
      </tp>
      <tp t="s">
        <v>8/14/2007</v>
        <stp/>
        <stp>##V3_BDPV12</stp>
        <stp>012086CR Muni</stp>
        <stp>MUNI_DATED_DT</stp>
        <stp>[grid1_xnsj2b23.xlsx]Municipals!R45C5</stp>
        <tr r="E45" s="2"/>
      </tp>
      <tp t="s">
        <v>Los Angeles Community College District/CA</v>
        <stp/>
        <stp>##V3_BDPV12</stp>
        <stp>54438CKR Muni</stp>
        <stp>LONG_COMP_NAME</stp>
        <stp>[grid1_xnsj2b23.xlsx]Municipals!R16C2</stp>
        <tr r="B16" s="2"/>
      </tp>
      <tp t="s">
        <v>City of Albany CA</v>
        <stp/>
        <stp>##V3_BDPV12</stp>
        <stp>012086CR Muni</stp>
        <stp>LONG_COMP_NAME</stp>
        <stp>[grid1_xnsj2b23.xlsx]Municipals!R45C2</stp>
        <tr r="B45" s="2"/>
      </tp>
      <tp t="s">
        <v>2/23/2017</v>
        <stp/>
        <stp>##V3_BDPV12</stp>
        <stp>088023LN Muni</stp>
        <stp>MUNI_DATED_DT</stp>
        <stp>[grid1_xnsj2b23.xlsx]Municipals!R40C5</stp>
        <tr r="E40" s="2"/>
      </tp>
      <tp t="s">
        <v>4/30/2013</v>
        <stp/>
        <stp>##V3_BDPV12</stp>
        <stp>121457FD Muni</stp>
        <stp>MUNI_DATED_DT</stp>
        <stp>[grid1_xnsj2b23.xlsx]Municipals!R43C5</stp>
        <tr r="E43" s="2"/>
      </tp>
      <tp t="s">
        <v>798866ZG7</v>
        <stp/>
        <stp>##V3_BDPV12</stp>
        <stp>798866ZG Muni</stp>
        <stp>ID_CUSIP</stp>
        <stp>[grid1_xnsj2b23.xlsx]Municipals!R46C1</stp>
        <tr r="A46" s="2"/>
      </tp>
      <tp t="s">
        <v>5/19/2015</v>
        <stp/>
        <stp>##V3_BDPV12</stp>
        <stp>799017NZ Muni</stp>
        <stp>MUNI_DATED_DT</stp>
        <stp>[grid1_xnsj2b23.xlsx]Municipals!R22C5</stp>
        <tr r="E22" s="2"/>
      </tp>
      <tp t="s">
        <v>9/9/2015</v>
        <stp/>
        <stp>##V3_BDPV12</stp>
        <stp>088023KN Muni</stp>
        <stp>MUNI_DATED_DT</stp>
        <stp>[grid1_xnsj2b23.xlsx]Municipals!R36C5</stp>
        <tr r="E36" s="2"/>
      </tp>
      <tp t="s">
        <v>6/13/2013</v>
        <stp/>
        <stp>##V3_BDPV12</stp>
        <stp>231237A7 Muni</stp>
        <stp>MUNI_DATED_DT</stp>
        <stp>[grid1_xnsj2b23.xlsx]Municipals!R32C5</stp>
        <tr r="E32" s="2"/>
      </tp>
      <tp t="s">
        <v>797646V45</v>
        <stp/>
        <stp>##V3_BDPV12</stp>
        <stp>797646V4 Muni</stp>
        <stp>ID_CUSIP</stp>
        <stp>[grid1_xnsj2b23.xlsx]Municipals!R11C1</stp>
        <tr r="A11" s="2"/>
      </tp>
      <tp>
        <v>0</v>
        <stp/>
        <stp>##V3_BDPV12</stp>
        <stp>190335DF Muni</stp>
        <stp>CPN</stp>
        <stp>[grid1_xnsj2b23.xlsx]Municipals!R3C4</stp>
        <tr r="D3" s="2"/>
      </tp>
      <tp t="s">
        <v>San Diego Community College District</v>
        <stp/>
        <stp>##V3_BDPV12</stp>
        <stp>797272LT Muni</stp>
        <stp>LONG_COMP_NAME</stp>
        <stp>[grid1_xnsj2b23.xlsx]Municipals!R17C2</stp>
        <tr r="B17" s="2"/>
      </tp>
      <tp t="s">
        <v>088023LP9</v>
        <stp/>
        <stp>##V3_BDPV12</stp>
        <stp>088023LP Muni</stp>
        <stp>ID_CUSIP</stp>
        <stp>[grid1_xnsj2b23.xlsx]Municipals!R44C1</stp>
        <tr r="A44" s="2"/>
      </tp>
      <tp t="s">
        <v>11/13/2014</v>
        <stp/>
        <stp>##V3_BDPV12</stp>
        <stp>799017NH Muni</stp>
        <stp>MUNI_DATED_DT</stp>
        <stp>[grid1_xnsj2b23.xlsx]Municipals!R34C5</stp>
        <tr r="E34" s="2"/>
      </tp>
      <tp t="s">
        <v>799017NZ7</v>
        <stp/>
        <stp>##V3_BDPV12</stp>
        <stp>799017NZ Muni</stp>
        <stp>ID_CUSIP</stp>
        <stp>[grid1_xnsj2b23.xlsx]Municipals!R22C1</stp>
        <tr r="A22" s="2"/>
      </tp>
      <tp t="s">
        <v>121457HA6</v>
        <stp/>
        <stp>##V3_BDPV12</stp>
        <stp>121457HA Muni</stp>
        <stp>ID_CUSIP</stp>
        <stp>[grid1_xnsj2b23.xlsx]Municipals!R29C1</stp>
        <tr r="A29" s="2"/>
      </tp>
      <tp t="s">
        <v>797272LT6</v>
        <stp/>
        <stp>##V3_BDPV12</stp>
        <stp>797272LT Muni</stp>
        <stp>ID_CUSIP</stp>
        <stp>[grid1_xnsj2b23.xlsx]Municipals!R17C1</stp>
        <tr r="A17" s="2"/>
      </tp>
      <tp>
        <v>5</v>
        <stp/>
        <stp>##V3_BDPV12</stp>
        <stp>797272PD Muni</stp>
        <stp>CPN</stp>
        <stp>[grid1_xnsj2b23.xlsx]Municipals!R2C4</stp>
        <tr r="D2" s="2"/>
      </tp>
      <tp t="s">
        <v>2/23/2017</v>
        <stp/>
        <stp>##V3_BDPV12</stp>
        <stp>088023LP Muni</stp>
        <stp>MUNI_DATED_DT</stp>
        <stp>[grid1_xnsj2b23.xlsx]Municipals!R44C5</stp>
        <tr r="E44" s="2"/>
      </tp>
      <tp>
        <v>5</v>
        <stp/>
        <stp>##V3_BDPV12</stp>
        <stp>54438CTB Muni</stp>
        <stp>CPN</stp>
        <stp>[grid1_xnsj2b23.xlsx]Municipals!R5C4</stp>
        <tr r="D5" s="2"/>
      </tp>
      <tp t="s">
        <v>6/30/2016</v>
        <stp/>
        <stp>##V3_BDPV12</stp>
        <stp>121457HA Muni</stp>
        <stp>MUNI_DATED_DT</stp>
        <stp>[grid1_xnsj2b23.xlsx]Municipals!R29C5</stp>
        <tr r="E29" s="2"/>
      </tp>
      <tp t="s">
        <v>088023KN5</v>
        <stp/>
        <stp>##V3_BDPV12</stp>
        <stp>088023KN Muni</stp>
        <stp>ID_CUSIP</stp>
        <stp>[grid1_xnsj2b23.xlsx]Municipals!R36C1</stp>
        <tr r="A36" s="2"/>
      </tp>
      <tp t="s">
        <v>Newport Mesa Unified School District</v>
        <stp/>
        <stp>##V3_BDPV12</stp>
        <stp>652113WW Muni</stp>
        <stp>LONG_COMP_NAME</stp>
        <stp>[grid1_xnsj2b23.xlsx]Municipals!R24C2</stp>
        <tr r="B24" s="2"/>
      </tp>
      <tp t="s">
        <v>CA</v>
        <stp/>
        <stp>##V3_BDPV12</stp>
        <stp>231237A7 Muni</stp>
        <stp>STATE_CODE</stp>
        <stp>[grid1_xnsj2b23.xlsx]Municipals!R32C3</stp>
        <tr r="C32" s="2"/>
      </tp>
      <tp t="s">
        <v>CA</v>
        <stp/>
        <stp>##V3_BDPV12</stp>
        <stp>13063CH3 Muni</stp>
        <stp>STATE_CODE</stp>
        <stp>[grid1_xnsj2b23.xlsx]Municipals!R42C3</stp>
        <tr r="C42" s="2"/>
      </tp>
      <tp t="s">
        <v>CA</v>
        <stp/>
        <stp>##V3_BDPV12</stp>
        <stp>13063CJ2 Muni</stp>
        <stp>STATE_CODE</stp>
        <stp>[grid1_xnsj2b23.xlsx]Municipals!R12C3</stp>
        <tr r="C12" s="2"/>
      </tp>
      <tp t="s">
        <v>CA</v>
        <stp/>
        <stp>##V3_BDPV12</stp>
        <stp>797646V4 Muni</stp>
        <stp>STATE_CODE</stp>
        <stp>[grid1_xnsj2b23.xlsx]Municipals!R11C3</stp>
        <tr r="C11" s="2"/>
      </tp>
      <tp t="s">
        <v>CA</v>
        <stp/>
        <stp>##V3_BDPV12</stp>
        <stp>13063CH4 Muni</stp>
        <stp>STATE_CODE</stp>
        <stp>[grid1_xnsj2b23.xlsx]Municipals!R20C3</stp>
        <tr r="C20" s="2"/>
      </tp>
      <tp t="s">
        <v>CA</v>
        <stp/>
        <stp>##V3_BDPV12</stp>
        <stp>231237D8 Muni</stp>
        <stp>STATE_CODE</stp>
        <stp>[grid1_xnsj2b23.xlsx]Municipals!R41C3</stp>
        <tr r="C41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workbookViewId="0">
      <selection activeCell="A2" sqref="A2:A46"/>
    </sheetView>
  </sheetViews>
  <sheetFormatPr defaultRowHeight="15" x14ac:dyDescent="0.25"/>
  <cols>
    <col min="1" max="1" width="11.7109375" bestFit="1" customWidth="1"/>
    <col min="2" max="2" width="42.7109375" bestFit="1" customWidth="1"/>
    <col min="3" max="6" width="9.140625" bestFit="1" customWidth="1"/>
    <col min="7" max="8" width="13" bestFit="1" customWidth="1"/>
  </cols>
  <sheetData>
    <row r="1" spans="1:8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x14ac:dyDescent="0.25">
      <c r="A2" t="str">
        <f>_xll.BDP("797272PD Muni","ID_CUSIP")</f>
        <v>797272PD7</v>
      </c>
      <c r="B2" t="str">
        <f>_xll.BDP("797272PD Muni","LONG_COMP_NAME")</f>
        <v>San Diego Community College District</v>
      </c>
      <c r="C2" t="str">
        <f>_xll.BDP("797272PD Muni","STATE_CODE")</f>
        <v>CA</v>
      </c>
      <c r="D2">
        <f>_xll.BDP("797272PD Muni","CPN")</f>
        <v>5</v>
      </c>
      <c r="E2" t="str">
        <f>_xll.BDP("797272PD Muni","MUNI_DATED_DT")</f>
        <v>11/3/2016</v>
      </c>
      <c r="F2" t="str">
        <f>_xll.BDP("797272PD Muni","MATURITY")</f>
        <v>8/1/2026</v>
      </c>
      <c r="G2">
        <v>6925000</v>
      </c>
      <c r="H2">
        <v>6925000</v>
      </c>
    </row>
    <row r="3" spans="1:8" x14ac:dyDescent="0.25">
      <c r="A3" t="str">
        <f>_xll.BDP("190335DF Muni","ID_CUSIP")</f>
        <v>190335DF3</v>
      </c>
      <c r="B3" t="str">
        <f>_xll.BDP("190335DF Muni","LONG_COMP_NAME")</f>
        <v>Coast Community College District</v>
      </c>
      <c r="C3" t="str">
        <f>_xll.BDP("190335DF Muni","STATE_CODE")</f>
        <v>CA</v>
      </c>
      <c r="D3">
        <f>_xll.BDP("190335DF Muni","CPN")</f>
        <v>0</v>
      </c>
      <c r="E3" t="str">
        <f>_xll.BDP("190335DF Muni","MUNI_DATED_DT")</f>
        <v>7/19/2006</v>
      </c>
      <c r="F3" t="str">
        <f>_xll.BDP("190335DF Muni","MATURITY")</f>
        <v>8/1/2027</v>
      </c>
      <c r="G3">
        <v>9694000</v>
      </c>
      <c r="H3">
        <v>27675000</v>
      </c>
    </row>
    <row r="4" spans="1:8" x14ac:dyDescent="0.25">
      <c r="A4" t="str">
        <f>_xll.BDP("797646V5 Muni","ID_CUSIP")</f>
        <v>797646V52</v>
      </c>
      <c r="B4" t="str">
        <f>_xll.BDP("797646V5 Muni","LONG_COMP_NAME")</f>
        <v>City &amp; County of San Francisco CA</v>
      </c>
      <c r="C4" t="str">
        <f>_xll.BDP("797646V5 Muni","STATE_CODE")</f>
        <v>CA</v>
      </c>
      <c r="D4">
        <f>_xll.BDP("797646V5 Muni","CPN")</f>
        <v>4</v>
      </c>
      <c r="E4" t="str">
        <f>_xll.BDP("797646V5 Muni","MUNI_DATED_DT")</f>
        <v>2/1/2017</v>
      </c>
      <c r="F4" t="str">
        <f>_xll.BDP("797646V5 Muni","MATURITY")</f>
        <v>6/15/2027</v>
      </c>
      <c r="G4">
        <v>6620000</v>
      </c>
      <c r="H4">
        <v>6620000</v>
      </c>
    </row>
    <row r="5" spans="1:8" x14ac:dyDescent="0.25">
      <c r="A5" t="str">
        <f>_xll.BDP("54438CTB Muni","ID_CUSIP")</f>
        <v>54438CTB8</v>
      </c>
      <c r="B5" t="str">
        <f>_xll.BDP("54438CTB Muni","LONG_COMP_NAME")</f>
        <v>Los Angeles Community College District/CA</v>
      </c>
      <c r="C5" t="str">
        <f>_xll.BDP("54438CTB Muni","STATE_CODE")</f>
        <v>CA</v>
      </c>
      <c r="D5">
        <f>_xll.BDP("54438CTB Muni","CPN")</f>
        <v>5</v>
      </c>
      <c r="E5" t="str">
        <f>_xll.BDP("54438CTB Muni","MUNI_DATED_DT")</f>
        <v>1/8/2015</v>
      </c>
      <c r="F5" t="str">
        <f>_xll.BDP("54438CTB Muni","MATURITY")</f>
        <v>8/1/2027</v>
      </c>
      <c r="G5">
        <v>108045000</v>
      </c>
      <c r="H5">
        <v>108045000</v>
      </c>
    </row>
    <row r="6" spans="1:8" x14ac:dyDescent="0.25">
      <c r="A6" t="str">
        <f>_xll.BDP("797646ZK Muni","ID_CUSIP")</f>
        <v>797646ZK5</v>
      </c>
      <c r="B6" t="str">
        <f>_xll.BDP("797646ZK Muni","LONG_COMP_NAME")</f>
        <v>City &amp; County of San Francisco CA</v>
      </c>
      <c r="C6" t="str">
        <f>_xll.BDP("797646ZK Muni","STATE_CODE")</f>
        <v>CA</v>
      </c>
      <c r="D6">
        <f>_xll.BDP("797646ZK Muni","CPN")</f>
        <v>4</v>
      </c>
      <c r="E6" t="str">
        <f>_xll.BDP("797646ZK Muni","MUNI_DATED_DT")</f>
        <v>10/2/2014</v>
      </c>
      <c r="F6" t="str">
        <f>_xll.BDP("797646ZK Muni","MATURITY")</f>
        <v>6/15/2026</v>
      </c>
      <c r="G6">
        <v>4710000</v>
      </c>
      <c r="H6">
        <v>4710000</v>
      </c>
    </row>
    <row r="7" spans="1:8" x14ac:dyDescent="0.25">
      <c r="A7" t="str">
        <f>_xll.BDP("56781RDM Muni","ID_CUSIP")</f>
        <v>56781RDM6</v>
      </c>
      <c r="B7" t="str">
        <f>_xll.BDP("56781RDM Muni","LONG_COMP_NAME")</f>
        <v>Marin Community College District</v>
      </c>
      <c r="C7" t="str">
        <f>_xll.BDP("56781RDM Muni","STATE_CODE")</f>
        <v>CA</v>
      </c>
      <c r="D7">
        <f>_xll.BDP("56781RDM Muni","CPN")</f>
        <v>4</v>
      </c>
      <c r="E7" t="str">
        <f>_xll.BDP("56781RDM Muni","MUNI_DATED_DT")</f>
        <v>12/4/2012</v>
      </c>
      <c r="F7" t="str">
        <f>_xll.BDP("56781RDM Muni","MATURITY")</f>
        <v>8/1/2027</v>
      </c>
      <c r="G7">
        <v>5125000</v>
      </c>
      <c r="H7">
        <v>5125000</v>
      </c>
    </row>
    <row r="8" spans="1:8" x14ac:dyDescent="0.25">
      <c r="A8" t="str">
        <f>_xll.BDP("797646A7 Muni","ID_CUSIP")</f>
        <v>797646A71</v>
      </c>
      <c r="B8" t="str">
        <f>_xll.BDP("797646A7 Muni","LONG_COMP_NAME")</f>
        <v>City &amp; County of San Francisco CA</v>
      </c>
      <c r="C8" t="str">
        <f>_xll.BDP("797646A7 Muni","STATE_CODE")</f>
        <v>CA</v>
      </c>
      <c r="D8">
        <f>_xll.BDP("797646A7 Muni","CPN")</f>
        <v>5</v>
      </c>
      <c r="E8" t="str">
        <f>_xll.BDP("797646A7 Muni","MUNI_DATED_DT")</f>
        <v>2/25/2015</v>
      </c>
      <c r="F8" t="str">
        <f>_xll.BDP("797646A7 Muni","MATURITY")</f>
        <v>6/15/2026</v>
      </c>
      <c r="G8">
        <v>26440000</v>
      </c>
      <c r="H8">
        <v>26440000</v>
      </c>
    </row>
    <row r="9" spans="1:8" x14ac:dyDescent="0.25">
      <c r="A9" t="str">
        <f>_xll.BDP("54438CUU Muni","ID_CUSIP")</f>
        <v>54438CUU4</v>
      </c>
      <c r="B9" t="str">
        <f>_xll.BDP("54438CUU Muni","LONG_COMP_NAME")</f>
        <v>Los Angeles Community College District/CA</v>
      </c>
      <c r="C9" t="str">
        <f>_xll.BDP("54438CUU Muni","STATE_CODE")</f>
        <v>CA</v>
      </c>
      <c r="D9">
        <f>_xll.BDP("54438CUU Muni","CPN")</f>
        <v>5</v>
      </c>
      <c r="E9" t="str">
        <f>_xll.BDP("54438CUU Muni","MUNI_DATED_DT")</f>
        <v>6/3/2015</v>
      </c>
      <c r="F9" t="str">
        <f>_xll.BDP("54438CUU Muni","MATURITY")</f>
        <v>6/1/2026</v>
      </c>
      <c r="G9">
        <v>42420000</v>
      </c>
      <c r="H9">
        <v>42420000</v>
      </c>
    </row>
    <row r="10" spans="1:8" x14ac:dyDescent="0.25">
      <c r="A10" t="str">
        <f>_xll.BDP("652113UL Muni","ID_CUSIP")</f>
        <v>652113UL3</v>
      </c>
      <c r="B10" t="str">
        <f>_xll.BDP("652113UL Muni","LONG_COMP_NAME")</f>
        <v>Newport Mesa Unified School District</v>
      </c>
      <c r="C10" t="str">
        <f>_xll.BDP("652113UL Muni","STATE_CODE")</f>
        <v>CA</v>
      </c>
      <c r="D10">
        <f>_xll.BDP("652113UL Muni","CPN")</f>
        <v>0</v>
      </c>
      <c r="E10" t="str">
        <f>_xll.BDP("652113UL Muni","MUNI_DATED_DT")</f>
        <v>1/4/2007</v>
      </c>
      <c r="F10" t="str">
        <f>_xll.BDP("652113UL Muni","MATURITY")</f>
        <v>8/1/2027</v>
      </c>
      <c r="G10">
        <v>3230440</v>
      </c>
      <c r="H10">
        <v>7990000</v>
      </c>
    </row>
    <row r="11" spans="1:8" x14ac:dyDescent="0.25">
      <c r="A11" t="str">
        <f>_xll.BDP("797646V4 Muni","ID_CUSIP")</f>
        <v>797646V45</v>
      </c>
      <c r="B11" t="str">
        <f>_xll.BDP("797646V4 Muni","LONG_COMP_NAME")</f>
        <v>City &amp; County of San Francisco CA</v>
      </c>
      <c r="C11" t="str">
        <f>_xll.BDP("797646V4 Muni","STATE_CODE")</f>
        <v>CA</v>
      </c>
      <c r="D11">
        <f>_xll.BDP("797646V4 Muni","CPN")</f>
        <v>4</v>
      </c>
      <c r="E11" t="str">
        <f>_xll.BDP("797646V4 Muni","MUNI_DATED_DT")</f>
        <v>2/1/2017</v>
      </c>
      <c r="F11" t="str">
        <f>_xll.BDP("797646V4 Muni","MATURITY")</f>
        <v>6/15/2026</v>
      </c>
      <c r="G11">
        <v>6365000</v>
      </c>
      <c r="H11">
        <v>6365000</v>
      </c>
    </row>
    <row r="12" spans="1:8" x14ac:dyDescent="0.25">
      <c r="A12" t="str">
        <f>_xll.BDP("13063CJ2 Muni","ID_CUSIP")</f>
        <v>13063CJ27</v>
      </c>
      <c r="B12" t="str">
        <f>_xll.BDP("13063CJ2 Muni","LONG_COMP_NAME")</f>
        <v>State of California</v>
      </c>
      <c r="C12" t="str">
        <f>_xll.BDP("13063CJ2 Muni","STATE_CODE")</f>
        <v>CA</v>
      </c>
      <c r="D12">
        <f>_xll.BDP("13063CJ2 Muni","CPN")</f>
        <v>5</v>
      </c>
      <c r="E12" t="str">
        <f>_xll.BDP("13063CJ2 Muni","MUNI_DATED_DT")</f>
        <v>6/1/2007</v>
      </c>
      <c r="F12" t="str">
        <f>_xll.BDP("13063CJ2 Muni","MATURITY")</f>
        <v>6/1/2027</v>
      </c>
      <c r="G12">
        <v>41685000</v>
      </c>
      <c r="H12">
        <v>41685000</v>
      </c>
    </row>
    <row r="13" spans="1:8" x14ac:dyDescent="0.25">
      <c r="A13" t="str">
        <f>_xll.BDP("617403CL Muni","ID_CUSIP")</f>
        <v>617403CL2</v>
      </c>
      <c r="B13" t="str">
        <f>_xll.BDP("617403CL Muni","LONG_COMP_NAME")</f>
        <v>Morgan Hill Unified School District</v>
      </c>
      <c r="C13" t="str">
        <f>_xll.BDP("617403CL Muni","STATE_CODE")</f>
        <v>CA</v>
      </c>
      <c r="D13">
        <f>_xll.BDP("617403CL Muni","CPN")</f>
        <v>0</v>
      </c>
      <c r="E13" t="str">
        <f>_xll.BDP("617403CL Muni","MUNI_DATED_DT")</f>
        <v>2/26/2002</v>
      </c>
      <c r="F13" t="str">
        <f>_xll.BDP("617403CL Muni","MATURITY")</f>
        <v>8/1/2026</v>
      </c>
      <c r="G13">
        <v>1963730</v>
      </c>
      <c r="H13">
        <v>7570000</v>
      </c>
    </row>
    <row r="14" spans="1:8" x14ac:dyDescent="0.25">
      <c r="A14" t="str">
        <f>_xll.BDP("799017DG Muni","ID_CUSIP")</f>
        <v>799017DG0</v>
      </c>
      <c r="B14" t="str">
        <f>_xll.BDP("799017DG Muni","LONG_COMP_NAME")</f>
        <v>San Mateo Union High School District</v>
      </c>
      <c r="C14" t="str">
        <f>_xll.BDP("799017DG Muni","STATE_CODE")</f>
        <v>CA</v>
      </c>
      <c r="D14">
        <f>_xll.BDP("799017DG Muni","CPN")</f>
        <v>0</v>
      </c>
      <c r="E14" t="str">
        <f>_xll.BDP("799017DG Muni","MUNI_DATED_DT")</f>
        <v>3/4/2004</v>
      </c>
      <c r="F14" t="str">
        <f>_xll.BDP("799017DG Muni","MATURITY")</f>
        <v>9/1/2027</v>
      </c>
      <c r="G14">
        <v>4882140</v>
      </c>
      <c r="H14">
        <v>16195000</v>
      </c>
    </row>
    <row r="15" spans="1:8" x14ac:dyDescent="0.25">
      <c r="A15" t="str">
        <f>_xll.BDP("54438CTA Muni","ID_CUSIP")</f>
        <v>54438CTA0</v>
      </c>
      <c r="B15" t="str">
        <f>_xll.BDP("54438CTA Muni","LONG_COMP_NAME")</f>
        <v>Los Angeles Community College District/CA</v>
      </c>
      <c r="C15" t="str">
        <f>_xll.BDP("54438CTA Muni","STATE_CODE")</f>
        <v>CA</v>
      </c>
      <c r="D15">
        <f>_xll.BDP("54438CTA Muni","CPN")</f>
        <v>5</v>
      </c>
      <c r="E15" t="str">
        <f>_xll.BDP("54438CTA Muni","MUNI_DATED_DT")</f>
        <v>1/8/2015</v>
      </c>
      <c r="F15" t="str">
        <f>_xll.BDP("54438CTA Muni","MATURITY")</f>
        <v>8/1/2026</v>
      </c>
      <c r="G15">
        <v>56870000</v>
      </c>
      <c r="H15">
        <v>56870000</v>
      </c>
    </row>
    <row r="16" spans="1:8" x14ac:dyDescent="0.25">
      <c r="A16" t="str">
        <f>_xll.BDP("54438CKR Muni","ID_CUSIP")</f>
        <v>54438CKR2</v>
      </c>
      <c r="B16" t="str">
        <f>_xll.BDP("54438CKR Muni","LONG_COMP_NAME")</f>
        <v>Los Angeles Community College District/CA</v>
      </c>
      <c r="C16" t="str">
        <f>_xll.BDP("54438CKR Muni","STATE_CODE")</f>
        <v>CA</v>
      </c>
      <c r="D16">
        <f>_xll.BDP("54438CKR Muni","CPN")</f>
        <v>5</v>
      </c>
      <c r="E16" t="str">
        <f>_xll.BDP("54438CKR Muni","MUNI_DATED_DT")</f>
        <v>9/23/2008</v>
      </c>
      <c r="F16" t="str">
        <f>_xll.BDP("54438CKR Muni","MATURITY")</f>
        <v>8/1/2026</v>
      </c>
      <c r="G16">
        <v>15130000</v>
      </c>
      <c r="H16">
        <v>15130000</v>
      </c>
    </row>
    <row r="17" spans="1:8" x14ac:dyDescent="0.25">
      <c r="A17" t="str">
        <f>_xll.BDP("797272LT Muni","ID_CUSIP")</f>
        <v>797272LT6</v>
      </c>
      <c r="B17" t="str">
        <f>_xll.BDP("797272LT Muni","LONG_COMP_NAME")</f>
        <v>San Diego Community College District</v>
      </c>
      <c r="C17" t="str">
        <f>_xll.BDP("797272LT Muni","STATE_CODE")</f>
        <v>CA</v>
      </c>
      <c r="D17">
        <f>_xll.BDP("797272LT Muni","CPN")</f>
        <v>5</v>
      </c>
      <c r="E17" t="str">
        <f>_xll.BDP("797272LT Muni","MUNI_DATED_DT")</f>
        <v>3/22/2012</v>
      </c>
      <c r="F17" t="str">
        <f>_xll.BDP("797272LT Muni","MATURITY")</f>
        <v>8/1/2026</v>
      </c>
      <c r="G17">
        <v>23545000</v>
      </c>
      <c r="H17">
        <v>23545000</v>
      </c>
    </row>
    <row r="18" spans="1:8" x14ac:dyDescent="0.25">
      <c r="A18" t="str">
        <f>_xll.BDP("797646YP Muni","ID_CUSIP")</f>
        <v>797646YP5</v>
      </c>
      <c r="B18" t="str">
        <f>_xll.BDP("797646YP Muni","LONG_COMP_NAME")</f>
        <v>City &amp; County of San Francisco CA</v>
      </c>
      <c r="C18" t="str">
        <f>_xll.BDP("797646YP Muni","STATE_CODE")</f>
        <v>CA</v>
      </c>
      <c r="D18">
        <f>_xll.BDP("797646YP Muni","CPN")</f>
        <v>4</v>
      </c>
      <c r="E18" t="str">
        <f>_xll.BDP("797646YP Muni","MUNI_DATED_DT")</f>
        <v>10/2/2014</v>
      </c>
      <c r="F18" t="str">
        <f>_xll.BDP("797646YP Muni","MATURITY")</f>
        <v>6/15/2026</v>
      </c>
      <c r="G18">
        <v>2570000</v>
      </c>
      <c r="H18">
        <v>2570000</v>
      </c>
    </row>
    <row r="19" spans="1:8" x14ac:dyDescent="0.25">
      <c r="A19" t="str">
        <f>_xll.BDP("13063AZV Muni","ID_CUSIP")</f>
        <v>13063AZV9</v>
      </c>
      <c r="B19" t="str">
        <f>_xll.BDP("13063AZV Muni","LONG_COMP_NAME")</f>
        <v>State of California</v>
      </c>
      <c r="C19" t="str">
        <f>_xll.BDP("13063AZV Muni","STATE_CODE")</f>
        <v>CA</v>
      </c>
      <c r="D19">
        <f>_xll.BDP("13063AZV Muni","CPN")</f>
        <v>3.5</v>
      </c>
      <c r="E19" t="str">
        <f>_xll.BDP("13063AZV Muni","MUNI_DATED_DT")</f>
        <v>11/1/2006</v>
      </c>
      <c r="F19" t="str">
        <f>_xll.BDP("13063AZV Muni","MATURITY")</f>
        <v>10/1/2027</v>
      </c>
    </row>
    <row r="20" spans="1:8" x14ac:dyDescent="0.25">
      <c r="A20" t="str">
        <f>_xll.BDP("13063CH4 Muni","ID_CUSIP")</f>
        <v>13063CH45</v>
      </c>
      <c r="B20" t="str">
        <f>_xll.BDP("13063CH4 Muni","LONG_COMP_NAME")</f>
        <v>State of California</v>
      </c>
      <c r="C20" t="str">
        <f>_xll.BDP("13063CH4 Muni","STATE_CODE")</f>
        <v>CA</v>
      </c>
      <c r="D20">
        <f>_xll.BDP("13063CH4 Muni","CPN")</f>
        <v>5</v>
      </c>
      <c r="E20" t="str">
        <f>_xll.BDP("13063CH4 Muni","MUNI_DATED_DT")</f>
        <v>6/1/2007</v>
      </c>
      <c r="F20" t="str">
        <f>_xll.BDP("13063CH4 Muni","MATURITY")</f>
        <v>6/1/2027</v>
      </c>
      <c r="G20">
        <v>26740000</v>
      </c>
      <c r="H20">
        <v>26740000</v>
      </c>
    </row>
    <row r="21" spans="1:8" x14ac:dyDescent="0.25">
      <c r="A21" t="str">
        <f>_xll.BDP("797272PT Muni","ID_CUSIP")</f>
        <v>797272PT2</v>
      </c>
      <c r="B21" t="str">
        <f>_xll.BDP("797272PT Muni","LONG_COMP_NAME")</f>
        <v>San Diego Community College District</v>
      </c>
      <c r="C21" t="str">
        <f>_xll.BDP("797272PT Muni","STATE_CODE")</f>
        <v>CA</v>
      </c>
      <c r="D21">
        <f>_xll.BDP("797272PT Muni","CPN")</f>
        <v>5</v>
      </c>
      <c r="E21" t="str">
        <f>_xll.BDP("797272PT Muni","MUNI_DATED_DT")</f>
        <v>11/3/2016</v>
      </c>
      <c r="F21" t="str">
        <f>_xll.BDP("797272PT Muni","MATURITY")</f>
        <v>8/1/2027</v>
      </c>
      <c r="G21">
        <v>26315000</v>
      </c>
      <c r="H21">
        <v>26315000</v>
      </c>
    </row>
    <row r="22" spans="1:8" x14ac:dyDescent="0.25">
      <c r="A22" t="str">
        <f>_xll.BDP("799017NZ Muni","ID_CUSIP")</f>
        <v>799017NZ7</v>
      </c>
      <c r="B22" t="str">
        <f>_xll.BDP("799017NZ Muni","LONG_COMP_NAME")</f>
        <v>San Mateo Union High School District</v>
      </c>
      <c r="C22" t="str">
        <f>_xll.BDP("799017NZ Muni","STATE_CODE")</f>
        <v>CA</v>
      </c>
      <c r="D22">
        <f>_xll.BDP("799017NZ Muni","CPN")</f>
        <v>5</v>
      </c>
      <c r="E22" t="str">
        <f>_xll.BDP("799017NZ Muni","MUNI_DATED_DT")</f>
        <v>5/19/2015</v>
      </c>
      <c r="F22" t="str">
        <f>_xll.BDP("799017NZ Muni","MATURITY")</f>
        <v>9/1/2026</v>
      </c>
      <c r="G22">
        <v>1545000</v>
      </c>
      <c r="H22">
        <v>1545000</v>
      </c>
    </row>
    <row r="23" spans="1:8" x14ac:dyDescent="0.25">
      <c r="A23" t="str">
        <f>_xll.BDP("084113QL Muni","ID_CUSIP")</f>
        <v>084113QL6</v>
      </c>
      <c r="B23" t="str">
        <f>_xll.BDP("084113QL Muni","LONG_COMP_NAME")</f>
        <v>City of Berkeley CA</v>
      </c>
      <c r="C23" t="str">
        <f>_xll.BDP("084113QL Muni","STATE_CODE")</f>
        <v>CA</v>
      </c>
      <c r="D23">
        <f>_xll.BDP("084113QL Muni","CPN")</f>
        <v>3.25</v>
      </c>
      <c r="E23" t="str">
        <f>_xll.BDP("084113QL Muni","MUNI_DATED_DT")</f>
        <v>1/21/2014</v>
      </c>
      <c r="F23" t="str">
        <f>_xll.BDP("084113QL Muni","MATURITY")</f>
        <v>9/1/2026</v>
      </c>
      <c r="G23">
        <v>430000</v>
      </c>
      <c r="H23">
        <v>430000</v>
      </c>
    </row>
    <row r="24" spans="1:8" x14ac:dyDescent="0.25">
      <c r="A24" t="str">
        <f>_xll.BDP("652113WW Muni","ID_CUSIP")</f>
        <v>652113WW7</v>
      </c>
      <c r="B24" t="str">
        <f>_xll.BDP("652113WW Muni","LONG_COMP_NAME")</f>
        <v>Newport Mesa Unified School District</v>
      </c>
      <c r="C24" t="str">
        <f>_xll.BDP("652113WW Muni","STATE_CODE")</f>
        <v>CA</v>
      </c>
      <c r="D24">
        <f>_xll.BDP("652113WW Muni","CPN")</f>
        <v>5</v>
      </c>
      <c r="E24" t="str">
        <f>_xll.BDP("652113WW Muni","MUNI_DATED_DT")</f>
        <v>5/9/2012</v>
      </c>
      <c r="F24" t="str">
        <f>_xll.BDP("652113WW Muni","MATURITY")</f>
        <v>8/1/2027</v>
      </c>
      <c r="G24">
        <v>6970000</v>
      </c>
      <c r="H24">
        <v>6970000</v>
      </c>
    </row>
    <row r="25" spans="1:8" x14ac:dyDescent="0.25">
      <c r="A25" t="str">
        <f>_xll.BDP("54438CJK Muni","ID_CUSIP")</f>
        <v>54438CJK9</v>
      </c>
      <c r="B25" t="str">
        <f>_xll.BDP("54438CJK Muni","LONG_COMP_NAME")</f>
        <v>Los Angeles Community College District/CA</v>
      </c>
      <c r="C25" t="str">
        <f>_xll.BDP("54438CJK Muni","STATE_CODE")</f>
        <v>CA</v>
      </c>
      <c r="D25">
        <f>_xll.BDP("54438CJK Muni","CPN")</f>
        <v>5</v>
      </c>
      <c r="E25" t="str">
        <f>_xll.BDP("54438CJK Muni","MUNI_DATED_DT")</f>
        <v>10/23/2007</v>
      </c>
      <c r="F25" t="str">
        <f>_xll.BDP("54438CJK Muni","MATURITY")</f>
        <v>8/1/2027</v>
      </c>
    </row>
    <row r="26" spans="1:8" x14ac:dyDescent="0.25">
      <c r="A26" t="str">
        <f>_xll.BDP("799017FZ Muni","ID_CUSIP")</f>
        <v>799017FZ6</v>
      </c>
      <c r="B26" t="str">
        <f>_xll.BDP("799017FZ Muni","LONG_COMP_NAME")</f>
        <v>San Mateo Union High School District</v>
      </c>
      <c r="C26" t="str">
        <f>_xll.BDP("799017FZ Muni","STATE_CODE")</f>
        <v>CA</v>
      </c>
      <c r="D26">
        <f>_xll.BDP("799017FZ Muni","CPN")</f>
        <v>6</v>
      </c>
      <c r="E26" t="str">
        <f>_xll.BDP("799017FZ Muni","MUNI_DATED_DT")</f>
        <v>2/17/2010</v>
      </c>
      <c r="F26" t="str">
        <f>_xll.BDP("799017FZ Muni","MATURITY")</f>
        <v>9/1/2026</v>
      </c>
      <c r="G26">
        <v>2990000</v>
      </c>
      <c r="H26">
        <v>2990000</v>
      </c>
    </row>
    <row r="27" spans="1:8" x14ac:dyDescent="0.25">
      <c r="A27" t="str">
        <f>_xll.BDP("54438CPY Muni","ID_CUSIP")</f>
        <v>54438CPY2</v>
      </c>
      <c r="B27" t="str">
        <f>_xll.BDP("54438CPY Muni","LONG_COMP_NAME")</f>
        <v>Los Angeles Community College District/CA</v>
      </c>
      <c r="C27" t="str">
        <f>_xll.BDP("54438CPY Muni","STATE_CODE")</f>
        <v>CA</v>
      </c>
      <c r="D27">
        <f>_xll.BDP("54438CPY Muni","CPN")</f>
        <v>5</v>
      </c>
      <c r="E27" t="str">
        <f>_xll.BDP("54438CPY Muni","MUNI_DATED_DT")</f>
        <v>6/11/2013</v>
      </c>
      <c r="F27" t="str">
        <f>_xll.BDP("54438CPY Muni","MATURITY")</f>
        <v>8/1/2026</v>
      </c>
      <c r="G27">
        <v>8000000</v>
      </c>
      <c r="H27">
        <v>8000000</v>
      </c>
    </row>
    <row r="28" spans="1:8" x14ac:dyDescent="0.25">
      <c r="A28" t="str">
        <f>_xll.BDP("799017TJ Muni","ID_CUSIP")</f>
        <v>799017TJ7</v>
      </c>
      <c r="B28" t="str">
        <f>_xll.BDP("799017TJ Muni","LONG_COMP_NAME")</f>
        <v>San Mateo Union High School District</v>
      </c>
      <c r="C28" t="str">
        <f>_xll.BDP("799017TJ Muni","STATE_CODE")</f>
        <v>CA</v>
      </c>
      <c r="D28">
        <f>_xll.BDP("799017TJ Muni","CPN")</f>
        <v>5</v>
      </c>
      <c r="E28" t="str">
        <f>_xll.BDP("799017TJ Muni","MUNI_DATED_DT")</f>
        <v>12/20/2013</v>
      </c>
      <c r="F28" t="str">
        <f>_xll.BDP("799017TJ Muni","MATURITY")</f>
        <v>9/1/2026</v>
      </c>
      <c r="G28">
        <v>3720000</v>
      </c>
      <c r="H28">
        <v>3720000</v>
      </c>
    </row>
    <row r="29" spans="1:8" x14ac:dyDescent="0.25">
      <c r="A29" t="str">
        <f>_xll.BDP("121457HA Muni","ID_CUSIP")</f>
        <v>121457HA6</v>
      </c>
      <c r="B29" t="str">
        <f>_xll.BDP("121457HA Muni","LONG_COMP_NAME")</f>
        <v>Burlingame School District</v>
      </c>
      <c r="C29" t="str">
        <f>_xll.BDP("121457HA Muni","STATE_CODE")</f>
        <v>CA</v>
      </c>
      <c r="D29">
        <f>_xll.BDP("121457HA Muni","CPN")</f>
        <v>5</v>
      </c>
      <c r="E29" t="str">
        <f>_xll.BDP("121457HA Muni","MUNI_DATED_DT")</f>
        <v>6/30/2016</v>
      </c>
      <c r="F29" t="str">
        <f>_xll.BDP("121457HA Muni","MATURITY")</f>
        <v>8/1/2026</v>
      </c>
      <c r="G29">
        <v>990000</v>
      </c>
      <c r="H29">
        <v>990000</v>
      </c>
    </row>
    <row r="30" spans="1:8" x14ac:dyDescent="0.25">
      <c r="A30" t="str">
        <f>_xll.BDP("54438CVG Muni","ID_CUSIP")</f>
        <v>54438CVG4</v>
      </c>
      <c r="B30" t="str">
        <f>_xll.BDP("54438CVG Muni","LONG_COMP_NAME")</f>
        <v>Los Angeles Community College District/CA</v>
      </c>
      <c r="C30" t="str">
        <f>_xll.BDP("54438CVG Muni","STATE_CODE")</f>
        <v>CA</v>
      </c>
      <c r="D30">
        <f>_xll.BDP("54438CVG Muni","CPN")</f>
        <v>4</v>
      </c>
      <c r="E30" t="str">
        <f>_xll.BDP("54438CVG Muni","MUNI_DATED_DT")</f>
        <v>7/27/2016</v>
      </c>
      <c r="F30" t="str">
        <f>_xll.BDP("54438CVG Muni","MATURITY")</f>
        <v>8/1/2027</v>
      </c>
      <c r="G30">
        <v>8235000</v>
      </c>
      <c r="H30">
        <v>8235000</v>
      </c>
    </row>
    <row r="31" spans="1:8" x14ac:dyDescent="0.25">
      <c r="A31" t="str">
        <f>_xll.BDP("54438CVF Muni","ID_CUSIP")</f>
        <v>54438CVF6</v>
      </c>
      <c r="B31" t="str">
        <f>_xll.BDP("54438CVF Muni","LONG_COMP_NAME")</f>
        <v>Los Angeles Community College District/CA</v>
      </c>
      <c r="C31" t="str">
        <f>_xll.BDP("54438CVF Muni","STATE_CODE")</f>
        <v>CA</v>
      </c>
      <c r="D31">
        <f>_xll.BDP("54438CVF Muni","CPN")</f>
        <v>4</v>
      </c>
      <c r="E31" t="str">
        <f>_xll.BDP("54438CVF Muni","MUNI_DATED_DT")</f>
        <v>7/27/2016</v>
      </c>
      <c r="F31" t="str">
        <f>_xll.BDP("54438CVF Muni","MATURITY")</f>
        <v>8/1/2026</v>
      </c>
      <c r="G31">
        <v>7915000</v>
      </c>
      <c r="H31">
        <v>7915000</v>
      </c>
    </row>
    <row r="32" spans="1:8" x14ac:dyDescent="0.25">
      <c r="A32" t="str">
        <f>_xll.BDP("231237A7 Muni","ID_CUSIP")</f>
        <v>231237A73</v>
      </c>
      <c r="B32" t="str">
        <f>_xll.BDP("231237A7 Muni","LONG_COMP_NAME")</f>
        <v>Cupertino Union School District</v>
      </c>
      <c r="C32" t="str">
        <f>_xll.BDP("231237A7 Muni","STATE_CODE")</f>
        <v>CA</v>
      </c>
      <c r="D32">
        <f>_xll.BDP("231237A7 Muni","CPN")</f>
        <v>5</v>
      </c>
      <c r="E32" t="str">
        <f>_xll.BDP("231237A7 Muni","MUNI_DATED_DT")</f>
        <v>6/13/2013</v>
      </c>
      <c r="F32" t="str">
        <f>_xll.BDP("231237A7 Muni","MATURITY")</f>
        <v>8/1/2027</v>
      </c>
      <c r="G32">
        <v>10045000</v>
      </c>
      <c r="H32">
        <v>10045000</v>
      </c>
    </row>
    <row r="33" spans="1:8" x14ac:dyDescent="0.25">
      <c r="A33" t="str">
        <f>_xll.BDP("797272JG Muni","ID_CUSIP")</f>
        <v>797272JG7</v>
      </c>
      <c r="B33" t="str">
        <f>_xll.BDP("797272JG Muni","LONG_COMP_NAME")</f>
        <v>San Diego Community College District</v>
      </c>
      <c r="C33" t="str">
        <f>_xll.BDP("797272JG Muni","STATE_CODE")</f>
        <v>CA</v>
      </c>
      <c r="D33">
        <f>_xll.BDP("797272JG Muni","CPN")</f>
        <v>4</v>
      </c>
      <c r="E33" t="str">
        <f>_xll.BDP("797272JG Muni","MUNI_DATED_DT")</f>
        <v>7/21/2011</v>
      </c>
      <c r="F33" t="str">
        <f>_xll.BDP("797272JG Muni","MATURITY")</f>
        <v>8/1/2026</v>
      </c>
      <c r="G33">
        <v>1850000</v>
      </c>
      <c r="H33">
        <v>1850000</v>
      </c>
    </row>
    <row r="34" spans="1:8" x14ac:dyDescent="0.25">
      <c r="A34" t="str">
        <f>_xll.BDP("799017NH Muni","ID_CUSIP")</f>
        <v>799017NH7</v>
      </c>
      <c r="B34" t="str">
        <f>_xll.BDP("799017NH Muni","LONG_COMP_NAME")</f>
        <v>San Mateo Union High School District</v>
      </c>
      <c r="C34" t="str">
        <f>_xll.BDP("799017NH Muni","STATE_CODE")</f>
        <v>CA</v>
      </c>
      <c r="D34">
        <f>_xll.BDP("799017NH Muni","CPN")</f>
        <v>5</v>
      </c>
      <c r="E34" t="str">
        <f>_xll.BDP("799017NH Muni","MUNI_DATED_DT")</f>
        <v>11/13/2014</v>
      </c>
      <c r="F34" t="str">
        <f>_xll.BDP("799017NH Muni","MATURITY")</f>
        <v>9/1/2027</v>
      </c>
      <c r="G34">
        <v>3895000</v>
      </c>
      <c r="H34">
        <v>3895000</v>
      </c>
    </row>
    <row r="35" spans="1:8" x14ac:dyDescent="0.25">
      <c r="A35" t="str">
        <f>_xll.BDP("799017CH Muni","ID_CUSIP")</f>
        <v>799017CH9</v>
      </c>
      <c r="B35" t="str">
        <f>_xll.BDP("799017CH Muni","LONG_COMP_NAME")</f>
        <v>San Mateo Union High School District</v>
      </c>
      <c r="C35" t="str">
        <f>_xll.BDP("799017CH Muni","STATE_CODE")</f>
        <v>CA</v>
      </c>
      <c r="D35">
        <f>_xll.BDP("799017CH Muni","CPN")</f>
        <v>0</v>
      </c>
      <c r="E35" t="str">
        <f>_xll.BDP("799017CH Muni","MUNI_DATED_DT")</f>
        <v>7/24/2002</v>
      </c>
      <c r="F35" t="str">
        <f>_xll.BDP("799017CH Muni","MATURITY")</f>
        <v>9/1/2026</v>
      </c>
      <c r="G35">
        <v>3264040</v>
      </c>
      <c r="H35">
        <v>12620000</v>
      </c>
    </row>
    <row r="36" spans="1:8" x14ac:dyDescent="0.25">
      <c r="A36" t="str">
        <f>_xll.BDP("088023KN Muni","ID_CUSIP")</f>
        <v>088023KN5</v>
      </c>
      <c r="B36" t="str">
        <f>_xll.BDP("088023KN Muni","LONG_COMP_NAME")</f>
        <v>Beverly Hills Unified School District CA</v>
      </c>
      <c r="C36" t="str">
        <f>_xll.BDP("088023KN Muni","STATE_CODE")</f>
        <v>CA</v>
      </c>
      <c r="D36">
        <f>_xll.BDP("088023KN Muni","CPN")</f>
        <v>5</v>
      </c>
      <c r="E36" t="str">
        <f>_xll.BDP("088023KN Muni","MUNI_DATED_DT")</f>
        <v>9/9/2015</v>
      </c>
      <c r="F36" t="str">
        <f>_xll.BDP("088023KN Muni","MATURITY")</f>
        <v>8/1/2026</v>
      </c>
      <c r="G36">
        <v>5140000</v>
      </c>
      <c r="H36">
        <v>5140000</v>
      </c>
    </row>
    <row r="37" spans="1:8" x14ac:dyDescent="0.25">
      <c r="A37" t="str">
        <f>_xll.BDP("697634ZV Muni","ID_CUSIP")</f>
        <v>697634ZV8</v>
      </c>
      <c r="B37" t="str">
        <f>_xll.BDP("697634ZV Muni","LONG_COMP_NAME")</f>
        <v>Palos Verdes Peninsula Unified School District</v>
      </c>
      <c r="C37" t="str">
        <f>_xll.BDP("697634ZV Muni","STATE_CODE")</f>
        <v>CA</v>
      </c>
      <c r="D37">
        <f>_xll.BDP("697634ZV Muni","CPN")</f>
        <v>5</v>
      </c>
      <c r="E37" t="str">
        <f>_xll.BDP("697634ZV Muni","MUNI_DATED_DT")</f>
        <v>3/11/2014</v>
      </c>
      <c r="F37" t="str">
        <f>_xll.BDP("697634ZV Muni","MATURITY")</f>
        <v>9/1/2027</v>
      </c>
      <c r="G37">
        <v>1775000</v>
      </c>
      <c r="H37">
        <v>1775000</v>
      </c>
    </row>
    <row r="38" spans="1:8" x14ac:dyDescent="0.25">
      <c r="A38" t="str">
        <f>_xll.BDP("797646QG Muni","ID_CUSIP")</f>
        <v>797646QG4</v>
      </c>
      <c r="B38" t="str">
        <f>_xll.BDP("797646QG Muni","LONG_COMP_NAME")</f>
        <v>City &amp; County of San Francisco CA</v>
      </c>
      <c r="C38" t="str">
        <f>_xll.BDP("797646QG Muni","STATE_CODE")</f>
        <v>CA</v>
      </c>
      <c r="D38">
        <f>_xll.BDP("797646QG Muni","CPN")</f>
        <v>4</v>
      </c>
      <c r="E38" t="str">
        <f>_xll.BDP("797646QG Muni","MUNI_DATED_DT")</f>
        <v>11/30/2011</v>
      </c>
      <c r="F38" t="str">
        <f>_xll.BDP("797646QG Muni","MATURITY")</f>
        <v>6/15/2026</v>
      </c>
      <c r="G38">
        <v>3770000</v>
      </c>
      <c r="H38">
        <v>3770000</v>
      </c>
    </row>
    <row r="39" spans="1:8" x14ac:dyDescent="0.25">
      <c r="A39" t="str">
        <f>_xll.BDP("799017RF Muni","ID_CUSIP")</f>
        <v>799017RF7</v>
      </c>
      <c r="B39" t="str">
        <f>_xll.BDP("799017RF Muni","LONG_COMP_NAME")</f>
        <v>San Mateo Union High School District</v>
      </c>
      <c r="C39" t="str">
        <f>_xll.BDP("799017RF Muni","STATE_CODE")</f>
        <v>CA</v>
      </c>
      <c r="D39">
        <f>_xll.BDP("799017RF Muni","CPN")</f>
        <v>4</v>
      </c>
      <c r="E39" t="str">
        <f>_xll.BDP("799017RF Muni","MUNI_DATED_DT")</f>
        <v>9/21/2016</v>
      </c>
      <c r="F39" t="str">
        <f>_xll.BDP("799017RF Muni","MATURITY")</f>
        <v>9/1/2026</v>
      </c>
      <c r="G39">
        <v>3820000</v>
      </c>
      <c r="H39">
        <v>3820000</v>
      </c>
    </row>
    <row r="40" spans="1:8" x14ac:dyDescent="0.25">
      <c r="A40" t="str">
        <f>_xll.BDP("088023LN Muni","ID_CUSIP")</f>
        <v>088023LN4</v>
      </c>
      <c r="B40" t="str">
        <f>_xll.BDP("088023LN Muni","LONG_COMP_NAME")</f>
        <v>Beverly Hills Unified School District CA</v>
      </c>
      <c r="C40" t="str">
        <f>_xll.BDP("088023LN Muni","STATE_CODE")</f>
        <v>CA</v>
      </c>
      <c r="D40">
        <f>_xll.BDP("088023LN Muni","CPN")</f>
        <v>5</v>
      </c>
      <c r="E40" t="str">
        <f>_xll.BDP("088023LN Muni","MUNI_DATED_DT")</f>
        <v>2/23/2017</v>
      </c>
      <c r="F40" t="str">
        <f>_xll.BDP("088023LN Muni","MATURITY")</f>
        <v>8/1/2026</v>
      </c>
      <c r="G40">
        <v>4580000</v>
      </c>
      <c r="H40">
        <v>4580000</v>
      </c>
    </row>
    <row r="41" spans="1:8" x14ac:dyDescent="0.25">
      <c r="A41" t="str">
        <f>_xll.BDP("231237D8 Muni","ID_CUSIP")</f>
        <v>231237D88</v>
      </c>
      <c r="B41" t="str">
        <f>_xll.BDP("231237D8 Muni","LONG_COMP_NAME")</f>
        <v>Cupertino Union School District</v>
      </c>
      <c r="C41" t="str">
        <f>_xll.BDP("231237D8 Muni","STATE_CODE")</f>
        <v>CA</v>
      </c>
      <c r="D41">
        <f>_xll.BDP("231237D8 Muni","CPN")</f>
        <v>5</v>
      </c>
      <c r="E41" t="str">
        <f>_xll.BDP("231237D8 Muni","MUNI_DATED_DT")</f>
        <v>4/10/2014</v>
      </c>
      <c r="F41" t="str">
        <f>_xll.BDP("231237D8 Muni","MATURITY")</f>
        <v>8/1/2027</v>
      </c>
      <c r="G41">
        <v>3095000</v>
      </c>
      <c r="H41">
        <v>3095000</v>
      </c>
    </row>
    <row r="42" spans="1:8" x14ac:dyDescent="0.25">
      <c r="A42" t="str">
        <f>_xll.BDP("13063CH3 Muni","ID_CUSIP")</f>
        <v>13063CH37</v>
      </c>
      <c r="B42" t="str">
        <f>_xll.BDP("13063CH3 Muni","LONG_COMP_NAME")</f>
        <v>State of California</v>
      </c>
      <c r="C42" t="str">
        <f>_xll.BDP("13063CH3 Muni","STATE_CODE")</f>
        <v>CA</v>
      </c>
      <c r="D42">
        <f>_xll.BDP("13063CH3 Muni","CPN")</f>
        <v>4.5</v>
      </c>
      <c r="E42" t="str">
        <f>_xll.BDP("13063CH3 Muni","MUNI_DATED_DT")</f>
        <v>6/1/2007</v>
      </c>
      <c r="F42" t="str">
        <f>_xll.BDP("13063CH3 Muni","MATURITY")</f>
        <v>6/1/2027</v>
      </c>
      <c r="G42">
        <v>3725000</v>
      </c>
      <c r="H42">
        <v>3725000</v>
      </c>
    </row>
    <row r="43" spans="1:8" x14ac:dyDescent="0.25">
      <c r="A43" t="str">
        <f>_xll.BDP("121457FD Muni","ID_CUSIP")</f>
        <v>121457FD2</v>
      </c>
      <c r="B43" t="str">
        <f>_xll.BDP("121457FD Muni","LONG_COMP_NAME")</f>
        <v>Burlingame School District</v>
      </c>
      <c r="C43" t="str">
        <f>_xll.BDP("121457FD Muni","STATE_CODE")</f>
        <v>CA</v>
      </c>
      <c r="D43">
        <f>_xll.BDP("121457FD Muni","CPN")</f>
        <v>5</v>
      </c>
      <c r="E43" t="str">
        <f>_xll.BDP("121457FD Muni","MUNI_DATED_DT")</f>
        <v>4/30/2013</v>
      </c>
      <c r="F43" t="str">
        <f>_xll.BDP("121457FD Muni","MATURITY")</f>
        <v>8/1/2026</v>
      </c>
      <c r="G43">
        <v>520000</v>
      </c>
      <c r="H43">
        <v>520000</v>
      </c>
    </row>
    <row r="44" spans="1:8" x14ac:dyDescent="0.25">
      <c r="A44" t="str">
        <f>_xll.BDP("088023LP Muni","ID_CUSIP")</f>
        <v>088023LP9</v>
      </c>
      <c r="B44" t="str">
        <f>_xll.BDP("088023LP Muni","LONG_COMP_NAME")</f>
        <v>Beverly Hills Unified School District CA</v>
      </c>
      <c r="C44" t="str">
        <f>_xll.BDP("088023LP Muni","STATE_CODE")</f>
        <v>CA</v>
      </c>
      <c r="D44">
        <f>_xll.BDP("088023LP Muni","CPN")</f>
        <v>5</v>
      </c>
      <c r="E44" t="str">
        <f>_xll.BDP("088023LP Muni","MUNI_DATED_DT")</f>
        <v>2/23/2017</v>
      </c>
      <c r="F44" t="str">
        <f>_xll.BDP("088023LP Muni","MATURITY")</f>
        <v>8/1/2027</v>
      </c>
      <c r="G44">
        <v>60000</v>
      </c>
      <c r="H44">
        <v>60000</v>
      </c>
    </row>
    <row r="45" spans="1:8" x14ac:dyDescent="0.25">
      <c r="A45" t="str">
        <f>_xll.BDP("012086CR Muni","ID_CUSIP")</f>
        <v>012086CR3</v>
      </c>
      <c r="B45" t="str">
        <f>_xll.BDP("012086CR Muni","LONG_COMP_NAME")</f>
        <v>City of Albany CA</v>
      </c>
      <c r="C45" t="str">
        <f>_xll.BDP("012086CR Muni","STATE_CODE")</f>
        <v>CA</v>
      </c>
      <c r="D45">
        <f>_xll.BDP("012086CR Muni","CPN")</f>
        <v>4.5</v>
      </c>
      <c r="E45" t="str">
        <f>_xll.BDP("012086CR Muni","MUNI_DATED_DT")</f>
        <v>8/14/2007</v>
      </c>
      <c r="F45" t="str">
        <f>_xll.BDP("012086CR Muni","MATURITY")</f>
        <v>8/1/2026</v>
      </c>
      <c r="G45">
        <v>235000</v>
      </c>
      <c r="H45">
        <v>235000</v>
      </c>
    </row>
    <row r="46" spans="1:8" x14ac:dyDescent="0.25">
      <c r="A46" t="str">
        <f>_xll.BDP("798866ZG Muni","ID_CUSIP")</f>
        <v>798866ZG7</v>
      </c>
      <c r="B46" t="str">
        <f>_xll.BDP("798866ZG Muni","LONG_COMP_NAME")</f>
        <v>City of San Mateo CA</v>
      </c>
      <c r="C46" t="str">
        <f>_xll.BDP("798866ZG Muni","STATE_CODE")</f>
        <v>CA</v>
      </c>
      <c r="D46">
        <f>_xll.BDP("798866ZG Muni","CPN")</f>
        <v>4</v>
      </c>
      <c r="E46" t="str">
        <f>_xll.BDP("798866ZG Muni","MUNI_DATED_DT")</f>
        <v>3/21/2013</v>
      </c>
      <c r="F46" t="str">
        <f>_xll.BDP("798866ZG Muni","MATURITY")</f>
        <v>8/1/2027</v>
      </c>
      <c r="G46">
        <v>1860000</v>
      </c>
      <c r="H46">
        <v>1860000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opLeftCell="A24" workbookViewId="0">
      <selection activeCell="B1" sqref="B1:B45"/>
    </sheetView>
  </sheetViews>
  <sheetFormatPr defaultRowHeight="15" x14ac:dyDescent="0.25"/>
  <sheetData>
    <row r="1" spans="1:2" x14ac:dyDescent="0.25">
      <c r="A1" t="s">
        <v>37</v>
      </c>
      <c r="B1" t="str">
        <f>A1&amp;" Muni"</f>
        <v>797272PD7 Muni</v>
      </c>
    </row>
    <row r="2" spans="1:2" x14ac:dyDescent="0.25">
      <c r="A2" t="s">
        <v>38</v>
      </c>
      <c r="B2" t="str">
        <f t="shared" ref="B2:B45" si="0">A2&amp;" Muni"</f>
        <v>190335DF3 Muni</v>
      </c>
    </row>
    <row r="3" spans="1:2" x14ac:dyDescent="0.25">
      <c r="A3" t="s">
        <v>39</v>
      </c>
      <c r="B3" t="str">
        <f t="shared" si="0"/>
        <v>797646V52 Muni</v>
      </c>
    </row>
    <row r="4" spans="1:2" x14ac:dyDescent="0.25">
      <c r="A4" t="s">
        <v>40</v>
      </c>
      <c r="B4" t="str">
        <f t="shared" si="0"/>
        <v>54438CTB8 Muni</v>
      </c>
    </row>
    <row r="5" spans="1:2" x14ac:dyDescent="0.25">
      <c r="A5" t="s">
        <v>41</v>
      </c>
      <c r="B5" t="str">
        <f t="shared" si="0"/>
        <v>797646ZK5 Muni</v>
      </c>
    </row>
    <row r="6" spans="1:2" x14ac:dyDescent="0.25">
      <c r="A6" t="s">
        <v>42</v>
      </c>
      <c r="B6" t="str">
        <f t="shared" si="0"/>
        <v>56781RDM6 Muni</v>
      </c>
    </row>
    <row r="7" spans="1:2" x14ac:dyDescent="0.25">
      <c r="A7" t="s">
        <v>43</v>
      </c>
      <c r="B7" t="str">
        <f t="shared" si="0"/>
        <v>797646A71 Muni</v>
      </c>
    </row>
    <row r="8" spans="1:2" x14ac:dyDescent="0.25">
      <c r="A8" t="s">
        <v>44</v>
      </c>
      <c r="B8" t="str">
        <f t="shared" si="0"/>
        <v>54438CUU4 Muni</v>
      </c>
    </row>
    <row r="9" spans="1:2" x14ac:dyDescent="0.25">
      <c r="A9" t="s">
        <v>45</v>
      </c>
      <c r="B9" t="str">
        <f t="shared" si="0"/>
        <v>652113UL3 Muni</v>
      </c>
    </row>
    <row r="10" spans="1:2" x14ac:dyDescent="0.25">
      <c r="A10" t="s">
        <v>46</v>
      </c>
      <c r="B10" t="str">
        <f t="shared" si="0"/>
        <v>797646V45 Muni</v>
      </c>
    </row>
    <row r="11" spans="1:2" x14ac:dyDescent="0.25">
      <c r="A11" t="s">
        <v>47</v>
      </c>
      <c r="B11" t="str">
        <f t="shared" si="0"/>
        <v>13063CJ27 Muni</v>
      </c>
    </row>
    <row r="12" spans="1:2" x14ac:dyDescent="0.25">
      <c r="A12" t="s">
        <v>48</v>
      </c>
      <c r="B12" t="str">
        <f t="shared" si="0"/>
        <v>617403CL2 Muni</v>
      </c>
    </row>
    <row r="13" spans="1:2" x14ac:dyDescent="0.25">
      <c r="A13" t="s">
        <v>49</v>
      </c>
      <c r="B13" t="str">
        <f t="shared" si="0"/>
        <v>799017DG0 Muni</v>
      </c>
    </row>
    <row r="14" spans="1:2" x14ac:dyDescent="0.25">
      <c r="A14" t="s">
        <v>50</v>
      </c>
      <c r="B14" t="str">
        <f t="shared" si="0"/>
        <v>54438CTA0 Muni</v>
      </c>
    </row>
    <row r="15" spans="1:2" x14ac:dyDescent="0.25">
      <c r="A15" t="s">
        <v>51</v>
      </c>
      <c r="B15" t="str">
        <f t="shared" si="0"/>
        <v>54438CKR2 Muni</v>
      </c>
    </row>
    <row r="16" spans="1:2" x14ac:dyDescent="0.25">
      <c r="A16" t="s">
        <v>52</v>
      </c>
      <c r="B16" t="str">
        <f t="shared" si="0"/>
        <v>797272LT6 Muni</v>
      </c>
    </row>
    <row r="17" spans="1:2" x14ac:dyDescent="0.25">
      <c r="A17" t="s">
        <v>53</v>
      </c>
      <c r="B17" t="str">
        <f t="shared" si="0"/>
        <v>797646YP5 Muni</v>
      </c>
    </row>
    <row r="18" spans="1:2" x14ac:dyDescent="0.25">
      <c r="A18" t="s">
        <v>54</v>
      </c>
      <c r="B18" t="str">
        <f t="shared" si="0"/>
        <v>13063AZV9 Muni</v>
      </c>
    </row>
    <row r="19" spans="1:2" x14ac:dyDescent="0.25">
      <c r="A19" t="s">
        <v>55</v>
      </c>
      <c r="B19" t="str">
        <f t="shared" si="0"/>
        <v>13063CH45 Muni</v>
      </c>
    </row>
    <row r="20" spans="1:2" x14ac:dyDescent="0.25">
      <c r="A20" t="s">
        <v>56</v>
      </c>
      <c r="B20" t="str">
        <f t="shared" si="0"/>
        <v>797272PT2 Muni</v>
      </c>
    </row>
    <row r="21" spans="1:2" x14ac:dyDescent="0.25">
      <c r="A21" t="s">
        <v>57</v>
      </c>
      <c r="B21" t="str">
        <f t="shared" si="0"/>
        <v>799017NZ7 Muni</v>
      </c>
    </row>
    <row r="22" spans="1:2" x14ac:dyDescent="0.25">
      <c r="A22" t="s">
        <v>58</v>
      </c>
      <c r="B22" t="str">
        <f t="shared" si="0"/>
        <v>084113QL6 Muni</v>
      </c>
    </row>
    <row r="23" spans="1:2" x14ac:dyDescent="0.25">
      <c r="A23" t="s">
        <v>59</v>
      </c>
      <c r="B23" t="str">
        <f t="shared" si="0"/>
        <v>652113WW7 Muni</v>
      </c>
    </row>
    <row r="24" spans="1:2" x14ac:dyDescent="0.25">
      <c r="A24" t="s">
        <v>60</v>
      </c>
      <c r="B24" t="str">
        <f t="shared" si="0"/>
        <v>54438CJK9 Muni</v>
      </c>
    </row>
    <row r="25" spans="1:2" x14ac:dyDescent="0.25">
      <c r="A25" t="s">
        <v>61</v>
      </c>
      <c r="B25" t="str">
        <f t="shared" si="0"/>
        <v>799017FZ6 Muni</v>
      </c>
    </row>
    <row r="26" spans="1:2" x14ac:dyDescent="0.25">
      <c r="A26" t="s">
        <v>62</v>
      </c>
      <c r="B26" t="str">
        <f t="shared" si="0"/>
        <v>54438CPY2 Muni</v>
      </c>
    </row>
    <row r="27" spans="1:2" x14ac:dyDescent="0.25">
      <c r="A27" t="s">
        <v>63</v>
      </c>
      <c r="B27" t="str">
        <f t="shared" si="0"/>
        <v>799017TJ7 Muni</v>
      </c>
    </row>
    <row r="28" spans="1:2" x14ac:dyDescent="0.25">
      <c r="A28" t="s">
        <v>64</v>
      </c>
      <c r="B28" t="str">
        <f t="shared" si="0"/>
        <v>121457HA6 Muni</v>
      </c>
    </row>
    <row r="29" spans="1:2" x14ac:dyDescent="0.25">
      <c r="A29" t="s">
        <v>65</v>
      </c>
      <c r="B29" t="str">
        <f t="shared" si="0"/>
        <v>54438CVG4 Muni</v>
      </c>
    </row>
    <row r="30" spans="1:2" x14ac:dyDescent="0.25">
      <c r="A30" t="s">
        <v>66</v>
      </c>
      <c r="B30" t="str">
        <f t="shared" si="0"/>
        <v>54438CVF6 Muni</v>
      </c>
    </row>
    <row r="31" spans="1:2" x14ac:dyDescent="0.25">
      <c r="A31" t="s">
        <v>67</v>
      </c>
      <c r="B31" t="str">
        <f t="shared" si="0"/>
        <v>231237A73 Muni</v>
      </c>
    </row>
    <row r="32" spans="1:2" x14ac:dyDescent="0.25">
      <c r="A32" t="s">
        <v>68</v>
      </c>
      <c r="B32" t="str">
        <f t="shared" si="0"/>
        <v>797272JG7 Muni</v>
      </c>
    </row>
    <row r="33" spans="1:2" x14ac:dyDescent="0.25">
      <c r="A33" t="s">
        <v>69</v>
      </c>
      <c r="B33" t="str">
        <f t="shared" si="0"/>
        <v>799017NH7 Muni</v>
      </c>
    </row>
    <row r="34" spans="1:2" x14ac:dyDescent="0.25">
      <c r="A34" t="s">
        <v>70</v>
      </c>
      <c r="B34" t="str">
        <f t="shared" si="0"/>
        <v>799017CH9 Muni</v>
      </c>
    </row>
    <row r="35" spans="1:2" x14ac:dyDescent="0.25">
      <c r="A35" t="s">
        <v>71</v>
      </c>
      <c r="B35" t="str">
        <f t="shared" si="0"/>
        <v>088023KN5 Muni</v>
      </c>
    </row>
    <row r="36" spans="1:2" x14ac:dyDescent="0.25">
      <c r="A36" t="s">
        <v>72</v>
      </c>
      <c r="B36" t="str">
        <f t="shared" si="0"/>
        <v>697634ZV8 Muni</v>
      </c>
    </row>
    <row r="37" spans="1:2" x14ac:dyDescent="0.25">
      <c r="A37" t="s">
        <v>73</v>
      </c>
      <c r="B37" t="str">
        <f t="shared" si="0"/>
        <v>797646QG4 Muni</v>
      </c>
    </row>
    <row r="38" spans="1:2" x14ac:dyDescent="0.25">
      <c r="A38" t="s">
        <v>74</v>
      </c>
      <c r="B38" t="str">
        <f t="shared" si="0"/>
        <v>799017RF7 Muni</v>
      </c>
    </row>
    <row r="39" spans="1:2" x14ac:dyDescent="0.25">
      <c r="A39" t="s">
        <v>75</v>
      </c>
      <c r="B39" t="str">
        <f t="shared" si="0"/>
        <v>088023LN4 Muni</v>
      </c>
    </row>
    <row r="40" spans="1:2" x14ac:dyDescent="0.25">
      <c r="A40" t="s">
        <v>76</v>
      </c>
      <c r="B40" t="str">
        <f t="shared" si="0"/>
        <v>231237D88 Muni</v>
      </c>
    </row>
    <row r="41" spans="1:2" x14ac:dyDescent="0.25">
      <c r="A41" t="s">
        <v>77</v>
      </c>
      <c r="B41" t="str">
        <f t="shared" si="0"/>
        <v>13063CH37 Muni</v>
      </c>
    </row>
    <row r="42" spans="1:2" x14ac:dyDescent="0.25">
      <c r="A42" t="s">
        <v>78</v>
      </c>
      <c r="B42" t="str">
        <f t="shared" si="0"/>
        <v>121457FD2 Muni</v>
      </c>
    </row>
    <row r="43" spans="1:2" x14ac:dyDescent="0.25">
      <c r="A43" t="s">
        <v>79</v>
      </c>
      <c r="B43" t="str">
        <f t="shared" si="0"/>
        <v>088023LP9 Muni</v>
      </c>
    </row>
    <row r="44" spans="1:2" x14ac:dyDescent="0.25">
      <c r="A44" t="s">
        <v>80</v>
      </c>
      <c r="B44" t="str">
        <f t="shared" si="0"/>
        <v>012086CR3 Muni</v>
      </c>
    </row>
    <row r="45" spans="1:2" x14ac:dyDescent="0.25">
      <c r="A45" t="s">
        <v>81</v>
      </c>
      <c r="B45" t="str">
        <f t="shared" si="0"/>
        <v>798866ZG7 Muni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P274"/>
  <sheetViews>
    <sheetView topLeftCell="AY1" workbookViewId="0">
      <selection activeCell="AY2" sqref="A1:XFD1048576"/>
    </sheetView>
  </sheetViews>
  <sheetFormatPr defaultRowHeight="15" x14ac:dyDescent="0.25"/>
  <cols>
    <col min="1" max="1" width="15.5703125" bestFit="1" customWidth="1"/>
    <col min="6" max="6" width="15.42578125" bestFit="1" customWidth="1"/>
    <col min="66" max="66" width="15.5703125" bestFit="1" customWidth="1"/>
    <col min="71" max="71" width="15.5703125" bestFit="1" customWidth="1"/>
  </cols>
  <sheetData>
    <row r="1" spans="1:224" x14ac:dyDescent="0.25">
      <c r="A1" t="s">
        <v>82</v>
      </c>
      <c r="F1" t="s">
        <v>87</v>
      </c>
      <c r="K1" t="s">
        <v>88</v>
      </c>
      <c r="P1" t="s">
        <v>89</v>
      </c>
      <c r="U1" t="s">
        <v>90</v>
      </c>
      <c r="Z1" t="s">
        <v>91</v>
      </c>
      <c r="AE1" t="s">
        <v>92</v>
      </c>
      <c r="AJ1" t="s">
        <v>93</v>
      </c>
      <c r="AO1" t="s">
        <v>94</v>
      </c>
      <c r="AT1" t="s">
        <v>95</v>
      </c>
      <c r="AY1" t="s">
        <v>96</v>
      </c>
      <c r="BD1" t="s">
        <v>97</v>
      </c>
      <c r="BI1" t="s">
        <v>98</v>
      </c>
      <c r="BN1" t="s">
        <v>99</v>
      </c>
      <c r="BS1" t="s">
        <v>100</v>
      </c>
      <c r="BX1" t="s">
        <v>101</v>
      </c>
      <c r="CC1" t="s">
        <v>102</v>
      </c>
      <c r="CH1" t="s">
        <v>103</v>
      </c>
      <c r="CM1" t="s">
        <v>104</v>
      </c>
      <c r="CR1" t="s">
        <v>105</v>
      </c>
      <c r="CW1" t="s">
        <v>106</v>
      </c>
      <c r="DB1" t="s">
        <v>107</v>
      </c>
      <c r="DG1" t="s">
        <v>108</v>
      </c>
      <c r="DL1" t="s">
        <v>109</v>
      </c>
      <c r="DQ1" t="s">
        <v>110</v>
      </c>
      <c r="DV1" t="s">
        <v>111</v>
      </c>
      <c r="EA1" t="s">
        <v>112</v>
      </c>
      <c r="EF1" t="s">
        <v>113</v>
      </c>
      <c r="EK1" t="s">
        <v>114</v>
      </c>
      <c r="EP1" t="s">
        <v>115</v>
      </c>
      <c r="EU1" t="s">
        <v>116</v>
      </c>
      <c r="EZ1" t="s">
        <v>117</v>
      </c>
      <c r="FE1" t="s">
        <v>118</v>
      </c>
      <c r="FJ1" t="s">
        <v>119</v>
      </c>
      <c r="FO1" t="s">
        <v>120</v>
      </c>
      <c r="FT1" t="s">
        <v>121</v>
      </c>
      <c r="FY1" t="s">
        <v>122</v>
      </c>
      <c r="GD1" t="s">
        <v>123</v>
      </c>
      <c r="GI1" t="s">
        <v>124</v>
      </c>
      <c r="GN1" t="s">
        <v>125</v>
      </c>
      <c r="GS1" t="s">
        <v>126</v>
      </c>
      <c r="GX1" t="s">
        <v>127</v>
      </c>
      <c r="HC1" t="s">
        <v>128</v>
      </c>
      <c r="HH1" t="s">
        <v>129</v>
      </c>
      <c r="HM1" t="s">
        <v>130</v>
      </c>
    </row>
    <row r="2" spans="1:224" x14ac:dyDescent="0.25">
      <c r="A2" t="s">
        <v>83</v>
      </c>
      <c r="B2" t="s">
        <v>84</v>
      </c>
      <c r="C2" t="s">
        <v>85</v>
      </c>
      <c r="D2" t="s">
        <v>86</v>
      </c>
      <c r="F2" t="s">
        <v>83</v>
      </c>
      <c r="G2" t="s">
        <v>84</v>
      </c>
      <c r="H2" t="s">
        <v>85</v>
      </c>
      <c r="I2" t="s">
        <v>86</v>
      </c>
      <c r="K2" t="s">
        <v>83</v>
      </c>
      <c r="L2" t="s">
        <v>84</v>
      </c>
      <c r="M2" t="s">
        <v>85</v>
      </c>
      <c r="N2" t="s">
        <v>86</v>
      </c>
      <c r="P2" t="s">
        <v>83</v>
      </c>
      <c r="Q2" t="s">
        <v>84</v>
      </c>
      <c r="R2" t="s">
        <v>85</v>
      </c>
      <c r="S2" t="s">
        <v>86</v>
      </c>
      <c r="U2" t="s">
        <v>83</v>
      </c>
      <c r="V2" t="s">
        <v>84</v>
      </c>
      <c r="W2" t="s">
        <v>85</v>
      </c>
      <c r="X2" t="s">
        <v>86</v>
      </c>
      <c r="Z2" t="s">
        <v>83</v>
      </c>
      <c r="AA2" t="s">
        <v>84</v>
      </c>
      <c r="AB2" t="s">
        <v>85</v>
      </c>
      <c r="AC2" t="s">
        <v>86</v>
      </c>
      <c r="AE2" t="s">
        <v>83</v>
      </c>
      <c r="AF2" t="s">
        <v>84</v>
      </c>
      <c r="AG2" t="s">
        <v>85</v>
      </c>
      <c r="AH2" t="s">
        <v>86</v>
      </c>
      <c r="AJ2" t="s">
        <v>83</v>
      </c>
      <c r="AK2" t="s">
        <v>84</v>
      </c>
      <c r="AL2" t="s">
        <v>85</v>
      </c>
      <c r="AM2" t="s">
        <v>86</v>
      </c>
      <c r="AO2" t="s">
        <v>83</v>
      </c>
      <c r="AP2" t="s">
        <v>84</v>
      </c>
      <c r="AQ2" t="s">
        <v>85</v>
      </c>
      <c r="AR2" t="s">
        <v>86</v>
      </c>
      <c r="AT2" t="s">
        <v>83</v>
      </c>
      <c r="AU2" t="s">
        <v>84</v>
      </c>
      <c r="AV2" t="s">
        <v>85</v>
      </c>
      <c r="AW2" t="s">
        <v>86</v>
      </c>
      <c r="AY2" t="s">
        <v>83</v>
      </c>
      <c r="AZ2" t="s">
        <v>84</v>
      </c>
      <c r="BA2" t="s">
        <v>85</v>
      </c>
      <c r="BB2" t="s">
        <v>86</v>
      </c>
      <c r="BD2" t="s">
        <v>83</v>
      </c>
      <c r="BE2" t="s">
        <v>84</v>
      </c>
      <c r="BF2" t="s">
        <v>85</v>
      </c>
      <c r="BG2" t="s">
        <v>86</v>
      </c>
      <c r="BI2" t="s">
        <v>83</v>
      </c>
      <c r="BJ2" t="s">
        <v>84</v>
      </c>
      <c r="BK2" t="s">
        <v>85</v>
      </c>
      <c r="BL2" t="s">
        <v>86</v>
      </c>
      <c r="BN2" t="s">
        <v>83</v>
      </c>
      <c r="BO2" t="s">
        <v>84</v>
      </c>
      <c r="BP2" t="s">
        <v>85</v>
      </c>
      <c r="BQ2" t="s">
        <v>86</v>
      </c>
      <c r="BS2" t="s">
        <v>83</v>
      </c>
      <c r="BT2" t="s">
        <v>84</v>
      </c>
      <c r="BU2" t="s">
        <v>85</v>
      </c>
      <c r="BV2" t="s">
        <v>86</v>
      </c>
      <c r="BX2" t="s">
        <v>83</v>
      </c>
      <c r="BY2" t="s">
        <v>84</v>
      </c>
      <c r="BZ2" t="s">
        <v>85</v>
      </c>
      <c r="CA2" t="s">
        <v>86</v>
      </c>
      <c r="CC2" t="s">
        <v>83</v>
      </c>
      <c r="CD2" t="s">
        <v>84</v>
      </c>
      <c r="CE2" t="s">
        <v>85</v>
      </c>
      <c r="CF2" t="s">
        <v>86</v>
      </c>
      <c r="CH2" t="s">
        <v>83</v>
      </c>
      <c r="CI2" t="s">
        <v>84</v>
      </c>
      <c r="CJ2" t="s">
        <v>85</v>
      </c>
      <c r="CK2" t="s">
        <v>86</v>
      </c>
      <c r="CM2" t="s">
        <v>83</v>
      </c>
      <c r="CN2" t="s">
        <v>84</v>
      </c>
      <c r="CO2" t="s">
        <v>85</v>
      </c>
      <c r="CP2" t="s">
        <v>86</v>
      </c>
      <c r="CR2" t="s">
        <v>83</v>
      </c>
      <c r="CS2" t="s">
        <v>84</v>
      </c>
      <c r="CT2" t="s">
        <v>85</v>
      </c>
      <c r="CU2" t="s">
        <v>86</v>
      </c>
      <c r="CW2" t="s">
        <v>83</v>
      </c>
      <c r="CX2" t="s">
        <v>84</v>
      </c>
      <c r="CY2" t="s">
        <v>85</v>
      </c>
      <c r="CZ2" t="s">
        <v>86</v>
      </c>
      <c r="DB2" t="s">
        <v>83</v>
      </c>
      <c r="DC2" t="s">
        <v>84</v>
      </c>
      <c r="DD2" t="s">
        <v>85</v>
      </c>
      <c r="DE2" t="s">
        <v>86</v>
      </c>
      <c r="DG2" t="s">
        <v>83</v>
      </c>
      <c r="DH2" t="s">
        <v>84</v>
      </c>
      <c r="DI2" t="s">
        <v>85</v>
      </c>
      <c r="DJ2" t="s">
        <v>86</v>
      </c>
      <c r="DL2" t="s">
        <v>83</v>
      </c>
      <c r="DM2" t="s">
        <v>84</v>
      </c>
      <c r="DN2" t="s">
        <v>85</v>
      </c>
      <c r="DO2" t="s">
        <v>86</v>
      </c>
      <c r="DQ2" t="s">
        <v>83</v>
      </c>
      <c r="DR2" t="s">
        <v>84</v>
      </c>
      <c r="DS2" t="s">
        <v>85</v>
      </c>
      <c r="DT2" t="s">
        <v>86</v>
      </c>
      <c r="DV2" t="s">
        <v>83</v>
      </c>
      <c r="DW2" t="s">
        <v>84</v>
      </c>
      <c r="DX2" t="s">
        <v>85</v>
      </c>
      <c r="DY2" t="s">
        <v>86</v>
      </c>
      <c r="EA2" t="s">
        <v>83</v>
      </c>
      <c r="EB2" t="s">
        <v>84</v>
      </c>
      <c r="EC2" t="s">
        <v>85</v>
      </c>
      <c r="ED2" t="s">
        <v>86</v>
      </c>
      <c r="EF2" t="s">
        <v>83</v>
      </c>
      <c r="EG2" t="s">
        <v>84</v>
      </c>
      <c r="EH2" t="s">
        <v>85</v>
      </c>
      <c r="EI2" t="s">
        <v>86</v>
      </c>
      <c r="EK2" t="s">
        <v>83</v>
      </c>
      <c r="EL2" t="s">
        <v>84</v>
      </c>
      <c r="EM2" t="s">
        <v>85</v>
      </c>
      <c r="EN2" t="s">
        <v>86</v>
      </c>
      <c r="EP2" t="s">
        <v>83</v>
      </c>
      <c r="EQ2" t="s">
        <v>84</v>
      </c>
      <c r="ER2" t="s">
        <v>85</v>
      </c>
      <c r="ES2" t="s">
        <v>86</v>
      </c>
      <c r="EU2" t="s">
        <v>83</v>
      </c>
      <c r="EV2" t="s">
        <v>84</v>
      </c>
      <c r="EW2" t="s">
        <v>85</v>
      </c>
      <c r="EX2" t="s">
        <v>86</v>
      </c>
      <c r="EZ2" t="s">
        <v>83</v>
      </c>
      <c r="FA2" t="s">
        <v>84</v>
      </c>
      <c r="FB2" t="s">
        <v>85</v>
      </c>
      <c r="FC2" t="s">
        <v>86</v>
      </c>
      <c r="FE2" t="s">
        <v>83</v>
      </c>
      <c r="FF2" t="s">
        <v>84</v>
      </c>
      <c r="FG2" t="s">
        <v>85</v>
      </c>
      <c r="FH2" t="s">
        <v>86</v>
      </c>
      <c r="FJ2" t="s">
        <v>83</v>
      </c>
      <c r="FK2" t="s">
        <v>84</v>
      </c>
      <c r="FL2" t="s">
        <v>85</v>
      </c>
      <c r="FM2" t="s">
        <v>86</v>
      </c>
      <c r="FO2" t="s">
        <v>83</v>
      </c>
      <c r="FP2" t="s">
        <v>84</v>
      </c>
      <c r="FQ2" t="s">
        <v>85</v>
      </c>
      <c r="FR2" t="s">
        <v>86</v>
      </c>
      <c r="FT2" t="s">
        <v>83</v>
      </c>
      <c r="FU2" t="s">
        <v>84</v>
      </c>
      <c r="FV2" t="s">
        <v>85</v>
      </c>
      <c r="FW2" t="s">
        <v>86</v>
      </c>
      <c r="FY2" t="s">
        <v>83</v>
      </c>
      <c r="FZ2" t="s">
        <v>84</v>
      </c>
      <c r="GA2" t="s">
        <v>85</v>
      </c>
      <c r="GB2" t="s">
        <v>86</v>
      </c>
      <c r="GD2" t="s">
        <v>83</v>
      </c>
      <c r="GE2" t="s">
        <v>84</v>
      </c>
      <c r="GF2" t="s">
        <v>85</v>
      </c>
      <c r="GG2" t="s">
        <v>86</v>
      </c>
      <c r="GI2" t="s">
        <v>83</v>
      </c>
      <c r="GJ2" t="s">
        <v>84</v>
      </c>
      <c r="GK2" t="s">
        <v>85</v>
      </c>
      <c r="GL2" t="s">
        <v>86</v>
      </c>
      <c r="GN2" t="s">
        <v>83</v>
      </c>
      <c r="GO2" t="s">
        <v>84</v>
      </c>
      <c r="GP2" t="s">
        <v>85</v>
      </c>
      <c r="GQ2" t="s">
        <v>86</v>
      </c>
      <c r="GS2" t="s">
        <v>83</v>
      </c>
      <c r="GT2" t="s">
        <v>84</v>
      </c>
      <c r="GU2" t="s">
        <v>85</v>
      </c>
      <c r="GV2" t="s">
        <v>86</v>
      </c>
      <c r="GX2" t="s">
        <v>83</v>
      </c>
      <c r="GY2" t="s">
        <v>84</v>
      </c>
      <c r="GZ2" t="s">
        <v>85</v>
      </c>
      <c r="HA2" t="s">
        <v>86</v>
      </c>
      <c r="HC2" t="s">
        <v>83</v>
      </c>
      <c r="HD2" t="s">
        <v>84</v>
      </c>
      <c r="HE2" t="s">
        <v>85</v>
      </c>
      <c r="HF2" t="s">
        <v>86</v>
      </c>
      <c r="HH2" t="s">
        <v>83</v>
      </c>
      <c r="HI2" t="s">
        <v>84</v>
      </c>
      <c r="HJ2" t="s">
        <v>85</v>
      </c>
      <c r="HK2" t="s">
        <v>86</v>
      </c>
      <c r="HM2" t="s">
        <v>83</v>
      </c>
      <c r="HN2" t="s">
        <v>84</v>
      </c>
      <c r="HO2" t="s">
        <v>85</v>
      </c>
      <c r="HP2" t="s">
        <v>86</v>
      </c>
    </row>
    <row r="3" spans="1:224" x14ac:dyDescent="0.25">
      <c r="A3" s="1">
        <v>42663</v>
      </c>
      <c r="B3">
        <v>128.06899999999999</v>
      </c>
      <c r="C3">
        <v>128.06899999999999</v>
      </c>
      <c r="D3">
        <v>1.8399999999999999</v>
      </c>
      <c r="F3" s="1">
        <v>42696</v>
      </c>
      <c r="G3">
        <v>70.882000000000005</v>
      </c>
      <c r="H3">
        <v>70.882000000000005</v>
      </c>
      <c r="I3">
        <v>3.25</v>
      </c>
      <c r="K3" s="1">
        <v>42754</v>
      </c>
      <c r="L3">
        <v>112.158</v>
      </c>
      <c r="M3">
        <v>112.158</v>
      </c>
      <c r="N3">
        <v>2.2040000000000002</v>
      </c>
      <c r="P3" s="1">
        <v>42396</v>
      </c>
      <c r="Q3">
        <v>125.215</v>
      </c>
      <c r="R3">
        <v>125.215</v>
      </c>
      <c r="S3">
        <v>1.7890000000000001</v>
      </c>
      <c r="U3" s="1">
        <v>42388</v>
      </c>
      <c r="V3">
        <v>114.17</v>
      </c>
      <c r="W3">
        <v>114.17</v>
      </c>
      <c r="X3">
        <v>1.6560000000000001</v>
      </c>
      <c r="Z3" s="1">
        <v>42391</v>
      </c>
      <c r="AA3">
        <v>112.414</v>
      </c>
      <c r="AB3">
        <v>112.414</v>
      </c>
      <c r="AC3">
        <v>1.96</v>
      </c>
      <c r="AE3" s="1">
        <v>42440</v>
      </c>
      <c r="AF3">
        <v>121.256</v>
      </c>
      <c r="AG3">
        <v>121.256</v>
      </c>
      <c r="AH3">
        <v>1.8519999999999999</v>
      </c>
      <c r="AJ3" s="1">
        <v>42403</v>
      </c>
      <c r="AK3">
        <v>130.54400000000001</v>
      </c>
      <c r="AL3">
        <v>130.54400000000001</v>
      </c>
      <c r="AM3">
        <v>1.75</v>
      </c>
      <c r="AO3" s="1">
        <v>42692</v>
      </c>
      <c r="AP3">
        <v>73.108000000000004</v>
      </c>
      <c r="AQ3">
        <v>73.108000000000004</v>
      </c>
      <c r="AR3">
        <v>2.952</v>
      </c>
      <c r="AT3" s="1">
        <v>42755</v>
      </c>
      <c r="AU3">
        <v>111.96899999999999</v>
      </c>
      <c r="AV3">
        <v>111.96899999999999</v>
      </c>
      <c r="AW3">
        <v>2.23</v>
      </c>
      <c r="AY3" s="1">
        <v>42458</v>
      </c>
      <c r="AZ3">
        <v>104.68600000000001</v>
      </c>
      <c r="BA3">
        <v>104.68600000000001</v>
      </c>
      <c r="BB3">
        <v>0.95</v>
      </c>
      <c r="BD3" s="1">
        <v>42536</v>
      </c>
      <c r="BE3">
        <v>82.489000000000004</v>
      </c>
      <c r="BF3">
        <v>82.489000000000004</v>
      </c>
      <c r="BG3">
        <v>1.9119999999999999</v>
      </c>
      <c r="BI3" s="1">
        <v>42606</v>
      </c>
      <c r="BJ3">
        <v>77.701999999999998</v>
      </c>
      <c r="BK3">
        <v>77.701999999999998</v>
      </c>
      <c r="BL3">
        <v>2.306</v>
      </c>
      <c r="BN3" s="1">
        <v>42388</v>
      </c>
      <c r="BO3">
        <v>125.544</v>
      </c>
      <c r="BP3">
        <v>125.544</v>
      </c>
      <c r="BQ3">
        <v>1.76</v>
      </c>
      <c r="BS3" s="1">
        <v>42431</v>
      </c>
      <c r="BT3">
        <v>109.651</v>
      </c>
      <c r="BU3">
        <v>109.651</v>
      </c>
      <c r="BV3">
        <v>0.92400000000000004</v>
      </c>
      <c r="BX3" s="1">
        <v>42391</v>
      </c>
      <c r="BY3">
        <v>121.17</v>
      </c>
      <c r="BZ3">
        <v>121.17</v>
      </c>
      <c r="CA3">
        <v>1.5669999999999999</v>
      </c>
      <c r="CC3" s="1">
        <v>42774</v>
      </c>
      <c r="CD3">
        <v>110.611</v>
      </c>
      <c r="CE3">
        <v>110.611</v>
      </c>
      <c r="CF3">
        <v>1.9</v>
      </c>
      <c r="CH3" s="1">
        <v>42388</v>
      </c>
      <c r="CI3">
        <v>101.931</v>
      </c>
      <c r="CJ3">
        <v>101.931</v>
      </c>
      <c r="CK3">
        <v>0.69599999999999995</v>
      </c>
      <c r="CM3" s="1">
        <v>42458</v>
      </c>
      <c r="CN3">
        <v>104.541</v>
      </c>
      <c r="CO3">
        <v>104.541</v>
      </c>
      <c r="CP3">
        <v>1.0720000000000001</v>
      </c>
      <c r="CR3" s="1">
        <v>42663</v>
      </c>
      <c r="CS3">
        <v>126.895</v>
      </c>
      <c r="CT3">
        <v>126.74299999999999</v>
      </c>
      <c r="CU3">
        <v>1.97</v>
      </c>
      <c r="CW3" s="1">
        <v>42403</v>
      </c>
      <c r="CX3">
        <v>127.086</v>
      </c>
      <c r="CY3">
        <v>127.086</v>
      </c>
      <c r="CZ3">
        <v>1.891</v>
      </c>
      <c r="DB3" s="1">
        <v>42457</v>
      </c>
      <c r="DC3">
        <v>106.589</v>
      </c>
      <c r="DD3">
        <v>106.589</v>
      </c>
      <c r="DE3">
        <v>2.145</v>
      </c>
      <c r="DG3" s="1">
        <v>42445</v>
      </c>
      <c r="DH3">
        <v>120.887</v>
      </c>
      <c r="DI3">
        <v>120.887</v>
      </c>
      <c r="DJ3">
        <v>1.54</v>
      </c>
      <c r="DL3" s="1">
        <v>42388</v>
      </c>
      <c r="DM3">
        <v>106.03</v>
      </c>
      <c r="DN3">
        <v>106.03</v>
      </c>
      <c r="DO3">
        <v>1.0049999999999999</v>
      </c>
      <c r="DQ3" s="1">
        <v>42422</v>
      </c>
      <c r="DR3">
        <v>111.13</v>
      </c>
      <c r="DS3">
        <v>111.13</v>
      </c>
      <c r="DT3">
        <v>3.3260000000000001</v>
      </c>
      <c r="DV3" s="1">
        <v>42388</v>
      </c>
      <c r="DW3">
        <v>123.872</v>
      </c>
      <c r="DX3">
        <v>123.60299999999999</v>
      </c>
      <c r="DY3">
        <v>1.651</v>
      </c>
      <c r="EA3" s="1">
        <v>42670</v>
      </c>
      <c r="EB3">
        <v>122.867</v>
      </c>
      <c r="EC3">
        <v>122.867</v>
      </c>
      <c r="ED3">
        <v>1.47</v>
      </c>
      <c r="EF3" s="1">
        <v>42531</v>
      </c>
      <c r="EG3">
        <v>131.00700000000001</v>
      </c>
      <c r="EH3">
        <v>131.00700000000001</v>
      </c>
      <c r="EI3">
        <v>1.65</v>
      </c>
      <c r="EK3" s="1">
        <v>42565</v>
      </c>
      <c r="EL3">
        <v>121.295</v>
      </c>
      <c r="EM3">
        <v>121.295</v>
      </c>
      <c r="EN3">
        <v>1.6800000000000002</v>
      </c>
      <c r="EP3" s="1">
        <v>42565</v>
      </c>
      <c r="EQ3">
        <v>122.934</v>
      </c>
      <c r="ER3">
        <v>122.934</v>
      </c>
      <c r="ES3">
        <v>1.522</v>
      </c>
      <c r="EU3" s="1">
        <v>42388</v>
      </c>
      <c r="EV3">
        <v>121.613</v>
      </c>
      <c r="EW3">
        <v>121.613</v>
      </c>
      <c r="EX3">
        <v>1.9039999999999999</v>
      </c>
      <c r="EZ3" s="1">
        <v>42453</v>
      </c>
      <c r="FA3">
        <v>111.68300000000001</v>
      </c>
      <c r="FB3">
        <v>111.68300000000001</v>
      </c>
      <c r="FC3">
        <v>1.7</v>
      </c>
      <c r="FE3" s="1">
        <v>42412</v>
      </c>
      <c r="FF3">
        <v>123.961</v>
      </c>
      <c r="FG3">
        <v>123.961</v>
      </c>
      <c r="FH3">
        <v>1.94</v>
      </c>
      <c r="FJ3" s="1">
        <v>42394</v>
      </c>
      <c r="FK3">
        <v>76.352999999999994</v>
      </c>
      <c r="FL3">
        <v>76.352999999999994</v>
      </c>
      <c r="FM3">
        <v>2.5640000000000001</v>
      </c>
      <c r="FO3" s="1">
        <v>42424</v>
      </c>
      <c r="FP3">
        <v>128.5</v>
      </c>
      <c r="FQ3">
        <v>128.5</v>
      </c>
      <c r="FR3">
        <v>1.712</v>
      </c>
      <c r="FT3" s="1">
        <v>42431</v>
      </c>
      <c r="FU3">
        <v>123.133</v>
      </c>
      <c r="FV3">
        <v>123.133</v>
      </c>
      <c r="FW3">
        <v>2.0190000000000001</v>
      </c>
      <c r="FY3" s="1">
        <v>42416</v>
      </c>
      <c r="FZ3">
        <v>113.408</v>
      </c>
      <c r="GA3">
        <v>113.408</v>
      </c>
      <c r="GB3">
        <v>1.58</v>
      </c>
      <c r="GD3" s="1">
        <v>42606</v>
      </c>
      <c r="GE3">
        <v>124.687</v>
      </c>
      <c r="GF3">
        <v>124.687</v>
      </c>
      <c r="GG3">
        <v>1.34</v>
      </c>
      <c r="GI3" s="1">
        <v>42776</v>
      </c>
      <c r="GJ3">
        <v>123.842</v>
      </c>
      <c r="GK3">
        <v>123.842</v>
      </c>
      <c r="GL3">
        <v>2.19</v>
      </c>
      <c r="GN3" s="1">
        <v>42676</v>
      </c>
      <c r="GO3">
        <v>123.86199999999999</v>
      </c>
      <c r="GP3">
        <v>123.86199999999999</v>
      </c>
      <c r="GQ3">
        <v>1.694</v>
      </c>
      <c r="GS3" s="1">
        <v>42458</v>
      </c>
      <c r="GT3">
        <v>103.96299999999999</v>
      </c>
      <c r="GU3">
        <v>103.96299999999999</v>
      </c>
      <c r="GV3">
        <v>1.0720000000000001</v>
      </c>
      <c r="GX3" s="1">
        <v>42753</v>
      </c>
      <c r="GY3">
        <v>116.24</v>
      </c>
      <c r="GZ3">
        <v>116.24</v>
      </c>
      <c r="HA3">
        <v>2.3039999999999998</v>
      </c>
      <c r="HC3" s="1">
        <v>42776</v>
      </c>
      <c r="HD3">
        <v>122.03</v>
      </c>
      <c r="HE3">
        <v>122.03</v>
      </c>
      <c r="HF3">
        <v>2.38</v>
      </c>
      <c r="HH3" s="1">
        <v>42769</v>
      </c>
      <c r="HI3">
        <v>101.203</v>
      </c>
      <c r="HJ3">
        <v>101.203</v>
      </c>
      <c r="HK3">
        <v>1.9710000000000001</v>
      </c>
      <c r="HM3" s="1">
        <v>42531</v>
      </c>
      <c r="HN3">
        <v>114.09099999999999</v>
      </c>
      <c r="HO3">
        <v>114.09099999999999</v>
      </c>
      <c r="HP3">
        <v>1.5779999999999998</v>
      </c>
    </row>
    <row r="4" spans="1:224" x14ac:dyDescent="0.25">
      <c r="A4" s="1">
        <v>42709</v>
      </c>
      <c r="B4">
        <v>120.298</v>
      </c>
      <c r="C4">
        <v>120.298</v>
      </c>
      <c r="D4">
        <v>2.6059999999999999</v>
      </c>
      <c r="F4" s="1">
        <v>42699</v>
      </c>
      <c r="G4">
        <v>69.787000000000006</v>
      </c>
      <c r="H4">
        <v>69.787000000000006</v>
      </c>
      <c r="I4">
        <v>3.4</v>
      </c>
      <c r="K4" s="1">
        <v>42758</v>
      </c>
      <c r="L4">
        <v>110.749</v>
      </c>
      <c r="M4">
        <v>110.749</v>
      </c>
      <c r="N4">
        <v>2.4</v>
      </c>
      <c r="P4" s="1">
        <v>42432</v>
      </c>
      <c r="Q4">
        <v>123.22199999999999</v>
      </c>
      <c r="R4">
        <v>123.22199999999999</v>
      </c>
      <c r="S4">
        <v>1.984</v>
      </c>
      <c r="U4" s="1">
        <v>42390</v>
      </c>
      <c r="V4">
        <v>114.971</v>
      </c>
      <c r="W4">
        <v>114.971</v>
      </c>
      <c r="X4">
        <v>1.53</v>
      </c>
      <c r="Z4" s="1">
        <v>42398</v>
      </c>
      <c r="AA4">
        <v>113.099</v>
      </c>
      <c r="AB4">
        <v>113.099</v>
      </c>
      <c r="AC4">
        <v>1.85</v>
      </c>
      <c r="AE4" s="1">
        <v>42452</v>
      </c>
      <c r="AF4">
        <v>121.471</v>
      </c>
      <c r="AG4">
        <v>121.471</v>
      </c>
      <c r="AH4">
        <v>1.81</v>
      </c>
      <c r="AJ4" s="1">
        <v>42416</v>
      </c>
      <c r="AK4">
        <v>131.011</v>
      </c>
      <c r="AL4">
        <v>131.011</v>
      </c>
      <c r="AM4">
        <v>1.7</v>
      </c>
      <c r="AO4" s="1">
        <v>42695</v>
      </c>
      <c r="AP4">
        <v>72.748000000000005</v>
      </c>
      <c r="AQ4">
        <v>72.748000000000005</v>
      </c>
      <c r="AR4">
        <v>3</v>
      </c>
      <c r="AT4" s="1">
        <v>42758</v>
      </c>
      <c r="AU4">
        <v>111.465</v>
      </c>
      <c r="AV4">
        <v>111.465</v>
      </c>
      <c r="AW4">
        <v>2.2999999999999998</v>
      </c>
      <c r="AY4" s="1">
        <v>42460</v>
      </c>
      <c r="AZ4">
        <v>105.11799999999999</v>
      </c>
      <c r="BA4">
        <v>105.11799999999999</v>
      </c>
      <c r="BB4">
        <v>0.55000000000000004</v>
      </c>
      <c r="BD4" s="1">
        <v>42558</v>
      </c>
      <c r="BE4">
        <v>83.515000000000001</v>
      </c>
      <c r="BF4">
        <v>83.515000000000001</v>
      </c>
      <c r="BG4">
        <v>1.8</v>
      </c>
      <c r="BI4" s="1">
        <v>42612</v>
      </c>
      <c r="BJ4">
        <v>77.974000000000004</v>
      </c>
      <c r="BK4">
        <v>77.974000000000004</v>
      </c>
      <c r="BL4">
        <v>2.2749999999999999</v>
      </c>
      <c r="BN4" s="1">
        <v>42396</v>
      </c>
      <c r="BO4">
        <v>125.464</v>
      </c>
      <c r="BP4">
        <v>125.464</v>
      </c>
      <c r="BQ4">
        <v>1.7610000000000001</v>
      </c>
      <c r="BS4" s="1">
        <v>42439</v>
      </c>
      <c r="BT4">
        <v>109.547</v>
      </c>
      <c r="BU4">
        <v>109.547</v>
      </c>
      <c r="BV4">
        <v>0.93100000000000005</v>
      </c>
      <c r="BX4" s="1">
        <v>42397</v>
      </c>
      <c r="BY4">
        <v>121.93600000000001</v>
      </c>
      <c r="BZ4">
        <v>121.93600000000001</v>
      </c>
      <c r="CA4">
        <v>1.45</v>
      </c>
      <c r="CH4" s="1">
        <v>42432</v>
      </c>
      <c r="CI4">
        <v>100.926</v>
      </c>
      <c r="CJ4">
        <v>100.926</v>
      </c>
      <c r="CK4">
        <v>1.8399999999999999</v>
      </c>
      <c r="CM4" s="1">
        <v>42460</v>
      </c>
      <c r="CN4">
        <v>104.617</v>
      </c>
      <c r="CO4">
        <v>104.617</v>
      </c>
      <c r="CP4">
        <v>0.97099999999999997</v>
      </c>
      <c r="CR4" s="1">
        <v>42664</v>
      </c>
      <c r="CS4">
        <v>126.95399999999999</v>
      </c>
      <c r="CT4">
        <v>126.854</v>
      </c>
      <c r="CU4">
        <v>1.9590000000000001</v>
      </c>
      <c r="CW4" s="1">
        <v>42404</v>
      </c>
      <c r="CX4">
        <v>128.29400000000001</v>
      </c>
      <c r="CY4">
        <v>128.29400000000001</v>
      </c>
      <c r="CZ4">
        <v>1.77</v>
      </c>
      <c r="DB4" s="1">
        <v>42459</v>
      </c>
      <c r="DC4">
        <v>107.982</v>
      </c>
      <c r="DD4">
        <v>107.982</v>
      </c>
      <c r="DE4">
        <v>1.92</v>
      </c>
      <c r="DG4" s="1">
        <v>42459</v>
      </c>
      <c r="DH4">
        <v>119.92</v>
      </c>
      <c r="DI4">
        <v>119.92</v>
      </c>
      <c r="DJ4">
        <v>1.6680000000000001</v>
      </c>
      <c r="DL4" s="1">
        <v>42396</v>
      </c>
      <c r="DM4">
        <v>105.35</v>
      </c>
      <c r="DN4">
        <v>105.35</v>
      </c>
      <c r="DO4">
        <v>1.3839999999999999</v>
      </c>
      <c r="DQ4" s="1">
        <v>42430</v>
      </c>
      <c r="DR4">
        <v>115.01600000000001</v>
      </c>
      <c r="DS4">
        <v>115.01600000000001</v>
      </c>
      <c r="DT4">
        <v>2.4489999999999998</v>
      </c>
      <c r="DV4" s="1">
        <v>42389</v>
      </c>
      <c r="DW4">
        <v>124.20699999999999</v>
      </c>
      <c r="DX4">
        <v>123.938</v>
      </c>
      <c r="DY4">
        <v>1.6059999999999999</v>
      </c>
      <c r="EA4" s="1">
        <v>42705</v>
      </c>
      <c r="EB4">
        <v>111.745</v>
      </c>
      <c r="EC4">
        <v>111.745</v>
      </c>
      <c r="ED4">
        <v>3.0569999999999999</v>
      </c>
      <c r="EF4" s="1">
        <v>42769</v>
      </c>
      <c r="EG4">
        <v>121.02800000000001</v>
      </c>
      <c r="EH4">
        <v>121.02800000000001</v>
      </c>
      <c r="EI4">
        <v>2.4950000000000001</v>
      </c>
      <c r="EK4" s="1">
        <v>42664</v>
      </c>
      <c r="EL4">
        <v>117.48399999999999</v>
      </c>
      <c r="EM4">
        <v>117.48399999999999</v>
      </c>
      <c r="EN4">
        <v>2.0179999999999998</v>
      </c>
      <c r="EP4" s="1">
        <v>42634</v>
      </c>
      <c r="EQ4">
        <v>122.395</v>
      </c>
      <c r="ER4">
        <v>122.395</v>
      </c>
      <c r="ES4">
        <v>1.54</v>
      </c>
      <c r="EU4" s="1">
        <v>42391</v>
      </c>
      <c r="EV4">
        <v>122.79600000000001</v>
      </c>
      <c r="EW4">
        <v>122.79600000000001</v>
      </c>
      <c r="EX4">
        <v>1.748</v>
      </c>
      <c r="EZ4" s="1">
        <v>42457</v>
      </c>
      <c r="FA4">
        <v>112.111</v>
      </c>
      <c r="FB4">
        <v>112.111</v>
      </c>
      <c r="FC4">
        <v>1.62</v>
      </c>
      <c r="FE4" s="1">
        <v>42417</v>
      </c>
      <c r="FF4">
        <v>126.38</v>
      </c>
      <c r="FG4">
        <v>126.38</v>
      </c>
      <c r="FH4">
        <v>1.667</v>
      </c>
      <c r="FJ4" s="1">
        <v>42401</v>
      </c>
      <c r="FK4">
        <v>78.518000000000001</v>
      </c>
      <c r="FL4">
        <v>78.518000000000001</v>
      </c>
      <c r="FM4">
        <v>2.2999999999999998</v>
      </c>
      <c r="FO4" s="1">
        <v>42429</v>
      </c>
      <c r="FP4">
        <v>128.97</v>
      </c>
      <c r="FQ4">
        <v>128.97</v>
      </c>
      <c r="FR4">
        <v>1.6619999999999999</v>
      </c>
      <c r="FT4" s="1">
        <v>42432</v>
      </c>
      <c r="FU4">
        <v>124.66800000000001</v>
      </c>
      <c r="FV4">
        <v>124.66800000000001</v>
      </c>
      <c r="FW4">
        <v>1.8439999999999999</v>
      </c>
      <c r="FY4" s="1">
        <v>42417</v>
      </c>
      <c r="FZ4">
        <v>113.867</v>
      </c>
      <c r="GA4">
        <v>113.867</v>
      </c>
      <c r="GB4">
        <v>1.5</v>
      </c>
      <c r="GD4" s="1">
        <v>42717</v>
      </c>
      <c r="GE4">
        <v>110.93600000000001</v>
      </c>
      <c r="GF4">
        <v>110.93600000000001</v>
      </c>
      <c r="GG4">
        <v>2.7109999999999999</v>
      </c>
      <c r="GN4" s="1">
        <v>42690</v>
      </c>
      <c r="GO4">
        <v>119.077</v>
      </c>
      <c r="GP4">
        <v>119.077</v>
      </c>
      <c r="GQ4">
        <v>2.282</v>
      </c>
      <c r="GS4" s="1">
        <v>42472</v>
      </c>
      <c r="GT4">
        <v>103.946</v>
      </c>
      <c r="GU4">
        <v>103.946</v>
      </c>
      <c r="GV4">
        <v>0.97199999999999998</v>
      </c>
      <c r="GX4" s="1">
        <v>42774</v>
      </c>
      <c r="GY4">
        <v>116.702</v>
      </c>
      <c r="GZ4">
        <v>116.702</v>
      </c>
      <c r="HA4">
        <v>2.214</v>
      </c>
      <c r="HH4" s="1">
        <v>42772</v>
      </c>
      <c r="HI4">
        <v>101.78400000000001</v>
      </c>
      <c r="HJ4">
        <v>101.78400000000001</v>
      </c>
      <c r="HK4">
        <v>0.752</v>
      </c>
      <c r="HM4" s="1">
        <v>42534</v>
      </c>
      <c r="HN4">
        <v>114.88200000000001</v>
      </c>
      <c r="HO4">
        <v>114.88200000000001</v>
      </c>
      <c r="HP4">
        <v>1.452</v>
      </c>
    </row>
    <row r="5" spans="1:224" x14ac:dyDescent="0.25">
      <c r="A5" s="1">
        <v>42710</v>
      </c>
      <c r="B5">
        <v>120.211</v>
      </c>
      <c r="C5">
        <v>120.211</v>
      </c>
      <c r="D5">
        <v>2.6150000000000002</v>
      </c>
      <c r="F5" s="1">
        <v>42711</v>
      </c>
      <c r="G5">
        <v>70.379000000000005</v>
      </c>
      <c r="H5">
        <v>70.379000000000005</v>
      </c>
      <c r="I5">
        <v>3.33</v>
      </c>
      <c r="K5" s="1">
        <v>42765</v>
      </c>
      <c r="L5">
        <v>110.67400000000001</v>
      </c>
      <c r="M5">
        <v>110.67400000000001</v>
      </c>
      <c r="N5">
        <v>2.41</v>
      </c>
      <c r="P5" s="1">
        <v>42444</v>
      </c>
      <c r="Q5">
        <v>122.40900000000001</v>
      </c>
      <c r="R5">
        <v>122.40900000000001</v>
      </c>
      <c r="S5">
        <v>2.0699999999999998</v>
      </c>
      <c r="U5" s="1">
        <v>42391</v>
      </c>
      <c r="V5">
        <v>115.649</v>
      </c>
      <c r="W5">
        <v>115.649</v>
      </c>
      <c r="X5">
        <v>1.4259999999999999</v>
      </c>
      <c r="Z5" s="1">
        <v>42402</v>
      </c>
      <c r="AA5">
        <v>112.828</v>
      </c>
      <c r="AB5">
        <v>112.828</v>
      </c>
      <c r="AC5">
        <v>1.8900000000000001</v>
      </c>
      <c r="AE5" s="1">
        <v>42482</v>
      </c>
      <c r="AF5">
        <v>121.821</v>
      </c>
      <c r="AG5">
        <v>121.821</v>
      </c>
      <c r="AH5">
        <v>1.734</v>
      </c>
      <c r="AJ5" s="1">
        <v>42429</v>
      </c>
      <c r="AK5">
        <v>127.94</v>
      </c>
      <c r="AL5">
        <v>127.94</v>
      </c>
      <c r="AM5">
        <v>1.974</v>
      </c>
      <c r="AO5" s="1">
        <v>42703</v>
      </c>
      <c r="AP5">
        <v>71.655000000000001</v>
      </c>
      <c r="AQ5">
        <v>71.655000000000001</v>
      </c>
      <c r="AR5">
        <v>3.15</v>
      </c>
      <c r="AT5" s="1">
        <v>42759</v>
      </c>
      <c r="AU5">
        <v>111.321</v>
      </c>
      <c r="AV5">
        <v>111.321</v>
      </c>
      <c r="AW5">
        <v>2.3199999999999998</v>
      </c>
      <c r="AY5" s="1">
        <v>42472</v>
      </c>
      <c r="AZ5">
        <v>104.185</v>
      </c>
      <c r="BA5">
        <v>104.185</v>
      </c>
      <c r="BB5">
        <v>1.25</v>
      </c>
      <c r="BD5" s="1">
        <v>42571</v>
      </c>
      <c r="BE5">
        <v>84.593000000000004</v>
      </c>
      <c r="BF5">
        <v>84.593000000000004</v>
      </c>
      <c r="BG5">
        <v>1.677</v>
      </c>
      <c r="BI5" s="1">
        <v>42692</v>
      </c>
      <c r="BJ5">
        <v>72.840999999999994</v>
      </c>
      <c r="BK5">
        <v>72.840999999999994</v>
      </c>
      <c r="BL5">
        <v>2.9630000000000001</v>
      </c>
      <c r="BN5" s="1">
        <v>42432</v>
      </c>
      <c r="BO5">
        <v>124.02800000000001</v>
      </c>
      <c r="BP5">
        <v>124.02800000000001</v>
      </c>
      <c r="BQ5">
        <v>1.8919999999999999</v>
      </c>
      <c r="BS5" s="1">
        <v>42445</v>
      </c>
      <c r="BT5">
        <v>109.36</v>
      </c>
      <c r="BU5">
        <v>109.36</v>
      </c>
      <c r="BV5">
        <v>0.98</v>
      </c>
      <c r="BX5" s="1">
        <v>42403</v>
      </c>
      <c r="BY5">
        <v>122.506</v>
      </c>
      <c r="BZ5">
        <v>122.506</v>
      </c>
      <c r="CA5">
        <v>1.3599999999999999</v>
      </c>
      <c r="CH5" s="1">
        <v>42433</v>
      </c>
      <c r="CI5">
        <v>100.4</v>
      </c>
      <c r="CJ5">
        <v>100.4</v>
      </c>
      <c r="CK5">
        <v>2.774</v>
      </c>
      <c r="CM5" s="1">
        <v>42465</v>
      </c>
      <c r="CN5">
        <v>104.06</v>
      </c>
      <c r="CO5">
        <v>104.06</v>
      </c>
      <c r="CP5">
        <v>1.4179999999999999</v>
      </c>
      <c r="CR5" s="1">
        <v>42667</v>
      </c>
      <c r="CS5">
        <v>127.051</v>
      </c>
      <c r="CT5">
        <v>126.95099999999999</v>
      </c>
      <c r="CU5">
        <v>1.9489999999999998</v>
      </c>
      <c r="CW5" s="1">
        <v>42458</v>
      </c>
      <c r="CX5">
        <v>126.01900000000001</v>
      </c>
      <c r="CY5">
        <v>126.01900000000001</v>
      </c>
      <c r="CZ5">
        <v>1.96</v>
      </c>
      <c r="DB5" s="1">
        <v>42779</v>
      </c>
      <c r="DC5">
        <v>105.985</v>
      </c>
      <c r="DD5">
        <v>105.985</v>
      </c>
      <c r="DE5">
        <v>2.1</v>
      </c>
      <c r="DG5" s="1">
        <v>42467</v>
      </c>
      <c r="DH5">
        <v>120.771</v>
      </c>
      <c r="DI5">
        <v>120.771</v>
      </c>
      <c r="DJ5">
        <v>1.53</v>
      </c>
      <c r="DL5" s="1">
        <v>42403</v>
      </c>
      <c r="DM5">
        <v>106.092</v>
      </c>
      <c r="DN5">
        <v>106.092</v>
      </c>
      <c r="DO5">
        <v>0.85</v>
      </c>
      <c r="DQ5" s="1">
        <v>42437</v>
      </c>
      <c r="DR5">
        <v>115.154</v>
      </c>
      <c r="DS5">
        <v>115.154</v>
      </c>
      <c r="DT5">
        <v>2.4050000000000002</v>
      </c>
      <c r="DV5" s="1">
        <v>42390</v>
      </c>
      <c r="DW5">
        <v>124.137</v>
      </c>
      <c r="DX5">
        <v>123.86799999999999</v>
      </c>
      <c r="DY5">
        <v>1.6139999999999999</v>
      </c>
      <c r="EA5" s="1">
        <v>42709</v>
      </c>
      <c r="EB5">
        <v>114.745</v>
      </c>
      <c r="EC5">
        <v>114.745</v>
      </c>
      <c r="ED5">
        <v>2.597</v>
      </c>
      <c r="EF5" s="1">
        <v>42772</v>
      </c>
      <c r="EG5">
        <v>122.68300000000001</v>
      </c>
      <c r="EH5">
        <v>122.68300000000001</v>
      </c>
      <c r="EI5">
        <v>2.3199999999999998</v>
      </c>
      <c r="EK5" s="1">
        <v>42670</v>
      </c>
      <c r="EL5">
        <v>119.176</v>
      </c>
      <c r="EM5">
        <v>119.176</v>
      </c>
      <c r="EN5">
        <v>1.8420000000000001</v>
      </c>
      <c r="EP5" s="1">
        <v>42671</v>
      </c>
      <c r="EQ5">
        <v>119.58499999999999</v>
      </c>
      <c r="ER5">
        <v>119.58499999999999</v>
      </c>
      <c r="ES5">
        <v>1.8</v>
      </c>
      <c r="EU5" s="1">
        <v>42403</v>
      </c>
      <c r="EV5">
        <v>121.911</v>
      </c>
      <c r="EW5">
        <v>121.911</v>
      </c>
      <c r="EX5">
        <v>1.85</v>
      </c>
      <c r="EZ5" s="1">
        <v>42731</v>
      </c>
      <c r="FA5">
        <v>107.88</v>
      </c>
      <c r="FB5">
        <v>107.88</v>
      </c>
      <c r="FC5">
        <v>2.1850000000000001</v>
      </c>
      <c r="FE5" s="1">
        <v>42772</v>
      </c>
      <c r="FF5">
        <v>117.914</v>
      </c>
      <c r="FG5">
        <v>117.914</v>
      </c>
      <c r="FH5">
        <v>2.395</v>
      </c>
      <c r="FJ5" s="1">
        <v>42447</v>
      </c>
      <c r="FK5">
        <v>74.384</v>
      </c>
      <c r="FL5">
        <v>74.384</v>
      </c>
      <c r="FM5">
        <v>2.855</v>
      </c>
      <c r="FO5" s="1">
        <v>42431</v>
      </c>
      <c r="FP5">
        <v>128.505</v>
      </c>
      <c r="FQ5">
        <v>128.505</v>
      </c>
      <c r="FR5">
        <v>1.7050000000000001</v>
      </c>
      <c r="FT5" s="1">
        <v>42443</v>
      </c>
      <c r="FU5">
        <v>122.898</v>
      </c>
      <c r="FV5">
        <v>122.898</v>
      </c>
      <c r="FW5">
        <v>2.0379999999999998</v>
      </c>
      <c r="FY5" s="1">
        <v>42426</v>
      </c>
      <c r="FZ5">
        <v>113.803</v>
      </c>
      <c r="GA5">
        <v>113.803</v>
      </c>
      <c r="GB5">
        <v>1.5</v>
      </c>
      <c r="GD5" s="1">
        <v>42718</v>
      </c>
      <c r="GE5">
        <v>112.8</v>
      </c>
      <c r="GF5">
        <v>112.8</v>
      </c>
      <c r="GG5">
        <v>2.5049999999999999</v>
      </c>
      <c r="GN5" s="1">
        <v>42691</v>
      </c>
      <c r="GO5">
        <v>119.71</v>
      </c>
      <c r="GP5">
        <v>119.71</v>
      </c>
      <c r="GQ5">
        <v>2.2000000000000002</v>
      </c>
      <c r="GS5" s="1">
        <v>42489</v>
      </c>
      <c r="GT5">
        <v>102.65600000000001</v>
      </c>
      <c r="GU5">
        <v>102.65600000000001</v>
      </c>
      <c r="GV5">
        <v>1.9889999999999999</v>
      </c>
      <c r="HM5" s="1">
        <v>42782</v>
      </c>
      <c r="HN5">
        <v>108.443</v>
      </c>
      <c r="HO5">
        <v>108.443</v>
      </c>
      <c r="HP5">
        <v>2.3380000000000001</v>
      </c>
    </row>
    <row r="6" spans="1:224" x14ac:dyDescent="0.25">
      <c r="A6" s="1">
        <v>42711</v>
      </c>
      <c r="B6">
        <v>122.066</v>
      </c>
      <c r="C6">
        <v>122.066</v>
      </c>
      <c r="D6">
        <v>2.419</v>
      </c>
      <c r="F6" s="1">
        <v>42748</v>
      </c>
      <c r="G6">
        <v>73.697000000000003</v>
      </c>
      <c r="H6">
        <v>73.697000000000003</v>
      </c>
      <c r="I6">
        <v>2.919</v>
      </c>
      <c r="K6" s="1">
        <v>42775</v>
      </c>
      <c r="L6">
        <v>111.699</v>
      </c>
      <c r="M6">
        <v>111.699</v>
      </c>
      <c r="N6">
        <v>2.2599999999999998</v>
      </c>
      <c r="P6" s="1">
        <v>42447</v>
      </c>
      <c r="Q6">
        <v>122.645</v>
      </c>
      <c r="R6">
        <v>122.645</v>
      </c>
      <c r="S6">
        <v>2.0379999999999998</v>
      </c>
      <c r="U6" s="1">
        <v>42394</v>
      </c>
      <c r="V6">
        <v>114.697</v>
      </c>
      <c r="W6">
        <v>114.697</v>
      </c>
      <c r="X6">
        <v>1.5699999999999998</v>
      </c>
      <c r="Z6" s="1">
        <v>42426</v>
      </c>
      <c r="AA6">
        <v>112.94199999999999</v>
      </c>
      <c r="AB6">
        <v>112.94199999999999</v>
      </c>
      <c r="AC6">
        <v>1.851</v>
      </c>
      <c r="AE6" s="1">
        <v>42486</v>
      </c>
      <c r="AF6">
        <v>122.32</v>
      </c>
      <c r="AG6">
        <v>122.32</v>
      </c>
      <c r="AH6">
        <v>1.6659999999999999</v>
      </c>
      <c r="AJ6" s="1">
        <v>42430</v>
      </c>
      <c r="AK6">
        <v>129.97399999999999</v>
      </c>
      <c r="AL6">
        <v>129.97399999999999</v>
      </c>
      <c r="AM6">
        <v>1.784</v>
      </c>
      <c r="AO6" s="1">
        <v>42705</v>
      </c>
      <c r="AP6">
        <v>70.933000000000007</v>
      </c>
      <c r="AQ6">
        <v>70.933000000000007</v>
      </c>
      <c r="AR6">
        <v>3.25</v>
      </c>
      <c r="AT6" s="1">
        <v>42760</v>
      </c>
      <c r="AU6">
        <v>111.321</v>
      </c>
      <c r="AV6">
        <v>111.321</v>
      </c>
      <c r="AW6">
        <v>2.3199999999999998</v>
      </c>
      <c r="AY6" s="1">
        <v>42479</v>
      </c>
      <c r="AZ6">
        <v>104.419</v>
      </c>
      <c r="BA6">
        <v>104.419</v>
      </c>
      <c r="BB6">
        <v>0.98099999999999998</v>
      </c>
      <c r="BD6" s="1">
        <v>42573</v>
      </c>
      <c r="BE6">
        <v>85.350999999999999</v>
      </c>
      <c r="BF6">
        <v>85.350999999999999</v>
      </c>
      <c r="BG6">
        <v>1.5880000000000001</v>
      </c>
      <c r="BI6" s="1">
        <v>42703</v>
      </c>
      <c r="BJ6">
        <v>71.847999999999999</v>
      </c>
      <c r="BK6">
        <v>71.847999999999999</v>
      </c>
      <c r="BL6">
        <v>3.1</v>
      </c>
      <c r="BN6" s="1">
        <v>42446</v>
      </c>
      <c r="BO6">
        <v>122.32</v>
      </c>
      <c r="BP6">
        <v>122.32</v>
      </c>
      <c r="BQ6">
        <v>2.077</v>
      </c>
      <c r="BS6" s="1">
        <v>42446</v>
      </c>
      <c r="BT6">
        <v>109.66800000000001</v>
      </c>
      <c r="BU6">
        <v>109.66800000000001</v>
      </c>
      <c r="BV6">
        <v>0.85</v>
      </c>
      <c r="BX6" s="1">
        <v>42405</v>
      </c>
      <c r="BY6">
        <v>122.48699999999999</v>
      </c>
      <c r="BZ6">
        <v>122.48699999999999</v>
      </c>
      <c r="CA6">
        <v>1.3599999999999999</v>
      </c>
      <c r="CH6" s="1">
        <v>42436</v>
      </c>
      <c r="CI6">
        <v>101.35</v>
      </c>
      <c r="CJ6">
        <v>101.35</v>
      </c>
      <c r="CK6">
        <v>1.0680000000000001</v>
      </c>
      <c r="CM6" s="1">
        <v>42466</v>
      </c>
      <c r="CN6">
        <v>104.86799999999999</v>
      </c>
      <c r="CO6">
        <v>104.86799999999999</v>
      </c>
      <c r="CP6">
        <v>0.7</v>
      </c>
      <c r="CR6" s="1">
        <v>42668</v>
      </c>
      <c r="CS6">
        <v>127.04600000000001</v>
      </c>
      <c r="CT6">
        <v>126.947</v>
      </c>
      <c r="CU6">
        <v>1.95</v>
      </c>
      <c r="CW6" s="1">
        <v>42460</v>
      </c>
      <c r="CX6">
        <v>126.03</v>
      </c>
      <c r="CY6">
        <v>126.03</v>
      </c>
      <c r="CZ6">
        <v>1.956</v>
      </c>
      <c r="DB6" s="1">
        <v>42780</v>
      </c>
      <c r="DC6">
        <v>105.714</v>
      </c>
      <c r="DD6">
        <v>105.714</v>
      </c>
      <c r="DE6">
        <v>2.15</v>
      </c>
      <c r="DG6" s="1">
        <v>42573</v>
      </c>
      <c r="DH6">
        <v>121.84399999999999</v>
      </c>
      <c r="DI6">
        <v>121.84399999999999</v>
      </c>
      <c r="DJ6">
        <v>1.22</v>
      </c>
      <c r="DL6" s="1">
        <v>42408</v>
      </c>
      <c r="DM6">
        <v>106.15</v>
      </c>
      <c r="DN6">
        <v>106.15</v>
      </c>
      <c r="DO6">
        <v>0.79</v>
      </c>
      <c r="DQ6" s="1">
        <v>42438</v>
      </c>
      <c r="DR6">
        <v>111.696</v>
      </c>
      <c r="DS6">
        <v>111.696</v>
      </c>
      <c r="DT6">
        <v>3.169</v>
      </c>
      <c r="DV6" s="1">
        <v>42391</v>
      </c>
      <c r="DW6">
        <v>124.021</v>
      </c>
      <c r="DX6">
        <v>123.753</v>
      </c>
      <c r="DY6">
        <v>1.6280000000000001</v>
      </c>
      <c r="EA6" s="1">
        <v>42767</v>
      </c>
      <c r="EB6">
        <v>116.19</v>
      </c>
      <c r="EC6">
        <v>116.19</v>
      </c>
      <c r="ED6">
        <v>2.3279999999999998</v>
      </c>
      <c r="EK6" s="1">
        <v>42706</v>
      </c>
      <c r="EL6">
        <v>109.471</v>
      </c>
      <c r="EM6">
        <v>109.471</v>
      </c>
      <c r="EN6">
        <v>2.8689999999999998</v>
      </c>
      <c r="EP6" s="1">
        <v>42710</v>
      </c>
      <c r="EQ6">
        <v>108.877</v>
      </c>
      <c r="ER6">
        <v>108.877</v>
      </c>
      <c r="ES6">
        <v>2.9359999999999999</v>
      </c>
      <c r="EU6" s="1">
        <v>42404</v>
      </c>
      <c r="EV6">
        <v>123.792</v>
      </c>
      <c r="EW6">
        <v>123.792</v>
      </c>
      <c r="EX6">
        <v>1.6099999999999999</v>
      </c>
      <c r="EZ6" s="1">
        <v>42733</v>
      </c>
      <c r="FA6">
        <v>109.75</v>
      </c>
      <c r="FB6">
        <v>109.75</v>
      </c>
      <c r="FC6">
        <v>1.772</v>
      </c>
      <c r="FE6" s="1">
        <v>42783</v>
      </c>
      <c r="FF6">
        <v>117.753</v>
      </c>
      <c r="FG6">
        <v>117.753</v>
      </c>
      <c r="FH6">
        <v>2.4060000000000001</v>
      </c>
      <c r="FJ6" s="1">
        <v>42451</v>
      </c>
      <c r="FK6">
        <v>74.83</v>
      </c>
      <c r="FL6">
        <v>74.83</v>
      </c>
      <c r="FM6">
        <v>2.8010000000000002</v>
      </c>
      <c r="FO6" s="1">
        <v>42433</v>
      </c>
      <c r="FP6">
        <v>126.15</v>
      </c>
      <c r="FQ6">
        <v>126.15</v>
      </c>
      <c r="FR6">
        <v>1.9409999999999998</v>
      </c>
      <c r="FT6" s="1">
        <v>42446</v>
      </c>
      <c r="FU6">
        <v>123.63200000000001</v>
      </c>
      <c r="FV6">
        <v>123.63200000000001</v>
      </c>
      <c r="FW6">
        <v>1.95</v>
      </c>
      <c r="FY6" s="1">
        <v>42429</v>
      </c>
      <c r="FZ6">
        <v>113.738</v>
      </c>
      <c r="GA6">
        <v>113.738</v>
      </c>
      <c r="GB6">
        <v>1.51</v>
      </c>
      <c r="GD6" s="1">
        <v>42719</v>
      </c>
      <c r="GE6">
        <v>111.613</v>
      </c>
      <c r="GF6">
        <v>111.613</v>
      </c>
      <c r="GG6">
        <v>2.6349999999999998</v>
      </c>
      <c r="GN6" s="1">
        <v>42772</v>
      </c>
      <c r="GO6">
        <v>118.3</v>
      </c>
      <c r="GP6">
        <v>118.3</v>
      </c>
      <c r="GQ6">
        <v>2.3199999999999998</v>
      </c>
      <c r="GS6" s="1">
        <v>42494</v>
      </c>
      <c r="GT6">
        <v>103.49299999999999</v>
      </c>
      <c r="GU6">
        <v>103.49299999999999</v>
      </c>
      <c r="GV6">
        <v>1.177</v>
      </c>
    </row>
    <row r="7" spans="1:224" x14ac:dyDescent="0.25">
      <c r="A7" s="1">
        <v>42724</v>
      </c>
      <c r="B7">
        <v>118.78400000000001</v>
      </c>
      <c r="C7">
        <v>118.78400000000001</v>
      </c>
      <c r="D7">
        <v>2.76</v>
      </c>
      <c r="F7" s="1">
        <v>42752</v>
      </c>
      <c r="G7">
        <v>72.629000000000005</v>
      </c>
      <c r="H7">
        <v>72.629000000000005</v>
      </c>
      <c r="I7">
        <v>3.06</v>
      </c>
      <c r="K7" s="1">
        <v>42780</v>
      </c>
      <c r="L7">
        <v>111.58</v>
      </c>
      <c r="M7">
        <v>111.58</v>
      </c>
      <c r="N7">
        <v>2.2749999999999999</v>
      </c>
      <c r="P7" s="1">
        <v>42450</v>
      </c>
      <c r="Q7">
        <v>122.752</v>
      </c>
      <c r="R7">
        <v>122.752</v>
      </c>
      <c r="S7">
        <v>2.0249999999999999</v>
      </c>
      <c r="U7" s="1">
        <v>42433</v>
      </c>
      <c r="V7">
        <v>111.63500000000001</v>
      </c>
      <c r="W7">
        <v>111.63500000000001</v>
      </c>
      <c r="X7">
        <v>2.0139999999999998</v>
      </c>
      <c r="Z7" s="1">
        <v>42503</v>
      </c>
      <c r="AA7">
        <v>113.85299999999999</v>
      </c>
      <c r="AB7">
        <v>113.85299999999999</v>
      </c>
      <c r="AC7">
        <v>1.6419999999999999</v>
      </c>
      <c r="AE7" s="1">
        <v>42499</v>
      </c>
      <c r="AF7">
        <v>123.083</v>
      </c>
      <c r="AG7">
        <v>123.083</v>
      </c>
      <c r="AH7">
        <v>1.55</v>
      </c>
      <c r="AJ7" s="1">
        <v>42433</v>
      </c>
      <c r="AK7">
        <v>127.621</v>
      </c>
      <c r="AL7">
        <v>127.621</v>
      </c>
      <c r="AM7">
        <v>2</v>
      </c>
      <c r="AO7" s="1">
        <v>42710</v>
      </c>
      <c r="AP7">
        <v>70.951999999999998</v>
      </c>
      <c r="AQ7">
        <v>70.951999999999998</v>
      </c>
      <c r="AR7">
        <v>3.25</v>
      </c>
      <c r="AT7" s="1">
        <v>42762</v>
      </c>
      <c r="AU7">
        <v>111.68</v>
      </c>
      <c r="AV7">
        <v>111.68</v>
      </c>
      <c r="AW7">
        <v>2.27</v>
      </c>
      <c r="AY7" s="1">
        <v>42481</v>
      </c>
      <c r="AZ7">
        <v>104.634</v>
      </c>
      <c r="BA7">
        <v>104.634</v>
      </c>
      <c r="BB7">
        <v>0.751</v>
      </c>
      <c r="BD7" s="1">
        <v>42578</v>
      </c>
      <c r="BE7">
        <v>85.367999999999995</v>
      </c>
      <c r="BF7">
        <v>85.367999999999995</v>
      </c>
      <c r="BG7">
        <v>1.5880000000000001</v>
      </c>
      <c r="BI7" s="1">
        <v>42704</v>
      </c>
      <c r="BJ7">
        <v>71.563000000000002</v>
      </c>
      <c r="BK7">
        <v>71.563000000000002</v>
      </c>
      <c r="BL7">
        <v>3.14</v>
      </c>
      <c r="BN7" s="1">
        <v>42452</v>
      </c>
      <c r="BO7">
        <v>124.13500000000001</v>
      </c>
      <c r="BP7">
        <v>124.13500000000001</v>
      </c>
      <c r="BQ7">
        <v>1.8620000000000001</v>
      </c>
      <c r="BS7" s="1">
        <v>42458</v>
      </c>
      <c r="BT7">
        <v>108.48699999999999</v>
      </c>
      <c r="BU7">
        <v>108.48699999999999</v>
      </c>
      <c r="BV7">
        <v>1.2949999999999999</v>
      </c>
      <c r="BX7" s="1">
        <v>42408</v>
      </c>
      <c r="BY7">
        <v>121.43899999999999</v>
      </c>
      <c r="BZ7">
        <v>121.43899999999999</v>
      </c>
      <c r="CA7">
        <v>1.51</v>
      </c>
      <c r="CH7" s="1">
        <v>42437</v>
      </c>
      <c r="CI7">
        <v>100.94499999999999</v>
      </c>
      <c r="CJ7">
        <v>100.94499999999999</v>
      </c>
      <c r="CK7">
        <v>1.782</v>
      </c>
      <c r="CM7" s="1">
        <v>42471</v>
      </c>
      <c r="CN7">
        <v>105.066</v>
      </c>
      <c r="CO7">
        <v>105.066</v>
      </c>
      <c r="CP7">
        <v>0.5</v>
      </c>
      <c r="CR7" s="1">
        <v>42669</v>
      </c>
      <c r="CS7">
        <v>127.048</v>
      </c>
      <c r="CT7">
        <v>126.95</v>
      </c>
      <c r="CU7">
        <v>1.95</v>
      </c>
      <c r="CW7" s="1">
        <v>42465</v>
      </c>
      <c r="CX7">
        <v>127.54900000000001</v>
      </c>
      <c r="CY7">
        <v>127.54900000000001</v>
      </c>
      <c r="CZ7">
        <v>1.8</v>
      </c>
      <c r="DG7" s="1">
        <v>42593</v>
      </c>
      <c r="DH7">
        <v>122.76600000000001</v>
      </c>
      <c r="DI7">
        <v>122.76600000000001</v>
      </c>
      <c r="DJ7">
        <v>1.048</v>
      </c>
      <c r="DL7" s="1">
        <v>42409</v>
      </c>
      <c r="DM7">
        <v>105.45</v>
      </c>
      <c r="DN7">
        <v>105.45</v>
      </c>
      <c r="DO7">
        <v>1.2450000000000001</v>
      </c>
      <c r="DQ7" s="1">
        <v>42439</v>
      </c>
      <c r="DR7">
        <v>114.358</v>
      </c>
      <c r="DS7">
        <v>114.358</v>
      </c>
      <c r="DT7">
        <v>2.5720000000000001</v>
      </c>
      <c r="DV7" s="1">
        <v>42394</v>
      </c>
      <c r="DW7">
        <v>124.003</v>
      </c>
      <c r="DX7">
        <v>123.735</v>
      </c>
      <c r="DY7">
        <v>1.629</v>
      </c>
      <c r="EA7" s="1">
        <v>42776</v>
      </c>
      <c r="EB7">
        <v>117.235</v>
      </c>
      <c r="EC7">
        <v>117.235</v>
      </c>
      <c r="ED7">
        <v>2.161</v>
      </c>
      <c r="EK7" s="1">
        <v>42711</v>
      </c>
      <c r="EL7">
        <v>112.68</v>
      </c>
      <c r="EM7">
        <v>112.68</v>
      </c>
      <c r="EN7">
        <v>2.5099999999999998</v>
      </c>
      <c r="EP7" s="1">
        <v>42711</v>
      </c>
      <c r="EQ7">
        <v>111.703</v>
      </c>
      <c r="ER7">
        <v>111.703</v>
      </c>
      <c r="ES7">
        <v>2.6179999999999999</v>
      </c>
      <c r="EU7" s="1">
        <v>42425</v>
      </c>
      <c r="EV7">
        <v>123.506</v>
      </c>
      <c r="EW7">
        <v>123.506</v>
      </c>
      <c r="EX7">
        <v>1.623</v>
      </c>
      <c r="EZ7" s="1">
        <v>42776</v>
      </c>
      <c r="FA7">
        <v>110.748</v>
      </c>
      <c r="FB7">
        <v>110.748</v>
      </c>
      <c r="FC7">
        <v>1.5</v>
      </c>
      <c r="FJ7" s="1">
        <v>42510</v>
      </c>
      <c r="FK7">
        <v>78.91</v>
      </c>
      <c r="FL7">
        <v>78.91</v>
      </c>
      <c r="FM7">
        <v>2.3199999999999998</v>
      </c>
      <c r="FO7" s="1">
        <v>42500</v>
      </c>
      <c r="FP7">
        <v>128.517</v>
      </c>
      <c r="FQ7">
        <v>128.517</v>
      </c>
      <c r="FR7">
        <v>1.651</v>
      </c>
      <c r="FT7" s="1">
        <v>42447</v>
      </c>
      <c r="FU7">
        <v>123.53700000000001</v>
      </c>
      <c r="FV7">
        <v>123.53700000000001</v>
      </c>
      <c r="FW7">
        <v>1.96</v>
      </c>
      <c r="FY7" s="1">
        <v>42431</v>
      </c>
      <c r="FZ7">
        <v>113.712</v>
      </c>
      <c r="GA7">
        <v>113.712</v>
      </c>
      <c r="GB7">
        <v>1.51</v>
      </c>
      <c r="GD7" s="1">
        <v>42720</v>
      </c>
      <c r="GE7">
        <v>109.423</v>
      </c>
      <c r="GF7">
        <v>109.423</v>
      </c>
      <c r="GG7">
        <v>2.879</v>
      </c>
      <c r="GS7" s="1">
        <v>42541</v>
      </c>
      <c r="GT7">
        <v>102.101</v>
      </c>
      <c r="GU7">
        <v>102.101</v>
      </c>
      <c r="GV7">
        <v>2.2250000000000001</v>
      </c>
    </row>
    <row r="8" spans="1:224" x14ac:dyDescent="0.25">
      <c r="A8" s="1">
        <v>42740</v>
      </c>
      <c r="B8">
        <v>120.958</v>
      </c>
      <c r="C8">
        <v>120.958</v>
      </c>
      <c r="D8">
        <v>2.5190000000000001</v>
      </c>
      <c r="F8" s="1">
        <v>42753</v>
      </c>
      <c r="G8">
        <v>72.2</v>
      </c>
      <c r="H8">
        <v>72.2</v>
      </c>
      <c r="I8">
        <v>3.12</v>
      </c>
      <c r="K8" s="1">
        <v>42781</v>
      </c>
      <c r="L8">
        <v>111.17100000000001</v>
      </c>
      <c r="M8">
        <v>111.17100000000001</v>
      </c>
      <c r="N8">
        <v>2.33</v>
      </c>
      <c r="P8" s="1">
        <v>42458</v>
      </c>
      <c r="Q8">
        <v>122.562</v>
      </c>
      <c r="R8">
        <v>122.562</v>
      </c>
      <c r="S8">
        <v>2.0419999999999998</v>
      </c>
      <c r="U8" s="1">
        <v>42436</v>
      </c>
      <c r="V8">
        <v>112.46</v>
      </c>
      <c r="W8">
        <v>112.46</v>
      </c>
      <c r="X8">
        <v>1.8820000000000001</v>
      </c>
      <c r="Z8" s="1">
        <v>42773</v>
      </c>
      <c r="AA8">
        <v>109.60899999999999</v>
      </c>
      <c r="AB8">
        <v>109.60899999999999</v>
      </c>
      <c r="AC8">
        <v>2.1310000000000002</v>
      </c>
      <c r="AE8" s="1">
        <v>42529</v>
      </c>
      <c r="AF8">
        <v>123.754</v>
      </c>
      <c r="AG8">
        <v>123.754</v>
      </c>
      <c r="AH8">
        <v>1.425</v>
      </c>
      <c r="AJ8" s="1">
        <v>42445</v>
      </c>
      <c r="AK8">
        <v>125.32899999999999</v>
      </c>
      <c r="AL8">
        <v>125.32899999999999</v>
      </c>
      <c r="AM8">
        <v>2.2109999999999999</v>
      </c>
      <c r="AO8" s="1">
        <v>42712</v>
      </c>
      <c r="AP8">
        <v>72.858999999999995</v>
      </c>
      <c r="AQ8">
        <v>72.858999999999995</v>
      </c>
      <c r="AR8">
        <v>3</v>
      </c>
      <c r="AT8" s="1">
        <v>42769</v>
      </c>
      <c r="AU8">
        <v>111.652</v>
      </c>
      <c r="AV8">
        <v>111.652</v>
      </c>
      <c r="AW8">
        <v>2.27</v>
      </c>
      <c r="AY8" s="1">
        <v>42495</v>
      </c>
      <c r="AZ8">
        <v>104.58</v>
      </c>
      <c r="BA8">
        <v>104.58</v>
      </c>
      <c r="BB8">
        <v>0.65</v>
      </c>
      <c r="BD8" s="1">
        <v>42584</v>
      </c>
      <c r="BE8">
        <v>85.593999999999994</v>
      </c>
      <c r="BF8">
        <v>85.593999999999994</v>
      </c>
      <c r="BG8">
        <v>1.5629999999999999</v>
      </c>
      <c r="BI8" s="1">
        <v>42709</v>
      </c>
      <c r="BJ8">
        <v>71.204999999999998</v>
      </c>
      <c r="BK8">
        <v>71.204999999999998</v>
      </c>
      <c r="BL8">
        <v>3.19</v>
      </c>
      <c r="BN8" s="1">
        <v>42458</v>
      </c>
      <c r="BO8">
        <v>123.611</v>
      </c>
      <c r="BP8">
        <v>123.611</v>
      </c>
      <c r="BQ8">
        <v>1.92</v>
      </c>
      <c r="BS8" s="1">
        <v>42473</v>
      </c>
      <c r="BT8">
        <v>108.66</v>
      </c>
      <c r="BU8">
        <v>108.66</v>
      </c>
      <c r="BV8">
        <v>1.1499999999999999</v>
      </c>
      <c r="BX8" s="1">
        <v>42445</v>
      </c>
      <c r="BY8">
        <v>121.224</v>
      </c>
      <c r="BZ8">
        <v>121.224</v>
      </c>
      <c r="CA8">
        <v>1.49</v>
      </c>
      <c r="CH8" s="1">
        <v>42445</v>
      </c>
      <c r="CI8">
        <v>100.047</v>
      </c>
      <c r="CJ8">
        <v>100.047</v>
      </c>
      <c r="CK8">
        <v>3.4079999999999999</v>
      </c>
      <c r="CM8" s="1">
        <v>42473</v>
      </c>
      <c r="CN8">
        <v>104.441</v>
      </c>
      <c r="CO8">
        <v>104.441</v>
      </c>
      <c r="CP8">
        <v>1</v>
      </c>
      <c r="CR8" s="1">
        <v>42670</v>
      </c>
      <c r="CS8">
        <v>126.55800000000001</v>
      </c>
      <c r="CT8">
        <v>126.45699999999999</v>
      </c>
      <c r="CU8">
        <v>1.998</v>
      </c>
      <c r="CW8" s="1">
        <v>42474</v>
      </c>
      <c r="CX8">
        <v>128.16200000000001</v>
      </c>
      <c r="CY8">
        <v>128.16200000000001</v>
      </c>
      <c r="CZ8">
        <v>1.73</v>
      </c>
      <c r="DG8" s="1">
        <v>42759</v>
      </c>
      <c r="DH8">
        <v>114.648</v>
      </c>
      <c r="DI8">
        <v>114.648</v>
      </c>
      <c r="DJ8">
        <v>2.1659999999999999</v>
      </c>
      <c r="DL8" s="1">
        <v>42410</v>
      </c>
      <c r="DM8">
        <v>106.499</v>
      </c>
      <c r="DN8">
        <v>106.499</v>
      </c>
      <c r="DO8">
        <v>0.52100000000000002</v>
      </c>
      <c r="DQ8" s="1">
        <v>42445</v>
      </c>
      <c r="DR8">
        <v>114.621</v>
      </c>
      <c r="DS8">
        <v>114.621</v>
      </c>
      <c r="DT8">
        <v>2.5030000000000001</v>
      </c>
      <c r="DV8" s="1">
        <v>42395</v>
      </c>
      <c r="DW8">
        <v>123.669</v>
      </c>
      <c r="DX8">
        <v>123.401</v>
      </c>
      <c r="DY8">
        <v>1.67</v>
      </c>
      <c r="EA8" s="1">
        <v>42781</v>
      </c>
      <c r="EB8">
        <v>117.395</v>
      </c>
      <c r="EC8">
        <v>117.395</v>
      </c>
      <c r="ED8">
        <v>2.1310000000000002</v>
      </c>
      <c r="EK8" s="1">
        <v>42713</v>
      </c>
      <c r="EL8">
        <v>112.94799999999999</v>
      </c>
      <c r="EM8">
        <v>112.94799999999999</v>
      </c>
      <c r="EN8">
        <v>2.48</v>
      </c>
      <c r="EP8" s="1">
        <v>42745</v>
      </c>
      <c r="EQ8">
        <v>115.241</v>
      </c>
      <c r="ER8">
        <v>115.241</v>
      </c>
      <c r="ES8">
        <v>2.2200000000000002</v>
      </c>
      <c r="EU8" s="1">
        <v>42446</v>
      </c>
      <c r="EV8">
        <v>122.366</v>
      </c>
      <c r="EW8">
        <v>122.366</v>
      </c>
      <c r="EX8">
        <v>1.7469999999999999</v>
      </c>
      <c r="FJ8" s="1">
        <v>42514</v>
      </c>
      <c r="FK8">
        <v>79.62</v>
      </c>
      <c r="FL8">
        <v>79.62</v>
      </c>
      <c r="FM8">
        <v>2.2330000000000001</v>
      </c>
      <c r="FO8" s="1">
        <v>42621</v>
      </c>
      <c r="FP8">
        <v>130.17599999999999</v>
      </c>
      <c r="FQ8">
        <v>130.17599999999999</v>
      </c>
      <c r="FR8">
        <v>1.379</v>
      </c>
      <c r="FT8" s="1">
        <v>42495</v>
      </c>
      <c r="FU8">
        <v>125.08199999999999</v>
      </c>
      <c r="FV8">
        <v>125.08199999999999</v>
      </c>
      <c r="FW8">
        <v>1.744</v>
      </c>
      <c r="FY8" s="1">
        <v>42726</v>
      </c>
      <c r="FZ8">
        <v>106.61799999999999</v>
      </c>
      <c r="GA8">
        <v>106.61799999999999</v>
      </c>
      <c r="GB8">
        <v>2.5709999999999997</v>
      </c>
      <c r="GD8" s="1">
        <v>42725</v>
      </c>
      <c r="GE8">
        <v>111.003</v>
      </c>
      <c r="GF8">
        <v>111.003</v>
      </c>
      <c r="GG8">
        <v>2.7</v>
      </c>
      <c r="GS8" s="1">
        <v>42593</v>
      </c>
      <c r="GT8">
        <v>102.53400000000001</v>
      </c>
      <c r="GU8">
        <v>102.53400000000001</v>
      </c>
      <c r="GV8">
        <v>1.2709999999999999</v>
      </c>
    </row>
    <row r="9" spans="1:224" x14ac:dyDescent="0.25">
      <c r="A9" s="1">
        <v>42752</v>
      </c>
      <c r="B9">
        <v>123.7</v>
      </c>
      <c r="C9">
        <v>123.7</v>
      </c>
      <c r="D9">
        <v>2.226</v>
      </c>
      <c r="F9" s="1">
        <v>42754</v>
      </c>
      <c r="G9">
        <v>73.105999999999995</v>
      </c>
      <c r="H9">
        <v>73.105999999999995</v>
      </c>
      <c r="I9">
        <v>3</v>
      </c>
      <c r="K9" s="1">
        <v>42783</v>
      </c>
      <c r="L9">
        <v>111.306</v>
      </c>
      <c r="M9">
        <v>111.306</v>
      </c>
      <c r="N9">
        <v>2.31</v>
      </c>
      <c r="P9" s="1">
        <v>42485</v>
      </c>
      <c r="Q9">
        <v>124.328</v>
      </c>
      <c r="R9">
        <v>124.328</v>
      </c>
      <c r="S9">
        <v>1.8140000000000001</v>
      </c>
      <c r="U9" s="1">
        <v>42450</v>
      </c>
      <c r="V9">
        <v>113.176</v>
      </c>
      <c r="W9">
        <v>113.176</v>
      </c>
      <c r="X9">
        <v>1.756</v>
      </c>
      <c r="Z9" s="1">
        <v>42774</v>
      </c>
      <c r="AA9">
        <v>110.307</v>
      </c>
      <c r="AB9">
        <v>110.307</v>
      </c>
      <c r="AC9">
        <v>2</v>
      </c>
      <c r="AE9" s="1">
        <v>42530</v>
      </c>
      <c r="AF9">
        <v>123.29</v>
      </c>
      <c r="AG9">
        <v>123.29</v>
      </c>
      <c r="AH9">
        <v>1.486</v>
      </c>
      <c r="AJ9" s="1">
        <v>42453</v>
      </c>
      <c r="AK9">
        <v>125.973</v>
      </c>
      <c r="AL9">
        <v>125.973</v>
      </c>
      <c r="AM9">
        <v>2.1440000000000001</v>
      </c>
      <c r="AO9" s="1">
        <v>42716</v>
      </c>
      <c r="AP9">
        <v>72.870999999999995</v>
      </c>
      <c r="AQ9">
        <v>72.870999999999995</v>
      </c>
      <c r="AR9">
        <v>3</v>
      </c>
      <c r="AT9" s="1">
        <v>42772</v>
      </c>
      <c r="AU9">
        <v>112.246</v>
      </c>
      <c r="AV9">
        <v>112.246</v>
      </c>
      <c r="AW9">
        <v>2.1869999999999998</v>
      </c>
      <c r="AY9" s="1">
        <v>42496</v>
      </c>
      <c r="AZ9">
        <v>103.949</v>
      </c>
      <c r="BA9">
        <v>103.949</v>
      </c>
      <c r="BB9">
        <v>1.2230000000000001</v>
      </c>
      <c r="BD9" s="1">
        <v>42585</v>
      </c>
      <c r="BE9">
        <v>85.355000000000004</v>
      </c>
      <c r="BF9">
        <v>85.355000000000004</v>
      </c>
      <c r="BG9">
        <v>1.593</v>
      </c>
      <c r="BI9" s="1">
        <v>42710</v>
      </c>
      <c r="BJ9">
        <v>71.210999999999999</v>
      </c>
      <c r="BK9">
        <v>71.210999999999999</v>
      </c>
      <c r="BL9">
        <v>3.19</v>
      </c>
      <c r="BN9" s="1">
        <v>42459</v>
      </c>
      <c r="BO9">
        <v>124.818</v>
      </c>
      <c r="BP9">
        <v>124.818</v>
      </c>
      <c r="BQ9">
        <v>1.7789999999999999</v>
      </c>
      <c r="BS9" s="1">
        <v>42482</v>
      </c>
      <c r="BT9">
        <v>108.873</v>
      </c>
      <c r="BU9">
        <v>108.873</v>
      </c>
      <c r="BV9">
        <v>1.02</v>
      </c>
      <c r="BX9" s="1">
        <v>42451</v>
      </c>
      <c r="BY9">
        <v>121.095</v>
      </c>
      <c r="BZ9">
        <v>121.095</v>
      </c>
      <c r="CA9">
        <v>1.5</v>
      </c>
      <c r="CH9" s="1">
        <v>42451</v>
      </c>
      <c r="CI9">
        <v>101.221</v>
      </c>
      <c r="CJ9">
        <v>101.221</v>
      </c>
      <c r="CK9">
        <v>1.085</v>
      </c>
      <c r="CM9" s="1">
        <v>42474</v>
      </c>
      <c r="CN9">
        <v>104.46</v>
      </c>
      <c r="CO9">
        <v>104.46</v>
      </c>
      <c r="CP9">
        <v>0.97399999999999998</v>
      </c>
      <c r="CR9" s="1">
        <v>42671</v>
      </c>
      <c r="CS9">
        <v>126.71899999999999</v>
      </c>
      <c r="CT9">
        <v>126.62</v>
      </c>
      <c r="CU9">
        <v>1.982</v>
      </c>
      <c r="CW9" s="1">
        <v>42481</v>
      </c>
      <c r="CX9">
        <v>128.25399999999999</v>
      </c>
      <c r="CY9">
        <v>128.25399999999999</v>
      </c>
      <c r="CZ9">
        <v>1.7149999999999999</v>
      </c>
      <c r="DG9" s="1">
        <v>42761</v>
      </c>
      <c r="DH9">
        <v>118.438</v>
      </c>
      <c r="DI9">
        <v>118.438</v>
      </c>
      <c r="DJ9">
        <v>1.4950000000000001</v>
      </c>
      <c r="DL9" s="1">
        <v>42412</v>
      </c>
      <c r="DM9">
        <v>105.554</v>
      </c>
      <c r="DN9">
        <v>105.554</v>
      </c>
      <c r="DO9">
        <v>1.1339999999999999</v>
      </c>
      <c r="DQ9" s="1">
        <v>42450</v>
      </c>
      <c r="DR9">
        <v>112.816</v>
      </c>
      <c r="DS9">
        <v>112.816</v>
      </c>
      <c r="DT9">
        <v>2.9</v>
      </c>
      <c r="DV9" s="1">
        <v>42396</v>
      </c>
      <c r="DW9">
        <v>123.569</v>
      </c>
      <c r="DX9">
        <v>123.301</v>
      </c>
      <c r="DY9">
        <v>1.6800000000000002</v>
      </c>
      <c r="EK9" s="1">
        <v>42723</v>
      </c>
      <c r="EL9">
        <v>110.152</v>
      </c>
      <c r="EM9">
        <v>110.152</v>
      </c>
      <c r="EN9">
        <v>2.7880000000000003</v>
      </c>
      <c r="EP9" s="1">
        <v>42774</v>
      </c>
      <c r="EQ9">
        <v>113.932</v>
      </c>
      <c r="ER9">
        <v>113.932</v>
      </c>
      <c r="ES9">
        <v>2.35</v>
      </c>
      <c r="EU9" s="1">
        <v>42459</v>
      </c>
      <c r="EV9">
        <v>123.791</v>
      </c>
      <c r="EW9">
        <v>123.791</v>
      </c>
      <c r="EX9">
        <v>1.5510000000000002</v>
      </c>
      <c r="FJ9" s="1">
        <v>42515</v>
      </c>
      <c r="FK9">
        <v>80.153000000000006</v>
      </c>
      <c r="FL9">
        <v>80.153000000000006</v>
      </c>
      <c r="FM9">
        <v>2.17</v>
      </c>
      <c r="FO9" s="1">
        <v>42660</v>
      </c>
      <c r="FP9">
        <v>127.745</v>
      </c>
      <c r="FQ9">
        <v>127.745</v>
      </c>
      <c r="FR9">
        <v>1.6</v>
      </c>
      <c r="FT9" s="1">
        <v>42496</v>
      </c>
      <c r="FU9">
        <v>125.001</v>
      </c>
      <c r="FV9">
        <v>125.001</v>
      </c>
      <c r="FW9">
        <v>1.752</v>
      </c>
      <c r="FY9" s="1">
        <v>42727</v>
      </c>
      <c r="FZ9">
        <v>107.75</v>
      </c>
      <c r="GA9">
        <v>107.75</v>
      </c>
      <c r="GB9">
        <v>2.3359999999999999</v>
      </c>
      <c r="GD9" s="1">
        <v>42753</v>
      </c>
      <c r="GE9">
        <v>114.87</v>
      </c>
      <c r="GF9">
        <v>114.87</v>
      </c>
      <c r="GG9">
        <v>2.2679999999999998</v>
      </c>
      <c r="GS9" s="1">
        <v>42628</v>
      </c>
      <c r="GT9">
        <v>102.27500000000001</v>
      </c>
      <c r="GU9">
        <v>102.27500000000001</v>
      </c>
      <c r="GV9">
        <v>1.2110000000000001</v>
      </c>
    </row>
    <row r="10" spans="1:224" x14ac:dyDescent="0.25">
      <c r="A10" s="1">
        <v>42755</v>
      </c>
      <c r="B10">
        <v>123.652</v>
      </c>
      <c r="C10">
        <v>123.652</v>
      </c>
      <c r="D10">
        <v>2.2280000000000002</v>
      </c>
      <c r="F10" s="1">
        <v>42766</v>
      </c>
      <c r="G10">
        <v>72.036000000000001</v>
      </c>
      <c r="H10">
        <v>72.036000000000001</v>
      </c>
      <c r="I10">
        <v>3.15</v>
      </c>
      <c r="P10" s="1">
        <v>42496</v>
      </c>
      <c r="Q10">
        <v>126.182</v>
      </c>
      <c r="R10">
        <v>126.182</v>
      </c>
      <c r="S10">
        <v>1.5899999999999999</v>
      </c>
      <c r="U10" s="1">
        <v>42499</v>
      </c>
      <c r="V10">
        <v>115.28700000000001</v>
      </c>
      <c r="W10">
        <v>115.28700000000001</v>
      </c>
      <c r="X10">
        <v>1.375</v>
      </c>
      <c r="Z10" s="1">
        <v>42776</v>
      </c>
      <c r="AA10">
        <v>110.3</v>
      </c>
      <c r="AB10">
        <v>110.3</v>
      </c>
      <c r="AC10">
        <v>2</v>
      </c>
      <c r="AE10" s="1">
        <v>42531</v>
      </c>
      <c r="AF10">
        <v>123.79900000000001</v>
      </c>
      <c r="AG10">
        <v>123.79900000000001</v>
      </c>
      <c r="AH10">
        <v>1.417</v>
      </c>
      <c r="AJ10" s="1">
        <v>42479</v>
      </c>
      <c r="AK10">
        <v>131.19999999999999</v>
      </c>
      <c r="AL10">
        <v>131.19999999999999</v>
      </c>
      <c r="AM10">
        <v>1.6379999999999999</v>
      </c>
      <c r="AO10" s="1">
        <v>42719</v>
      </c>
      <c r="AP10">
        <v>72.673000000000002</v>
      </c>
      <c r="AQ10">
        <v>72.673000000000002</v>
      </c>
      <c r="AR10">
        <v>3.03</v>
      </c>
      <c r="AT10" s="1">
        <v>42775</v>
      </c>
      <c r="AU10">
        <v>112.346</v>
      </c>
      <c r="AV10">
        <v>112.346</v>
      </c>
      <c r="AW10">
        <v>2.17</v>
      </c>
      <c r="AY10" s="1">
        <v>42499</v>
      </c>
      <c r="AZ10">
        <v>104.491</v>
      </c>
      <c r="BA10">
        <v>104.491</v>
      </c>
      <c r="BB10">
        <v>0.71</v>
      </c>
      <c r="BD10" s="1">
        <v>42586</v>
      </c>
      <c r="BE10">
        <v>84.876999999999995</v>
      </c>
      <c r="BF10">
        <v>84.876999999999995</v>
      </c>
      <c r="BG10">
        <v>1.65</v>
      </c>
      <c r="BI10" s="1">
        <v>42711</v>
      </c>
      <c r="BJ10">
        <v>71.23</v>
      </c>
      <c r="BK10">
        <v>71.23</v>
      </c>
      <c r="BL10">
        <v>3.19</v>
      </c>
      <c r="BN10" s="1">
        <v>42461</v>
      </c>
      <c r="BO10">
        <v>124.477</v>
      </c>
      <c r="BP10">
        <v>124.477</v>
      </c>
      <c r="BQ10">
        <v>1.8159999999999998</v>
      </c>
      <c r="BS10" s="1">
        <v>42485</v>
      </c>
      <c r="BT10">
        <v>109.143</v>
      </c>
      <c r="BU10">
        <v>109.143</v>
      </c>
      <c r="BV10">
        <v>0.9</v>
      </c>
      <c r="BX10" s="1">
        <v>42458</v>
      </c>
      <c r="BY10">
        <v>121.069</v>
      </c>
      <c r="BZ10">
        <v>121.069</v>
      </c>
      <c r="CA10">
        <v>1.5</v>
      </c>
      <c r="CH10" s="1">
        <v>42549</v>
      </c>
      <c r="CI10">
        <v>99.408000000000001</v>
      </c>
      <c r="CJ10">
        <v>99.408000000000001</v>
      </c>
      <c r="CK10">
        <v>3.5640000000000001</v>
      </c>
      <c r="CM10" s="1">
        <v>42480</v>
      </c>
      <c r="CN10">
        <v>104.286</v>
      </c>
      <c r="CO10">
        <v>104.286</v>
      </c>
      <c r="CP10">
        <v>1.069</v>
      </c>
      <c r="CR10" s="1">
        <v>42674</v>
      </c>
      <c r="CS10">
        <v>126.84399999999999</v>
      </c>
      <c r="CT10">
        <v>126.744</v>
      </c>
      <c r="CU10">
        <v>1.97</v>
      </c>
      <c r="CW10" s="1">
        <v>42732</v>
      </c>
      <c r="CX10">
        <v>119.232</v>
      </c>
      <c r="CY10">
        <v>119.232</v>
      </c>
      <c r="CZ10">
        <v>2.5150000000000001</v>
      </c>
      <c r="DG10" s="1">
        <v>42762</v>
      </c>
      <c r="DH10">
        <v>118.438</v>
      </c>
      <c r="DI10">
        <v>118.438</v>
      </c>
      <c r="DJ10">
        <v>1.4950000000000001</v>
      </c>
      <c r="DL10" s="1">
        <v>42416</v>
      </c>
      <c r="DM10">
        <v>106.167</v>
      </c>
      <c r="DN10">
        <v>106.167</v>
      </c>
      <c r="DO10">
        <v>0.71699999999999997</v>
      </c>
      <c r="DQ10" s="1">
        <v>42451</v>
      </c>
      <c r="DR10">
        <v>115.504</v>
      </c>
      <c r="DS10">
        <v>115.504</v>
      </c>
      <c r="DT10">
        <v>2.2949999999999999</v>
      </c>
      <c r="DV10" s="1">
        <v>42397</v>
      </c>
      <c r="DW10">
        <v>123.633</v>
      </c>
      <c r="DX10">
        <v>123.364</v>
      </c>
      <c r="DY10">
        <v>1.671</v>
      </c>
      <c r="EK10" s="1">
        <v>42731</v>
      </c>
      <c r="EL10">
        <v>111.71899999999999</v>
      </c>
      <c r="EM10">
        <v>111.71899999999999</v>
      </c>
      <c r="EN10">
        <v>2.61</v>
      </c>
      <c r="EU10" s="1">
        <v>42466</v>
      </c>
      <c r="EV10">
        <v>124.833</v>
      </c>
      <c r="EW10">
        <v>124.833</v>
      </c>
      <c r="EX10">
        <v>1.41</v>
      </c>
      <c r="FJ10" s="1">
        <v>42516</v>
      </c>
      <c r="FK10">
        <v>81.468000000000004</v>
      </c>
      <c r="FL10">
        <v>81.468000000000004</v>
      </c>
      <c r="FM10">
        <v>2.0099999999999998</v>
      </c>
      <c r="FO10" s="1">
        <v>42661</v>
      </c>
      <c r="FP10">
        <v>127.455</v>
      </c>
      <c r="FQ10">
        <v>127.455</v>
      </c>
      <c r="FR10">
        <v>1.63</v>
      </c>
      <c r="FT10" s="1">
        <v>42690</v>
      </c>
      <c r="FU10">
        <v>118.46599999999999</v>
      </c>
      <c r="FV10">
        <v>118.46599999999999</v>
      </c>
      <c r="FW10">
        <v>2.3839999999999999</v>
      </c>
      <c r="FY10" s="1">
        <v>42775</v>
      </c>
      <c r="FZ10">
        <v>109.9</v>
      </c>
      <c r="GA10">
        <v>109.9</v>
      </c>
      <c r="GB10">
        <v>1.85</v>
      </c>
      <c r="GD10" s="1">
        <v>42780</v>
      </c>
      <c r="GE10">
        <v>112.84</v>
      </c>
      <c r="GF10">
        <v>112.84</v>
      </c>
      <c r="GG10">
        <v>2.48</v>
      </c>
      <c r="GS10" s="1">
        <v>42629</v>
      </c>
      <c r="GT10">
        <v>102.619</v>
      </c>
      <c r="GU10">
        <v>102.619</v>
      </c>
      <c r="GV10">
        <v>0.71099999999999997</v>
      </c>
    </row>
    <row r="11" spans="1:224" x14ac:dyDescent="0.25">
      <c r="A11" s="1">
        <v>42760</v>
      </c>
      <c r="B11">
        <v>123.40900000000001</v>
      </c>
      <c r="C11">
        <v>123.40900000000001</v>
      </c>
      <c r="D11">
        <v>2.25</v>
      </c>
      <c r="F11" s="1">
        <v>42767</v>
      </c>
      <c r="G11">
        <v>72.055000000000007</v>
      </c>
      <c r="H11">
        <v>72.055000000000007</v>
      </c>
      <c r="I11">
        <v>3.15</v>
      </c>
      <c r="P11" s="1">
        <v>42507</v>
      </c>
      <c r="Q11">
        <v>125.937</v>
      </c>
      <c r="R11">
        <v>125.937</v>
      </c>
      <c r="S11">
        <v>1.6099999999999999</v>
      </c>
      <c r="U11" s="1">
        <v>42508</v>
      </c>
      <c r="V11">
        <v>114.502</v>
      </c>
      <c r="W11">
        <v>114.502</v>
      </c>
      <c r="X11">
        <v>1.4889999999999999</v>
      </c>
      <c r="Z11" s="1">
        <v>42781</v>
      </c>
      <c r="AA11">
        <v>110.67100000000001</v>
      </c>
      <c r="AB11">
        <v>110.67100000000001</v>
      </c>
      <c r="AC11">
        <v>1.9260000000000002</v>
      </c>
      <c r="AE11" s="1">
        <v>42534</v>
      </c>
      <c r="AF11">
        <v>124.672</v>
      </c>
      <c r="AG11">
        <v>124.672</v>
      </c>
      <c r="AH11">
        <v>1.3</v>
      </c>
      <c r="AJ11" s="1">
        <v>42480</v>
      </c>
      <c r="AK11">
        <v>131.12299999999999</v>
      </c>
      <c r="AL11">
        <v>131.12299999999999</v>
      </c>
      <c r="AM11">
        <v>1.643</v>
      </c>
      <c r="AO11" s="1">
        <v>42725</v>
      </c>
      <c r="AP11">
        <v>72.186999999999998</v>
      </c>
      <c r="AQ11">
        <v>72.186999999999998</v>
      </c>
      <c r="AR11">
        <v>3.1</v>
      </c>
      <c r="AY11" s="1">
        <v>42502</v>
      </c>
      <c r="AZ11">
        <v>104.306</v>
      </c>
      <c r="BA11">
        <v>104.306</v>
      </c>
      <c r="BB11">
        <v>0.82799999999999996</v>
      </c>
      <c r="BD11" s="1">
        <v>42590</v>
      </c>
      <c r="BE11">
        <v>84.445999999999998</v>
      </c>
      <c r="BF11">
        <v>84.445999999999998</v>
      </c>
      <c r="BG11">
        <v>1.702</v>
      </c>
      <c r="BI11" s="1">
        <v>42712</v>
      </c>
      <c r="BJ11">
        <v>72.296000000000006</v>
      </c>
      <c r="BK11">
        <v>72.296000000000006</v>
      </c>
      <c r="BL11">
        <v>3.05</v>
      </c>
      <c r="BN11" s="1">
        <v>42479</v>
      </c>
      <c r="BO11">
        <v>125.898</v>
      </c>
      <c r="BP11">
        <v>125.898</v>
      </c>
      <c r="BQ11">
        <v>1.6400000000000001</v>
      </c>
      <c r="BS11" s="1">
        <v>42495</v>
      </c>
      <c r="BT11">
        <v>108.31100000000001</v>
      </c>
      <c r="BU11">
        <v>108.31100000000001</v>
      </c>
      <c r="BV11">
        <v>1.202</v>
      </c>
      <c r="BX11" s="1">
        <v>42460</v>
      </c>
      <c r="BY11">
        <v>120.69799999999999</v>
      </c>
      <c r="BZ11">
        <v>120.69799999999999</v>
      </c>
      <c r="CA11">
        <v>1.55</v>
      </c>
      <c r="CH11" s="1">
        <v>42556</v>
      </c>
      <c r="CI11">
        <v>100.26</v>
      </c>
      <c r="CJ11">
        <v>100.26</v>
      </c>
      <c r="CK11">
        <v>2.3439999999999999</v>
      </c>
      <c r="CM11" s="1">
        <v>42487</v>
      </c>
      <c r="CN11">
        <v>104.376</v>
      </c>
      <c r="CO11">
        <v>104.376</v>
      </c>
      <c r="CP11">
        <v>0.92</v>
      </c>
      <c r="CR11" s="1">
        <v>42675</v>
      </c>
      <c r="CS11">
        <v>126.917</v>
      </c>
      <c r="CT11">
        <v>126.819</v>
      </c>
      <c r="CU11">
        <v>1.962</v>
      </c>
      <c r="CW11" s="1">
        <v>42748</v>
      </c>
      <c r="CX11">
        <v>121.383</v>
      </c>
      <c r="CY11">
        <v>121.383</v>
      </c>
      <c r="CZ11">
        <v>2.2549999999999999</v>
      </c>
      <c r="DG11" s="1">
        <v>42776</v>
      </c>
      <c r="DH11">
        <v>116.28700000000001</v>
      </c>
      <c r="DI11">
        <v>116.28700000000001</v>
      </c>
      <c r="DJ11">
        <v>1.85</v>
      </c>
      <c r="DL11" s="1">
        <v>42436</v>
      </c>
      <c r="DM11">
        <v>105.72799999999999</v>
      </c>
      <c r="DN11">
        <v>105.72799999999999</v>
      </c>
      <c r="DO11">
        <v>0.85</v>
      </c>
      <c r="DQ11" s="1">
        <v>42482</v>
      </c>
      <c r="DR11">
        <v>115.411</v>
      </c>
      <c r="DS11">
        <v>115.411</v>
      </c>
      <c r="DT11">
        <v>2.2549999999999999</v>
      </c>
      <c r="DV11" s="1">
        <v>42398</v>
      </c>
      <c r="DW11">
        <v>123.876</v>
      </c>
      <c r="DX11">
        <v>123.608</v>
      </c>
      <c r="DY11">
        <v>1.6400000000000001</v>
      </c>
      <c r="EK11" s="1">
        <v>42732</v>
      </c>
      <c r="EL11">
        <v>111.71</v>
      </c>
      <c r="EM11">
        <v>111.71</v>
      </c>
      <c r="EN11">
        <v>2.61</v>
      </c>
      <c r="EU11" s="1">
        <v>42472</v>
      </c>
      <c r="EV11">
        <v>124.721</v>
      </c>
      <c r="EW11">
        <v>124.721</v>
      </c>
      <c r="EX11">
        <v>1.42</v>
      </c>
      <c r="FJ11" s="1">
        <v>42527</v>
      </c>
      <c r="FK11">
        <v>81.772000000000006</v>
      </c>
      <c r="FL11">
        <v>81.772000000000006</v>
      </c>
      <c r="FM11">
        <v>1.9769999999999999</v>
      </c>
      <c r="FO11" s="1">
        <v>42717</v>
      </c>
      <c r="FP11">
        <v>119.285</v>
      </c>
      <c r="FQ11">
        <v>119.285</v>
      </c>
      <c r="FR11">
        <v>2.5</v>
      </c>
      <c r="FT11" s="1">
        <v>42740</v>
      </c>
      <c r="FU11">
        <v>119.25700000000001</v>
      </c>
      <c r="FV11">
        <v>119.25700000000001</v>
      </c>
      <c r="FW11">
        <v>2.2429999999999999</v>
      </c>
      <c r="GS11" s="1">
        <v>42719</v>
      </c>
      <c r="GT11">
        <v>101.384</v>
      </c>
      <c r="GU11">
        <v>101.384</v>
      </c>
      <c r="GV11">
        <v>1.383</v>
      </c>
    </row>
    <row r="12" spans="1:224" x14ac:dyDescent="0.25">
      <c r="A12" s="1">
        <v>42773</v>
      </c>
      <c r="B12">
        <v>124.02200000000001</v>
      </c>
      <c r="C12">
        <v>124.02200000000001</v>
      </c>
      <c r="D12">
        <v>2.1800000000000002</v>
      </c>
      <c r="F12" s="1">
        <v>42768</v>
      </c>
      <c r="G12">
        <v>71.69</v>
      </c>
      <c r="H12">
        <v>71.69</v>
      </c>
      <c r="I12">
        <v>3.2</v>
      </c>
      <c r="P12" s="1">
        <v>42535</v>
      </c>
      <c r="Q12">
        <v>127.01</v>
      </c>
      <c r="R12">
        <v>127.01</v>
      </c>
      <c r="S12">
        <v>1.4610000000000001</v>
      </c>
      <c r="U12" s="1">
        <v>42583</v>
      </c>
      <c r="V12">
        <v>115.768</v>
      </c>
      <c r="W12">
        <v>115.768</v>
      </c>
      <c r="X12">
        <v>1.206</v>
      </c>
      <c r="AE12" s="1">
        <v>42541</v>
      </c>
      <c r="AF12">
        <v>124.503</v>
      </c>
      <c r="AG12">
        <v>124.503</v>
      </c>
      <c r="AH12">
        <v>1.3129999999999999</v>
      </c>
      <c r="AJ12" s="1">
        <v>42486</v>
      </c>
      <c r="AK12">
        <v>130.40600000000001</v>
      </c>
      <c r="AL12">
        <v>130.40600000000001</v>
      </c>
      <c r="AM12">
        <v>1.706</v>
      </c>
      <c r="AO12" s="1">
        <v>42745</v>
      </c>
      <c r="AP12">
        <v>74.498000000000005</v>
      </c>
      <c r="AQ12">
        <v>74.498000000000005</v>
      </c>
      <c r="AR12">
        <v>2.81</v>
      </c>
      <c r="AY12" s="1">
        <v>42507</v>
      </c>
      <c r="AZ12">
        <v>104.248</v>
      </c>
      <c r="BA12">
        <v>104.248</v>
      </c>
      <c r="BB12">
        <v>0.85099999999999998</v>
      </c>
      <c r="BD12" s="1">
        <v>42620</v>
      </c>
      <c r="BE12">
        <v>82.36</v>
      </c>
      <c r="BF12">
        <v>82.36</v>
      </c>
      <c r="BG12">
        <v>1.9729999999999999</v>
      </c>
      <c r="BI12" s="1">
        <v>42719</v>
      </c>
      <c r="BJ12">
        <v>71.724000000000004</v>
      </c>
      <c r="BK12">
        <v>71.724000000000004</v>
      </c>
      <c r="BL12">
        <v>3.1310000000000002</v>
      </c>
      <c r="BN12" s="1">
        <v>42494</v>
      </c>
      <c r="BO12">
        <v>126.511</v>
      </c>
      <c r="BP12">
        <v>126.511</v>
      </c>
      <c r="BQ12">
        <v>1.5550000000000002</v>
      </c>
      <c r="BS12" s="1">
        <v>42514</v>
      </c>
      <c r="BT12">
        <v>109.048</v>
      </c>
      <c r="BU12">
        <v>109.048</v>
      </c>
      <c r="BV12">
        <v>0.8</v>
      </c>
      <c r="BX12" s="1">
        <v>42466</v>
      </c>
      <c r="BY12">
        <v>121.22799999999999</v>
      </c>
      <c r="BZ12">
        <v>121.22799999999999</v>
      </c>
      <c r="CA12">
        <v>1.4630000000000001</v>
      </c>
      <c r="CH12" s="1">
        <v>42557</v>
      </c>
      <c r="CI12">
        <v>100.572</v>
      </c>
      <c r="CJ12">
        <v>100.572</v>
      </c>
      <c r="CK12">
        <v>0.91200000000000003</v>
      </c>
      <c r="CM12" s="1">
        <v>42488</v>
      </c>
      <c r="CN12">
        <v>104.431</v>
      </c>
      <c r="CO12">
        <v>104.431</v>
      </c>
      <c r="CP12">
        <v>0.86</v>
      </c>
      <c r="CR12" s="1">
        <v>42676</v>
      </c>
      <c r="CS12">
        <v>127.224</v>
      </c>
      <c r="CT12">
        <v>127.123</v>
      </c>
      <c r="CU12">
        <v>1.9300000000000002</v>
      </c>
      <c r="CW12" s="1">
        <v>42773</v>
      </c>
      <c r="CX12">
        <v>121.038</v>
      </c>
      <c r="CY12">
        <v>121.038</v>
      </c>
      <c r="CZ12">
        <v>2.2800000000000002</v>
      </c>
      <c r="DG12" s="1">
        <v>42779</v>
      </c>
      <c r="DH12">
        <v>116.575</v>
      </c>
      <c r="DI12">
        <v>116.575</v>
      </c>
      <c r="DJ12">
        <v>1.798</v>
      </c>
      <c r="DL12" s="1">
        <v>42440</v>
      </c>
      <c r="DM12">
        <v>105.08799999999999</v>
      </c>
      <c r="DN12">
        <v>105.08799999999999</v>
      </c>
      <c r="DO12">
        <v>1.2549999999999999</v>
      </c>
      <c r="DQ12" s="1">
        <v>42487</v>
      </c>
      <c r="DR12">
        <v>115.59099999999999</v>
      </c>
      <c r="DS12">
        <v>115.59099999999999</v>
      </c>
      <c r="DT12">
        <v>2.2040000000000002</v>
      </c>
      <c r="DV12" s="1">
        <v>42401</v>
      </c>
      <c r="DW12">
        <v>123.777</v>
      </c>
      <c r="DX12">
        <v>123.509</v>
      </c>
      <c r="DY12">
        <v>1.651</v>
      </c>
      <c r="EK12" s="1">
        <v>42734</v>
      </c>
      <c r="EL12">
        <v>111.55</v>
      </c>
      <c r="EM12">
        <v>111.55</v>
      </c>
      <c r="EN12">
        <v>2.6269999999999998</v>
      </c>
      <c r="EU12" s="1">
        <v>42492</v>
      </c>
      <c r="EV12">
        <v>124.249</v>
      </c>
      <c r="EW12">
        <v>124.249</v>
      </c>
      <c r="EX12">
        <v>1.458</v>
      </c>
      <c r="FJ12" s="1">
        <v>42529</v>
      </c>
      <c r="FK12">
        <v>79.564999999999998</v>
      </c>
      <c r="FL12">
        <v>79.564999999999998</v>
      </c>
      <c r="FM12">
        <v>2.25</v>
      </c>
      <c r="FO12" s="1">
        <v>42732</v>
      </c>
      <c r="FP12">
        <v>119.276</v>
      </c>
      <c r="FQ12">
        <v>119.276</v>
      </c>
      <c r="FR12">
        <v>2.4900000000000002</v>
      </c>
      <c r="FT12" s="1">
        <v>42755</v>
      </c>
      <c r="FU12">
        <v>118.381</v>
      </c>
      <c r="FV12">
        <v>118.381</v>
      </c>
      <c r="FW12">
        <v>2.3449999999999998</v>
      </c>
      <c r="GS12" s="1">
        <v>42781</v>
      </c>
      <c r="GT12">
        <v>100.794</v>
      </c>
      <c r="GU12">
        <v>100.794</v>
      </c>
      <c r="GV12">
        <v>1.613</v>
      </c>
    </row>
    <row r="13" spans="1:224" x14ac:dyDescent="0.25">
      <c r="A13" s="1">
        <v>42774</v>
      </c>
      <c r="B13">
        <v>124.196</v>
      </c>
      <c r="C13">
        <v>124.196</v>
      </c>
      <c r="D13">
        <v>2.16</v>
      </c>
      <c r="F13" s="1">
        <v>42774</v>
      </c>
      <c r="G13">
        <v>73.322000000000003</v>
      </c>
      <c r="H13">
        <v>73.322000000000003</v>
      </c>
      <c r="I13">
        <v>2.9870000000000001</v>
      </c>
      <c r="P13" s="1">
        <v>42536</v>
      </c>
      <c r="Q13">
        <v>126.45099999999999</v>
      </c>
      <c r="R13">
        <v>126.45099999999999</v>
      </c>
      <c r="S13">
        <v>1.522</v>
      </c>
      <c r="U13" s="1">
        <v>42772</v>
      </c>
      <c r="V13">
        <v>110.143</v>
      </c>
      <c r="W13">
        <v>110.143</v>
      </c>
      <c r="X13">
        <v>1.9910000000000001</v>
      </c>
      <c r="AE13" s="1">
        <v>42576</v>
      </c>
      <c r="AF13">
        <v>124.05200000000001</v>
      </c>
      <c r="AG13">
        <v>124.05200000000001</v>
      </c>
      <c r="AH13">
        <v>1.33</v>
      </c>
      <c r="AJ13" s="1">
        <v>42495</v>
      </c>
      <c r="AK13">
        <v>131.75399999999999</v>
      </c>
      <c r="AL13">
        <v>131.75399999999999</v>
      </c>
      <c r="AM13">
        <v>1.5739999999999998</v>
      </c>
      <c r="AO13" s="1">
        <v>42746</v>
      </c>
      <c r="AP13">
        <v>74.521000000000001</v>
      </c>
      <c r="AQ13">
        <v>74.521000000000001</v>
      </c>
      <c r="AR13">
        <v>2.81</v>
      </c>
      <c r="AY13" s="1">
        <v>42508</v>
      </c>
      <c r="AZ13">
        <v>103.541</v>
      </c>
      <c r="BA13">
        <v>103.541</v>
      </c>
      <c r="BB13">
        <v>1.496</v>
      </c>
      <c r="BD13" s="1">
        <v>42622</v>
      </c>
      <c r="BE13">
        <v>84.825999999999993</v>
      </c>
      <c r="BF13">
        <v>84.825999999999993</v>
      </c>
      <c r="BG13">
        <v>1.673</v>
      </c>
      <c r="BI13" s="1">
        <v>42720</v>
      </c>
      <c r="BJ13">
        <v>71.73</v>
      </c>
      <c r="BK13">
        <v>71.73</v>
      </c>
      <c r="BL13">
        <v>3.1310000000000002</v>
      </c>
      <c r="BN13" s="1">
        <v>42495</v>
      </c>
      <c r="BO13">
        <v>126.631</v>
      </c>
      <c r="BP13">
        <v>126.631</v>
      </c>
      <c r="BQ13">
        <v>1.54</v>
      </c>
      <c r="BS13" s="1">
        <v>42528</v>
      </c>
      <c r="BT13">
        <v>108.999</v>
      </c>
      <c r="BU13">
        <v>108.999</v>
      </c>
      <c r="BV13">
        <v>0.75600000000000001</v>
      </c>
      <c r="BX13" s="1">
        <v>42509</v>
      </c>
      <c r="BY13">
        <v>122.58799999999999</v>
      </c>
      <c r="BZ13">
        <v>122.58799999999999</v>
      </c>
      <c r="CA13">
        <v>1.2</v>
      </c>
      <c r="CH13" s="1">
        <v>42558</v>
      </c>
      <c r="CI13">
        <v>100.384</v>
      </c>
      <c r="CJ13">
        <v>100.384</v>
      </c>
      <c r="CK13">
        <v>1.7269999999999999</v>
      </c>
      <c r="CM13" s="1">
        <v>42495</v>
      </c>
      <c r="CN13">
        <v>104.471</v>
      </c>
      <c r="CO13">
        <v>104.471</v>
      </c>
      <c r="CP13">
        <v>0.75</v>
      </c>
      <c r="CR13" s="1">
        <v>42677</v>
      </c>
      <c r="CS13">
        <v>127.48399999999999</v>
      </c>
      <c r="CT13">
        <v>127.384</v>
      </c>
      <c r="CU13">
        <v>1.903</v>
      </c>
      <c r="DG13" s="1">
        <v>42781</v>
      </c>
      <c r="DH13">
        <v>115.812</v>
      </c>
      <c r="DI13">
        <v>115.812</v>
      </c>
      <c r="DJ13">
        <v>1.927</v>
      </c>
      <c r="DL13" s="1">
        <v>42447</v>
      </c>
      <c r="DM13">
        <v>105.65</v>
      </c>
      <c r="DN13">
        <v>105.65</v>
      </c>
      <c r="DO13">
        <v>0.8</v>
      </c>
      <c r="DQ13" s="1">
        <v>42572</v>
      </c>
      <c r="DR13">
        <v>114.6</v>
      </c>
      <c r="DS13">
        <v>114.6</v>
      </c>
      <c r="DT13">
        <v>2.2490000000000001</v>
      </c>
      <c r="DV13" s="1">
        <v>42402</v>
      </c>
      <c r="DW13">
        <v>123.986</v>
      </c>
      <c r="DX13">
        <v>123.71899999999999</v>
      </c>
      <c r="DY13">
        <v>1.623</v>
      </c>
      <c r="EK13" s="1">
        <v>42744</v>
      </c>
      <c r="EL13">
        <v>113.16</v>
      </c>
      <c r="EM13">
        <v>113.16</v>
      </c>
      <c r="EN13">
        <v>2.4470000000000001</v>
      </c>
      <c r="EU13" s="1">
        <v>42506</v>
      </c>
      <c r="EV13">
        <v>124.87</v>
      </c>
      <c r="EW13">
        <v>124.87</v>
      </c>
      <c r="EX13">
        <v>1.3620000000000001</v>
      </c>
      <c r="FJ13" s="1">
        <v>42531</v>
      </c>
      <c r="FK13">
        <v>79.977999999999994</v>
      </c>
      <c r="FL13">
        <v>79.977999999999994</v>
      </c>
      <c r="FM13">
        <v>2.2000000000000002</v>
      </c>
      <c r="FO13" s="1">
        <v>42773</v>
      </c>
      <c r="FP13">
        <v>120.682</v>
      </c>
      <c r="FQ13">
        <v>120.682</v>
      </c>
      <c r="FR13">
        <v>2.2999999999999998</v>
      </c>
      <c r="FT13" s="1">
        <v>42773</v>
      </c>
      <c r="FU13">
        <v>120.982</v>
      </c>
      <c r="FV13">
        <v>120.982</v>
      </c>
      <c r="FW13">
        <v>1.9950000000000001</v>
      </c>
    </row>
    <row r="14" spans="1:224" x14ac:dyDescent="0.25">
      <c r="A14" s="1">
        <v>42779</v>
      </c>
      <c r="B14">
        <v>122.84099999999999</v>
      </c>
      <c r="C14">
        <v>122.84099999999999</v>
      </c>
      <c r="D14">
        <v>2.2989999999999999</v>
      </c>
      <c r="F14" s="1">
        <v>42775</v>
      </c>
      <c r="G14">
        <v>72.603999999999999</v>
      </c>
      <c r="H14">
        <v>72.603999999999999</v>
      </c>
      <c r="I14">
        <v>3.0830000000000002</v>
      </c>
      <c r="P14" s="1">
        <v>42541</v>
      </c>
      <c r="Q14">
        <v>128.006</v>
      </c>
      <c r="R14">
        <v>128.006</v>
      </c>
      <c r="S14">
        <v>1.3420000000000001</v>
      </c>
      <c r="U14" s="1">
        <v>42773</v>
      </c>
      <c r="V14">
        <v>110.46599999999999</v>
      </c>
      <c r="W14">
        <v>110.46599999999999</v>
      </c>
      <c r="X14">
        <v>1.9300000000000002</v>
      </c>
      <c r="AE14" s="1">
        <v>42580</v>
      </c>
      <c r="AF14">
        <v>124.749</v>
      </c>
      <c r="AG14">
        <v>124.749</v>
      </c>
      <c r="AH14">
        <v>1.23</v>
      </c>
      <c r="AJ14" s="1">
        <v>42499</v>
      </c>
      <c r="AK14">
        <v>131.892</v>
      </c>
      <c r="AL14">
        <v>131.892</v>
      </c>
      <c r="AM14">
        <v>1.56</v>
      </c>
      <c r="AO14" s="1">
        <v>42747</v>
      </c>
      <c r="AP14">
        <v>73.680000000000007</v>
      </c>
      <c r="AQ14">
        <v>73.680000000000007</v>
      </c>
      <c r="AR14">
        <v>2.92</v>
      </c>
      <c r="AY14" s="1">
        <v>42509</v>
      </c>
      <c r="AZ14">
        <v>104.36</v>
      </c>
      <c r="BA14">
        <v>104.36</v>
      </c>
      <c r="BB14">
        <v>0.7</v>
      </c>
      <c r="BD14" s="1">
        <v>42628</v>
      </c>
      <c r="BE14">
        <v>83.659000000000006</v>
      </c>
      <c r="BF14">
        <v>83.659000000000006</v>
      </c>
      <c r="BG14">
        <v>1.8169999999999999</v>
      </c>
      <c r="BI14" s="1">
        <v>42753</v>
      </c>
      <c r="BJ14">
        <v>74.227000000000004</v>
      </c>
      <c r="BK14">
        <v>74.227000000000004</v>
      </c>
      <c r="BL14">
        <v>2.83</v>
      </c>
      <c r="BN14" s="1">
        <v>42501</v>
      </c>
      <c r="BO14">
        <v>127.643</v>
      </c>
      <c r="BP14">
        <v>127.643</v>
      </c>
      <c r="BQ14">
        <v>1.42</v>
      </c>
      <c r="BS14" s="1">
        <v>42537</v>
      </c>
      <c r="BT14">
        <v>108.86199999999999</v>
      </c>
      <c r="BU14">
        <v>108.86199999999999</v>
      </c>
      <c r="BV14">
        <v>0.76</v>
      </c>
      <c r="BX14" s="1">
        <v>42513</v>
      </c>
      <c r="BY14">
        <v>122.502</v>
      </c>
      <c r="BZ14">
        <v>122.502</v>
      </c>
      <c r="CA14">
        <v>1.21</v>
      </c>
      <c r="CH14" s="1">
        <v>42564</v>
      </c>
      <c r="CI14">
        <v>100.62</v>
      </c>
      <c r="CJ14">
        <v>100.62</v>
      </c>
      <c r="CK14">
        <v>0.435</v>
      </c>
      <c r="CM14" s="1">
        <v>42499</v>
      </c>
      <c r="CN14">
        <v>104.372</v>
      </c>
      <c r="CO14">
        <v>104.372</v>
      </c>
      <c r="CP14">
        <v>0.82</v>
      </c>
      <c r="CR14" s="1">
        <v>42678</v>
      </c>
      <c r="CS14">
        <v>127.57299999999999</v>
      </c>
      <c r="CT14">
        <v>127.474</v>
      </c>
      <c r="CU14">
        <v>1.8940000000000001</v>
      </c>
      <c r="DL14" s="1">
        <v>42453</v>
      </c>
      <c r="DM14">
        <v>105.372</v>
      </c>
      <c r="DN14">
        <v>105.372</v>
      </c>
      <c r="DO14">
        <v>0.94399999999999995</v>
      </c>
      <c r="DQ14" s="1">
        <v>42576</v>
      </c>
      <c r="DR14">
        <v>115.637</v>
      </c>
      <c r="DS14">
        <v>115.637</v>
      </c>
      <c r="DT14">
        <v>2</v>
      </c>
      <c r="DV14" s="1">
        <v>42403</v>
      </c>
      <c r="DW14">
        <v>124.789</v>
      </c>
      <c r="DX14">
        <v>124.52200000000001</v>
      </c>
      <c r="DY14">
        <v>1.52</v>
      </c>
      <c r="EK14" s="1">
        <v>42773</v>
      </c>
      <c r="EL14">
        <v>112.87</v>
      </c>
      <c r="EM14">
        <v>112.87</v>
      </c>
      <c r="EN14">
        <v>2.468</v>
      </c>
      <c r="EU14" s="1">
        <v>42535</v>
      </c>
      <c r="EV14">
        <v>124.55</v>
      </c>
      <c r="EW14">
        <v>124.55</v>
      </c>
      <c r="EX14">
        <v>1.37</v>
      </c>
      <c r="FJ14" s="1">
        <v>42576</v>
      </c>
      <c r="FK14">
        <v>80.355999999999995</v>
      </c>
      <c r="FL14">
        <v>80.355999999999995</v>
      </c>
      <c r="FM14">
        <v>2.1789999999999998</v>
      </c>
      <c r="FO14" s="1">
        <v>42780</v>
      </c>
      <c r="FP14">
        <v>121.262</v>
      </c>
      <c r="FQ14">
        <v>121.262</v>
      </c>
      <c r="FR14">
        <v>2.2269999999999999</v>
      </c>
    </row>
    <row r="15" spans="1:224" x14ac:dyDescent="0.25">
      <c r="A15" s="1">
        <v>42783</v>
      </c>
      <c r="B15">
        <v>121.44499999999999</v>
      </c>
      <c r="C15">
        <v>121.44499999999999</v>
      </c>
      <c r="D15">
        <v>2.4420000000000002</v>
      </c>
      <c r="F15" s="1">
        <v>42779</v>
      </c>
      <c r="G15">
        <v>72.415000000000006</v>
      </c>
      <c r="H15">
        <v>72.415000000000006</v>
      </c>
      <c r="I15">
        <v>3.11</v>
      </c>
      <c r="P15" s="1">
        <v>42548</v>
      </c>
      <c r="Q15">
        <v>126.01600000000001</v>
      </c>
      <c r="R15">
        <v>126.01600000000001</v>
      </c>
      <c r="S15">
        <v>1.5620000000000001</v>
      </c>
      <c r="U15" s="1">
        <v>42775</v>
      </c>
      <c r="V15">
        <v>110.767</v>
      </c>
      <c r="W15">
        <v>110.767</v>
      </c>
      <c r="X15">
        <v>1.87</v>
      </c>
      <c r="AE15" s="1">
        <v>42608</v>
      </c>
      <c r="AF15">
        <v>124.16800000000001</v>
      </c>
      <c r="AG15">
        <v>124.16800000000001</v>
      </c>
      <c r="AH15">
        <v>1.272</v>
      </c>
      <c r="AJ15" s="1">
        <v>42500</v>
      </c>
      <c r="AK15">
        <v>130.767</v>
      </c>
      <c r="AL15">
        <v>130.767</v>
      </c>
      <c r="AM15">
        <v>1.663</v>
      </c>
      <c r="AO15" s="1">
        <v>42752</v>
      </c>
      <c r="AP15">
        <v>74.926000000000002</v>
      </c>
      <c r="AQ15">
        <v>74.926000000000002</v>
      </c>
      <c r="AR15">
        <v>2.76</v>
      </c>
      <c r="AY15" s="1">
        <v>42536</v>
      </c>
      <c r="AZ15">
        <v>104.003</v>
      </c>
      <c r="BA15">
        <v>104.003</v>
      </c>
      <c r="BB15">
        <v>0.751</v>
      </c>
      <c r="BD15" s="1">
        <v>42774</v>
      </c>
      <c r="BE15">
        <v>76.927999999999997</v>
      </c>
      <c r="BF15">
        <v>76.927999999999997</v>
      </c>
      <c r="BG15">
        <v>2.79</v>
      </c>
      <c r="BI15" s="1">
        <v>42755</v>
      </c>
      <c r="BJ15">
        <v>73.852000000000004</v>
      </c>
      <c r="BK15">
        <v>73.852000000000004</v>
      </c>
      <c r="BL15">
        <v>2.88</v>
      </c>
      <c r="BN15" s="1">
        <v>42506</v>
      </c>
      <c r="BO15">
        <v>126.68</v>
      </c>
      <c r="BP15">
        <v>126.68</v>
      </c>
      <c r="BQ15">
        <v>1.526</v>
      </c>
      <c r="BS15" s="1">
        <v>42569</v>
      </c>
      <c r="BT15">
        <v>108.548</v>
      </c>
      <c r="BU15">
        <v>108.548</v>
      </c>
      <c r="BV15">
        <v>0.745</v>
      </c>
      <c r="BX15" s="1">
        <v>42514</v>
      </c>
      <c r="BY15">
        <v>122.378</v>
      </c>
      <c r="BZ15">
        <v>122.378</v>
      </c>
      <c r="CA15">
        <v>1.2270000000000001</v>
      </c>
      <c r="CH15" s="1">
        <v>42565</v>
      </c>
      <c r="CI15">
        <v>100.66</v>
      </c>
      <c r="CJ15">
        <v>100.66</v>
      </c>
      <c r="CK15">
        <v>0.19700000000000001</v>
      </c>
      <c r="CM15" s="1">
        <v>42503</v>
      </c>
      <c r="CN15">
        <v>104.11199999999999</v>
      </c>
      <c r="CO15">
        <v>104.11199999999999</v>
      </c>
      <c r="CP15">
        <v>1</v>
      </c>
      <c r="CR15" s="1">
        <v>42681</v>
      </c>
      <c r="CS15">
        <v>127.95</v>
      </c>
      <c r="CT15">
        <v>127.85</v>
      </c>
      <c r="CU15">
        <v>1.8559999999999999</v>
      </c>
      <c r="DL15" s="1">
        <v>42458</v>
      </c>
      <c r="DM15">
        <v>105.55800000000001</v>
      </c>
      <c r="DN15">
        <v>105.55800000000001</v>
      </c>
      <c r="DO15">
        <v>0.8</v>
      </c>
      <c r="DQ15" s="1">
        <v>42671</v>
      </c>
      <c r="DR15">
        <v>111.166</v>
      </c>
      <c r="DS15">
        <v>111.166</v>
      </c>
      <c r="DT15">
        <v>2.8980000000000001</v>
      </c>
      <c r="DV15" s="1">
        <v>42404</v>
      </c>
      <c r="DW15">
        <v>124.79</v>
      </c>
      <c r="DX15">
        <v>124.523</v>
      </c>
      <c r="DY15">
        <v>1.518</v>
      </c>
      <c r="EK15" s="1">
        <v>42776</v>
      </c>
      <c r="EL15">
        <v>114.379</v>
      </c>
      <c r="EM15">
        <v>114.379</v>
      </c>
      <c r="EN15">
        <v>2.2999999999999998</v>
      </c>
      <c r="EU15" s="1">
        <v>42562</v>
      </c>
      <c r="EV15">
        <v>123.949</v>
      </c>
      <c r="EW15">
        <v>123.949</v>
      </c>
      <c r="EX15">
        <v>1.417</v>
      </c>
      <c r="FJ15" s="1">
        <v>42667</v>
      </c>
      <c r="FK15">
        <v>78.963999999999999</v>
      </c>
      <c r="FL15">
        <v>78.963999999999999</v>
      </c>
      <c r="FM15">
        <v>2.4140000000000001</v>
      </c>
    </row>
    <row r="16" spans="1:224" x14ac:dyDescent="0.25">
      <c r="F16" s="1">
        <v>42780</v>
      </c>
      <c r="G16">
        <v>72.123999999999995</v>
      </c>
      <c r="H16">
        <v>72.123999999999995</v>
      </c>
      <c r="I16">
        <v>3.15</v>
      </c>
      <c r="P16" s="1">
        <v>42549</v>
      </c>
      <c r="Q16">
        <v>127.422</v>
      </c>
      <c r="R16">
        <v>127.422</v>
      </c>
      <c r="S16">
        <v>1.4</v>
      </c>
      <c r="U16" s="1">
        <v>42776</v>
      </c>
      <c r="V16">
        <v>110.48699999999999</v>
      </c>
      <c r="W16">
        <v>110.48699999999999</v>
      </c>
      <c r="X16">
        <v>1.921</v>
      </c>
      <c r="AE16" s="1">
        <v>42613</v>
      </c>
      <c r="AF16">
        <v>124.96899999999999</v>
      </c>
      <c r="AG16">
        <v>124.96899999999999</v>
      </c>
      <c r="AH16">
        <v>1.157</v>
      </c>
      <c r="AJ16" s="1">
        <v>42502</v>
      </c>
      <c r="AK16">
        <v>131.62899999999999</v>
      </c>
      <c r="AL16">
        <v>131.62899999999999</v>
      </c>
      <c r="AM16">
        <v>1.58</v>
      </c>
      <c r="AO16" s="1">
        <v>42753</v>
      </c>
      <c r="AP16">
        <v>74.400999999999996</v>
      </c>
      <c r="AQ16">
        <v>74.400999999999996</v>
      </c>
      <c r="AR16">
        <v>2.83</v>
      </c>
      <c r="AY16" s="1">
        <v>42542</v>
      </c>
      <c r="AZ16">
        <v>103.34099999999999</v>
      </c>
      <c r="BA16">
        <v>103.34099999999999</v>
      </c>
      <c r="BB16">
        <v>1.3940000000000001</v>
      </c>
      <c r="BD16" s="1">
        <v>42780</v>
      </c>
      <c r="BE16">
        <v>79.105999999999995</v>
      </c>
      <c r="BF16">
        <v>79.105999999999995</v>
      </c>
      <c r="BG16">
        <v>2.4939999999999998</v>
      </c>
      <c r="BI16" s="1">
        <v>42766</v>
      </c>
      <c r="BJ16">
        <v>71.849000000000004</v>
      </c>
      <c r="BK16">
        <v>71.849000000000004</v>
      </c>
      <c r="BL16">
        <v>3.15</v>
      </c>
      <c r="BN16" s="1">
        <v>42522</v>
      </c>
      <c r="BO16">
        <v>127.85</v>
      </c>
      <c r="BP16">
        <v>127.85</v>
      </c>
      <c r="BQ16">
        <v>1.377</v>
      </c>
      <c r="BS16" s="1">
        <v>42619</v>
      </c>
      <c r="BT16">
        <v>107.61499999999999</v>
      </c>
      <c r="BU16">
        <v>107.61499999999999</v>
      </c>
      <c r="BV16">
        <v>0.93500000000000005</v>
      </c>
      <c r="BX16" s="1">
        <v>42530</v>
      </c>
      <c r="BY16">
        <v>122.063</v>
      </c>
      <c r="BZ16">
        <v>122.063</v>
      </c>
      <c r="CA16">
        <v>1.25</v>
      </c>
      <c r="CH16" s="1">
        <v>42634</v>
      </c>
      <c r="CI16">
        <v>100.093</v>
      </c>
      <c r="CJ16">
        <v>100.093</v>
      </c>
      <c r="CK16">
        <v>2.2690000000000001</v>
      </c>
      <c r="CM16" s="1">
        <v>42507</v>
      </c>
      <c r="CN16">
        <v>103.946</v>
      </c>
      <c r="CO16">
        <v>103.946</v>
      </c>
      <c r="CP16">
        <v>1.137</v>
      </c>
      <c r="CR16" s="1">
        <v>42682</v>
      </c>
      <c r="CS16">
        <v>127.745</v>
      </c>
      <c r="CT16">
        <v>127.64700000000001</v>
      </c>
      <c r="CU16">
        <v>1.873</v>
      </c>
      <c r="DL16" s="1">
        <v>42459</v>
      </c>
      <c r="DM16">
        <v>105.63200000000001</v>
      </c>
      <c r="DN16">
        <v>105.63200000000001</v>
      </c>
      <c r="DO16">
        <v>0.72099999999999997</v>
      </c>
      <c r="DQ16" s="1">
        <v>42689</v>
      </c>
      <c r="DR16">
        <v>110.15600000000001</v>
      </c>
      <c r="DS16">
        <v>110.15600000000001</v>
      </c>
      <c r="DT16">
        <v>3.133</v>
      </c>
      <c r="DV16" s="1">
        <v>42405</v>
      </c>
      <c r="DW16">
        <v>124.798</v>
      </c>
      <c r="DX16">
        <v>124.53100000000001</v>
      </c>
      <c r="DY16">
        <v>1.516</v>
      </c>
      <c r="EU16" s="1">
        <v>42600</v>
      </c>
      <c r="EV16">
        <v>125.226</v>
      </c>
      <c r="EW16">
        <v>125.226</v>
      </c>
      <c r="EX16">
        <v>1.2</v>
      </c>
      <c r="FJ16" s="1">
        <v>42674</v>
      </c>
      <c r="FK16">
        <v>78.587000000000003</v>
      </c>
      <c r="FL16">
        <v>78.587000000000003</v>
      </c>
      <c r="FM16">
        <v>2.4670000000000001</v>
      </c>
    </row>
    <row r="17" spans="6:169" x14ac:dyDescent="0.25">
      <c r="F17" s="1">
        <v>42782</v>
      </c>
      <c r="G17">
        <v>71.784999999999997</v>
      </c>
      <c r="H17">
        <v>71.784999999999997</v>
      </c>
      <c r="I17">
        <v>3.2</v>
      </c>
      <c r="P17" s="1">
        <v>42563</v>
      </c>
      <c r="Q17">
        <v>127.498</v>
      </c>
      <c r="R17">
        <v>127.498</v>
      </c>
      <c r="S17">
        <v>1.377</v>
      </c>
      <c r="U17" s="1">
        <v>42780</v>
      </c>
      <c r="V17">
        <v>109.17100000000001</v>
      </c>
      <c r="W17">
        <v>109.17100000000001</v>
      </c>
      <c r="X17">
        <v>2.1680000000000001</v>
      </c>
      <c r="AE17" s="1">
        <v>42634</v>
      </c>
      <c r="AF17">
        <v>123.73099999999999</v>
      </c>
      <c r="AG17">
        <v>123.73099999999999</v>
      </c>
      <c r="AH17">
        <v>1.3</v>
      </c>
      <c r="AJ17" s="1">
        <v>42507</v>
      </c>
      <c r="AK17">
        <v>131.06700000000001</v>
      </c>
      <c r="AL17">
        <v>131.06700000000001</v>
      </c>
      <c r="AM17">
        <v>1.63</v>
      </c>
      <c r="AO17" s="1">
        <v>42754</v>
      </c>
      <c r="AP17">
        <v>74.561999999999998</v>
      </c>
      <c r="AQ17">
        <v>74.561999999999998</v>
      </c>
      <c r="AR17">
        <v>2.81</v>
      </c>
      <c r="AY17" s="1">
        <v>42543</v>
      </c>
      <c r="AZ17">
        <v>104.01600000000001</v>
      </c>
      <c r="BA17">
        <v>104.01600000000001</v>
      </c>
      <c r="BB17">
        <v>0.65100000000000002</v>
      </c>
      <c r="BD17" s="1">
        <v>42782</v>
      </c>
      <c r="BE17">
        <v>78.341999999999999</v>
      </c>
      <c r="BF17">
        <v>78.341999999999999</v>
      </c>
      <c r="BG17">
        <v>2.6019999999999999</v>
      </c>
      <c r="BI17" s="1">
        <v>42769</v>
      </c>
      <c r="BJ17">
        <v>72.39</v>
      </c>
      <c r="BK17">
        <v>72.39</v>
      </c>
      <c r="BL17">
        <v>3.0819999999999999</v>
      </c>
      <c r="BN17" s="1">
        <v>42524</v>
      </c>
      <c r="BO17">
        <v>128.482</v>
      </c>
      <c r="BP17">
        <v>128.482</v>
      </c>
      <c r="BQ17">
        <v>1.304</v>
      </c>
      <c r="BS17" s="1">
        <v>42620</v>
      </c>
      <c r="BT17">
        <v>108.11799999999999</v>
      </c>
      <c r="BU17">
        <v>108.11799999999999</v>
      </c>
      <c r="BV17">
        <v>0.66100000000000003</v>
      </c>
      <c r="BX17" s="1">
        <v>42538</v>
      </c>
      <c r="BY17">
        <v>121.771</v>
      </c>
      <c r="BZ17">
        <v>121.771</v>
      </c>
      <c r="CA17">
        <v>1.2829999999999999</v>
      </c>
      <c r="CH17" s="1">
        <v>42635</v>
      </c>
      <c r="CI17">
        <v>100.14400000000001</v>
      </c>
      <c r="CJ17">
        <v>100.14400000000001</v>
      </c>
      <c r="CK17">
        <v>1.5550000000000002</v>
      </c>
      <c r="CM17" s="1">
        <v>42508</v>
      </c>
      <c r="CN17">
        <v>104</v>
      </c>
      <c r="CO17">
        <v>104</v>
      </c>
      <c r="CP17">
        <v>1.0549999999999999</v>
      </c>
      <c r="CR17" s="1">
        <v>42683</v>
      </c>
      <c r="CS17">
        <v>126.461</v>
      </c>
      <c r="CT17">
        <v>126.36499999999999</v>
      </c>
      <c r="CU17">
        <v>1.9990000000000001</v>
      </c>
      <c r="DL17" s="1">
        <v>42460</v>
      </c>
      <c r="DM17">
        <v>105.443</v>
      </c>
      <c r="DN17">
        <v>105.443</v>
      </c>
      <c r="DO17">
        <v>0.85099999999999998</v>
      </c>
      <c r="DQ17" s="1">
        <v>42712</v>
      </c>
      <c r="DR17">
        <v>109</v>
      </c>
      <c r="DS17">
        <v>109</v>
      </c>
      <c r="DT17">
        <v>3.4</v>
      </c>
      <c r="DV17" s="1">
        <v>42408</v>
      </c>
      <c r="DW17">
        <v>125.11799999999999</v>
      </c>
      <c r="DX17">
        <v>124.852</v>
      </c>
      <c r="DY17">
        <v>1.4750000000000001</v>
      </c>
      <c r="EU17" s="1">
        <v>42604</v>
      </c>
      <c r="EV17">
        <v>125.509</v>
      </c>
      <c r="EW17">
        <v>125.509</v>
      </c>
      <c r="EX17">
        <v>1.1599999999999999</v>
      </c>
      <c r="FJ17" s="1">
        <v>42683</v>
      </c>
      <c r="FK17">
        <v>79.819999999999993</v>
      </c>
      <c r="FL17">
        <v>79.819999999999993</v>
      </c>
      <c r="FM17">
        <v>2.3149999999999999</v>
      </c>
    </row>
    <row r="18" spans="6:169" x14ac:dyDescent="0.25">
      <c r="P18" s="1">
        <v>42564</v>
      </c>
      <c r="Q18">
        <v>126.917</v>
      </c>
      <c r="R18">
        <v>126.917</v>
      </c>
      <c r="S18">
        <v>1.4410000000000001</v>
      </c>
      <c r="U18" s="1">
        <v>42781</v>
      </c>
      <c r="V18">
        <v>109.77200000000001</v>
      </c>
      <c r="W18">
        <v>109.77200000000001</v>
      </c>
      <c r="X18">
        <v>2.0499999999999998</v>
      </c>
      <c r="AE18" s="1">
        <v>42646</v>
      </c>
      <c r="AF18">
        <v>123.926</v>
      </c>
      <c r="AG18">
        <v>123.926</v>
      </c>
      <c r="AH18">
        <v>1.26</v>
      </c>
      <c r="AJ18" s="1">
        <v>42528</v>
      </c>
      <c r="AK18">
        <v>130.81200000000001</v>
      </c>
      <c r="AL18">
        <v>130.81200000000001</v>
      </c>
      <c r="AM18">
        <v>1.639</v>
      </c>
      <c r="AO18" s="1">
        <v>42759</v>
      </c>
      <c r="AP18">
        <v>74.27</v>
      </c>
      <c r="AQ18">
        <v>74.27</v>
      </c>
      <c r="AR18">
        <v>2.85</v>
      </c>
      <c r="AY18" s="1">
        <v>42572</v>
      </c>
      <c r="AZ18">
        <v>103.66800000000001</v>
      </c>
      <c r="BA18">
        <v>103.66800000000001</v>
      </c>
      <c r="BB18">
        <v>0.65100000000000002</v>
      </c>
      <c r="BI18" s="1">
        <v>42772</v>
      </c>
      <c r="BJ18">
        <v>72.396000000000001</v>
      </c>
      <c r="BK18">
        <v>72.396000000000001</v>
      </c>
      <c r="BL18">
        <v>3.0819999999999999</v>
      </c>
      <c r="BN18" s="1">
        <v>42528</v>
      </c>
      <c r="BO18">
        <v>126</v>
      </c>
      <c r="BP18">
        <v>126</v>
      </c>
      <c r="BQ18">
        <v>1.583</v>
      </c>
      <c r="BS18" s="1">
        <v>42634</v>
      </c>
      <c r="BT18">
        <v>107.206</v>
      </c>
      <c r="BU18">
        <v>107.206</v>
      </c>
      <c r="BV18">
        <v>1.05</v>
      </c>
      <c r="BX18" s="1">
        <v>42542</v>
      </c>
      <c r="BY18">
        <v>122.758</v>
      </c>
      <c r="BZ18">
        <v>122.758</v>
      </c>
      <c r="CA18">
        <v>1.1299999999999999</v>
      </c>
      <c r="CH18" s="1">
        <v>42678</v>
      </c>
      <c r="CI18">
        <v>98.25</v>
      </c>
      <c r="CJ18">
        <v>98.25</v>
      </c>
      <c r="CK18">
        <v>3.6959999999999997</v>
      </c>
      <c r="CM18" s="1">
        <v>42513</v>
      </c>
      <c r="CN18">
        <v>104.441</v>
      </c>
      <c r="CO18">
        <v>104.441</v>
      </c>
      <c r="CP18">
        <v>0.6</v>
      </c>
      <c r="CR18" s="1">
        <v>42684</v>
      </c>
      <c r="CS18">
        <v>125.523</v>
      </c>
      <c r="CT18">
        <v>125.426</v>
      </c>
      <c r="CU18">
        <v>2.0920000000000001</v>
      </c>
      <c r="DL18" s="1">
        <v>42461</v>
      </c>
      <c r="DM18">
        <v>105.521</v>
      </c>
      <c r="DN18">
        <v>105.521</v>
      </c>
      <c r="DO18">
        <v>0.78500000000000003</v>
      </c>
      <c r="DQ18" s="1">
        <v>42713</v>
      </c>
      <c r="DR18">
        <v>110.83499999999999</v>
      </c>
      <c r="DS18">
        <v>110.83499999999999</v>
      </c>
      <c r="DT18">
        <v>2.9</v>
      </c>
      <c r="DV18" s="1">
        <v>42409</v>
      </c>
      <c r="DW18">
        <v>125.61799999999999</v>
      </c>
      <c r="DX18">
        <v>125.35299999999999</v>
      </c>
      <c r="DY18">
        <v>1.4119999999999999</v>
      </c>
      <c r="EU18" s="1">
        <v>42608</v>
      </c>
      <c r="EV18">
        <v>125.45</v>
      </c>
      <c r="EW18">
        <v>125.45</v>
      </c>
      <c r="EX18">
        <v>1.1599999999999999</v>
      </c>
      <c r="FJ18" s="1">
        <v>42684</v>
      </c>
      <c r="FK18">
        <v>76.331999999999994</v>
      </c>
      <c r="FL18">
        <v>76.331999999999994</v>
      </c>
      <c r="FM18">
        <v>2.7770000000000001</v>
      </c>
    </row>
    <row r="19" spans="6:169" x14ac:dyDescent="0.25">
      <c r="P19" s="1">
        <v>42571</v>
      </c>
      <c r="Q19">
        <v>125.78100000000001</v>
      </c>
      <c r="R19">
        <v>125.78100000000001</v>
      </c>
      <c r="S19">
        <v>1.5649999999999999</v>
      </c>
      <c r="AE19" s="1">
        <v>42647</v>
      </c>
      <c r="AF19">
        <v>124.062</v>
      </c>
      <c r="AG19">
        <v>124.062</v>
      </c>
      <c r="AH19">
        <v>1.24</v>
      </c>
      <c r="AJ19" s="1">
        <v>42535</v>
      </c>
      <c r="AK19">
        <v>130.79900000000001</v>
      </c>
      <c r="AL19">
        <v>130.79900000000001</v>
      </c>
      <c r="AM19">
        <v>1.635</v>
      </c>
      <c r="AO19" s="1">
        <v>42760</v>
      </c>
      <c r="AP19">
        <v>73.903999999999996</v>
      </c>
      <c r="AQ19">
        <v>73.903999999999996</v>
      </c>
      <c r="AR19">
        <v>2.9</v>
      </c>
      <c r="AY19" s="1">
        <v>42577</v>
      </c>
      <c r="AZ19">
        <v>103.639</v>
      </c>
      <c r="BA19">
        <v>103.639</v>
      </c>
      <c r="BB19">
        <v>0.64200000000000002</v>
      </c>
      <c r="BI19" s="1">
        <v>42773</v>
      </c>
      <c r="BJ19">
        <v>72.402000000000001</v>
      </c>
      <c r="BK19">
        <v>72.402000000000001</v>
      </c>
      <c r="BL19">
        <v>3.0819999999999999</v>
      </c>
      <c r="BN19" s="1">
        <v>42536</v>
      </c>
      <c r="BO19">
        <v>126.919</v>
      </c>
      <c r="BP19">
        <v>126.919</v>
      </c>
      <c r="BQ19">
        <v>1.468</v>
      </c>
      <c r="BS19" s="1">
        <v>42641</v>
      </c>
      <c r="BT19">
        <v>107.40300000000001</v>
      </c>
      <c r="BU19">
        <v>107.40300000000001</v>
      </c>
      <c r="BV19">
        <v>0.90600000000000003</v>
      </c>
      <c r="BX19" s="1">
        <v>42559</v>
      </c>
      <c r="BY19">
        <v>119.877</v>
      </c>
      <c r="BZ19">
        <v>119.877</v>
      </c>
      <c r="CA19">
        <v>1.546</v>
      </c>
      <c r="CH19" s="1">
        <v>42692</v>
      </c>
      <c r="CI19">
        <v>99</v>
      </c>
      <c r="CJ19">
        <v>99</v>
      </c>
      <c r="CK19">
        <v>3.6120000000000001</v>
      </c>
      <c r="CM19" s="1">
        <v>42514</v>
      </c>
      <c r="CN19">
        <v>104.13800000000001</v>
      </c>
      <c r="CO19">
        <v>104.13800000000001</v>
      </c>
      <c r="CP19">
        <v>0.88</v>
      </c>
      <c r="CR19" s="1">
        <v>42688</v>
      </c>
      <c r="CS19">
        <v>123.42100000000001</v>
      </c>
      <c r="CT19">
        <v>123.321</v>
      </c>
      <c r="CU19">
        <v>2.3039999999999998</v>
      </c>
      <c r="DL19" s="1">
        <v>42468</v>
      </c>
      <c r="DM19">
        <v>105.634</v>
      </c>
      <c r="DN19">
        <v>105.634</v>
      </c>
      <c r="DO19">
        <v>0.64</v>
      </c>
      <c r="DQ19" s="1">
        <v>42719</v>
      </c>
      <c r="DR19">
        <v>107.31</v>
      </c>
      <c r="DS19">
        <v>107.31</v>
      </c>
      <c r="DT19">
        <v>3.8580000000000001</v>
      </c>
      <c r="DV19" s="1">
        <v>42410</v>
      </c>
      <c r="DW19">
        <v>125.755</v>
      </c>
      <c r="DX19">
        <v>125.49</v>
      </c>
      <c r="DY19">
        <v>1.3900000000000001</v>
      </c>
      <c r="EU19" s="1">
        <v>42611</v>
      </c>
      <c r="EV19">
        <v>125.45</v>
      </c>
      <c r="EW19">
        <v>125.45</v>
      </c>
      <c r="EX19">
        <v>1.1599999999999999</v>
      </c>
      <c r="FJ19" s="1">
        <v>42688</v>
      </c>
      <c r="FK19">
        <v>75.418999999999997</v>
      </c>
      <c r="FL19">
        <v>75.418999999999997</v>
      </c>
      <c r="FM19">
        <v>2.903</v>
      </c>
    </row>
    <row r="20" spans="6:169" x14ac:dyDescent="0.25">
      <c r="P20" s="1">
        <v>42578</v>
      </c>
      <c r="Q20">
        <v>126.464</v>
      </c>
      <c r="R20">
        <v>126.464</v>
      </c>
      <c r="S20">
        <v>1.48</v>
      </c>
      <c r="AE20" s="1">
        <v>42649</v>
      </c>
      <c r="AF20">
        <v>123.437</v>
      </c>
      <c r="AG20">
        <v>123.437</v>
      </c>
      <c r="AH20">
        <v>1.32</v>
      </c>
      <c r="AJ20" s="1">
        <v>42537</v>
      </c>
      <c r="AK20">
        <v>131.15</v>
      </c>
      <c r="AL20">
        <v>131.15</v>
      </c>
      <c r="AM20">
        <v>1.599</v>
      </c>
      <c r="AO20" s="1">
        <v>42768</v>
      </c>
      <c r="AP20">
        <v>72.808999999999997</v>
      </c>
      <c r="AQ20">
        <v>72.808999999999997</v>
      </c>
      <c r="AR20">
        <v>3.05</v>
      </c>
      <c r="AY20" s="1">
        <v>42614</v>
      </c>
      <c r="AZ20">
        <v>103.221</v>
      </c>
      <c r="BA20">
        <v>103.221</v>
      </c>
      <c r="BB20">
        <v>0.59</v>
      </c>
      <c r="BI20" s="1">
        <v>42774</v>
      </c>
      <c r="BJ20">
        <v>72.421000000000006</v>
      </c>
      <c r="BK20">
        <v>72.421000000000006</v>
      </c>
      <c r="BL20">
        <v>3.0819999999999999</v>
      </c>
      <c r="BN20" s="1">
        <v>42541</v>
      </c>
      <c r="BO20">
        <v>127.89700000000001</v>
      </c>
      <c r="BP20">
        <v>127.89700000000001</v>
      </c>
      <c r="BQ20">
        <v>1.3540000000000001</v>
      </c>
      <c r="BS20" s="1">
        <v>42642</v>
      </c>
      <c r="BT20">
        <v>107.55500000000001</v>
      </c>
      <c r="BU20">
        <v>107.55500000000001</v>
      </c>
      <c r="BV20">
        <v>0.82</v>
      </c>
      <c r="BX20" s="1">
        <v>42564</v>
      </c>
      <c r="BY20">
        <v>121.88800000000001</v>
      </c>
      <c r="BZ20">
        <v>121.88800000000001</v>
      </c>
      <c r="CA20">
        <v>1.2270000000000001</v>
      </c>
      <c r="CH20" s="1">
        <v>42695</v>
      </c>
      <c r="CI20">
        <v>100.2</v>
      </c>
      <c r="CJ20">
        <v>100.2</v>
      </c>
      <c r="CK20">
        <v>0.82</v>
      </c>
      <c r="CM20" s="1">
        <v>42523</v>
      </c>
      <c r="CN20">
        <v>103.40300000000001</v>
      </c>
      <c r="CO20">
        <v>103.40300000000001</v>
      </c>
      <c r="CP20">
        <v>1.5</v>
      </c>
      <c r="CR20" s="1">
        <v>42689</v>
      </c>
      <c r="CS20">
        <v>123.00700000000001</v>
      </c>
      <c r="CT20">
        <v>122.908</v>
      </c>
      <c r="CU20">
        <v>2.3460000000000001</v>
      </c>
      <c r="DL20" s="1">
        <v>42500</v>
      </c>
      <c r="DM20">
        <v>104.824</v>
      </c>
      <c r="DN20">
        <v>104.824</v>
      </c>
      <c r="DO20">
        <v>1</v>
      </c>
      <c r="DQ20" s="1">
        <v>42723</v>
      </c>
      <c r="DR20">
        <v>111.709</v>
      </c>
      <c r="DS20">
        <v>111.709</v>
      </c>
      <c r="DT20">
        <v>2.6480000000000001</v>
      </c>
      <c r="DV20" s="1">
        <v>42411</v>
      </c>
      <c r="DW20">
        <v>126.053</v>
      </c>
      <c r="DX20">
        <v>125.788</v>
      </c>
      <c r="DY20">
        <v>1.3519999999999999</v>
      </c>
      <c r="EU20" s="1">
        <v>42656</v>
      </c>
      <c r="EV20">
        <v>122.003</v>
      </c>
      <c r="EW20">
        <v>122.003</v>
      </c>
      <c r="EX20">
        <v>1.569</v>
      </c>
      <c r="FJ20" s="1">
        <v>42753</v>
      </c>
      <c r="FK20">
        <v>75.194999999999993</v>
      </c>
      <c r="FL20">
        <v>75.194999999999993</v>
      </c>
      <c r="FM20">
        <v>2.99</v>
      </c>
    </row>
    <row r="21" spans="6:169" x14ac:dyDescent="0.25">
      <c r="P21" s="1">
        <v>42592</v>
      </c>
      <c r="Q21">
        <v>124.759</v>
      </c>
      <c r="R21">
        <v>124.759</v>
      </c>
      <c r="S21">
        <v>1.6659999999999999</v>
      </c>
      <c r="AE21" s="1">
        <v>42663</v>
      </c>
      <c r="AF21">
        <v>120.11799999999999</v>
      </c>
      <c r="AG21">
        <v>120.11799999999999</v>
      </c>
      <c r="AH21">
        <v>1.774</v>
      </c>
      <c r="AJ21" s="1">
        <v>42590</v>
      </c>
      <c r="AK21">
        <v>131.29</v>
      </c>
      <c r="AL21">
        <v>131.29</v>
      </c>
      <c r="AM21">
        <v>1.548</v>
      </c>
      <c r="AO21" s="1">
        <v>42769</v>
      </c>
      <c r="AP21">
        <v>71.992999999999995</v>
      </c>
      <c r="AQ21">
        <v>71.992999999999995</v>
      </c>
      <c r="AR21">
        <v>3.16</v>
      </c>
      <c r="AY21" s="1">
        <v>42622</v>
      </c>
      <c r="AZ21">
        <v>101.37</v>
      </c>
      <c r="BA21">
        <v>101.37</v>
      </c>
      <c r="BB21">
        <v>3.0390000000000001</v>
      </c>
      <c r="BI21" s="1">
        <v>42776</v>
      </c>
      <c r="BJ21">
        <v>72.522999999999996</v>
      </c>
      <c r="BK21">
        <v>72.522999999999996</v>
      </c>
      <c r="BL21">
        <v>3.07</v>
      </c>
      <c r="BN21" s="1">
        <v>42542</v>
      </c>
      <c r="BO21">
        <v>127.836</v>
      </c>
      <c r="BP21">
        <v>127.836</v>
      </c>
      <c r="BQ21">
        <v>1.3599999999999999</v>
      </c>
      <c r="BS21" s="1">
        <v>42647</v>
      </c>
      <c r="BT21">
        <v>107.367</v>
      </c>
      <c r="BU21">
        <v>107.367</v>
      </c>
      <c r="BV21">
        <v>0.90200000000000002</v>
      </c>
      <c r="BX21" s="1">
        <v>42565</v>
      </c>
      <c r="BY21">
        <v>121.32299999999999</v>
      </c>
      <c r="BZ21">
        <v>121.32299999999999</v>
      </c>
      <c r="CA21">
        <v>1.3120000000000001</v>
      </c>
      <c r="CH21" s="1">
        <v>42703</v>
      </c>
      <c r="CI21">
        <v>100</v>
      </c>
      <c r="CJ21">
        <v>100</v>
      </c>
      <c r="CK21">
        <v>3.4489999999999998</v>
      </c>
      <c r="CM21" s="1">
        <v>42528</v>
      </c>
      <c r="CN21">
        <v>103.57</v>
      </c>
      <c r="CO21">
        <v>103.57</v>
      </c>
      <c r="CP21">
        <v>1.3029999999999999</v>
      </c>
      <c r="CR21" s="1">
        <v>42690</v>
      </c>
      <c r="CS21">
        <v>123.327</v>
      </c>
      <c r="CT21">
        <v>123.04900000000001</v>
      </c>
      <c r="CU21">
        <v>2.33</v>
      </c>
      <c r="DL21" s="1">
        <v>42501</v>
      </c>
      <c r="DM21">
        <v>105.32599999999999</v>
      </c>
      <c r="DN21">
        <v>105.32599999999999</v>
      </c>
      <c r="DO21">
        <v>0.56999999999999995</v>
      </c>
      <c r="DQ21" s="1">
        <v>42765</v>
      </c>
      <c r="DR21">
        <v>110.82</v>
      </c>
      <c r="DS21">
        <v>110.82</v>
      </c>
      <c r="DT21">
        <v>2.802</v>
      </c>
      <c r="DV21" s="1">
        <v>42412</v>
      </c>
      <c r="DW21">
        <v>126.021</v>
      </c>
      <c r="DX21">
        <v>125.75700000000001</v>
      </c>
      <c r="DY21">
        <v>1.355</v>
      </c>
      <c r="EU21" s="1">
        <v>42661</v>
      </c>
      <c r="EV21">
        <v>122.776</v>
      </c>
      <c r="EW21">
        <v>122.776</v>
      </c>
      <c r="EX21">
        <v>1.458</v>
      </c>
      <c r="FJ21" s="1">
        <v>42760</v>
      </c>
      <c r="FK21">
        <v>76.024000000000001</v>
      </c>
      <c r="FL21">
        <v>76.024000000000001</v>
      </c>
      <c r="FM21">
        <v>2.88</v>
      </c>
    </row>
    <row r="22" spans="6:169" x14ac:dyDescent="0.25">
      <c r="P22" s="1">
        <v>42597</v>
      </c>
      <c r="Q22">
        <v>127.003</v>
      </c>
      <c r="R22">
        <v>127.003</v>
      </c>
      <c r="S22">
        <v>1.4</v>
      </c>
      <c r="AE22" s="1">
        <v>42664</v>
      </c>
      <c r="AF22">
        <v>123.19799999999999</v>
      </c>
      <c r="AG22">
        <v>123.19799999999999</v>
      </c>
      <c r="AH22">
        <v>1.335</v>
      </c>
      <c r="AJ22" s="1">
        <v>42592</v>
      </c>
      <c r="AK22">
        <v>131.661</v>
      </c>
      <c r="AL22">
        <v>131.661</v>
      </c>
      <c r="AM22">
        <v>1.51</v>
      </c>
      <c r="AO22" s="1">
        <v>42773</v>
      </c>
      <c r="AP22">
        <v>72.542000000000002</v>
      </c>
      <c r="AQ22">
        <v>72.542000000000002</v>
      </c>
      <c r="AR22">
        <v>3.0880000000000001</v>
      </c>
      <c r="AY22" s="1">
        <v>42627</v>
      </c>
      <c r="AZ22">
        <v>102.968</v>
      </c>
      <c r="BA22">
        <v>102.968</v>
      </c>
      <c r="BB22">
        <v>0.74</v>
      </c>
      <c r="BI22" s="1">
        <v>42779</v>
      </c>
      <c r="BJ22">
        <v>72.379000000000005</v>
      </c>
      <c r="BK22">
        <v>72.379000000000005</v>
      </c>
      <c r="BL22">
        <v>3.09</v>
      </c>
      <c r="BN22" s="1">
        <v>42544</v>
      </c>
      <c r="BO22">
        <v>127.44799999999999</v>
      </c>
      <c r="BP22">
        <v>127.44799999999999</v>
      </c>
      <c r="BQ22">
        <v>1.4</v>
      </c>
      <c r="BS22" s="1">
        <v>42654</v>
      </c>
      <c r="BT22">
        <v>107.54</v>
      </c>
      <c r="BU22">
        <v>107.54</v>
      </c>
      <c r="BV22">
        <v>0.76700000000000002</v>
      </c>
      <c r="BX22" s="1">
        <v>42566</v>
      </c>
      <c r="BY22">
        <v>122.669</v>
      </c>
      <c r="BZ22">
        <v>122.669</v>
      </c>
      <c r="CA22">
        <v>1.1040000000000001</v>
      </c>
      <c r="CH22" s="1">
        <v>42710</v>
      </c>
      <c r="CI22">
        <v>100</v>
      </c>
      <c r="CJ22">
        <v>100</v>
      </c>
      <c r="CK22">
        <v>3.4489999999999998</v>
      </c>
      <c r="CM22" s="1">
        <v>42529</v>
      </c>
      <c r="CN22">
        <v>103.834</v>
      </c>
      <c r="CO22">
        <v>103.834</v>
      </c>
      <c r="CP22">
        <v>1.004</v>
      </c>
      <c r="CR22" s="1">
        <v>42691</v>
      </c>
      <c r="CS22">
        <v>122.712</v>
      </c>
      <c r="CT22">
        <v>122.434</v>
      </c>
      <c r="CU22">
        <v>2.3919999999999999</v>
      </c>
      <c r="DL22" s="1">
        <v>42515</v>
      </c>
      <c r="DM22">
        <v>104.69</v>
      </c>
      <c r="DN22">
        <v>104.69</v>
      </c>
      <c r="DO22">
        <v>0.94699999999999995</v>
      </c>
      <c r="DQ22" s="1">
        <v>42780</v>
      </c>
      <c r="DR22">
        <v>111.699</v>
      </c>
      <c r="DS22">
        <v>111.699</v>
      </c>
      <c r="DT22">
        <v>2.5230000000000001</v>
      </c>
      <c r="DV22" s="1">
        <v>42416</v>
      </c>
      <c r="DW22">
        <v>125.928</v>
      </c>
      <c r="DX22">
        <v>125.663</v>
      </c>
      <c r="DY22">
        <v>1.365</v>
      </c>
      <c r="EU22" s="1">
        <v>42712</v>
      </c>
      <c r="EV22">
        <v>116.855</v>
      </c>
      <c r="EW22">
        <v>116.855</v>
      </c>
      <c r="EX22">
        <v>2.25</v>
      </c>
      <c r="FJ22" s="1">
        <v>42769</v>
      </c>
      <c r="FK22">
        <v>74.069999999999993</v>
      </c>
      <c r="FL22">
        <v>74.069999999999993</v>
      </c>
      <c r="FM22">
        <v>3.1629999999999998</v>
      </c>
    </row>
    <row r="23" spans="6:169" x14ac:dyDescent="0.25">
      <c r="P23" s="1">
        <v>42598</v>
      </c>
      <c r="Q23">
        <v>127.426</v>
      </c>
      <c r="R23">
        <v>127.426</v>
      </c>
      <c r="S23">
        <v>1.35</v>
      </c>
      <c r="AE23" s="1">
        <v>42667</v>
      </c>
      <c r="AF23">
        <v>123.583</v>
      </c>
      <c r="AG23">
        <v>123.583</v>
      </c>
      <c r="AH23">
        <v>1.28</v>
      </c>
      <c r="AJ23" s="1">
        <v>42646</v>
      </c>
      <c r="AK23">
        <v>130.61699999999999</v>
      </c>
      <c r="AL23">
        <v>130.61699999999999</v>
      </c>
      <c r="AM23">
        <v>1.569</v>
      </c>
      <c r="AO23" s="1">
        <v>42774</v>
      </c>
      <c r="AP23">
        <v>72.546000000000006</v>
      </c>
      <c r="AQ23">
        <v>72.546000000000006</v>
      </c>
      <c r="AR23">
        <v>3.09</v>
      </c>
      <c r="AY23" s="1">
        <v>42628</v>
      </c>
      <c r="AZ23">
        <v>103.02</v>
      </c>
      <c r="BA23">
        <v>103.02</v>
      </c>
      <c r="BB23">
        <v>0.65</v>
      </c>
      <c r="BI23" s="1">
        <v>42780</v>
      </c>
      <c r="BJ23">
        <v>72.31</v>
      </c>
      <c r="BK23">
        <v>72.31</v>
      </c>
      <c r="BL23">
        <v>3.1</v>
      </c>
      <c r="BN23" s="1">
        <v>42548</v>
      </c>
      <c r="BO23">
        <v>129.28800000000001</v>
      </c>
      <c r="BP23">
        <v>129.28800000000001</v>
      </c>
      <c r="BQ23">
        <v>1.19</v>
      </c>
      <c r="BS23" s="1">
        <v>42676</v>
      </c>
      <c r="BT23">
        <v>106.82599999999999</v>
      </c>
      <c r="BU23">
        <v>106.82599999999999</v>
      </c>
      <c r="BV23">
        <v>1.016</v>
      </c>
      <c r="BX23" s="1">
        <v>42570</v>
      </c>
      <c r="BY23">
        <v>121.374</v>
      </c>
      <c r="BZ23">
        <v>121.374</v>
      </c>
      <c r="CA23">
        <v>1.3</v>
      </c>
      <c r="CH23" s="1">
        <v>42719</v>
      </c>
      <c r="CI23">
        <v>100.05</v>
      </c>
      <c r="CJ23">
        <v>100.05</v>
      </c>
      <c r="CK23">
        <v>2.79</v>
      </c>
      <c r="CM23" s="1">
        <v>42530</v>
      </c>
      <c r="CN23">
        <v>104.42100000000001</v>
      </c>
      <c r="CO23">
        <v>104.42100000000001</v>
      </c>
      <c r="CP23">
        <v>0.4</v>
      </c>
      <c r="CR23" s="1">
        <v>42692</v>
      </c>
      <c r="CS23">
        <v>121.958</v>
      </c>
      <c r="CT23">
        <v>121.68</v>
      </c>
      <c r="CU23">
        <v>2.4699999999999998</v>
      </c>
      <c r="DL23" s="1">
        <v>42534</v>
      </c>
      <c r="DM23">
        <v>104.902</v>
      </c>
      <c r="DN23">
        <v>104.902</v>
      </c>
      <c r="DO23">
        <v>0.62</v>
      </c>
      <c r="DV23" s="1">
        <v>42417</v>
      </c>
      <c r="DW23">
        <v>125.765</v>
      </c>
      <c r="DX23">
        <v>125.501</v>
      </c>
      <c r="DY23">
        <v>1.3820000000000001</v>
      </c>
      <c r="EU23" s="1">
        <v>42718</v>
      </c>
      <c r="EV23">
        <v>117.151</v>
      </c>
      <c r="EW23">
        <v>117.151</v>
      </c>
      <c r="EX23">
        <v>2.2000000000000002</v>
      </c>
      <c r="FJ23" s="1">
        <v>42779</v>
      </c>
      <c r="FK23">
        <v>74.835999999999999</v>
      </c>
      <c r="FL23">
        <v>74.835999999999999</v>
      </c>
      <c r="FM23">
        <v>3.0609999999999999</v>
      </c>
    </row>
    <row r="24" spans="6:169" x14ac:dyDescent="0.25">
      <c r="P24" s="1">
        <v>42601</v>
      </c>
      <c r="Q24">
        <v>127.88</v>
      </c>
      <c r="R24">
        <v>127.88</v>
      </c>
      <c r="S24">
        <v>1.292</v>
      </c>
      <c r="AE24" s="1">
        <v>42676</v>
      </c>
      <c r="AF24">
        <v>121.754</v>
      </c>
      <c r="AG24">
        <v>121.754</v>
      </c>
      <c r="AH24">
        <v>1.5249999999999999</v>
      </c>
      <c r="AJ24" s="1">
        <v>42660</v>
      </c>
      <c r="AK24">
        <v>129.14599999999999</v>
      </c>
      <c r="AL24">
        <v>129.14599999999999</v>
      </c>
      <c r="AM24">
        <v>1.7010000000000001</v>
      </c>
      <c r="AO24" s="1">
        <v>42775</v>
      </c>
      <c r="AP24">
        <v>72.852000000000004</v>
      </c>
      <c r="AQ24">
        <v>72.852000000000004</v>
      </c>
      <c r="AR24">
        <v>3.05</v>
      </c>
      <c r="AY24" s="1">
        <v>42632</v>
      </c>
      <c r="AZ24">
        <v>102.572</v>
      </c>
      <c r="BA24">
        <v>102.572</v>
      </c>
      <c r="BB24">
        <v>1.2509999999999999</v>
      </c>
      <c r="BI24" s="1">
        <v>42781</v>
      </c>
      <c r="BJ24">
        <v>71.218999999999994</v>
      </c>
      <c r="BK24">
        <v>71.218999999999994</v>
      </c>
      <c r="BL24">
        <v>3.25</v>
      </c>
      <c r="BN24" s="1">
        <v>42614</v>
      </c>
      <c r="BO24">
        <v>127.145</v>
      </c>
      <c r="BP24">
        <v>127.145</v>
      </c>
      <c r="BQ24">
        <v>1.3639999999999999</v>
      </c>
      <c r="BS24" s="1">
        <v>42719</v>
      </c>
      <c r="BT24">
        <v>105.33799999999999</v>
      </c>
      <c r="BU24">
        <v>105.33799999999999</v>
      </c>
      <c r="BV24">
        <v>1.6339999999999999</v>
      </c>
      <c r="BX24" s="1">
        <v>42573</v>
      </c>
      <c r="BY24">
        <v>122.33799999999999</v>
      </c>
      <c r="BZ24">
        <v>122.33799999999999</v>
      </c>
      <c r="CA24">
        <v>1.1439999999999999</v>
      </c>
      <c r="CH24" s="1">
        <v>42769</v>
      </c>
      <c r="CI24">
        <v>100.232</v>
      </c>
      <c r="CJ24">
        <v>100.232</v>
      </c>
      <c r="CK24">
        <v>0.50800000000000001</v>
      </c>
      <c r="CM24" s="1">
        <v>42531</v>
      </c>
      <c r="CN24">
        <v>104.16</v>
      </c>
      <c r="CO24">
        <v>104.16</v>
      </c>
      <c r="CP24">
        <v>0.65100000000000002</v>
      </c>
      <c r="CR24" s="1">
        <v>42695</v>
      </c>
      <c r="CS24">
        <v>121.321</v>
      </c>
      <c r="CT24">
        <v>121.04300000000001</v>
      </c>
      <c r="CU24">
        <v>2.5350000000000001</v>
      </c>
      <c r="DL24" s="1">
        <v>42559</v>
      </c>
      <c r="DM24">
        <v>103.79900000000001</v>
      </c>
      <c r="DN24">
        <v>103.79900000000001</v>
      </c>
      <c r="DO24">
        <v>1.343</v>
      </c>
      <c r="DV24" s="1">
        <v>42418</v>
      </c>
      <c r="DW24">
        <v>125.459</v>
      </c>
      <c r="DX24">
        <v>125.19499999999999</v>
      </c>
      <c r="DY24">
        <v>1.419</v>
      </c>
      <c r="EU24" s="1">
        <v>42753</v>
      </c>
      <c r="EV24">
        <v>117.367</v>
      </c>
      <c r="EW24">
        <v>117.367</v>
      </c>
      <c r="EX24">
        <v>2.133</v>
      </c>
      <c r="FJ24" s="1">
        <v>42781</v>
      </c>
      <c r="FK24">
        <v>75.656999999999996</v>
      </c>
      <c r="FL24">
        <v>75.656999999999996</v>
      </c>
      <c r="FM24">
        <v>2.9489999999999998</v>
      </c>
    </row>
    <row r="25" spans="6:169" x14ac:dyDescent="0.25">
      <c r="P25" s="1">
        <v>42604</v>
      </c>
      <c r="Q25">
        <v>127.489</v>
      </c>
      <c r="R25">
        <v>127.489</v>
      </c>
      <c r="S25">
        <v>1.3360000000000001</v>
      </c>
      <c r="AE25" s="1">
        <v>42681</v>
      </c>
      <c r="AF25">
        <v>122.60899999999999</v>
      </c>
      <c r="AG25">
        <v>122.60899999999999</v>
      </c>
      <c r="AH25">
        <v>1.4</v>
      </c>
      <c r="AJ25" s="1">
        <v>42705</v>
      </c>
      <c r="AK25">
        <v>115.685</v>
      </c>
      <c r="AL25">
        <v>115.685</v>
      </c>
      <c r="AM25">
        <v>3.081</v>
      </c>
      <c r="AY25" s="1">
        <v>42633</v>
      </c>
      <c r="AZ25">
        <v>102.80800000000001</v>
      </c>
      <c r="BA25">
        <v>102.80800000000001</v>
      </c>
      <c r="BB25">
        <v>0.9</v>
      </c>
      <c r="BN25" s="1">
        <v>42619</v>
      </c>
      <c r="BO25">
        <v>127.71</v>
      </c>
      <c r="BP25">
        <v>127.71</v>
      </c>
      <c r="BQ25">
        <v>1.296</v>
      </c>
      <c r="BS25" s="1">
        <v>42744</v>
      </c>
      <c r="BT25">
        <v>105.66800000000001</v>
      </c>
      <c r="BU25">
        <v>105.66800000000001</v>
      </c>
      <c r="BV25">
        <v>1.3</v>
      </c>
      <c r="BX25" s="1">
        <v>42579</v>
      </c>
      <c r="BY25">
        <v>122.74299999999999</v>
      </c>
      <c r="BZ25">
        <v>122.74299999999999</v>
      </c>
      <c r="CA25">
        <v>1.0740000000000001</v>
      </c>
      <c r="CH25" s="1">
        <v>42775</v>
      </c>
      <c r="CI25">
        <v>100.212</v>
      </c>
      <c r="CJ25">
        <v>100.212</v>
      </c>
      <c r="CK25">
        <v>0.85399999999999998</v>
      </c>
      <c r="CM25" s="1">
        <v>42536</v>
      </c>
      <c r="CN25">
        <v>103.71</v>
      </c>
      <c r="CO25">
        <v>103.71</v>
      </c>
      <c r="CP25">
        <v>1.0529999999999999</v>
      </c>
      <c r="CR25" s="1">
        <v>42696</v>
      </c>
      <c r="CS25">
        <v>121.11199999999999</v>
      </c>
      <c r="CT25">
        <v>120.834</v>
      </c>
      <c r="CU25">
        <v>2.5550000000000002</v>
      </c>
      <c r="DL25" s="1">
        <v>42564</v>
      </c>
      <c r="DM25">
        <v>104.538</v>
      </c>
      <c r="DN25">
        <v>104.538</v>
      </c>
      <c r="DO25">
        <v>0.6</v>
      </c>
      <c r="DV25" s="1">
        <v>42419</v>
      </c>
      <c r="DW25">
        <v>125.402</v>
      </c>
      <c r="DX25">
        <v>125.137</v>
      </c>
      <c r="DY25">
        <v>1.425</v>
      </c>
      <c r="EU25" s="1">
        <v>42772</v>
      </c>
      <c r="EV25">
        <v>117.279</v>
      </c>
      <c r="EW25">
        <v>117.279</v>
      </c>
      <c r="EX25">
        <v>2.13</v>
      </c>
    </row>
    <row r="26" spans="6:169" x14ac:dyDescent="0.25">
      <c r="P26" s="1">
        <v>42606</v>
      </c>
      <c r="Q26">
        <v>126.501</v>
      </c>
      <c r="R26">
        <v>126.501</v>
      </c>
      <c r="S26">
        <v>1.4470000000000001</v>
      </c>
      <c r="AE26" s="1">
        <v>42704</v>
      </c>
      <c r="AF26">
        <v>115.687</v>
      </c>
      <c r="AG26">
        <v>115.687</v>
      </c>
      <c r="AH26">
        <v>2.39</v>
      </c>
      <c r="AJ26" s="1">
        <v>42706</v>
      </c>
      <c r="AK26">
        <v>118.22499999999999</v>
      </c>
      <c r="AL26">
        <v>118.22499999999999</v>
      </c>
      <c r="AM26">
        <v>2.7989999999999999</v>
      </c>
      <c r="AY26" s="1">
        <v>42634</v>
      </c>
      <c r="AZ26">
        <v>102.104</v>
      </c>
      <c r="BA26">
        <v>102.104</v>
      </c>
      <c r="BB26">
        <v>1.87</v>
      </c>
      <c r="BN26" s="1">
        <v>42674</v>
      </c>
      <c r="BO26">
        <v>124.19199999999999</v>
      </c>
      <c r="BP26">
        <v>124.19199999999999</v>
      </c>
      <c r="BQ26">
        <v>1.6579999999999999</v>
      </c>
      <c r="BS26" s="1">
        <v>42745</v>
      </c>
      <c r="BT26">
        <v>105.476</v>
      </c>
      <c r="BU26">
        <v>105.476</v>
      </c>
      <c r="BV26">
        <v>1.415</v>
      </c>
      <c r="BX26" s="1">
        <v>42587</v>
      </c>
      <c r="BY26">
        <v>121.973</v>
      </c>
      <c r="BZ26">
        <v>121.973</v>
      </c>
      <c r="CA26">
        <v>1.18</v>
      </c>
      <c r="CM26" s="1">
        <v>42537</v>
      </c>
      <c r="CN26">
        <v>104.358</v>
      </c>
      <c r="CO26">
        <v>104.358</v>
      </c>
      <c r="CP26">
        <v>0.373</v>
      </c>
      <c r="CR26" s="1">
        <v>42697</v>
      </c>
      <c r="CS26">
        <v>120.44</v>
      </c>
      <c r="CT26">
        <v>120.16200000000001</v>
      </c>
      <c r="CU26">
        <v>2.6259999999999999</v>
      </c>
      <c r="DL26" s="1">
        <v>42571</v>
      </c>
      <c r="DM26">
        <v>104.504</v>
      </c>
      <c r="DN26">
        <v>104.504</v>
      </c>
      <c r="DO26">
        <v>0.55100000000000005</v>
      </c>
      <c r="DV26" s="1">
        <v>42422</v>
      </c>
      <c r="DW26">
        <v>125.233</v>
      </c>
      <c r="DX26">
        <v>124.968</v>
      </c>
      <c r="DY26">
        <v>1.4450000000000001</v>
      </c>
    </row>
    <row r="27" spans="6:169" x14ac:dyDescent="0.25">
      <c r="P27" s="1">
        <v>42607</v>
      </c>
      <c r="Q27">
        <v>127.325</v>
      </c>
      <c r="R27">
        <v>127.325</v>
      </c>
      <c r="S27">
        <v>1.35</v>
      </c>
      <c r="AE27" s="1">
        <v>42705</v>
      </c>
      <c r="AF27">
        <v>116.009</v>
      </c>
      <c r="AG27">
        <v>116.009</v>
      </c>
      <c r="AH27">
        <v>2.34</v>
      </c>
      <c r="AJ27" s="1">
        <v>42744</v>
      </c>
      <c r="AK27">
        <v>122.02</v>
      </c>
      <c r="AL27">
        <v>122.02</v>
      </c>
      <c r="AM27">
        <v>2.3689999999999998</v>
      </c>
      <c r="AY27" s="1">
        <v>42635</v>
      </c>
      <c r="AZ27">
        <v>102.762</v>
      </c>
      <c r="BA27">
        <v>102.762</v>
      </c>
      <c r="BB27">
        <v>0.90100000000000002</v>
      </c>
      <c r="BN27" s="1">
        <v>42675</v>
      </c>
      <c r="BO27">
        <v>124.57899999999999</v>
      </c>
      <c r="BP27">
        <v>124.57899999999999</v>
      </c>
      <c r="BQ27">
        <v>1.6099999999999999</v>
      </c>
      <c r="BS27" s="1">
        <v>42768</v>
      </c>
      <c r="BT27">
        <v>105.661</v>
      </c>
      <c r="BU27">
        <v>105.661</v>
      </c>
      <c r="BV27">
        <v>1.1400000000000001</v>
      </c>
      <c r="BX27" s="1">
        <v>42656</v>
      </c>
      <c r="BY27">
        <v>119.506</v>
      </c>
      <c r="BZ27">
        <v>119.506</v>
      </c>
      <c r="CA27">
        <v>1.4710000000000001</v>
      </c>
      <c r="CM27" s="1">
        <v>42572</v>
      </c>
      <c r="CN27">
        <v>103.45099999999999</v>
      </c>
      <c r="CO27">
        <v>103.45099999999999</v>
      </c>
      <c r="CP27">
        <v>0.90100000000000002</v>
      </c>
      <c r="CR27" s="1">
        <v>42699</v>
      </c>
      <c r="CS27">
        <v>120.4</v>
      </c>
      <c r="CT27">
        <v>120.122</v>
      </c>
      <c r="CU27">
        <v>2.629</v>
      </c>
      <c r="DL27" s="1">
        <v>42599</v>
      </c>
      <c r="DM27">
        <v>103.855</v>
      </c>
      <c r="DN27">
        <v>103.855</v>
      </c>
      <c r="DO27">
        <v>0.88</v>
      </c>
      <c r="DV27" s="1">
        <v>42423</v>
      </c>
      <c r="DW27">
        <v>124.54</v>
      </c>
      <c r="DX27">
        <v>124.27500000000001</v>
      </c>
      <c r="DY27">
        <v>1.5310000000000001</v>
      </c>
    </row>
    <row r="28" spans="6:169" x14ac:dyDescent="0.25">
      <c r="P28" s="1">
        <v>42620</v>
      </c>
      <c r="Q28">
        <v>126.996</v>
      </c>
      <c r="R28">
        <v>126.996</v>
      </c>
      <c r="S28">
        <v>1.3759999999999999</v>
      </c>
      <c r="AE28" s="1">
        <v>42706</v>
      </c>
      <c r="AF28">
        <v>115.815</v>
      </c>
      <c r="AG28">
        <v>115.815</v>
      </c>
      <c r="AH28">
        <v>2.3689999999999998</v>
      </c>
      <c r="AJ28" s="1">
        <v>42748</v>
      </c>
      <c r="AK28">
        <v>123.581</v>
      </c>
      <c r="AL28">
        <v>123.581</v>
      </c>
      <c r="AM28">
        <v>2.2000000000000002</v>
      </c>
      <c r="AY28" s="1">
        <v>42636</v>
      </c>
      <c r="AZ28">
        <v>102.648</v>
      </c>
      <c r="BA28">
        <v>102.648</v>
      </c>
      <c r="BB28">
        <v>1.0509999999999999</v>
      </c>
      <c r="BN28" s="1">
        <v>42688</v>
      </c>
      <c r="BO28">
        <v>120.167</v>
      </c>
      <c r="BP28">
        <v>120.167</v>
      </c>
      <c r="BQ28">
        <v>2.1459999999999999</v>
      </c>
      <c r="BS28" s="1">
        <v>42772</v>
      </c>
      <c r="BT28">
        <v>105.913</v>
      </c>
      <c r="BU28">
        <v>105.913</v>
      </c>
      <c r="BV28">
        <v>0.96</v>
      </c>
      <c r="BX28" s="1">
        <v>42657</v>
      </c>
      <c r="BY28">
        <v>120.98699999999999</v>
      </c>
      <c r="BZ28">
        <v>120.98699999999999</v>
      </c>
      <c r="CA28">
        <v>1.2290000000000001</v>
      </c>
      <c r="CM28" s="1">
        <v>42577</v>
      </c>
      <c r="CN28">
        <v>103.89100000000001</v>
      </c>
      <c r="CO28">
        <v>103.89100000000001</v>
      </c>
      <c r="CP28">
        <v>0.35</v>
      </c>
      <c r="CR28" s="1">
        <v>42702</v>
      </c>
      <c r="CS28">
        <v>120.116</v>
      </c>
      <c r="CT28">
        <v>119.83799999999999</v>
      </c>
      <c r="CU28">
        <v>2.6589999999999998</v>
      </c>
      <c r="DL28" s="1">
        <v>42691</v>
      </c>
      <c r="DM28">
        <v>102.264</v>
      </c>
      <c r="DN28">
        <v>102.264</v>
      </c>
      <c r="DO28">
        <v>1.69</v>
      </c>
      <c r="DV28" s="1">
        <v>42424</v>
      </c>
      <c r="DW28">
        <v>124.682</v>
      </c>
      <c r="DX28">
        <v>124.416</v>
      </c>
      <c r="DY28">
        <v>1.51</v>
      </c>
    </row>
    <row r="29" spans="6:169" x14ac:dyDescent="0.25">
      <c r="P29" s="1">
        <v>42641</v>
      </c>
      <c r="Q29">
        <v>125.756</v>
      </c>
      <c r="R29">
        <v>125.756</v>
      </c>
      <c r="S29">
        <v>1.5</v>
      </c>
      <c r="AE29" s="1">
        <v>42709</v>
      </c>
      <c r="AF29">
        <v>116.062</v>
      </c>
      <c r="AG29">
        <v>116.062</v>
      </c>
      <c r="AH29">
        <v>2.33</v>
      </c>
      <c r="AJ29" s="1">
        <v>42780</v>
      </c>
      <c r="AK29">
        <v>121</v>
      </c>
      <c r="AL29">
        <v>121</v>
      </c>
      <c r="AM29">
        <v>2.4569999999999999</v>
      </c>
      <c r="AY29" s="1">
        <v>42641</v>
      </c>
      <c r="AZ29">
        <v>102.94499999999999</v>
      </c>
      <c r="BA29">
        <v>102.94499999999999</v>
      </c>
      <c r="BB29">
        <v>0.53100000000000003</v>
      </c>
      <c r="BN29" s="1">
        <v>42696</v>
      </c>
      <c r="BO29">
        <v>116.92700000000001</v>
      </c>
      <c r="BP29">
        <v>116.92700000000001</v>
      </c>
      <c r="BQ29">
        <v>2.5569999999999999</v>
      </c>
      <c r="BS29" s="1">
        <v>42782</v>
      </c>
      <c r="BT29">
        <v>105.68</v>
      </c>
      <c r="BU29">
        <v>105.68</v>
      </c>
      <c r="BV29">
        <v>1.0209999999999999</v>
      </c>
      <c r="BX29" s="1">
        <v>42663</v>
      </c>
      <c r="BY29">
        <v>119.997</v>
      </c>
      <c r="BZ29">
        <v>119.997</v>
      </c>
      <c r="CA29">
        <v>1.38</v>
      </c>
      <c r="CM29" s="1">
        <v>42579</v>
      </c>
      <c r="CN29">
        <v>102.756</v>
      </c>
      <c r="CO29">
        <v>102.756</v>
      </c>
      <c r="CP29">
        <v>1.643</v>
      </c>
      <c r="CR29" s="1">
        <v>42703</v>
      </c>
      <c r="CS29">
        <v>119.68300000000001</v>
      </c>
      <c r="CT29">
        <v>119.405</v>
      </c>
      <c r="CU29">
        <v>2.7039999999999997</v>
      </c>
      <c r="DL29" s="1">
        <v>42695</v>
      </c>
      <c r="DM29">
        <v>102.34099999999999</v>
      </c>
      <c r="DN29">
        <v>102.34099999999999</v>
      </c>
      <c r="DO29">
        <v>1.54</v>
      </c>
      <c r="DV29" s="1">
        <v>42425</v>
      </c>
      <c r="DW29">
        <v>124.907</v>
      </c>
      <c r="DX29">
        <v>124.642</v>
      </c>
      <c r="DY29">
        <v>1.4790000000000001</v>
      </c>
    </row>
    <row r="30" spans="6:169" x14ac:dyDescent="0.25">
      <c r="P30" s="1">
        <v>42689</v>
      </c>
      <c r="Q30">
        <v>118.111</v>
      </c>
      <c r="R30">
        <v>118.111</v>
      </c>
      <c r="S30">
        <v>2.4089999999999998</v>
      </c>
      <c r="AE30" s="1">
        <v>42711</v>
      </c>
      <c r="AF30">
        <v>116.958</v>
      </c>
      <c r="AG30">
        <v>116.958</v>
      </c>
      <c r="AH30">
        <v>2.19</v>
      </c>
      <c r="AJ30" s="1">
        <v>42781</v>
      </c>
      <c r="AK30">
        <v>121.413</v>
      </c>
      <c r="AL30">
        <v>121.413</v>
      </c>
      <c r="AM30">
        <v>2.41</v>
      </c>
      <c r="AY30" s="1">
        <v>42642</v>
      </c>
      <c r="AZ30">
        <v>103.251</v>
      </c>
      <c r="BA30">
        <v>103.251</v>
      </c>
      <c r="BB30">
        <v>0.06</v>
      </c>
      <c r="BN30" s="1">
        <v>42702</v>
      </c>
      <c r="BO30">
        <v>118.07</v>
      </c>
      <c r="BP30">
        <v>118.07</v>
      </c>
      <c r="BQ30">
        <v>2.4050000000000002</v>
      </c>
      <c r="BX30" s="1">
        <v>42697</v>
      </c>
      <c r="BY30">
        <v>114.54</v>
      </c>
      <c r="BZ30">
        <v>114.54</v>
      </c>
      <c r="CA30">
        <v>2.254</v>
      </c>
      <c r="CM30" s="1">
        <v>42583</v>
      </c>
      <c r="CN30">
        <v>103.69799999999999</v>
      </c>
      <c r="CO30">
        <v>103.69799999999999</v>
      </c>
      <c r="CP30">
        <v>0.502</v>
      </c>
      <c r="CR30" s="1">
        <v>42704</v>
      </c>
      <c r="CS30">
        <v>119.254</v>
      </c>
      <c r="CT30">
        <v>118.976</v>
      </c>
      <c r="CU30">
        <v>2.7490000000000001</v>
      </c>
      <c r="DL30" s="1">
        <v>42697</v>
      </c>
      <c r="DM30">
        <v>102.501</v>
      </c>
      <c r="DN30">
        <v>102.501</v>
      </c>
      <c r="DO30">
        <v>1.25</v>
      </c>
      <c r="DV30" s="1">
        <v>42426</v>
      </c>
      <c r="DW30">
        <v>124.645</v>
      </c>
      <c r="DX30">
        <v>124.38</v>
      </c>
      <c r="DY30">
        <v>1.5110000000000001</v>
      </c>
    </row>
    <row r="31" spans="6:169" x14ac:dyDescent="0.25">
      <c r="P31" s="1">
        <v>42712</v>
      </c>
      <c r="Q31">
        <v>117.127</v>
      </c>
      <c r="R31">
        <v>117.127</v>
      </c>
      <c r="S31">
        <v>2.5190000000000001</v>
      </c>
      <c r="AE31" s="1">
        <v>42712</v>
      </c>
      <c r="AF31">
        <v>118.548</v>
      </c>
      <c r="AG31">
        <v>118.548</v>
      </c>
      <c r="AH31">
        <v>1.95</v>
      </c>
      <c r="AY31" s="1">
        <v>42643</v>
      </c>
      <c r="AZ31">
        <v>102.806</v>
      </c>
      <c r="BA31">
        <v>102.806</v>
      </c>
      <c r="BB31">
        <v>0.70099999999999996</v>
      </c>
      <c r="BN31" s="1">
        <v>42705</v>
      </c>
      <c r="BO31">
        <v>115.977</v>
      </c>
      <c r="BP31">
        <v>115.977</v>
      </c>
      <c r="BQ31">
        <v>2.677</v>
      </c>
      <c r="BX31" s="1">
        <v>42702</v>
      </c>
      <c r="BY31">
        <v>115.416</v>
      </c>
      <c r="BZ31">
        <v>115.416</v>
      </c>
      <c r="CA31">
        <v>2.1</v>
      </c>
      <c r="CM31" s="1">
        <v>42590</v>
      </c>
      <c r="CN31">
        <v>103.29</v>
      </c>
      <c r="CO31">
        <v>103.29</v>
      </c>
      <c r="CP31">
        <v>0.89</v>
      </c>
      <c r="CR31" s="1">
        <v>42705</v>
      </c>
      <c r="CS31">
        <v>118.401</v>
      </c>
      <c r="CT31">
        <v>118.123</v>
      </c>
      <c r="CU31">
        <v>2.84</v>
      </c>
      <c r="DL31" s="1">
        <v>42703</v>
      </c>
      <c r="DM31">
        <v>102.63800000000001</v>
      </c>
      <c r="DN31">
        <v>102.63800000000001</v>
      </c>
      <c r="DO31">
        <v>1.0009999999999999</v>
      </c>
      <c r="DV31" s="1">
        <v>42429</v>
      </c>
      <c r="DW31">
        <v>124.346</v>
      </c>
      <c r="DX31">
        <v>124.08</v>
      </c>
      <c r="DY31">
        <v>1.548</v>
      </c>
    </row>
    <row r="32" spans="6:169" x14ac:dyDescent="0.25">
      <c r="P32" s="1">
        <v>42713</v>
      </c>
      <c r="Q32">
        <v>117.072</v>
      </c>
      <c r="R32">
        <v>117.072</v>
      </c>
      <c r="S32">
        <v>2.5259999999999998</v>
      </c>
      <c r="AE32" s="1">
        <v>42713</v>
      </c>
      <c r="AF32">
        <v>117.541</v>
      </c>
      <c r="AG32">
        <v>117.541</v>
      </c>
      <c r="AH32">
        <v>2.1</v>
      </c>
      <c r="AY32" s="1">
        <v>42646</v>
      </c>
      <c r="AZ32">
        <v>102.761</v>
      </c>
      <c r="BA32">
        <v>102.761</v>
      </c>
      <c r="BB32">
        <v>0.751</v>
      </c>
      <c r="BN32" s="1">
        <v>42706</v>
      </c>
      <c r="BO32">
        <v>116.348</v>
      </c>
      <c r="BP32">
        <v>116.348</v>
      </c>
      <c r="BQ32">
        <v>2.6269999999999998</v>
      </c>
      <c r="BX32" s="1">
        <v>42732</v>
      </c>
      <c r="BY32">
        <v>114.783</v>
      </c>
      <c r="BZ32">
        <v>114.783</v>
      </c>
      <c r="CA32">
        <v>2.1709999999999998</v>
      </c>
      <c r="CM32" s="1">
        <v>42591</v>
      </c>
      <c r="CN32">
        <v>103.47799999999999</v>
      </c>
      <c r="CO32">
        <v>103.47799999999999</v>
      </c>
      <c r="CP32">
        <v>0.64800000000000002</v>
      </c>
      <c r="CR32" s="1">
        <v>42706</v>
      </c>
      <c r="CS32">
        <v>118.806</v>
      </c>
      <c r="CT32">
        <v>118.52800000000001</v>
      </c>
      <c r="CU32">
        <v>2.7960000000000003</v>
      </c>
      <c r="DL32" s="1">
        <v>42761</v>
      </c>
      <c r="DM32">
        <v>101.06100000000001</v>
      </c>
      <c r="DN32">
        <v>101.06100000000001</v>
      </c>
      <c r="DO32">
        <v>2.8479999999999999</v>
      </c>
      <c r="DV32" s="1">
        <v>42430</v>
      </c>
      <c r="DW32">
        <v>124.286</v>
      </c>
      <c r="DX32">
        <v>124.021</v>
      </c>
      <c r="DY32">
        <v>1.5550000000000002</v>
      </c>
    </row>
    <row r="33" spans="16:129" x14ac:dyDescent="0.25">
      <c r="P33" s="1">
        <v>42717</v>
      </c>
      <c r="Q33">
        <v>117.91500000000001</v>
      </c>
      <c r="R33">
        <v>117.91500000000001</v>
      </c>
      <c r="S33">
        <v>2.4129999999999998</v>
      </c>
      <c r="AE33" s="1">
        <v>42716</v>
      </c>
      <c r="AF33">
        <v>117.53400000000001</v>
      </c>
      <c r="AG33">
        <v>117.53400000000001</v>
      </c>
      <c r="AH33">
        <v>2.1</v>
      </c>
      <c r="AY33" s="1">
        <v>42649</v>
      </c>
      <c r="AZ33">
        <v>102.628</v>
      </c>
      <c r="BA33">
        <v>102.628</v>
      </c>
      <c r="BB33">
        <v>0.84699999999999998</v>
      </c>
      <c r="BN33" s="1">
        <v>42711</v>
      </c>
      <c r="BO33">
        <v>118.345</v>
      </c>
      <c r="BP33">
        <v>118.345</v>
      </c>
      <c r="BQ33">
        <v>2.36</v>
      </c>
      <c r="BX33" s="1">
        <v>42738</v>
      </c>
      <c r="BY33">
        <v>115.336</v>
      </c>
      <c r="BZ33">
        <v>115.336</v>
      </c>
      <c r="CA33">
        <v>2.0699999999999998</v>
      </c>
      <c r="CM33" s="1">
        <v>42604</v>
      </c>
      <c r="CN33">
        <v>103.514</v>
      </c>
      <c r="CO33">
        <v>103.514</v>
      </c>
      <c r="CP33">
        <v>0.40400000000000003</v>
      </c>
      <c r="CR33" s="1">
        <v>42709</v>
      </c>
      <c r="CS33">
        <v>119.47499999999999</v>
      </c>
      <c r="CT33">
        <v>119.197</v>
      </c>
      <c r="CU33">
        <v>2.7229999999999999</v>
      </c>
      <c r="DL33" s="1">
        <v>42767</v>
      </c>
      <c r="DM33">
        <v>102.066</v>
      </c>
      <c r="DN33">
        <v>102.066</v>
      </c>
      <c r="DO33">
        <v>0.73399999999999999</v>
      </c>
      <c r="DV33" s="1">
        <v>42431</v>
      </c>
      <c r="DW33">
        <v>123.956</v>
      </c>
      <c r="DX33">
        <v>123.69</v>
      </c>
      <c r="DY33">
        <v>1.593</v>
      </c>
    </row>
    <row r="34" spans="16:129" x14ac:dyDescent="0.25">
      <c r="P34" s="1">
        <v>42718</v>
      </c>
      <c r="Q34">
        <v>117.503</v>
      </c>
      <c r="R34">
        <v>117.503</v>
      </c>
      <c r="S34">
        <v>2.4649999999999999</v>
      </c>
      <c r="AE34" s="1">
        <v>42718</v>
      </c>
      <c r="AF34">
        <v>117.506</v>
      </c>
      <c r="AG34">
        <v>117.506</v>
      </c>
      <c r="AH34">
        <v>2.1</v>
      </c>
      <c r="AY34" s="1">
        <v>42654</v>
      </c>
      <c r="AZ34">
        <v>102.744</v>
      </c>
      <c r="BA34">
        <v>102.744</v>
      </c>
      <c r="BB34">
        <v>0.63200000000000001</v>
      </c>
      <c r="BN34" s="1">
        <v>42712</v>
      </c>
      <c r="BO34">
        <v>119.72799999999999</v>
      </c>
      <c r="BP34">
        <v>119.72799999999999</v>
      </c>
      <c r="BQ34">
        <v>2.1800000000000002</v>
      </c>
      <c r="BX34" s="1">
        <v>42739</v>
      </c>
      <c r="BY34">
        <v>115.315</v>
      </c>
      <c r="BZ34">
        <v>115.315</v>
      </c>
      <c r="CA34">
        <v>2.0699999999999998</v>
      </c>
      <c r="CM34" s="1">
        <v>42620</v>
      </c>
      <c r="CN34">
        <v>103.22</v>
      </c>
      <c r="CO34">
        <v>103.22</v>
      </c>
      <c r="CP34">
        <v>0.50900000000000001</v>
      </c>
      <c r="CR34" s="1">
        <v>42710</v>
      </c>
      <c r="CS34">
        <v>120.096</v>
      </c>
      <c r="CT34">
        <v>119.818</v>
      </c>
      <c r="CU34">
        <v>2.657</v>
      </c>
      <c r="DL34" s="1">
        <v>42780</v>
      </c>
      <c r="DM34">
        <v>101.678</v>
      </c>
      <c r="DN34">
        <v>101.678</v>
      </c>
      <c r="DO34">
        <v>1.292</v>
      </c>
      <c r="DV34" s="1">
        <v>42432</v>
      </c>
      <c r="DW34">
        <v>123.792</v>
      </c>
      <c r="DX34">
        <v>123.527</v>
      </c>
      <c r="DY34">
        <v>1.613</v>
      </c>
    </row>
    <row r="35" spans="16:129" x14ac:dyDescent="0.25">
      <c r="P35" s="1">
        <v>42720</v>
      </c>
      <c r="Q35">
        <v>117.226</v>
      </c>
      <c r="R35">
        <v>117.226</v>
      </c>
      <c r="S35">
        <v>2.5</v>
      </c>
      <c r="AE35" s="1">
        <v>42719</v>
      </c>
      <c r="AF35">
        <v>117.366</v>
      </c>
      <c r="AG35">
        <v>117.366</v>
      </c>
      <c r="AH35">
        <v>2.12</v>
      </c>
      <c r="AY35" s="1">
        <v>42668</v>
      </c>
      <c r="AZ35">
        <v>102.122</v>
      </c>
      <c r="BA35">
        <v>102.122</v>
      </c>
      <c r="BB35">
        <v>1.3839999999999999</v>
      </c>
      <c r="BN35" s="1">
        <v>42713</v>
      </c>
      <c r="BO35">
        <v>119.41200000000001</v>
      </c>
      <c r="BP35">
        <v>119.41200000000001</v>
      </c>
      <c r="BQ35">
        <v>2.2200000000000002</v>
      </c>
      <c r="BX35" s="1">
        <v>42745</v>
      </c>
      <c r="BY35">
        <v>114.205</v>
      </c>
      <c r="BZ35">
        <v>114.205</v>
      </c>
      <c r="CA35">
        <v>2.262</v>
      </c>
      <c r="CM35" s="1">
        <v>42622</v>
      </c>
      <c r="CN35">
        <v>103.483</v>
      </c>
      <c r="CO35">
        <v>103.483</v>
      </c>
      <c r="CP35">
        <v>0.11700000000000001</v>
      </c>
      <c r="CR35" s="1">
        <v>42711</v>
      </c>
      <c r="CS35">
        <v>121.95099999999999</v>
      </c>
      <c r="CT35">
        <v>121.67400000000001</v>
      </c>
      <c r="CU35">
        <v>2.46</v>
      </c>
      <c r="DL35" s="1">
        <v>42781</v>
      </c>
      <c r="DM35">
        <v>101.78100000000001</v>
      </c>
      <c r="DN35">
        <v>101.78100000000001</v>
      </c>
      <c r="DO35">
        <v>0.97299999999999998</v>
      </c>
      <c r="DV35" s="1">
        <v>42433</v>
      </c>
      <c r="DW35">
        <v>123.411</v>
      </c>
      <c r="DX35">
        <v>123.145</v>
      </c>
      <c r="DY35">
        <v>1.661</v>
      </c>
    </row>
    <row r="36" spans="16:129" x14ac:dyDescent="0.25">
      <c r="P36" s="1">
        <v>42733</v>
      </c>
      <c r="Q36">
        <v>116.17100000000001</v>
      </c>
      <c r="R36">
        <v>116.17100000000001</v>
      </c>
      <c r="S36">
        <v>2.6310000000000002</v>
      </c>
      <c r="AE36" s="1">
        <v>42720</v>
      </c>
      <c r="AF36">
        <v>117.35899999999999</v>
      </c>
      <c r="AG36">
        <v>117.35899999999999</v>
      </c>
      <c r="AH36">
        <v>2.12</v>
      </c>
      <c r="AY36" s="1">
        <v>42669</v>
      </c>
      <c r="AZ36">
        <v>102.373</v>
      </c>
      <c r="BA36">
        <v>102.373</v>
      </c>
      <c r="BB36">
        <v>0.91100000000000003</v>
      </c>
      <c r="BN36" s="1">
        <v>42718</v>
      </c>
      <c r="BO36">
        <v>119.148</v>
      </c>
      <c r="BP36">
        <v>119.148</v>
      </c>
      <c r="BQ36">
        <v>2.25</v>
      </c>
      <c r="BX36" s="1">
        <v>42746</v>
      </c>
      <c r="BY36">
        <v>115.654</v>
      </c>
      <c r="BZ36">
        <v>115.654</v>
      </c>
      <c r="CA36">
        <v>2</v>
      </c>
      <c r="CM36" s="1">
        <v>42627</v>
      </c>
      <c r="CN36">
        <v>103.003</v>
      </c>
      <c r="CO36">
        <v>103.003</v>
      </c>
      <c r="CP36">
        <v>0.69099999999999995</v>
      </c>
      <c r="CR36" s="1">
        <v>42712</v>
      </c>
      <c r="CS36">
        <v>121.849</v>
      </c>
      <c r="CT36">
        <v>121.572</v>
      </c>
      <c r="CU36">
        <v>2.4699999999999998</v>
      </c>
      <c r="DV36" s="1">
        <v>42436</v>
      </c>
      <c r="DW36">
        <v>123.02</v>
      </c>
      <c r="DX36">
        <v>122.753</v>
      </c>
      <c r="DY36">
        <v>1.71</v>
      </c>
    </row>
    <row r="37" spans="16:129" x14ac:dyDescent="0.25">
      <c r="P37" s="1">
        <v>42741</v>
      </c>
      <c r="Q37">
        <v>118.30200000000001</v>
      </c>
      <c r="R37">
        <v>118.30200000000001</v>
      </c>
      <c r="S37">
        <v>2.343</v>
      </c>
      <c r="AE37" s="1">
        <v>42725</v>
      </c>
      <c r="AF37">
        <v>116.85599999999999</v>
      </c>
      <c r="AG37">
        <v>116.85599999999999</v>
      </c>
      <c r="AH37">
        <v>2.19</v>
      </c>
      <c r="AY37" s="1">
        <v>42675</v>
      </c>
      <c r="AZ37">
        <v>102.02800000000001</v>
      </c>
      <c r="BA37">
        <v>102.02800000000001</v>
      </c>
      <c r="BB37">
        <v>1.444</v>
      </c>
      <c r="BN37" s="1">
        <v>42720</v>
      </c>
      <c r="BO37">
        <v>116.248</v>
      </c>
      <c r="BP37">
        <v>116.248</v>
      </c>
      <c r="BQ37">
        <v>2.63</v>
      </c>
      <c r="BX37" s="1">
        <v>42765</v>
      </c>
      <c r="BY37">
        <v>115.952</v>
      </c>
      <c r="BZ37">
        <v>115.952</v>
      </c>
      <c r="CA37">
        <v>1.9279999999999999</v>
      </c>
      <c r="CM37" s="1">
        <v>42628</v>
      </c>
      <c r="CN37">
        <v>103.04600000000001</v>
      </c>
      <c r="CO37">
        <v>103.04600000000001</v>
      </c>
      <c r="CP37">
        <v>0.61399999999999999</v>
      </c>
      <c r="CR37" s="1">
        <v>42713</v>
      </c>
      <c r="CS37">
        <v>121.824</v>
      </c>
      <c r="CT37">
        <v>121.547</v>
      </c>
      <c r="CU37">
        <v>2.472</v>
      </c>
      <c r="DV37" s="1">
        <v>42437</v>
      </c>
      <c r="DW37">
        <v>123.09099999999999</v>
      </c>
      <c r="DX37">
        <v>122.824</v>
      </c>
      <c r="DY37">
        <v>1.7</v>
      </c>
    </row>
    <row r="38" spans="16:129" x14ac:dyDescent="0.25">
      <c r="P38" s="1">
        <v>42755</v>
      </c>
      <c r="Q38">
        <v>116.754</v>
      </c>
      <c r="R38">
        <v>116.754</v>
      </c>
      <c r="S38">
        <v>2.5380000000000003</v>
      </c>
      <c r="AE38" s="1">
        <v>42727</v>
      </c>
      <c r="AF38">
        <v>116.974</v>
      </c>
      <c r="AG38">
        <v>116.974</v>
      </c>
      <c r="AH38">
        <v>2.17</v>
      </c>
      <c r="AY38" s="1">
        <v>42676</v>
      </c>
      <c r="AZ38">
        <v>102.444</v>
      </c>
      <c r="BA38">
        <v>102.444</v>
      </c>
      <c r="BB38">
        <v>0.67100000000000004</v>
      </c>
      <c r="BN38" s="1">
        <v>42731</v>
      </c>
      <c r="BO38">
        <v>116.25</v>
      </c>
      <c r="BP38">
        <v>116.25</v>
      </c>
      <c r="BQ38">
        <v>2.6230000000000002</v>
      </c>
      <c r="BX38" s="1">
        <v>42774</v>
      </c>
      <c r="BY38">
        <v>116.6</v>
      </c>
      <c r="BZ38">
        <v>116.6</v>
      </c>
      <c r="CA38">
        <v>1.798</v>
      </c>
      <c r="CM38" s="1">
        <v>42632</v>
      </c>
      <c r="CN38">
        <v>102.572</v>
      </c>
      <c r="CO38">
        <v>102.572</v>
      </c>
      <c r="CP38">
        <v>1.2509999999999999</v>
      </c>
      <c r="CR38" s="1">
        <v>42716</v>
      </c>
      <c r="CS38">
        <v>121.752</v>
      </c>
      <c r="CT38">
        <v>121.47499999999999</v>
      </c>
      <c r="CU38">
        <v>2.4790000000000001</v>
      </c>
      <c r="DV38" s="1">
        <v>42438</v>
      </c>
      <c r="DW38">
        <v>122.91</v>
      </c>
      <c r="DX38">
        <v>122.643</v>
      </c>
      <c r="DY38">
        <v>1.72</v>
      </c>
    </row>
    <row r="39" spans="16:129" x14ac:dyDescent="0.25">
      <c r="P39" s="1">
        <v>42769</v>
      </c>
      <c r="Q39">
        <v>117.95099999999999</v>
      </c>
      <c r="R39">
        <v>117.95099999999999</v>
      </c>
      <c r="S39">
        <v>2.367</v>
      </c>
      <c r="AE39" s="1">
        <v>42732</v>
      </c>
      <c r="AF39">
        <v>115.548</v>
      </c>
      <c r="AG39">
        <v>115.548</v>
      </c>
      <c r="AH39">
        <v>2.3849999999999998</v>
      </c>
      <c r="AY39" s="1">
        <v>42677</v>
      </c>
      <c r="AZ39">
        <v>102.426</v>
      </c>
      <c r="BA39">
        <v>102.426</v>
      </c>
      <c r="BB39">
        <v>0.68100000000000005</v>
      </c>
      <c r="BN39" s="1">
        <v>42733</v>
      </c>
      <c r="BO39">
        <v>117.379</v>
      </c>
      <c r="BP39">
        <v>117.379</v>
      </c>
      <c r="BQ39">
        <v>2.4699999999999998</v>
      </c>
      <c r="BX39" s="1">
        <v>42781</v>
      </c>
      <c r="BY39">
        <v>115.06</v>
      </c>
      <c r="BZ39">
        <v>115.06</v>
      </c>
      <c r="CA39">
        <v>2.0609999999999999</v>
      </c>
      <c r="CM39" s="1">
        <v>42633</v>
      </c>
      <c r="CN39">
        <v>102.77200000000001</v>
      </c>
      <c r="CO39">
        <v>102.77200000000001</v>
      </c>
      <c r="CP39">
        <v>0.95099999999999996</v>
      </c>
      <c r="CR39" s="1">
        <v>42717</v>
      </c>
      <c r="CS39">
        <v>121.685</v>
      </c>
      <c r="CT39">
        <v>121.407</v>
      </c>
      <c r="CU39">
        <v>2.4849999999999999</v>
      </c>
      <c r="DV39" s="1">
        <v>42439</v>
      </c>
      <c r="DW39">
        <v>122.69799999999999</v>
      </c>
      <c r="DX39">
        <v>122.431</v>
      </c>
      <c r="DY39">
        <v>1.746</v>
      </c>
    </row>
    <row r="40" spans="16:129" x14ac:dyDescent="0.25">
      <c r="P40" s="1">
        <v>42772</v>
      </c>
      <c r="Q40">
        <v>118.54600000000001</v>
      </c>
      <c r="R40">
        <v>118.54600000000001</v>
      </c>
      <c r="S40">
        <v>2.2869999999999999</v>
      </c>
      <c r="AE40" s="1">
        <v>42733</v>
      </c>
      <c r="AF40">
        <v>116.351</v>
      </c>
      <c r="AG40">
        <v>116.351</v>
      </c>
      <c r="AH40">
        <v>2.2599999999999998</v>
      </c>
      <c r="AY40" s="1">
        <v>42682</v>
      </c>
      <c r="AZ40">
        <v>102.517</v>
      </c>
      <c r="BA40">
        <v>102.517</v>
      </c>
      <c r="BB40">
        <v>0.39100000000000001</v>
      </c>
      <c r="BN40" s="1">
        <v>42760</v>
      </c>
      <c r="BO40">
        <v>118.66</v>
      </c>
      <c r="BP40">
        <v>118.66</v>
      </c>
      <c r="BQ40">
        <v>2.2800000000000002</v>
      </c>
      <c r="BX40" s="1">
        <v>42782</v>
      </c>
      <c r="BY40">
        <v>115.35899999999999</v>
      </c>
      <c r="BZ40">
        <v>115.35899999999999</v>
      </c>
      <c r="CA40">
        <v>2.0059999999999998</v>
      </c>
      <c r="CM40" s="1">
        <v>42634</v>
      </c>
      <c r="CN40">
        <v>102.104</v>
      </c>
      <c r="CO40">
        <v>102.104</v>
      </c>
      <c r="CP40">
        <v>1.87</v>
      </c>
      <c r="CR40" s="1">
        <v>42718</v>
      </c>
      <c r="CS40">
        <v>121.73399999999999</v>
      </c>
      <c r="CT40">
        <v>121.45699999999999</v>
      </c>
      <c r="CU40">
        <v>2.4779999999999998</v>
      </c>
      <c r="DV40" s="1">
        <v>42440</v>
      </c>
      <c r="DW40">
        <v>122.572</v>
      </c>
      <c r="DX40">
        <v>122.304</v>
      </c>
      <c r="DY40">
        <v>1.7610000000000001</v>
      </c>
    </row>
    <row r="41" spans="16:129" x14ac:dyDescent="0.25">
      <c r="P41" s="1">
        <v>42775</v>
      </c>
      <c r="Q41">
        <v>119.419</v>
      </c>
      <c r="R41">
        <v>119.419</v>
      </c>
      <c r="S41">
        <v>2.1680000000000001</v>
      </c>
      <c r="AE41" s="1">
        <v>42738</v>
      </c>
      <c r="AF41">
        <v>117.599</v>
      </c>
      <c r="AG41">
        <v>117.599</v>
      </c>
      <c r="AH41">
        <v>2.0680000000000001</v>
      </c>
      <c r="AY41" s="1">
        <v>42689</v>
      </c>
      <c r="AZ41">
        <v>102.01300000000001</v>
      </c>
      <c r="BA41">
        <v>102.01300000000001</v>
      </c>
      <c r="BB41">
        <v>1.22</v>
      </c>
      <c r="BN41" s="1">
        <v>42761</v>
      </c>
      <c r="BO41">
        <v>117.952</v>
      </c>
      <c r="BP41">
        <v>117.952</v>
      </c>
      <c r="BQ41">
        <v>2.3730000000000002</v>
      </c>
      <c r="CM41" s="1">
        <v>42635</v>
      </c>
      <c r="CN41">
        <v>102.72799999999999</v>
      </c>
      <c r="CO41">
        <v>102.72799999999999</v>
      </c>
      <c r="CP41">
        <v>0.95099999999999996</v>
      </c>
      <c r="CR41" s="1">
        <v>42719</v>
      </c>
      <c r="CS41">
        <v>120.70099999999999</v>
      </c>
      <c r="CT41">
        <v>120.42400000000001</v>
      </c>
      <c r="CU41">
        <v>2.5869999999999997</v>
      </c>
      <c r="DV41" s="1">
        <v>42443</v>
      </c>
      <c r="DW41">
        <v>122.54900000000001</v>
      </c>
      <c r="DX41">
        <v>122.28100000000001</v>
      </c>
      <c r="DY41">
        <v>1.7629999999999999</v>
      </c>
    </row>
    <row r="42" spans="16:129" x14ac:dyDescent="0.25">
      <c r="P42" s="1">
        <v>42779</v>
      </c>
      <c r="Q42">
        <v>119.23699999999999</v>
      </c>
      <c r="R42">
        <v>119.23699999999999</v>
      </c>
      <c r="S42">
        <v>2.19</v>
      </c>
      <c r="AE42" s="1">
        <v>42753</v>
      </c>
      <c r="AF42">
        <v>116.878</v>
      </c>
      <c r="AG42">
        <v>116.878</v>
      </c>
      <c r="AH42">
        <v>2.16</v>
      </c>
      <c r="AY42" s="1">
        <v>42703</v>
      </c>
      <c r="AZ42">
        <v>101.747</v>
      </c>
      <c r="BA42">
        <v>101.747</v>
      </c>
      <c r="BB42">
        <v>1.4610000000000001</v>
      </c>
      <c r="BN42" s="1">
        <v>42766</v>
      </c>
      <c r="BO42">
        <v>118.616</v>
      </c>
      <c r="BP42">
        <v>118.616</v>
      </c>
      <c r="BQ42">
        <v>2.2829999999999999</v>
      </c>
      <c r="CM42" s="1">
        <v>42636</v>
      </c>
      <c r="CN42">
        <v>102.682</v>
      </c>
      <c r="CO42">
        <v>102.682</v>
      </c>
      <c r="CP42">
        <v>1.0009999999999999</v>
      </c>
      <c r="CR42" s="1">
        <v>42720</v>
      </c>
      <c r="CS42">
        <v>120.717</v>
      </c>
      <c r="CT42">
        <v>120.44</v>
      </c>
      <c r="CU42">
        <v>2.5840000000000001</v>
      </c>
      <c r="DV42" s="1">
        <v>42444</v>
      </c>
      <c r="DW42">
        <v>122.54600000000001</v>
      </c>
      <c r="DX42">
        <v>122.279</v>
      </c>
      <c r="DY42">
        <v>1.7629999999999999</v>
      </c>
    </row>
    <row r="43" spans="16:129" x14ac:dyDescent="0.25">
      <c r="AE43" s="1">
        <v>42758</v>
      </c>
      <c r="AF43">
        <v>117.04900000000001</v>
      </c>
      <c r="AG43">
        <v>117.04900000000001</v>
      </c>
      <c r="AH43">
        <v>2.13</v>
      </c>
      <c r="AY43" s="1">
        <v>42704</v>
      </c>
      <c r="AZ43">
        <v>101.746</v>
      </c>
      <c r="BA43">
        <v>101.746</v>
      </c>
      <c r="BB43">
        <v>1.403</v>
      </c>
      <c r="BN43" s="1">
        <v>42767</v>
      </c>
      <c r="BO43">
        <v>119</v>
      </c>
      <c r="BP43">
        <v>119</v>
      </c>
      <c r="BQ43">
        <v>2.23</v>
      </c>
      <c r="CM43" s="1">
        <v>42641</v>
      </c>
      <c r="CN43">
        <v>102.625</v>
      </c>
      <c r="CO43">
        <v>102.625</v>
      </c>
      <c r="CP43">
        <v>1.004</v>
      </c>
      <c r="CR43" s="1">
        <v>42723</v>
      </c>
      <c r="CS43">
        <v>120.898</v>
      </c>
      <c r="CT43">
        <v>120.621</v>
      </c>
      <c r="CU43">
        <v>2.5649999999999999</v>
      </c>
      <c r="DV43" s="1">
        <v>42445</v>
      </c>
      <c r="DW43">
        <v>122.602</v>
      </c>
      <c r="DX43">
        <v>122.334</v>
      </c>
      <c r="DY43">
        <v>1.752</v>
      </c>
    </row>
    <row r="44" spans="16:129" x14ac:dyDescent="0.25">
      <c r="AE44" s="1">
        <v>42775</v>
      </c>
      <c r="AF44">
        <v>117.892</v>
      </c>
      <c r="AG44">
        <v>117.892</v>
      </c>
      <c r="AH44">
        <v>1.9809999999999999</v>
      </c>
      <c r="AY44" s="1">
        <v>42710</v>
      </c>
      <c r="AZ44">
        <v>101.81399999999999</v>
      </c>
      <c r="BA44">
        <v>101.81399999999999</v>
      </c>
      <c r="BB44">
        <v>1.181</v>
      </c>
      <c r="BN44" s="1">
        <v>42774</v>
      </c>
      <c r="BO44">
        <v>119.959</v>
      </c>
      <c r="BP44">
        <v>119.959</v>
      </c>
      <c r="BQ44">
        <v>2.0979999999999999</v>
      </c>
      <c r="CM44" s="1">
        <v>42642</v>
      </c>
      <c r="CN44">
        <v>102.315</v>
      </c>
      <c r="CO44">
        <v>102.315</v>
      </c>
      <c r="CP44">
        <v>1.4510000000000001</v>
      </c>
      <c r="CR44" s="1">
        <v>42724</v>
      </c>
      <c r="CS44">
        <v>120.76900000000001</v>
      </c>
      <c r="CT44">
        <v>120.492</v>
      </c>
      <c r="CU44">
        <v>2.5779999999999998</v>
      </c>
      <c r="DV44" s="1">
        <v>42446</v>
      </c>
      <c r="DW44">
        <v>122.735</v>
      </c>
      <c r="DX44">
        <v>122.468</v>
      </c>
      <c r="DY44">
        <v>1.734</v>
      </c>
    </row>
    <row r="45" spans="16:129" x14ac:dyDescent="0.25">
      <c r="AE45" s="1">
        <v>42776</v>
      </c>
      <c r="AF45">
        <v>118.151</v>
      </c>
      <c r="AG45">
        <v>118.151</v>
      </c>
      <c r="AH45">
        <v>1.94</v>
      </c>
      <c r="AY45" s="1">
        <v>42713</v>
      </c>
      <c r="AZ45">
        <v>100.63200000000001</v>
      </c>
      <c r="BA45">
        <v>100.63200000000001</v>
      </c>
      <c r="BB45">
        <v>3.6080000000000001</v>
      </c>
      <c r="BN45" s="1">
        <v>42775</v>
      </c>
      <c r="BO45">
        <v>121.352</v>
      </c>
      <c r="BP45">
        <v>121.352</v>
      </c>
      <c r="BQ45">
        <v>1.9159999999999999</v>
      </c>
      <c r="CM45" s="1">
        <v>42643</v>
      </c>
      <c r="CN45">
        <v>102.82299999999999</v>
      </c>
      <c r="CO45">
        <v>102.82299999999999</v>
      </c>
      <c r="CP45">
        <v>0.67600000000000005</v>
      </c>
      <c r="CR45" s="1">
        <v>42725</v>
      </c>
      <c r="CS45">
        <v>120.85599999999999</v>
      </c>
      <c r="CT45">
        <v>120.57899999999999</v>
      </c>
      <c r="CU45">
        <v>2.5659999999999998</v>
      </c>
      <c r="DV45" s="1">
        <v>42447</v>
      </c>
      <c r="DW45">
        <v>122.71599999999999</v>
      </c>
      <c r="DX45">
        <v>122.449</v>
      </c>
      <c r="DY45">
        <v>1.736</v>
      </c>
    </row>
    <row r="46" spans="16:129" x14ac:dyDescent="0.25">
      <c r="AY46" s="1">
        <v>42724</v>
      </c>
      <c r="AZ46">
        <v>101.813</v>
      </c>
      <c r="BA46">
        <v>101.813</v>
      </c>
      <c r="BB46">
        <v>0.85099999999999998</v>
      </c>
      <c r="BN46" s="1">
        <v>42780</v>
      </c>
      <c r="BO46">
        <v>120.126</v>
      </c>
      <c r="BP46">
        <v>120.126</v>
      </c>
      <c r="BQ46">
        <v>2.073</v>
      </c>
      <c r="CM46" s="1">
        <v>42649</v>
      </c>
      <c r="CN46">
        <v>102.65</v>
      </c>
      <c r="CO46">
        <v>102.65</v>
      </c>
      <c r="CP46">
        <v>0.81299999999999994</v>
      </c>
      <c r="CR46" s="1">
        <v>42726</v>
      </c>
      <c r="CS46">
        <v>120.869</v>
      </c>
      <c r="CT46">
        <v>120.592</v>
      </c>
      <c r="CU46">
        <v>2.5640000000000001</v>
      </c>
      <c r="DV46" s="1">
        <v>42450</v>
      </c>
      <c r="DW46">
        <v>122.744</v>
      </c>
      <c r="DX46">
        <v>122.477</v>
      </c>
      <c r="DY46">
        <v>1.7309999999999999</v>
      </c>
    </row>
    <row r="47" spans="16:129" x14ac:dyDescent="0.25">
      <c r="AY47" s="1">
        <v>42738</v>
      </c>
      <c r="AZ47">
        <v>101.664</v>
      </c>
      <c r="BA47">
        <v>101.664</v>
      </c>
      <c r="BB47">
        <v>0.85</v>
      </c>
      <c r="CM47" s="1">
        <v>42650</v>
      </c>
      <c r="CN47">
        <v>102.621</v>
      </c>
      <c r="CO47">
        <v>102.621</v>
      </c>
      <c r="CP47">
        <v>0.84</v>
      </c>
      <c r="CR47" s="1">
        <v>42727</v>
      </c>
      <c r="CS47">
        <v>121.036</v>
      </c>
      <c r="CT47">
        <v>120.759</v>
      </c>
      <c r="CU47">
        <v>2.5460000000000003</v>
      </c>
      <c r="DV47" s="1">
        <v>42451</v>
      </c>
      <c r="DW47">
        <v>122.55500000000001</v>
      </c>
      <c r="DX47">
        <v>122.288</v>
      </c>
      <c r="DY47">
        <v>1.7509999999999999</v>
      </c>
    </row>
    <row r="48" spans="16:129" x14ac:dyDescent="0.25">
      <c r="AY48" s="1">
        <v>42746</v>
      </c>
      <c r="AZ48">
        <v>101.139</v>
      </c>
      <c r="BA48">
        <v>101.139</v>
      </c>
      <c r="BB48">
        <v>1.9060000000000001</v>
      </c>
      <c r="CM48" s="1">
        <v>42653</v>
      </c>
      <c r="CN48">
        <v>102.82599999999999</v>
      </c>
      <c r="CO48">
        <v>102.82599999999999</v>
      </c>
      <c r="CP48">
        <v>0.52400000000000002</v>
      </c>
      <c r="CR48" s="1">
        <v>42731</v>
      </c>
      <c r="CS48">
        <v>121.134</v>
      </c>
      <c r="CT48">
        <v>120.857</v>
      </c>
      <c r="CU48">
        <v>2.5350000000000001</v>
      </c>
      <c r="DV48" s="1">
        <v>42452</v>
      </c>
      <c r="DW48">
        <v>122.36</v>
      </c>
      <c r="DX48">
        <v>122.093</v>
      </c>
      <c r="DY48">
        <v>1.776</v>
      </c>
    </row>
    <row r="49" spans="51:129" x14ac:dyDescent="0.25">
      <c r="AY49" s="1">
        <v>42747</v>
      </c>
      <c r="AZ49">
        <v>101.488</v>
      </c>
      <c r="BA49">
        <v>101.488</v>
      </c>
      <c r="BB49">
        <v>0.95199999999999996</v>
      </c>
      <c r="CM49" s="1">
        <v>42654</v>
      </c>
      <c r="CN49">
        <v>102.699</v>
      </c>
      <c r="CO49">
        <v>102.699</v>
      </c>
      <c r="CP49">
        <v>0.70099999999999996</v>
      </c>
      <c r="CR49" s="1">
        <v>42732</v>
      </c>
      <c r="CS49">
        <v>121.3</v>
      </c>
      <c r="CT49">
        <v>121.023</v>
      </c>
      <c r="CU49">
        <v>2.516</v>
      </c>
      <c r="DV49" s="1">
        <v>42453</v>
      </c>
      <c r="DW49">
        <v>122.718</v>
      </c>
      <c r="DX49">
        <v>122.581</v>
      </c>
      <c r="DY49">
        <v>1.7109999999999999</v>
      </c>
    </row>
    <row r="50" spans="51:129" x14ac:dyDescent="0.25">
      <c r="AY50" s="1">
        <v>42753</v>
      </c>
      <c r="AZ50">
        <v>101.27</v>
      </c>
      <c r="BA50">
        <v>101.27</v>
      </c>
      <c r="BB50">
        <v>1.4</v>
      </c>
      <c r="CM50" s="1">
        <v>42664</v>
      </c>
      <c r="CN50">
        <v>101.718</v>
      </c>
      <c r="CO50">
        <v>101.718</v>
      </c>
      <c r="CP50">
        <v>2.0870000000000002</v>
      </c>
      <c r="CR50" s="1">
        <v>42733</v>
      </c>
      <c r="CS50">
        <v>121.714</v>
      </c>
      <c r="CT50">
        <v>121.437</v>
      </c>
      <c r="CU50">
        <v>2.472</v>
      </c>
      <c r="DV50" s="1">
        <v>42457</v>
      </c>
      <c r="DW50">
        <v>122.717</v>
      </c>
      <c r="DX50">
        <v>122.58</v>
      </c>
      <c r="DY50">
        <v>1.71</v>
      </c>
    </row>
    <row r="51" spans="51:129" x14ac:dyDescent="0.25">
      <c r="AY51" s="1">
        <v>42754</v>
      </c>
      <c r="AZ51">
        <v>101.42100000000001</v>
      </c>
      <c r="BA51">
        <v>101.42100000000001</v>
      </c>
      <c r="BB51">
        <v>0.95099999999999996</v>
      </c>
      <c r="CM51" s="1">
        <v>42667</v>
      </c>
      <c r="CN51">
        <v>102.545</v>
      </c>
      <c r="CO51">
        <v>102.545</v>
      </c>
      <c r="CP51">
        <v>0.70099999999999996</v>
      </c>
      <c r="CR51" s="1">
        <v>42734</v>
      </c>
      <c r="CS51">
        <v>121.902</v>
      </c>
      <c r="CT51">
        <v>121.625</v>
      </c>
      <c r="CU51">
        <v>2.4510000000000001</v>
      </c>
      <c r="DV51" s="1">
        <v>42458</v>
      </c>
      <c r="DW51">
        <v>123.176</v>
      </c>
      <c r="DX51">
        <v>123.03700000000001</v>
      </c>
      <c r="DY51">
        <v>1.651</v>
      </c>
    </row>
    <row r="52" spans="51:129" x14ac:dyDescent="0.25">
      <c r="AY52" s="1">
        <v>42755</v>
      </c>
      <c r="AZ52">
        <v>101.48099999999999</v>
      </c>
      <c r="BA52">
        <v>101.48099999999999</v>
      </c>
      <c r="BB52">
        <v>0.752</v>
      </c>
      <c r="CM52" s="1">
        <v>42668</v>
      </c>
      <c r="CN52">
        <v>102.008</v>
      </c>
      <c r="CO52">
        <v>102.008</v>
      </c>
      <c r="CP52">
        <v>1.575</v>
      </c>
      <c r="CR52" s="1">
        <v>42738</v>
      </c>
      <c r="CS52">
        <v>121.99299999999999</v>
      </c>
      <c r="CT52">
        <v>121.71599999999999</v>
      </c>
      <c r="CU52">
        <v>2.4409999999999998</v>
      </c>
      <c r="DV52" s="1">
        <v>42459</v>
      </c>
      <c r="DW52">
        <v>123.053</v>
      </c>
      <c r="DX52">
        <v>122.916</v>
      </c>
      <c r="DY52">
        <v>1.6640000000000001</v>
      </c>
    </row>
    <row r="53" spans="51:129" x14ac:dyDescent="0.25">
      <c r="AY53" s="1">
        <v>42768</v>
      </c>
      <c r="AZ53">
        <v>101.42700000000001</v>
      </c>
      <c r="BA53">
        <v>101.42700000000001</v>
      </c>
      <c r="BB53">
        <v>0.48199999999999998</v>
      </c>
      <c r="CM53" s="1">
        <v>42670</v>
      </c>
      <c r="CN53">
        <v>102.438</v>
      </c>
      <c r="CO53">
        <v>102.438</v>
      </c>
      <c r="CP53">
        <v>0.80100000000000005</v>
      </c>
      <c r="CR53" s="1">
        <v>42739</v>
      </c>
      <c r="CS53">
        <v>122.431</v>
      </c>
      <c r="CT53">
        <v>122.154</v>
      </c>
      <c r="CU53">
        <v>2.3940000000000001</v>
      </c>
      <c r="DV53" s="1">
        <v>42460</v>
      </c>
      <c r="DW53">
        <v>123.488</v>
      </c>
      <c r="DX53">
        <v>123.351</v>
      </c>
      <c r="DY53">
        <v>1.607</v>
      </c>
    </row>
    <row r="54" spans="51:129" x14ac:dyDescent="0.25">
      <c r="AY54" s="1">
        <v>42774</v>
      </c>
      <c r="AZ54">
        <v>100.976</v>
      </c>
      <c r="BA54">
        <v>100.976</v>
      </c>
      <c r="BB54">
        <v>1.7130000000000001</v>
      </c>
      <c r="CM54" s="1">
        <v>42675</v>
      </c>
      <c r="CN54">
        <v>102.004</v>
      </c>
      <c r="CO54">
        <v>102.004</v>
      </c>
      <c r="CP54">
        <v>1.4849999999999999</v>
      </c>
      <c r="CR54" s="1">
        <v>42740</v>
      </c>
      <c r="CS54">
        <v>122.81699999999999</v>
      </c>
      <c r="CT54">
        <v>122.54</v>
      </c>
      <c r="CU54">
        <v>2.3529999999999998</v>
      </c>
      <c r="DV54" s="1">
        <v>42461</v>
      </c>
      <c r="DW54">
        <v>123.483</v>
      </c>
      <c r="DX54">
        <v>123.346</v>
      </c>
      <c r="DY54">
        <v>1.6059999999999999</v>
      </c>
    </row>
    <row r="55" spans="51:129" x14ac:dyDescent="0.25">
      <c r="AY55" s="1">
        <v>42776</v>
      </c>
      <c r="AZ55">
        <v>101.15600000000001</v>
      </c>
      <c r="BA55">
        <v>101.15600000000001</v>
      </c>
      <c r="BB55">
        <v>1.0509999999999999</v>
      </c>
      <c r="CM55" s="1">
        <v>42684</v>
      </c>
      <c r="CN55">
        <v>102.099</v>
      </c>
      <c r="CO55">
        <v>102.099</v>
      </c>
      <c r="CP55">
        <v>1.1020000000000001</v>
      </c>
      <c r="CR55" s="1">
        <v>42741</v>
      </c>
      <c r="CS55">
        <v>123.33199999999999</v>
      </c>
      <c r="CT55">
        <v>123.236</v>
      </c>
      <c r="CU55">
        <v>2.2800000000000002</v>
      </c>
      <c r="DV55" s="1">
        <v>42464</v>
      </c>
      <c r="DW55">
        <v>123.64400000000001</v>
      </c>
      <c r="DX55">
        <v>123.508</v>
      </c>
      <c r="DY55">
        <v>1.5840000000000001</v>
      </c>
    </row>
    <row r="56" spans="51:129" x14ac:dyDescent="0.25">
      <c r="AY56" s="1">
        <v>42779</v>
      </c>
      <c r="AZ56">
        <v>101.175</v>
      </c>
      <c r="BA56">
        <v>101.175</v>
      </c>
      <c r="BB56">
        <v>0.95</v>
      </c>
      <c r="CM56" s="1">
        <v>42689</v>
      </c>
      <c r="CN56">
        <v>102.078</v>
      </c>
      <c r="CO56">
        <v>102.078</v>
      </c>
      <c r="CP56">
        <v>1.101</v>
      </c>
      <c r="CR56" s="1">
        <v>42744</v>
      </c>
      <c r="CS56">
        <v>123.221</v>
      </c>
      <c r="CT56">
        <v>123.123</v>
      </c>
      <c r="CU56">
        <v>2.2909999999999999</v>
      </c>
      <c r="DV56" s="1">
        <v>42465</v>
      </c>
      <c r="DW56">
        <v>123.986</v>
      </c>
      <c r="DX56">
        <v>123.849</v>
      </c>
      <c r="DY56">
        <v>1.5390000000000001</v>
      </c>
    </row>
    <row r="57" spans="51:129" x14ac:dyDescent="0.25">
      <c r="AY57" s="1">
        <v>42782</v>
      </c>
      <c r="AZ57">
        <v>100.372</v>
      </c>
      <c r="BA57">
        <v>100.372</v>
      </c>
      <c r="BB57">
        <v>3.593</v>
      </c>
      <c r="CM57" s="1">
        <v>42703</v>
      </c>
      <c r="CN57">
        <v>101.747</v>
      </c>
      <c r="CO57">
        <v>101.747</v>
      </c>
      <c r="CP57">
        <v>1.4610000000000001</v>
      </c>
      <c r="CR57" s="1">
        <v>42745</v>
      </c>
      <c r="CS57">
        <v>123.53400000000001</v>
      </c>
      <c r="CT57">
        <v>123.438</v>
      </c>
      <c r="CU57">
        <v>2.258</v>
      </c>
      <c r="DV57" s="1">
        <v>42466</v>
      </c>
      <c r="DW57">
        <v>124.316</v>
      </c>
      <c r="DX57">
        <v>124.18</v>
      </c>
      <c r="DY57">
        <v>1.494</v>
      </c>
    </row>
    <row r="58" spans="51:129" x14ac:dyDescent="0.25">
      <c r="AY58" s="1">
        <v>42783</v>
      </c>
      <c r="AZ58">
        <v>101.166</v>
      </c>
      <c r="BA58">
        <v>101.166</v>
      </c>
      <c r="BB58">
        <v>0.70099999999999996</v>
      </c>
      <c r="CM58" s="1">
        <v>42704</v>
      </c>
      <c r="CN58">
        <v>101.94499999999999</v>
      </c>
      <c r="CO58">
        <v>101.94499999999999</v>
      </c>
      <c r="CP58">
        <v>1.002</v>
      </c>
      <c r="CR58" s="1">
        <v>42746</v>
      </c>
      <c r="CS58">
        <v>123.629</v>
      </c>
      <c r="CT58">
        <v>123.53</v>
      </c>
      <c r="CU58">
        <v>2.246</v>
      </c>
      <c r="DV58" s="1">
        <v>42467</v>
      </c>
      <c r="DW58">
        <v>124.52200000000001</v>
      </c>
      <c r="DX58">
        <v>124.386</v>
      </c>
      <c r="DY58">
        <v>1.466</v>
      </c>
    </row>
    <row r="59" spans="51:129" x14ac:dyDescent="0.25">
      <c r="CM59" s="1">
        <v>42710</v>
      </c>
      <c r="CN59">
        <v>101.605</v>
      </c>
      <c r="CO59">
        <v>101.605</v>
      </c>
      <c r="CP59">
        <v>1.613</v>
      </c>
      <c r="CR59" s="1">
        <v>42747</v>
      </c>
      <c r="CS59">
        <v>124.036</v>
      </c>
      <c r="CT59">
        <v>123.937</v>
      </c>
      <c r="CU59">
        <v>2.2029999999999998</v>
      </c>
      <c r="DV59" s="1">
        <v>42468</v>
      </c>
      <c r="DW59">
        <v>124.56100000000001</v>
      </c>
      <c r="DX59">
        <v>124.42400000000001</v>
      </c>
      <c r="DY59">
        <v>1.46</v>
      </c>
    </row>
    <row r="60" spans="51:129" x14ac:dyDescent="0.25">
      <c r="CM60" s="1">
        <v>42711</v>
      </c>
      <c r="CN60">
        <v>101.81100000000001</v>
      </c>
      <c r="CO60">
        <v>101.81100000000001</v>
      </c>
      <c r="CP60">
        <v>1.1200000000000001</v>
      </c>
      <c r="CR60" s="1">
        <v>42748</v>
      </c>
      <c r="CS60">
        <v>123.964</v>
      </c>
      <c r="CT60">
        <v>123.866</v>
      </c>
      <c r="CU60">
        <v>2.21</v>
      </c>
      <c r="DV60" s="1">
        <v>42471</v>
      </c>
      <c r="DW60">
        <v>124.55500000000001</v>
      </c>
      <c r="DX60">
        <v>124.419</v>
      </c>
      <c r="DY60">
        <v>1.46</v>
      </c>
    </row>
    <row r="61" spans="51:129" x14ac:dyDescent="0.25">
      <c r="CM61" s="1">
        <v>42713</v>
      </c>
      <c r="CN61">
        <v>100.608</v>
      </c>
      <c r="CO61">
        <v>100.608</v>
      </c>
      <c r="CP61">
        <v>3.66</v>
      </c>
      <c r="CR61" s="1">
        <v>42752</v>
      </c>
      <c r="CS61">
        <v>123.91800000000001</v>
      </c>
      <c r="CT61">
        <v>123.84399999999999</v>
      </c>
      <c r="CU61">
        <v>2.2109999999999999</v>
      </c>
      <c r="DV61" s="1">
        <v>42472</v>
      </c>
      <c r="DW61">
        <v>124.37</v>
      </c>
      <c r="DX61">
        <v>124.233</v>
      </c>
      <c r="DY61">
        <v>1.482</v>
      </c>
    </row>
    <row r="62" spans="51:129" x14ac:dyDescent="0.25">
      <c r="CM62" s="1">
        <v>42726</v>
      </c>
      <c r="CN62">
        <v>101.43</v>
      </c>
      <c r="CO62">
        <v>101.43</v>
      </c>
      <c r="CP62">
        <v>1.6059999999999999</v>
      </c>
      <c r="CR62" s="1">
        <v>42753</v>
      </c>
      <c r="CS62">
        <v>123.79</v>
      </c>
      <c r="CT62">
        <v>123.714</v>
      </c>
      <c r="CU62">
        <v>2.2229999999999999</v>
      </c>
      <c r="DV62" s="1">
        <v>42473</v>
      </c>
      <c r="DW62">
        <v>124.42700000000001</v>
      </c>
      <c r="DX62">
        <v>124.29</v>
      </c>
      <c r="DY62">
        <v>1.472</v>
      </c>
    </row>
    <row r="63" spans="51:129" x14ac:dyDescent="0.25">
      <c r="CM63" s="1">
        <v>42738</v>
      </c>
      <c r="CN63">
        <v>101.664</v>
      </c>
      <c r="CO63">
        <v>101.664</v>
      </c>
      <c r="CP63">
        <v>0.85</v>
      </c>
      <c r="CR63" s="1">
        <v>42754</v>
      </c>
      <c r="CS63">
        <v>122.926</v>
      </c>
      <c r="CT63">
        <v>122.851</v>
      </c>
      <c r="CU63">
        <v>2.3119999999999998</v>
      </c>
      <c r="DV63" s="1">
        <v>42474</v>
      </c>
      <c r="DW63">
        <v>124.321</v>
      </c>
      <c r="DX63">
        <v>124.18300000000001</v>
      </c>
      <c r="DY63">
        <v>1.484</v>
      </c>
    </row>
    <row r="64" spans="51:129" x14ac:dyDescent="0.25">
      <c r="CM64" s="1">
        <v>42741</v>
      </c>
      <c r="CN64">
        <v>101.22</v>
      </c>
      <c r="CO64">
        <v>101.22</v>
      </c>
      <c r="CP64">
        <v>1.83</v>
      </c>
      <c r="CR64" s="1">
        <v>42755</v>
      </c>
      <c r="CS64">
        <v>122.244</v>
      </c>
      <c r="CT64">
        <v>122.16800000000001</v>
      </c>
      <c r="CU64">
        <v>2.383</v>
      </c>
      <c r="DV64" s="1">
        <v>42475</v>
      </c>
      <c r="DW64">
        <v>124.592</v>
      </c>
      <c r="DX64">
        <v>124.45699999999999</v>
      </c>
      <c r="DY64">
        <v>1.448</v>
      </c>
    </row>
    <row r="65" spans="91:129" x14ac:dyDescent="0.25">
      <c r="CM65" s="1">
        <v>42744</v>
      </c>
      <c r="CN65">
        <v>101.675</v>
      </c>
      <c r="CO65">
        <v>101.675</v>
      </c>
      <c r="CP65">
        <v>0.64700000000000002</v>
      </c>
      <c r="CR65" s="1">
        <v>42758</v>
      </c>
      <c r="CS65">
        <v>122.42700000000001</v>
      </c>
      <c r="CT65">
        <v>122.354</v>
      </c>
      <c r="CU65">
        <v>2.363</v>
      </c>
      <c r="DV65" s="1">
        <v>42478</v>
      </c>
      <c r="DW65">
        <v>124.634</v>
      </c>
      <c r="DX65">
        <v>124.497</v>
      </c>
      <c r="DY65">
        <v>1.4419999999999999</v>
      </c>
    </row>
    <row r="66" spans="91:129" x14ac:dyDescent="0.25">
      <c r="CM66" s="1">
        <v>42746</v>
      </c>
      <c r="CN66">
        <v>101.139</v>
      </c>
      <c r="CO66">
        <v>101.139</v>
      </c>
      <c r="CP66">
        <v>1.9060000000000001</v>
      </c>
      <c r="CR66" s="1">
        <v>42759</v>
      </c>
      <c r="CS66">
        <v>122.426</v>
      </c>
      <c r="CT66">
        <v>122.349</v>
      </c>
      <c r="CU66">
        <v>2.363</v>
      </c>
      <c r="DV66" s="1">
        <v>42479</v>
      </c>
      <c r="DW66">
        <v>124.566</v>
      </c>
      <c r="DX66">
        <v>124.431</v>
      </c>
      <c r="DY66">
        <v>1.4490000000000001</v>
      </c>
    </row>
    <row r="67" spans="91:129" x14ac:dyDescent="0.25">
      <c r="CM67" s="1">
        <v>42753</v>
      </c>
      <c r="CN67">
        <v>101.58199999999999</v>
      </c>
      <c r="CO67">
        <v>101.58199999999999</v>
      </c>
      <c r="CP67">
        <v>0.53800000000000003</v>
      </c>
      <c r="CR67" s="1">
        <v>42760</v>
      </c>
      <c r="CS67">
        <v>121.979</v>
      </c>
      <c r="CT67">
        <v>121.90300000000001</v>
      </c>
      <c r="CU67">
        <v>2.4079999999999999</v>
      </c>
      <c r="DV67" s="1">
        <v>42480</v>
      </c>
      <c r="DW67">
        <v>124.636</v>
      </c>
      <c r="DX67">
        <v>124.501</v>
      </c>
      <c r="DY67">
        <v>1.4370000000000001</v>
      </c>
    </row>
    <row r="68" spans="91:129" x14ac:dyDescent="0.25">
      <c r="CM68" s="1">
        <v>42754</v>
      </c>
      <c r="CN68">
        <v>101.46299999999999</v>
      </c>
      <c r="CO68">
        <v>101.46299999999999</v>
      </c>
      <c r="CP68">
        <v>0.83499999999999996</v>
      </c>
      <c r="CR68" s="1">
        <v>42761</v>
      </c>
      <c r="CS68">
        <v>121.85899999999999</v>
      </c>
      <c r="CT68">
        <v>121.785</v>
      </c>
      <c r="CU68">
        <v>2.419</v>
      </c>
      <c r="DV68" s="1">
        <v>42481</v>
      </c>
      <c r="DW68">
        <v>124.31399999999999</v>
      </c>
      <c r="DX68">
        <v>124.17700000000001</v>
      </c>
      <c r="DY68">
        <v>1.4769999999999999</v>
      </c>
    </row>
    <row r="69" spans="91:129" x14ac:dyDescent="0.25">
      <c r="CM69" s="1">
        <v>42755</v>
      </c>
      <c r="CN69">
        <v>101.303</v>
      </c>
      <c r="CO69">
        <v>101.303</v>
      </c>
      <c r="CP69">
        <v>1.2509999999999999</v>
      </c>
      <c r="CR69" s="1">
        <v>42762</v>
      </c>
      <c r="CS69">
        <v>121.825</v>
      </c>
      <c r="CT69">
        <v>121.752</v>
      </c>
      <c r="CU69">
        <v>2.423</v>
      </c>
      <c r="DV69" s="1">
        <v>42482</v>
      </c>
      <c r="DW69">
        <v>124.298</v>
      </c>
      <c r="DX69">
        <v>124.16200000000001</v>
      </c>
      <c r="DY69">
        <v>1.478</v>
      </c>
    </row>
    <row r="70" spans="91:129" x14ac:dyDescent="0.25">
      <c r="CM70" s="1">
        <v>42761</v>
      </c>
      <c r="CN70">
        <v>101.068</v>
      </c>
      <c r="CO70">
        <v>101.068</v>
      </c>
      <c r="CP70">
        <v>1.762</v>
      </c>
      <c r="CR70" s="1">
        <v>42765</v>
      </c>
      <c r="CS70">
        <v>121.86499999999999</v>
      </c>
      <c r="CT70">
        <v>121.789</v>
      </c>
      <c r="CU70">
        <v>2.4180000000000001</v>
      </c>
      <c r="DV70" s="1">
        <v>42485</v>
      </c>
      <c r="DW70">
        <v>124.27</v>
      </c>
      <c r="DX70">
        <v>124.13500000000001</v>
      </c>
      <c r="DY70">
        <v>1.48</v>
      </c>
    </row>
    <row r="71" spans="91:129" x14ac:dyDescent="0.25">
      <c r="CM71" s="1">
        <v>42772</v>
      </c>
      <c r="CN71">
        <v>101.107</v>
      </c>
      <c r="CO71">
        <v>101.107</v>
      </c>
      <c r="CP71">
        <v>1.413</v>
      </c>
      <c r="CR71" s="1">
        <v>42766</v>
      </c>
      <c r="CS71">
        <v>122.119</v>
      </c>
      <c r="CT71">
        <v>122.045</v>
      </c>
      <c r="CU71">
        <v>2.391</v>
      </c>
      <c r="DV71" s="1">
        <v>42486</v>
      </c>
      <c r="DW71">
        <v>124.355</v>
      </c>
      <c r="DX71">
        <v>124.221</v>
      </c>
      <c r="DY71">
        <v>1.468</v>
      </c>
    </row>
    <row r="72" spans="91:129" x14ac:dyDescent="0.25">
      <c r="CM72" s="1">
        <v>42773</v>
      </c>
      <c r="CN72">
        <v>101.31100000000001</v>
      </c>
      <c r="CO72">
        <v>101.31100000000001</v>
      </c>
      <c r="CP72">
        <v>0.73199999999999998</v>
      </c>
      <c r="CR72" s="1">
        <v>42767</v>
      </c>
      <c r="CS72">
        <v>121.908</v>
      </c>
      <c r="CT72">
        <v>121.83499999999999</v>
      </c>
      <c r="CU72">
        <v>2.411</v>
      </c>
      <c r="DV72" s="1">
        <v>42487</v>
      </c>
      <c r="DW72">
        <v>124.301</v>
      </c>
      <c r="DX72">
        <v>124.16500000000001</v>
      </c>
      <c r="DY72">
        <v>1.472</v>
      </c>
    </row>
    <row r="73" spans="91:129" x14ac:dyDescent="0.25">
      <c r="CM73" s="1">
        <v>42776</v>
      </c>
      <c r="CN73">
        <v>101.111</v>
      </c>
      <c r="CO73">
        <v>101.111</v>
      </c>
      <c r="CP73">
        <v>1.2010000000000001</v>
      </c>
      <c r="CR73" s="1">
        <v>42768</v>
      </c>
      <c r="CS73">
        <v>122.774</v>
      </c>
      <c r="CT73">
        <v>122.70099999999999</v>
      </c>
      <c r="CU73">
        <v>2.319</v>
      </c>
      <c r="DV73" s="1">
        <v>42488</v>
      </c>
      <c r="DW73">
        <v>124.51600000000001</v>
      </c>
      <c r="DX73">
        <v>124.379</v>
      </c>
      <c r="DY73">
        <v>1.4430000000000001</v>
      </c>
    </row>
    <row r="74" spans="91:129" x14ac:dyDescent="0.25">
      <c r="CM74" s="1">
        <v>42779</v>
      </c>
      <c r="CN74">
        <v>101.258</v>
      </c>
      <c r="CO74">
        <v>101.258</v>
      </c>
      <c r="CP74">
        <v>0.67100000000000004</v>
      </c>
      <c r="CR74" s="1">
        <v>42769</v>
      </c>
      <c r="CS74">
        <v>122.81399999999999</v>
      </c>
      <c r="CT74">
        <v>122.74</v>
      </c>
      <c r="CU74">
        <v>2.3149999999999999</v>
      </c>
      <c r="DV74" s="1">
        <v>42489</v>
      </c>
      <c r="DW74">
        <v>124.55</v>
      </c>
      <c r="DX74">
        <v>124.414</v>
      </c>
      <c r="DY74">
        <v>1.4379999999999999</v>
      </c>
    </row>
    <row r="75" spans="91:129" x14ac:dyDescent="0.25">
      <c r="CM75" s="1">
        <v>42780</v>
      </c>
      <c r="CN75">
        <v>101.193</v>
      </c>
      <c r="CO75">
        <v>101.193</v>
      </c>
      <c r="CP75">
        <v>0.85099999999999998</v>
      </c>
      <c r="CR75" s="1">
        <v>42772</v>
      </c>
      <c r="CS75">
        <v>122.88200000000001</v>
      </c>
      <c r="CT75">
        <v>122.80800000000001</v>
      </c>
      <c r="CU75">
        <v>2.3069999999999999</v>
      </c>
      <c r="DV75" s="1">
        <v>42492</v>
      </c>
      <c r="DW75">
        <v>124.639</v>
      </c>
      <c r="DX75">
        <v>124.378</v>
      </c>
      <c r="DY75">
        <v>1.4410000000000001</v>
      </c>
    </row>
    <row r="76" spans="91:129" x14ac:dyDescent="0.25">
      <c r="CM76" s="1">
        <v>42783</v>
      </c>
      <c r="CN76">
        <v>101.08499999999999</v>
      </c>
      <c r="CO76">
        <v>101.08499999999999</v>
      </c>
      <c r="CP76">
        <v>0.99199999999999999</v>
      </c>
      <c r="CR76" s="1">
        <v>42773</v>
      </c>
      <c r="CS76">
        <v>122.98</v>
      </c>
      <c r="CT76">
        <v>122.90600000000001</v>
      </c>
      <c r="CU76">
        <v>2.2959999999999998</v>
      </c>
      <c r="DV76" s="1">
        <v>42493</v>
      </c>
      <c r="DW76">
        <v>124.94</v>
      </c>
      <c r="DX76">
        <v>124.679</v>
      </c>
      <c r="DY76">
        <v>1.401</v>
      </c>
    </row>
    <row r="77" spans="91:129" x14ac:dyDescent="0.25">
      <c r="CR77" s="1">
        <v>42774</v>
      </c>
      <c r="CS77">
        <v>123.17400000000001</v>
      </c>
      <c r="CT77">
        <v>123.09699999999999</v>
      </c>
      <c r="CU77">
        <v>2.274</v>
      </c>
      <c r="DV77" s="1">
        <v>42494</v>
      </c>
      <c r="DW77">
        <v>125.029</v>
      </c>
      <c r="DX77">
        <v>124.76900000000001</v>
      </c>
      <c r="DY77">
        <v>1.3860000000000001</v>
      </c>
    </row>
    <row r="78" spans="91:129" x14ac:dyDescent="0.25">
      <c r="CR78" s="1">
        <v>42775</v>
      </c>
      <c r="CS78">
        <v>123.211</v>
      </c>
      <c r="CT78">
        <v>123.13500000000001</v>
      </c>
      <c r="CU78">
        <v>2.27</v>
      </c>
      <c r="DV78" s="1">
        <v>42495</v>
      </c>
      <c r="DW78">
        <v>125.57899999999999</v>
      </c>
      <c r="DX78">
        <v>125.32</v>
      </c>
      <c r="DY78">
        <v>1.3149999999999999</v>
      </c>
    </row>
    <row r="79" spans="91:129" x14ac:dyDescent="0.25">
      <c r="CR79" s="1">
        <v>42776</v>
      </c>
      <c r="CS79">
        <v>122.744</v>
      </c>
      <c r="CT79">
        <v>122.67</v>
      </c>
      <c r="CU79">
        <v>2.3180000000000001</v>
      </c>
      <c r="DV79" s="1">
        <v>42496</v>
      </c>
      <c r="DW79">
        <v>125.55500000000001</v>
      </c>
      <c r="DX79">
        <v>125.29600000000001</v>
      </c>
      <c r="DY79">
        <v>1.3169999999999999</v>
      </c>
    </row>
    <row r="80" spans="91:129" x14ac:dyDescent="0.25">
      <c r="CR80" s="1">
        <v>42779</v>
      </c>
      <c r="CS80">
        <v>122.565</v>
      </c>
      <c r="CT80">
        <v>122.49</v>
      </c>
      <c r="CU80">
        <v>2.3359999999999999</v>
      </c>
      <c r="DV80" s="1">
        <v>42499</v>
      </c>
      <c r="DW80">
        <v>125.39700000000001</v>
      </c>
      <c r="DX80">
        <v>125.13800000000001</v>
      </c>
      <c r="DY80">
        <v>1.3360000000000001</v>
      </c>
    </row>
    <row r="81" spans="96:129" x14ac:dyDescent="0.25">
      <c r="CR81" s="1">
        <v>42780</v>
      </c>
      <c r="CS81">
        <v>121.80500000000001</v>
      </c>
      <c r="CT81">
        <v>121.732</v>
      </c>
      <c r="CU81">
        <v>2.415</v>
      </c>
      <c r="DV81" s="1">
        <v>42500</v>
      </c>
      <c r="DW81">
        <v>125.571</v>
      </c>
      <c r="DX81">
        <v>125.312</v>
      </c>
      <c r="DY81">
        <v>1.3120000000000001</v>
      </c>
    </row>
    <row r="82" spans="96:129" x14ac:dyDescent="0.25">
      <c r="CR82" s="1">
        <v>42781</v>
      </c>
      <c r="CS82">
        <v>121.307</v>
      </c>
      <c r="CT82">
        <v>121.23099999999999</v>
      </c>
      <c r="CU82">
        <v>2.4660000000000002</v>
      </c>
      <c r="DV82" s="1">
        <v>42501</v>
      </c>
      <c r="DW82">
        <v>126.048</v>
      </c>
      <c r="DX82">
        <v>125.789</v>
      </c>
      <c r="DY82">
        <v>1.248</v>
      </c>
    </row>
    <row r="83" spans="96:129" x14ac:dyDescent="0.25">
      <c r="CR83" s="1">
        <v>42782</v>
      </c>
      <c r="CS83">
        <v>121.544</v>
      </c>
      <c r="CT83">
        <v>121.46899999999999</v>
      </c>
      <c r="CU83">
        <v>2.44</v>
      </c>
      <c r="DV83" s="1">
        <v>42502</v>
      </c>
      <c r="DW83">
        <v>126.08199999999999</v>
      </c>
      <c r="DX83">
        <v>125.824</v>
      </c>
      <c r="DY83">
        <v>1.242</v>
      </c>
    </row>
    <row r="84" spans="96:129" x14ac:dyDescent="0.25">
      <c r="DV84" s="1">
        <v>42503</v>
      </c>
      <c r="DW84">
        <v>126.08</v>
      </c>
      <c r="DX84">
        <v>125.822</v>
      </c>
      <c r="DY84">
        <v>1.2410000000000001</v>
      </c>
    </row>
    <row r="85" spans="96:129" x14ac:dyDescent="0.25">
      <c r="DV85" s="1">
        <v>42506</v>
      </c>
      <c r="DW85">
        <v>126.038</v>
      </c>
      <c r="DX85">
        <v>125.78</v>
      </c>
      <c r="DY85">
        <v>1.2450000000000001</v>
      </c>
    </row>
    <row r="86" spans="96:129" x14ac:dyDescent="0.25">
      <c r="DV86" s="1">
        <v>42507</v>
      </c>
      <c r="DW86">
        <v>126.411</v>
      </c>
      <c r="DX86">
        <v>126.15300000000001</v>
      </c>
      <c r="DY86">
        <v>1.196</v>
      </c>
    </row>
    <row r="87" spans="96:129" x14ac:dyDescent="0.25">
      <c r="DV87" s="1">
        <v>42508</v>
      </c>
      <c r="DW87">
        <v>126.15600000000001</v>
      </c>
      <c r="DX87">
        <v>125.898</v>
      </c>
      <c r="DY87">
        <v>1.2250000000000001</v>
      </c>
    </row>
    <row r="88" spans="96:129" x14ac:dyDescent="0.25">
      <c r="DV88" s="1">
        <v>42509</v>
      </c>
      <c r="DW88">
        <v>125.999</v>
      </c>
      <c r="DX88">
        <v>125.741</v>
      </c>
      <c r="DY88">
        <v>1.244</v>
      </c>
    </row>
    <row r="89" spans="96:129" x14ac:dyDescent="0.25">
      <c r="DV89" s="1">
        <v>42510</v>
      </c>
      <c r="DW89">
        <v>125.771</v>
      </c>
      <c r="DX89">
        <v>125.51300000000001</v>
      </c>
      <c r="DY89">
        <v>1.272</v>
      </c>
    </row>
    <row r="90" spans="96:129" x14ac:dyDescent="0.25">
      <c r="DV90" s="1">
        <v>42513</v>
      </c>
      <c r="DW90">
        <v>125.67</v>
      </c>
      <c r="DX90">
        <v>125.411</v>
      </c>
      <c r="DY90">
        <v>1.284</v>
      </c>
    </row>
    <row r="91" spans="96:129" x14ac:dyDescent="0.25">
      <c r="DV91" s="1">
        <v>42514</v>
      </c>
      <c r="DW91">
        <v>125.274</v>
      </c>
      <c r="DX91">
        <v>125.015</v>
      </c>
      <c r="DY91">
        <v>1.3340000000000001</v>
      </c>
    </row>
    <row r="92" spans="96:129" x14ac:dyDescent="0.25">
      <c r="DV92" s="1">
        <v>42515</v>
      </c>
      <c r="DW92">
        <v>124.18300000000001</v>
      </c>
      <c r="DX92">
        <v>124.047</v>
      </c>
      <c r="DY92">
        <v>1.454</v>
      </c>
    </row>
    <row r="93" spans="96:129" x14ac:dyDescent="0.25">
      <c r="DV93" s="1">
        <v>42516</v>
      </c>
      <c r="DW93">
        <v>123.995</v>
      </c>
      <c r="DX93">
        <v>123.85899999999999</v>
      </c>
      <c r="DY93">
        <v>1.4790000000000001</v>
      </c>
    </row>
    <row r="94" spans="96:129" x14ac:dyDescent="0.25">
      <c r="DV94" s="1">
        <v>42517</v>
      </c>
      <c r="DW94">
        <v>124.054</v>
      </c>
      <c r="DX94">
        <v>123.919</v>
      </c>
      <c r="DY94">
        <v>1.47</v>
      </c>
    </row>
    <row r="95" spans="96:129" x14ac:dyDescent="0.25">
      <c r="DV95" s="1">
        <v>42521</v>
      </c>
      <c r="DW95">
        <v>123.968</v>
      </c>
      <c r="DX95">
        <v>123.834</v>
      </c>
      <c r="DY95">
        <v>1.48</v>
      </c>
    </row>
    <row r="96" spans="96:129" x14ac:dyDescent="0.25">
      <c r="DV96" s="1">
        <v>42522</v>
      </c>
      <c r="DW96">
        <v>124.084</v>
      </c>
      <c r="DX96">
        <v>123.94799999999999</v>
      </c>
      <c r="DY96">
        <v>1.4610000000000001</v>
      </c>
    </row>
    <row r="97" spans="126:129" x14ac:dyDescent="0.25">
      <c r="DV97" s="1">
        <v>42523</v>
      </c>
      <c r="DW97">
        <v>124.405</v>
      </c>
      <c r="DX97">
        <v>124.26900000000001</v>
      </c>
      <c r="DY97">
        <v>1.4179999999999999</v>
      </c>
    </row>
    <row r="98" spans="126:129" x14ac:dyDescent="0.25">
      <c r="DV98" s="1">
        <v>42524</v>
      </c>
      <c r="DW98">
        <v>124.691</v>
      </c>
      <c r="DX98">
        <v>124.557</v>
      </c>
      <c r="DY98">
        <v>1.38</v>
      </c>
    </row>
    <row r="99" spans="126:129" x14ac:dyDescent="0.25">
      <c r="DV99" s="1">
        <v>42527</v>
      </c>
      <c r="DW99">
        <v>124.55800000000001</v>
      </c>
      <c r="DX99">
        <v>124.423</v>
      </c>
      <c r="DY99">
        <v>1.3959999999999999</v>
      </c>
    </row>
    <row r="100" spans="126:129" x14ac:dyDescent="0.25">
      <c r="DV100" s="1">
        <v>42528</v>
      </c>
      <c r="DW100">
        <v>124.619</v>
      </c>
      <c r="DX100">
        <v>124.486</v>
      </c>
      <c r="DY100">
        <v>1.387</v>
      </c>
    </row>
    <row r="101" spans="126:129" x14ac:dyDescent="0.25">
      <c r="DV101" s="1">
        <v>42529</v>
      </c>
      <c r="DW101">
        <v>124.621</v>
      </c>
      <c r="DX101">
        <v>124.48699999999999</v>
      </c>
      <c r="DY101">
        <v>1.383</v>
      </c>
    </row>
    <row r="102" spans="126:129" x14ac:dyDescent="0.25">
      <c r="DV102" s="1">
        <v>42530</v>
      </c>
      <c r="DW102">
        <v>124.807</v>
      </c>
      <c r="DX102">
        <v>124.67400000000001</v>
      </c>
      <c r="DY102">
        <v>1.3580000000000001</v>
      </c>
    </row>
    <row r="103" spans="126:129" x14ac:dyDescent="0.25">
      <c r="DV103" s="1">
        <v>42531</v>
      </c>
      <c r="DW103">
        <v>124.952</v>
      </c>
      <c r="DX103">
        <v>124.819</v>
      </c>
      <c r="DY103">
        <v>1.3380000000000001</v>
      </c>
    </row>
    <row r="104" spans="126:129" x14ac:dyDescent="0.25">
      <c r="DV104" s="1">
        <v>42534</v>
      </c>
      <c r="DW104">
        <v>125.054</v>
      </c>
      <c r="DX104">
        <v>124.92100000000001</v>
      </c>
      <c r="DY104">
        <v>1.323</v>
      </c>
    </row>
    <row r="105" spans="126:129" x14ac:dyDescent="0.25">
      <c r="DV105" s="1">
        <v>42535</v>
      </c>
      <c r="DW105">
        <v>125.23099999999999</v>
      </c>
      <c r="DX105">
        <v>125.098</v>
      </c>
      <c r="DY105">
        <v>1.2989999999999999</v>
      </c>
    </row>
    <row r="106" spans="126:129" x14ac:dyDescent="0.25">
      <c r="DV106" s="1">
        <v>42536</v>
      </c>
      <c r="DW106">
        <v>125.32599999999999</v>
      </c>
      <c r="DX106">
        <v>125.193</v>
      </c>
      <c r="DY106">
        <v>1.2829999999999999</v>
      </c>
    </row>
    <row r="107" spans="126:129" x14ac:dyDescent="0.25">
      <c r="DV107" s="1">
        <v>42537</v>
      </c>
      <c r="DW107">
        <v>125.54</v>
      </c>
      <c r="DX107">
        <v>125.407</v>
      </c>
      <c r="DY107">
        <v>1.254</v>
      </c>
    </row>
    <row r="108" spans="126:129" x14ac:dyDescent="0.25">
      <c r="DV108" s="1">
        <v>42538</v>
      </c>
      <c r="DW108">
        <v>125.465</v>
      </c>
      <c r="DX108">
        <v>125.33199999999999</v>
      </c>
      <c r="DY108">
        <v>1.2629999999999999</v>
      </c>
    </row>
    <row r="109" spans="126:129" x14ac:dyDescent="0.25">
      <c r="DV109" s="1">
        <v>42541</v>
      </c>
      <c r="DW109">
        <v>125.23699999999999</v>
      </c>
      <c r="DX109">
        <v>125.10299999999999</v>
      </c>
      <c r="DY109">
        <v>1.2909999999999999</v>
      </c>
    </row>
    <row r="110" spans="126:129" x14ac:dyDescent="0.25">
      <c r="DV110" s="1">
        <v>42542</v>
      </c>
      <c r="DW110">
        <v>125.093</v>
      </c>
      <c r="DX110">
        <v>124.961</v>
      </c>
      <c r="DY110">
        <v>1.3080000000000001</v>
      </c>
    </row>
    <row r="111" spans="126:129" x14ac:dyDescent="0.25">
      <c r="DV111" s="1">
        <v>42543</v>
      </c>
      <c r="DW111">
        <v>125.057</v>
      </c>
      <c r="DX111">
        <v>124.922</v>
      </c>
      <c r="DY111">
        <v>1.31</v>
      </c>
    </row>
    <row r="112" spans="126:129" x14ac:dyDescent="0.25">
      <c r="DV112" s="1">
        <v>42544</v>
      </c>
      <c r="DW112">
        <v>124.74299999999999</v>
      </c>
      <c r="DX112">
        <v>124.60899999999999</v>
      </c>
      <c r="DY112">
        <v>1.349</v>
      </c>
    </row>
    <row r="113" spans="126:129" x14ac:dyDescent="0.25">
      <c r="DV113" s="1">
        <v>42545</v>
      </c>
      <c r="DW113">
        <v>125.66500000000001</v>
      </c>
      <c r="DX113">
        <v>125.532</v>
      </c>
      <c r="DY113">
        <v>1.228</v>
      </c>
    </row>
    <row r="114" spans="126:129" x14ac:dyDescent="0.25">
      <c r="DV114" s="1">
        <v>42548</v>
      </c>
      <c r="DW114">
        <v>126.163</v>
      </c>
      <c r="DX114">
        <v>126.029</v>
      </c>
      <c r="DY114">
        <v>1.163</v>
      </c>
    </row>
    <row r="115" spans="126:129" x14ac:dyDescent="0.25">
      <c r="DV115" s="1">
        <v>42549</v>
      </c>
      <c r="DW115">
        <v>125.988</v>
      </c>
      <c r="DX115">
        <v>125.85599999999999</v>
      </c>
      <c r="DY115">
        <v>1.1839999999999999</v>
      </c>
    </row>
    <row r="116" spans="126:129" x14ac:dyDescent="0.25">
      <c r="DV116" s="1">
        <v>42550</v>
      </c>
      <c r="DW116">
        <v>125.848</v>
      </c>
      <c r="DX116">
        <v>125.71299999999999</v>
      </c>
      <c r="DY116">
        <v>1.1970000000000001</v>
      </c>
    </row>
    <row r="117" spans="126:129" x14ac:dyDescent="0.25">
      <c r="DV117" s="1">
        <v>42551</v>
      </c>
      <c r="DW117">
        <v>125.624</v>
      </c>
      <c r="DX117">
        <v>125.491</v>
      </c>
      <c r="DY117">
        <v>1.2250000000000001</v>
      </c>
    </row>
    <row r="118" spans="126:129" x14ac:dyDescent="0.25">
      <c r="DV118" s="1">
        <v>42552</v>
      </c>
      <c r="DW118">
        <v>125.81</v>
      </c>
      <c r="DX118">
        <v>125.676</v>
      </c>
      <c r="DY118">
        <v>1.1990000000000001</v>
      </c>
    </row>
    <row r="119" spans="126:129" x14ac:dyDescent="0.25">
      <c r="DV119" s="1">
        <v>42556</v>
      </c>
      <c r="DW119">
        <v>125.92700000000001</v>
      </c>
      <c r="DX119">
        <v>125.792</v>
      </c>
      <c r="DY119">
        <v>1.1830000000000001</v>
      </c>
    </row>
    <row r="120" spans="126:129" x14ac:dyDescent="0.25">
      <c r="DV120" s="1">
        <v>42557</v>
      </c>
      <c r="DW120">
        <v>126.066</v>
      </c>
      <c r="DX120">
        <v>125.932</v>
      </c>
      <c r="DY120">
        <v>1.161</v>
      </c>
    </row>
    <row r="121" spans="126:129" x14ac:dyDescent="0.25">
      <c r="DV121" s="1">
        <v>42558</v>
      </c>
      <c r="DW121">
        <v>125.988</v>
      </c>
      <c r="DX121">
        <v>125.854</v>
      </c>
      <c r="DY121">
        <v>1.17</v>
      </c>
    </row>
    <row r="122" spans="126:129" x14ac:dyDescent="0.25">
      <c r="DV122" s="1">
        <v>42559</v>
      </c>
      <c r="DW122">
        <v>125.908</v>
      </c>
      <c r="DX122">
        <v>125.773</v>
      </c>
      <c r="DY122">
        <v>1.179</v>
      </c>
    </row>
    <row r="123" spans="126:129" x14ac:dyDescent="0.25">
      <c r="DV123" s="1">
        <v>42562</v>
      </c>
      <c r="DW123">
        <v>125.807</v>
      </c>
      <c r="DX123">
        <v>125.672</v>
      </c>
      <c r="DY123">
        <v>1.1910000000000001</v>
      </c>
    </row>
    <row r="124" spans="126:129" x14ac:dyDescent="0.25">
      <c r="DV124" s="1">
        <v>42563</v>
      </c>
      <c r="DW124">
        <v>125.736</v>
      </c>
      <c r="DX124">
        <v>125.605</v>
      </c>
      <c r="DY124">
        <v>1.1990000000000001</v>
      </c>
    </row>
    <row r="125" spans="126:129" x14ac:dyDescent="0.25">
      <c r="DV125" s="1">
        <v>42564</v>
      </c>
      <c r="DW125">
        <v>125.797</v>
      </c>
      <c r="DX125">
        <v>125.664</v>
      </c>
      <c r="DY125">
        <v>1.1870000000000001</v>
      </c>
    </row>
    <row r="126" spans="126:129" x14ac:dyDescent="0.25">
      <c r="DV126" s="1">
        <v>42565</v>
      </c>
      <c r="DW126">
        <v>125.55800000000001</v>
      </c>
      <c r="DX126">
        <v>125.426</v>
      </c>
      <c r="DY126">
        <v>1.2170000000000001</v>
      </c>
    </row>
    <row r="127" spans="126:129" x14ac:dyDescent="0.25">
      <c r="DV127" s="1">
        <v>42566</v>
      </c>
      <c r="DW127">
        <v>125.139</v>
      </c>
      <c r="DX127">
        <v>125.005</v>
      </c>
      <c r="DY127">
        <v>1.2709999999999999</v>
      </c>
    </row>
    <row r="128" spans="126:129" x14ac:dyDescent="0.25">
      <c r="DV128" s="1">
        <v>42569</v>
      </c>
      <c r="DW128">
        <v>125.056</v>
      </c>
      <c r="DX128">
        <v>124.92100000000001</v>
      </c>
      <c r="DY128">
        <v>1.2810000000000001</v>
      </c>
    </row>
    <row r="129" spans="126:129" x14ac:dyDescent="0.25">
      <c r="DV129" s="1">
        <v>42570</v>
      </c>
      <c r="DW129">
        <v>125.02500000000001</v>
      </c>
      <c r="DX129">
        <v>124.892</v>
      </c>
      <c r="DY129">
        <v>1.2829999999999999</v>
      </c>
    </row>
    <row r="130" spans="126:129" x14ac:dyDescent="0.25">
      <c r="DV130" s="1">
        <v>42571</v>
      </c>
      <c r="DW130">
        <v>124.837</v>
      </c>
      <c r="DX130">
        <v>124.703</v>
      </c>
      <c r="DY130">
        <v>1.304</v>
      </c>
    </row>
    <row r="131" spans="126:129" x14ac:dyDescent="0.25">
      <c r="DV131" s="1">
        <v>42572</v>
      </c>
      <c r="DW131">
        <v>124.69199999999999</v>
      </c>
      <c r="DX131">
        <v>124.56100000000001</v>
      </c>
      <c r="DY131">
        <v>1.3220000000000001</v>
      </c>
    </row>
    <row r="132" spans="126:129" x14ac:dyDescent="0.25">
      <c r="DV132" s="1">
        <v>42573</v>
      </c>
      <c r="DW132">
        <v>124.74299999999999</v>
      </c>
      <c r="DX132">
        <v>124.611</v>
      </c>
      <c r="DY132">
        <v>1.3140000000000001</v>
      </c>
    </row>
    <row r="133" spans="126:129" x14ac:dyDescent="0.25">
      <c r="DV133" s="1">
        <v>42576</v>
      </c>
      <c r="DW133">
        <v>124.905</v>
      </c>
      <c r="DX133">
        <v>124.771</v>
      </c>
      <c r="DY133">
        <v>1.292</v>
      </c>
    </row>
    <row r="134" spans="126:129" x14ac:dyDescent="0.25">
      <c r="DV134" s="1">
        <v>42577</v>
      </c>
      <c r="DW134">
        <v>124.98099999999999</v>
      </c>
      <c r="DX134">
        <v>124.84699999999999</v>
      </c>
      <c r="DY134">
        <v>1.28</v>
      </c>
    </row>
    <row r="135" spans="126:129" x14ac:dyDescent="0.25">
      <c r="DV135" s="1">
        <v>42578</v>
      </c>
      <c r="DW135">
        <v>125.13</v>
      </c>
      <c r="DX135">
        <v>124.998</v>
      </c>
      <c r="DY135">
        <v>1.258</v>
      </c>
    </row>
    <row r="136" spans="126:129" x14ac:dyDescent="0.25">
      <c r="DV136" s="1">
        <v>42579</v>
      </c>
      <c r="DW136">
        <v>125.09699999999999</v>
      </c>
      <c r="DX136">
        <v>124.962</v>
      </c>
      <c r="DY136">
        <v>1.262</v>
      </c>
    </row>
    <row r="137" spans="126:129" x14ac:dyDescent="0.25">
      <c r="DV137" s="1">
        <v>42580</v>
      </c>
      <c r="DW137">
        <v>125.188</v>
      </c>
      <c r="DX137">
        <v>125.05500000000001</v>
      </c>
      <c r="DY137">
        <v>1.248</v>
      </c>
    </row>
    <row r="138" spans="126:129" x14ac:dyDescent="0.25">
      <c r="DV138" s="1">
        <v>42583</v>
      </c>
      <c r="DW138">
        <v>124.48</v>
      </c>
      <c r="DX138">
        <v>124.33799999999999</v>
      </c>
      <c r="DY138">
        <v>1.3420000000000001</v>
      </c>
    </row>
    <row r="139" spans="126:129" x14ac:dyDescent="0.25">
      <c r="DV139" s="1">
        <v>42584</v>
      </c>
      <c r="DW139">
        <v>124.39100000000001</v>
      </c>
      <c r="DX139">
        <v>124.249</v>
      </c>
      <c r="DY139">
        <v>1.3519999999999999</v>
      </c>
    </row>
    <row r="140" spans="126:129" x14ac:dyDescent="0.25">
      <c r="DV140" s="1">
        <v>42585</v>
      </c>
      <c r="DW140">
        <v>124.50700000000001</v>
      </c>
      <c r="DX140">
        <v>124.22799999999999</v>
      </c>
      <c r="DY140">
        <v>1.351</v>
      </c>
    </row>
    <row r="141" spans="126:129" x14ac:dyDescent="0.25">
      <c r="DV141" s="1">
        <v>42586</v>
      </c>
      <c r="DW141">
        <v>124.825</v>
      </c>
      <c r="DX141">
        <v>124.54600000000001</v>
      </c>
      <c r="DY141">
        <v>1.3080000000000001</v>
      </c>
    </row>
    <row r="142" spans="126:129" x14ac:dyDescent="0.25">
      <c r="DV142" s="1">
        <v>42587</v>
      </c>
      <c r="DW142">
        <v>124.71</v>
      </c>
      <c r="DX142">
        <v>124.432</v>
      </c>
      <c r="DY142">
        <v>1.3220000000000001</v>
      </c>
    </row>
    <row r="143" spans="126:129" x14ac:dyDescent="0.25">
      <c r="DV143" s="1">
        <v>42590</v>
      </c>
      <c r="DW143">
        <v>124.666</v>
      </c>
      <c r="DX143">
        <v>124.38800000000001</v>
      </c>
      <c r="DY143">
        <v>1.3260000000000001</v>
      </c>
    </row>
    <row r="144" spans="126:129" x14ac:dyDescent="0.25">
      <c r="DV144" s="1">
        <v>42591</v>
      </c>
      <c r="DW144">
        <v>124.761</v>
      </c>
      <c r="DX144">
        <v>124.483</v>
      </c>
      <c r="DY144">
        <v>1.3120000000000001</v>
      </c>
    </row>
    <row r="145" spans="126:129" x14ac:dyDescent="0.25">
      <c r="DV145" s="1">
        <v>42592</v>
      </c>
      <c r="DW145">
        <v>124.896</v>
      </c>
      <c r="DX145">
        <v>124.61799999999999</v>
      </c>
      <c r="DY145">
        <v>1.2909999999999999</v>
      </c>
    </row>
    <row r="146" spans="126:129" x14ac:dyDescent="0.25">
      <c r="DV146" s="1">
        <v>42593</v>
      </c>
      <c r="DW146">
        <v>124.85299999999999</v>
      </c>
      <c r="DX146">
        <v>124.575</v>
      </c>
      <c r="DY146">
        <v>1.2949999999999999</v>
      </c>
    </row>
    <row r="147" spans="126:129" x14ac:dyDescent="0.25">
      <c r="DV147" s="1">
        <v>42594</v>
      </c>
      <c r="DW147">
        <v>125.181</v>
      </c>
      <c r="DX147">
        <v>124.90300000000001</v>
      </c>
      <c r="DY147">
        <v>1.25</v>
      </c>
    </row>
    <row r="148" spans="126:129" x14ac:dyDescent="0.25">
      <c r="DV148" s="1">
        <v>42597</v>
      </c>
      <c r="DW148">
        <v>125.119</v>
      </c>
      <c r="DX148">
        <v>124.842</v>
      </c>
      <c r="DY148">
        <v>1.2570000000000001</v>
      </c>
    </row>
    <row r="149" spans="126:129" x14ac:dyDescent="0.25">
      <c r="DV149" s="1">
        <v>42598</v>
      </c>
      <c r="DW149">
        <v>125.04600000000001</v>
      </c>
      <c r="DX149">
        <v>124.768</v>
      </c>
      <c r="DY149">
        <v>1.266</v>
      </c>
    </row>
    <row r="150" spans="126:129" x14ac:dyDescent="0.25">
      <c r="DV150" s="1">
        <v>42599</v>
      </c>
      <c r="DW150">
        <v>125.021</v>
      </c>
      <c r="DX150">
        <v>124.744</v>
      </c>
      <c r="DY150">
        <v>1.2650000000000001</v>
      </c>
    </row>
    <row r="151" spans="126:129" x14ac:dyDescent="0.25">
      <c r="DV151" s="1">
        <v>42600</v>
      </c>
      <c r="DW151">
        <v>125.048</v>
      </c>
      <c r="DX151">
        <v>124.771</v>
      </c>
      <c r="DY151">
        <v>1.26</v>
      </c>
    </row>
    <row r="152" spans="126:129" x14ac:dyDescent="0.25">
      <c r="DV152" s="1">
        <v>42601</v>
      </c>
      <c r="DW152">
        <v>125.038</v>
      </c>
      <c r="DX152">
        <v>124.761</v>
      </c>
      <c r="DY152">
        <v>1.26</v>
      </c>
    </row>
    <row r="153" spans="126:129" x14ac:dyDescent="0.25">
      <c r="DV153" s="1">
        <v>42604</v>
      </c>
      <c r="DW153">
        <v>125.018</v>
      </c>
      <c r="DX153">
        <v>124.742</v>
      </c>
      <c r="DY153">
        <v>1.262</v>
      </c>
    </row>
    <row r="154" spans="126:129" x14ac:dyDescent="0.25">
      <c r="DV154" s="1">
        <v>42605</v>
      </c>
      <c r="DW154">
        <v>125.005</v>
      </c>
      <c r="DX154">
        <v>124.729</v>
      </c>
      <c r="DY154">
        <v>1.262</v>
      </c>
    </row>
    <row r="155" spans="126:129" x14ac:dyDescent="0.25">
      <c r="DV155" s="1">
        <v>42606</v>
      </c>
      <c r="DW155">
        <v>124.922</v>
      </c>
      <c r="DX155">
        <v>124.646</v>
      </c>
      <c r="DY155">
        <v>1.2690000000000001</v>
      </c>
    </row>
    <row r="156" spans="126:129" x14ac:dyDescent="0.25">
      <c r="DV156" s="1">
        <v>42607</v>
      </c>
      <c r="DW156">
        <v>125.001</v>
      </c>
      <c r="DX156">
        <v>124.724</v>
      </c>
      <c r="DY156">
        <v>1.258</v>
      </c>
    </row>
    <row r="157" spans="126:129" x14ac:dyDescent="0.25">
      <c r="DV157" s="1">
        <v>42608</v>
      </c>
      <c r="DW157">
        <v>125.00700000000001</v>
      </c>
      <c r="DX157">
        <v>124.73</v>
      </c>
      <c r="DY157">
        <v>1.256</v>
      </c>
    </row>
    <row r="158" spans="126:129" x14ac:dyDescent="0.25">
      <c r="DV158" s="1">
        <v>42611</v>
      </c>
      <c r="DW158">
        <v>124.821</v>
      </c>
      <c r="DX158">
        <v>124.544</v>
      </c>
      <c r="DY158">
        <v>1.28</v>
      </c>
    </row>
    <row r="159" spans="126:129" x14ac:dyDescent="0.25">
      <c r="DV159" s="1">
        <v>42612</v>
      </c>
      <c r="DW159">
        <v>124.78</v>
      </c>
      <c r="DX159">
        <v>124.503</v>
      </c>
      <c r="DY159">
        <v>1.2849999999999999</v>
      </c>
    </row>
    <row r="160" spans="126:129" x14ac:dyDescent="0.25">
      <c r="DV160" s="1">
        <v>42613</v>
      </c>
      <c r="DW160">
        <v>124.82299999999999</v>
      </c>
      <c r="DX160">
        <v>124.547</v>
      </c>
      <c r="DY160">
        <v>1.274</v>
      </c>
    </row>
    <row r="161" spans="126:129" x14ac:dyDescent="0.25">
      <c r="DV161" s="1">
        <v>42614</v>
      </c>
      <c r="DW161">
        <v>124.577</v>
      </c>
      <c r="DX161">
        <v>124.3</v>
      </c>
      <c r="DY161">
        <v>1.306</v>
      </c>
    </row>
    <row r="162" spans="126:129" x14ac:dyDescent="0.25">
      <c r="DV162" s="1">
        <v>42615</v>
      </c>
      <c r="DW162">
        <v>124.42400000000001</v>
      </c>
      <c r="DX162">
        <v>124.148</v>
      </c>
      <c r="DY162">
        <v>1.325</v>
      </c>
    </row>
    <row r="163" spans="126:129" x14ac:dyDescent="0.25">
      <c r="DV163" s="1">
        <v>42619</v>
      </c>
      <c r="DW163">
        <v>124.36</v>
      </c>
      <c r="DX163">
        <v>124.084</v>
      </c>
      <c r="DY163">
        <v>1.3320000000000001</v>
      </c>
    </row>
    <row r="164" spans="126:129" x14ac:dyDescent="0.25">
      <c r="DV164" s="1">
        <v>42620</v>
      </c>
      <c r="DW164">
        <v>124.563</v>
      </c>
      <c r="DX164">
        <v>124.288</v>
      </c>
      <c r="DY164">
        <v>1.3009999999999999</v>
      </c>
    </row>
    <row r="165" spans="126:129" x14ac:dyDescent="0.25">
      <c r="DV165" s="1">
        <v>42621</v>
      </c>
      <c r="DW165">
        <v>124.60299999999999</v>
      </c>
      <c r="DX165">
        <v>124.327</v>
      </c>
      <c r="DY165">
        <v>1.294</v>
      </c>
    </row>
    <row r="166" spans="126:129" x14ac:dyDescent="0.25">
      <c r="DV166" s="1">
        <v>42622</v>
      </c>
      <c r="DW166">
        <v>124.316</v>
      </c>
      <c r="DX166">
        <v>124.041</v>
      </c>
      <c r="DY166">
        <v>1.3320000000000001</v>
      </c>
    </row>
    <row r="167" spans="126:129" x14ac:dyDescent="0.25">
      <c r="DV167" s="1">
        <v>42625</v>
      </c>
      <c r="DW167">
        <v>124.21599999999999</v>
      </c>
      <c r="DX167">
        <v>123.94</v>
      </c>
      <c r="DY167">
        <v>1.3439999999999999</v>
      </c>
    </row>
    <row r="168" spans="126:129" x14ac:dyDescent="0.25">
      <c r="DV168" s="1">
        <v>42626</v>
      </c>
      <c r="DW168">
        <v>123.82</v>
      </c>
      <c r="DX168">
        <v>123.544</v>
      </c>
      <c r="DY168">
        <v>1.3959999999999999</v>
      </c>
    </row>
    <row r="169" spans="126:129" x14ac:dyDescent="0.25">
      <c r="DV169" s="1">
        <v>42627</v>
      </c>
      <c r="DW169">
        <v>123.80200000000001</v>
      </c>
      <c r="DX169">
        <v>123.527</v>
      </c>
      <c r="DY169">
        <v>1.395</v>
      </c>
    </row>
    <row r="170" spans="126:129" x14ac:dyDescent="0.25">
      <c r="DV170" s="1">
        <v>42628</v>
      </c>
      <c r="DW170">
        <v>123.752</v>
      </c>
      <c r="DX170">
        <v>123.477</v>
      </c>
      <c r="DY170">
        <v>1.4</v>
      </c>
    </row>
    <row r="171" spans="126:129" x14ac:dyDescent="0.25">
      <c r="DV171" s="1">
        <v>42629</v>
      </c>
      <c r="DW171">
        <v>123.55200000000001</v>
      </c>
      <c r="DX171">
        <v>123.413</v>
      </c>
      <c r="DY171">
        <v>1.4079999999999999</v>
      </c>
    </row>
    <row r="172" spans="126:129" x14ac:dyDescent="0.25">
      <c r="DV172" s="1">
        <v>42632</v>
      </c>
      <c r="DW172">
        <v>123.85899999999999</v>
      </c>
      <c r="DX172">
        <v>123.71899999999999</v>
      </c>
      <c r="DY172">
        <v>1.365</v>
      </c>
    </row>
    <row r="173" spans="126:129" x14ac:dyDescent="0.25">
      <c r="DV173" s="1">
        <v>42633</v>
      </c>
      <c r="DW173">
        <v>123.874</v>
      </c>
      <c r="DX173">
        <v>123.73399999999999</v>
      </c>
      <c r="DY173">
        <v>1.3620000000000001</v>
      </c>
    </row>
    <row r="174" spans="126:129" x14ac:dyDescent="0.25">
      <c r="DV174" s="1">
        <v>42634</v>
      </c>
      <c r="DW174">
        <v>123.61799999999999</v>
      </c>
      <c r="DX174">
        <v>123.476</v>
      </c>
      <c r="DY174">
        <v>1.393</v>
      </c>
    </row>
    <row r="175" spans="126:129" x14ac:dyDescent="0.25">
      <c r="DV175" s="1">
        <v>42635</v>
      </c>
      <c r="DW175">
        <v>123.88</v>
      </c>
      <c r="DX175">
        <v>123.738</v>
      </c>
      <c r="DY175">
        <v>1.3559999999999999</v>
      </c>
    </row>
    <row r="176" spans="126:129" x14ac:dyDescent="0.25">
      <c r="DV176" s="1">
        <v>42636</v>
      </c>
      <c r="DW176">
        <v>124.01900000000001</v>
      </c>
      <c r="DX176">
        <v>123.878</v>
      </c>
      <c r="DY176">
        <v>1.3360000000000001</v>
      </c>
    </row>
    <row r="177" spans="126:129" x14ac:dyDescent="0.25">
      <c r="DV177" s="1">
        <v>42639</v>
      </c>
      <c r="DW177">
        <v>123.96899999999999</v>
      </c>
      <c r="DX177">
        <v>123.827</v>
      </c>
      <c r="DY177">
        <v>1.3420000000000001</v>
      </c>
    </row>
    <row r="178" spans="126:129" x14ac:dyDescent="0.25">
      <c r="DV178" s="1">
        <v>42640</v>
      </c>
      <c r="DW178">
        <v>123.812</v>
      </c>
      <c r="DX178">
        <v>123.67100000000001</v>
      </c>
      <c r="DY178">
        <v>1.3620000000000001</v>
      </c>
    </row>
    <row r="179" spans="126:129" x14ac:dyDescent="0.25">
      <c r="DV179" s="1">
        <v>42641</v>
      </c>
      <c r="DW179">
        <v>123.82299999999999</v>
      </c>
      <c r="DX179">
        <v>123.682</v>
      </c>
      <c r="DY179">
        <v>1.3559999999999999</v>
      </c>
    </row>
    <row r="180" spans="126:129" x14ac:dyDescent="0.25">
      <c r="DV180" s="1">
        <v>42642</v>
      </c>
      <c r="DW180">
        <v>123.717</v>
      </c>
      <c r="DX180">
        <v>123.578</v>
      </c>
      <c r="DY180">
        <v>1.369</v>
      </c>
    </row>
    <row r="181" spans="126:129" x14ac:dyDescent="0.25">
      <c r="DV181" s="1">
        <v>42643</v>
      </c>
      <c r="DW181">
        <v>123.511</v>
      </c>
      <c r="DX181">
        <v>123.369</v>
      </c>
      <c r="DY181">
        <v>1.397</v>
      </c>
    </row>
    <row r="182" spans="126:129" x14ac:dyDescent="0.25">
      <c r="DV182" s="1">
        <v>42646</v>
      </c>
      <c r="DW182">
        <v>123.288</v>
      </c>
      <c r="DX182">
        <v>123.14700000000001</v>
      </c>
      <c r="DY182">
        <v>1.4259999999999999</v>
      </c>
    </row>
    <row r="183" spans="126:129" x14ac:dyDescent="0.25">
      <c r="DV183" s="1">
        <v>42647</v>
      </c>
      <c r="DW183">
        <v>123.38</v>
      </c>
      <c r="DX183">
        <v>123.239</v>
      </c>
      <c r="DY183">
        <v>1.4119999999999999</v>
      </c>
    </row>
    <row r="184" spans="126:129" x14ac:dyDescent="0.25">
      <c r="DV184" s="1">
        <v>42648</v>
      </c>
      <c r="DW184">
        <v>123.15900000000001</v>
      </c>
      <c r="DX184">
        <v>123.017</v>
      </c>
      <c r="DY184">
        <v>1.4370000000000001</v>
      </c>
    </row>
    <row r="185" spans="126:129" x14ac:dyDescent="0.25">
      <c r="DV185" s="1">
        <v>42649</v>
      </c>
      <c r="DW185">
        <v>123.042</v>
      </c>
      <c r="DX185">
        <v>122.902</v>
      </c>
      <c r="DY185">
        <v>1.452</v>
      </c>
    </row>
    <row r="186" spans="126:129" x14ac:dyDescent="0.25">
      <c r="DV186" s="1">
        <v>42650</v>
      </c>
      <c r="DW186">
        <v>122.93899999999999</v>
      </c>
      <c r="DX186">
        <v>122.797</v>
      </c>
      <c r="DY186">
        <v>1.4650000000000001</v>
      </c>
    </row>
    <row r="187" spans="126:129" x14ac:dyDescent="0.25">
      <c r="DV187" s="1">
        <v>42654</v>
      </c>
      <c r="DW187">
        <v>122.711</v>
      </c>
      <c r="DX187">
        <v>122.43899999999999</v>
      </c>
      <c r="DY187">
        <v>1.5129999999999999</v>
      </c>
    </row>
    <row r="188" spans="126:129" x14ac:dyDescent="0.25">
      <c r="DV188" s="1">
        <v>42655</v>
      </c>
      <c r="DW188">
        <v>122.492</v>
      </c>
      <c r="DX188">
        <v>122.22</v>
      </c>
      <c r="DY188">
        <v>1.54</v>
      </c>
    </row>
    <row r="189" spans="126:129" x14ac:dyDescent="0.25">
      <c r="DV189" s="1">
        <v>42656</v>
      </c>
      <c r="DW189">
        <v>122.42700000000001</v>
      </c>
      <c r="DX189">
        <v>122.155</v>
      </c>
      <c r="DY189">
        <v>1.548</v>
      </c>
    </row>
    <row r="190" spans="126:129" x14ac:dyDescent="0.25">
      <c r="DV190" s="1">
        <v>42657</v>
      </c>
      <c r="DW190">
        <v>122.31</v>
      </c>
      <c r="DX190">
        <v>122.039</v>
      </c>
      <c r="DY190">
        <v>1.5629999999999999</v>
      </c>
    </row>
    <row r="191" spans="126:129" x14ac:dyDescent="0.25">
      <c r="DV191" s="1">
        <v>42660</v>
      </c>
      <c r="DW191">
        <v>122.249</v>
      </c>
      <c r="DX191">
        <v>121.97799999999999</v>
      </c>
      <c r="DY191">
        <v>1.5699999999999998</v>
      </c>
    </row>
    <row r="192" spans="126:129" x14ac:dyDescent="0.25">
      <c r="DV192" s="1">
        <v>42661</v>
      </c>
      <c r="DW192">
        <v>122.191</v>
      </c>
      <c r="DX192">
        <v>121.92</v>
      </c>
      <c r="DY192">
        <v>1.577</v>
      </c>
    </row>
    <row r="193" spans="126:129" x14ac:dyDescent="0.25">
      <c r="DV193" s="1">
        <v>42662</v>
      </c>
      <c r="DW193">
        <v>122.03700000000001</v>
      </c>
      <c r="DX193">
        <v>121.765</v>
      </c>
      <c r="DY193">
        <v>1.595</v>
      </c>
    </row>
    <row r="194" spans="126:129" x14ac:dyDescent="0.25">
      <c r="DV194" s="1">
        <v>42663</v>
      </c>
      <c r="DW194">
        <v>122.21299999999999</v>
      </c>
      <c r="DX194">
        <v>121.941</v>
      </c>
      <c r="DY194">
        <v>1.569</v>
      </c>
    </row>
    <row r="195" spans="126:129" x14ac:dyDescent="0.25">
      <c r="DV195" s="1">
        <v>42664</v>
      </c>
      <c r="DW195">
        <v>122.191</v>
      </c>
      <c r="DX195">
        <v>121.92</v>
      </c>
      <c r="DY195">
        <v>1.571</v>
      </c>
    </row>
    <row r="196" spans="126:129" x14ac:dyDescent="0.25">
      <c r="DV196" s="1">
        <v>42667</v>
      </c>
      <c r="DW196">
        <v>122.276</v>
      </c>
      <c r="DX196">
        <v>122.006</v>
      </c>
      <c r="DY196">
        <v>1.5580000000000001</v>
      </c>
    </row>
    <row r="197" spans="126:129" x14ac:dyDescent="0.25">
      <c r="DV197" s="1">
        <v>42668</v>
      </c>
      <c r="DW197">
        <v>122.3</v>
      </c>
      <c r="DX197">
        <v>122.029</v>
      </c>
      <c r="DY197">
        <v>1.5529999999999999</v>
      </c>
    </row>
    <row r="198" spans="126:129" x14ac:dyDescent="0.25">
      <c r="DV198" s="1">
        <v>42669</v>
      </c>
      <c r="DW198">
        <v>122.21599999999999</v>
      </c>
      <c r="DX198">
        <v>121.94499999999999</v>
      </c>
      <c r="DY198">
        <v>1.5609999999999999</v>
      </c>
    </row>
    <row r="199" spans="126:129" x14ac:dyDescent="0.25">
      <c r="DV199" s="1">
        <v>42670</v>
      </c>
      <c r="DW199">
        <v>121.941</v>
      </c>
      <c r="DX199">
        <v>121.67</v>
      </c>
      <c r="DY199">
        <v>1.6</v>
      </c>
    </row>
    <row r="200" spans="126:129" x14ac:dyDescent="0.25">
      <c r="DV200" s="1">
        <v>42671</v>
      </c>
      <c r="DW200">
        <v>121.848</v>
      </c>
      <c r="DX200">
        <v>121.57599999999999</v>
      </c>
      <c r="DY200">
        <v>1.6120000000000001</v>
      </c>
    </row>
    <row r="201" spans="126:129" x14ac:dyDescent="0.25">
      <c r="DV201" s="1">
        <v>42674</v>
      </c>
      <c r="DW201">
        <v>121.893</v>
      </c>
      <c r="DX201">
        <v>121.621</v>
      </c>
      <c r="DY201">
        <v>1.6040000000000001</v>
      </c>
    </row>
    <row r="202" spans="126:129" x14ac:dyDescent="0.25">
      <c r="DV202" s="1">
        <v>42675</v>
      </c>
      <c r="DW202">
        <v>121.977</v>
      </c>
      <c r="DX202">
        <v>121.705</v>
      </c>
      <c r="DY202">
        <v>1.591</v>
      </c>
    </row>
    <row r="203" spans="126:129" x14ac:dyDescent="0.25">
      <c r="DV203" s="1">
        <v>42676</v>
      </c>
      <c r="DW203">
        <v>122.151</v>
      </c>
      <c r="DX203">
        <v>121.879</v>
      </c>
      <c r="DY203">
        <v>1.5640000000000001</v>
      </c>
    </row>
    <row r="204" spans="126:129" x14ac:dyDescent="0.25">
      <c r="DV204" s="1">
        <v>42677</v>
      </c>
      <c r="DW204">
        <v>122.099</v>
      </c>
      <c r="DX204">
        <v>121.828</v>
      </c>
      <c r="DY204">
        <v>1.569</v>
      </c>
    </row>
    <row r="205" spans="126:129" x14ac:dyDescent="0.25">
      <c r="DV205" s="1">
        <v>42678</v>
      </c>
      <c r="DW205">
        <v>122.119</v>
      </c>
      <c r="DX205">
        <v>121.84699999999999</v>
      </c>
      <c r="DY205">
        <v>1.5659999999999998</v>
      </c>
    </row>
    <row r="206" spans="126:129" x14ac:dyDescent="0.25">
      <c r="DV206" s="1">
        <v>42681</v>
      </c>
      <c r="DW206">
        <v>122.161</v>
      </c>
      <c r="DX206">
        <v>121.889</v>
      </c>
      <c r="DY206">
        <v>1.5590000000000002</v>
      </c>
    </row>
    <row r="207" spans="126:129" x14ac:dyDescent="0.25">
      <c r="DV207" s="1">
        <v>42682</v>
      </c>
      <c r="DW207">
        <v>122.08799999999999</v>
      </c>
      <c r="DX207">
        <v>121.816</v>
      </c>
      <c r="DY207">
        <v>1.5640000000000001</v>
      </c>
    </row>
    <row r="208" spans="126:129" x14ac:dyDescent="0.25">
      <c r="DV208" s="1">
        <v>42683</v>
      </c>
      <c r="DW208">
        <v>121.267</v>
      </c>
      <c r="DX208">
        <v>120.995</v>
      </c>
      <c r="DY208">
        <v>1.679</v>
      </c>
    </row>
    <row r="209" spans="126:129" x14ac:dyDescent="0.25">
      <c r="DV209" s="1">
        <v>42684</v>
      </c>
      <c r="DW209">
        <v>120.574</v>
      </c>
      <c r="DX209">
        <v>120.30200000000001</v>
      </c>
      <c r="DY209">
        <v>1.776</v>
      </c>
    </row>
    <row r="210" spans="126:129" x14ac:dyDescent="0.25">
      <c r="DV210" s="1">
        <v>42688</v>
      </c>
      <c r="DW210">
        <v>118.947</v>
      </c>
      <c r="DX210">
        <v>118.676</v>
      </c>
      <c r="DY210">
        <v>2.0089999999999999</v>
      </c>
    </row>
    <row r="211" spans="126:129" x14ac:dyDescent="0.25">
      <c r="DV211" s="1">
        <v>42689</v>
      </c>
      <c r="DW211">
        <v>118.33199999999999</v>
      </c>
      <c r="DX211">
        <v>118.06</v>
      </c>
      <c r="DY211">
        <v>2.097</v>
      </c>
    </row>
    <row r="212" spans="126:129" x14ac:dyDescent="0.25">
      <c r="DV212" s="1">
        <v>42690</v>
      </c>
      <c r="DW212">
        <v>118.389</v>
      </c>
      <c r="DX212">
        <v>118.11799999999999</v>
      </c>
      <c r="DY212">
        <v>2.0859999999999999</v>
      </c>
    </row>
    <row r="213" spans="126:129" x14ac:dyDescent="0.25">
      <c r="DV213" s="1">
        <v>42691</v>
      </c>
      <c r="DW213">
        <v>118.203</v>
      </c>
      <c r="DX213">
        <v>117.932</v>
      </c>
      <c r="DY213">
        <v>2.1120000000000001</v>
      </c>
    </row>
    <row r="214" spans="126:129" x14ac:dyDescent="0.25">
      <c r="DV214" s="1">
        <v>42692</v>
      </c>
      <c r="DW214">
        <v>118.12</v>
      </c>
      <c r="DX214">
        <v>117.848</v>
      </c>
      <c r="DY214">
        <v>2.1230000000000002</v>
      </c>
    </row>
    <row r="215" spans="126:129" x14ac:dyDescent="0.25">
      <c r="DV215" s="1">
        <v>42695</v>
      </c>
      <c r="DW215">
        <v>117.654</v>
      </c>
      <c r="DX215">
        <v>117.38200000000001</v>
      </c>
      <c r="DY215">
        <v>2.19</v>
      </c>
    </row>
    <row r="216" spans="126:129" x14ac:dyDescent="0.25">
      <c r="DV216" s="1">
        <v>42696</v>
      </c>
      <c r="DW216">
        <v>117.312</v>
      </c>
      <c r="DX216">
        <v>117.04</v>
      </c>
      <c r="DY216">
        <v>2.2370000000000001</v>
      </c>
    </row>
    <row r="217" spans="126:129" x14ac:dyDescent="0.25">
      <c r="DV217" s="1">
        <v>42697</v>
      </c>
      <c r="DW217">
        <v>117.063</v>
      </c>
      <c r="DX217">
        <v>116.791</v>
      </c>
      <c r="DY217">
        <v>2.2730000000000001</v>
      </c>
    </row>
    <row r="218" spans="126:129" x14ac:dyDescent="0.25">
      <c r="DV218" s="1">
        <v>42699</v>
      </c>
      <c r="DW218">
        <v>117.02500000000001</v>
      </c>
      <c r="DX218">
        <v>116.753</v>
      </c>
      <c r="DY218">
        <v>2.278</v>
      </c>
    </row>
    <row r="219" spans="126:129" x14ac:dyDescent="0.25">
      <c r="DV219" s="1">
        <v>42702</v>
      </c>
      <c r="DW219">
        <v>116.907</v>
      </c>
      <c r="DX219">
        <v>116.63500000000001</v>
      </c>
      <c r="DY219">
        <v>2.294</v>
      </c>
    </row>
    <row r="220" spans="126:129" x14ac:dyDescent="0.25">
      <c r="DV220" s="1">
        <v>42703</v>
      </c>
      <c r="DW220">
        <v>116.43899999999999</v>
      </c>
      <c r="DX220">
        <v>116.167</v>
      </c>
      <c r="DY220">
        <v>2.363</v>
      </c>
    </row>
    <row r="221" spans="126:129" x14ac:dyDescent="0.25">
      <c r="DV221" s="1">
        <v>42704</v>
      </c>
      <c r="DW221">
        <v>115.774</v>
      </c>
      <c r="DX221">
        <v>115.503</v>
      </c>
      <c r="DY221">
        <v>2.46</v>
      </c>
    </row>
    <row r="222" spans="126:129" x14ac:dyDescent="0.25">
      <c r="DV222" s="1">
        <v>42705</v>
      </c>
      <c r="DW222">
        <v>115.23399999999999</v>
      </c>
      <c r="DX222">
        <v>114.96299999999999</v>
      </c>
      <c r="DY222">
        <v>2.5409999999999999</v>
      </c>
    </row>
    <row r="223" spans="126:129" x14ac:dyDescent="0.25">
      <c r="DV223" s="1">
        <v>42706</v>
      </c>
      <c r="DW223">
        <v>115.226</v>
      </c>
      <c r="DX223">
        <v>114.95399999999999</v>
      </c>
      <c r="DY223">
        <v>2.5409999999999999</v>
      </c>
    </row>
    <row r="224" spans="126:129" x14ac:dyDescent="0.25">
      <c r="DV224" s="1">
        <v>42709</v>
      </c>
      <c r="DW224">
        <v>115.542</v>
      </c>
      <c r="DX224">
        <v>115.271</v>
      </c>
      <c r="DY224">
        <v>2.492</v>
      </c>
    </row>
    <row r="225" spans="126:129" x14ac:dyDescent="0.25">
      <c r="DV225" s="1">
        <v>42710</v>
      </c>
      <c r="DW225">
        <v>115.971</v>
      </c>
      <c r="DX225">
        <v>115.699</v>
      </c>
      <c r="DY225">
        <v>2.427</v>
      </c>
    </row>
    <row r="226" spans="126:129" x14ac:dyDescent="0.25">
      <c r="DV226" s="1">
        <v>42711</v>
      </c>
      <c r="DW226">
        <v>117.633</v>
      </c>
      <c r="DX226">
        <v>117.36199999999999</v>
      </c>
      <c r="DY226">
        <v>2.1760000000000002</v>
      </c>
    </row>
    <row r="227" spans="126:129" x14ac:dyDescent="0.25">
      <c r="DV227" s="1">
        <v>42712</v>
      </c>
      <c r="DW227">
        <v>117.727</v>
      </c>
      <c r="DX227">
        <v>117.45699999999999</v>
      </c>
      <c r="DY227">
        <v>2.161</v>
      </c>
    </row>
    <row r="228" spans="126:129" x14ac:dyDescent="0.25">
      <c r="DV228" s="1">
        <v>42713</v>
      </c>
      <c r="DW228">
        <v>117.67700000000001</v>
      </c>
      <c r="DX228">
        <v>117.407</v>
      </c>
      <c r="DY228">
        <v>2.1669999999999998</v>
      </c>
    </row>
    <row r="229" spans="126:129" x14ac:dyDescent="0.25">
      <c r="DV229" s="1">
        <v>42716</v>
      </c>
      <c r="DW229">
        <v>117.459</v>
      </c>
      <c r="DX229">
        <v>117.188</v>
      </c>
      <c r="DY229">
        <v>2.1989999999999998</v>
      </c>
    </row>
    <row r="230" spans="126:129" x14ac:dyDescent="0.25">
      <c r="DV230" s="1">
        <v>42717</v>
      </c>
      <c r="DW230">
        <v>117.175</v>
      </c>
      <c r="DX230">
        <v>116.904</v>
      </c>
      <c r="DY230">
        <v>2.2400000000000002</v>
      </c>
    </row>
    <row r="231" spans="126:129" x14ac:dyDescent="0.25">
      <c r="DV231" s="1">
        <v>42718</v>
      </c>
      <c r="DW231">
        <v>117.24</v>
      </c>
      <c r="DX231">
        <v>116.96899999999999</v>
      </c>
      <c r="DY231">
        <v>2.2269999999999999</v>
      </c>
    </row>
    <row r="232" spans="126:129" x14ac:dyDescent="0.25">
      <c r="DV232" s="1">
        <v>42719</v>
      </c>
      <c r="DW232">
        <v>116.60299999999999</v>
      </c>
      <c r="DX232">
        <v>116.331</v>
      </c>
      <c r="DY232">
        <v>2.3220000000000001</v>
      </c>
    </row>
    <row r="233" spans="126:129" x14ac:dyDescent="0.25">
      <c r="DV233" s="1">
        <v>42720</v>
      </c>
      <c r="DW233">
        <v>116.544</v>
      </c>
      <c r="DX233">
        <v>116.273</v>
      </c>
      <c r="DY233">
        <v>2.3290000000000002</v>
      </c>
    </row>
    <row r="234" spans="126:129" x14ac:dyDescent="0.25">
      <c r="DV234" s="1">
        <v>42723</v>
      </c>
      <c r="DW234">
        <v>116.619</v>
      </c>
      <c r="DX234">
        <v>116.348</v>
      </c>
      <c r="DY234">
        <v>2.3170000000000002</v>
      </c>
    </row>
    <row r="235" spans="126:129" x14ac:dyDescent="0.25">
      <c r="DV235" s="1">
        <v>42724</v>
      </c>
      <c r="DW235">
        <v>116.523</v>
      </c>
      <c r="DX235">
        <v>116.252</v>
      </c>
      <c r="DY235">
        <v>2.331</v>
      </c>
    </row>
    <row r="236" spans="126:129" x14ac:dyDescent="0.25">
      <c r="DV236" s="1">
        <v>42725</v>
      </c>
      <c r="DW236">
        <v>116.68</v>
      </c>
      <c r="DX236">
        <v>116.40900000000001</v>
      </c>
      <c r="DY236">
        <v>2.3029999999999999</v>
      </c>
    </row>
    <row r="237" spans="126:129" x14ac:dyDescent="0.25">
      <c r="DV237" s="1">
        <v>42726</v>
      </c>
      <c r="DW237">
        <v>116.748</v>
      </c>
      <c r="DX237">
        <v>116.47799999999999</v>
      </c>
      <c r="DY237">
        <v>2.2919999999999998</v>
      </c>
    </row>
    <row r="238" spans="126:129" x14ac:dyDescent="0.25">
      <c r="DV238" s="1">
        <v>42727</v>
      </c>
      <c r="DW238">
        <v>116.813</v>
      </c>
      <c r="DX238">
        <v>116.54300000000001</v>
      </c>
      <c r="DY238">
        <v>2.2810000000000001</v>
      </c>
    </row>
    <row r="239" spans="126:129" x14ac:dyDescent="0.25">
      <c r="DV239" s="1">
        <v>42731</v>
      </c>
      <c r="DW239">
        <v>116.834</v>
      </c>
      <c r="DX239">
        <v>116.56399999999999</v>
      </c>
      <c r="DY239">
        <v>2.2770000000000001</v>
      </c>
    </row>
    <row r="240" spans="126:129" x14ac:dyDescent="0.25">
      <c r="DV240" s="1">
        <v>42732</v>
      </c>
      <c r="DW240">
        <v>117.057</v>
      </c>
      <c r="DX240">
        <v>116.786</v>
      </c>
      <c r="DY240">
        <v>2.2410000000000001</v>
      </c>
    </row>
    <row r="241" spans="126:129" x14ac:dyDescent="0.25">
      <c r="DV241" s="1">
        <v>42733</v>
      </c>
      <c r="DW241">
        <v>117.10899999999999</v>
      </c>
      <c r="DX241">
        <v>116.83799999999999</v>
      </c>
      <c r="DY241">
        <v>2.2320000000000002</v>
      </c>
    </row>
    <row r="242" spans="126:129" x14ac:dyDescent="0.25">
      <c r="DV242" s="1">
        <v>42734</v>
      </c>
      <c r="DW242">
        <v>117.149</v>
      </c>
      <c r="DX242">
        <v>116.878</v>
      </c>
      <c r="DY242">
        <v>2.2250000000000001</v>
      </c>
    </row>
    <row r="243" spans="126:129" x14ac:dyDescent="0.25">
      <c r="DV243" s="1">
        <v>42738</v>
      </c>
      <c r="DW243">
        <v>117.2</v>
      </c>
      <c r="DX243">
        <v>116.929</v>
      </c>
      <c r="DY243">
        <v>2.2160000000000002</v>
      </c>
    </row>
    <row r="244" spans="126:129" x14ac:dyDescent="0.25">
      <c r="DV244" s="1">
        <v>42739</v>
      </c>
      <c r="DW244">
        <v>117.282</v>
      </c>
      <c r="DX244">
        <v>117.011</v>
      </c>
      <c r="DY244">
        <v>2.2010000000000001</v>
      </c>
    </row>
    <row r="245" spans="126:129" x14ac:dyDescent="0.25">
      <c r="DV245" s="1">
        <v>42740</v>
      </c>
      <c r="DW245">
        <v>117.627</v>
      </c>
      <c r="DX245">
        <v>117.35599999999999</v>
      </c>
      <c r="DY245">
        <v>2.1480000000000001</v>
      </c>
    </row>
    <row r="246" spans="126:129" x14ac:dyDescent="0.25">
      <c r="DV246" s="1">
        <v>42741</v>
      </c>
      <c r="DW246">
        <v>117.682</v>
      </c>
      <c r="DX246">
        <v>117.411</v>
      </c>
      <c r="DY246">
        <v>2.1390000000000002</v>
      </c>
    </row>
    <row r="247" spans="126:129" x14ac:dyDescent="0.25">
      <c r="DV247" s="1">
        <v>42744</v>
      </c>
      <c r="DW247">
        <v>117.747</v>
      </c>
      <c r="DX247">
        <v>117.476</v>
      </c>
      <c r="DY247">
        <v>2.1280000000000001</v>
      </c>
    </row>
    <row r="248" spans="126:129" x14ac:dyDescent="0.25">
      <c r="DV248" s="1">
        <v>42745</v>
      </c>
      <c r="DW248">
        <v>117.96599999999999</v>
      </c>
      <c r="DX248">
        <v>117.694</v>
      </c>
      <c r="DY248">
        <v>2.0950000000000002</v>
      </c>
    </row>
    <row r="249" spans="126:129" x14ac:dyDescent="0.25">
      <c r="DV249" s="1">
        <v>42746</v>
      </c>
      <c r="DW249">
        <v>118.139</v>
      </c>
      <c r="DX249">
        <v>117.86799999999999</v>
      </c>
      <c r="DY249">
        <v>2.0649999999999999</v>
      </c>
    </row>
    <row r="250" spans="126:129" x14ac:dyDescent="0.25">
      <c r="DV250" s="1">
        <v>42747</v>
      </c>
      <c r="DW250">
        <v>118.508</v>
      </c>
      <c r="DX250">
        <v>118.23699999999999</v>
      </c>
      <c r="DY250">
        <v>2.0089999999999999</v>
      </c>
    </row>
    <row r="251" spans="126:129" x14ac:dyDescent="0.25">
      <c r="DV251" s="1">
        <v>42748</v>
      </c>
      <c r="DW251">
        <v>118.45099999999999</v>
      </c>
      <c r="DX251">
        <v>118.18</v>
      </c>
      <c r="DY251">
        <v>2.016</v>
      </c>
    </row>
    <row r="252" spans="126:129" x14ac:dyDescent="0.25">
      <c r="DV252" s="1">
        <v>42752</v>
      </c>
      <c r="DW252">
        <v>118.70699999999999</v>
      </c>
      <c r="DX252">
        <v>118.43600000000001</v>
      </c>
      <c r="DY252">
        <v>1.9769999999999999</v>
      </c>
    </row>
    <row r="253" spans="126:129" x14ac:dyDescent="0.25">
      <c r="DV253" s="1">
        <v>42753</v>
      </c>
      <c r="DW253">
        <v>118.663</v>
      </c>
      <c r="DX253">
        <v>118.392</v>
      </c>
      <c r="DY253">
        <v>1.98</v>
      </c>
    </row>
    <row r="254" spans="126:129" x14ac:dyDescent="0.25">
      <c r="DV254" s="1">
        <v>42754</v>
      </c>
      <c r="DW254">
        <v>118.232</v>
      </c>
      <c r="DX254">
        <v>117.961</v>
      </c>
      <c r="DY254">
        <v>2.0430000000000001</v>
      </c>
    </row>
    <row r="255" spans="126:129" x14ac:dyDescent="0.25">
      <c r="DV255" s="1">
        <v>42755</v>
      </c>
      <c r="DW255">
        <v>117.855</v>
      </c>
      <c r="DX255">
        <v>117.58499999999999</v>
      </c>
      <c r="DY255">
        <v>2.0990000000000002</v>
      </c>
    </row>
    <row r="256" spans="126:129" x14ac:dyDescent="0.25">
      <c r="DV256" s="1">
        <v>42758</v>
      </c>
      <c r="DW256">
        <v>117.8</v>
      </c>
      <c r="DX256">
        <v>117.53100000000001</v>
      </c>
      <c r="DY256">
        <v>2.1059999999999999</v>
      </c>
    </row>
    <row r="257" spans="126:129" x14ac:dyDescent="0.25">
      <c r="DV257" s="1">
        <v>42759</v>
      </c>
      <c r="DW257">
        <v>117.682</v>
      </c>
      <c r="DX257">
        <v>117.413</v>
      </c>
      <c r="DY257">
        <v>2.1219999999999999</v>
      </c>
    </row>
    <row r="258" spans="126:129" x14ac:dyDescent="0.25">
      <c r="DV258" s="1">
        <v>42760</v>
      </c>
      <c r="DW258">
        <v>117.477</v>
      </c>
      <c r="DX258">
        <v>117.208</v>
      </c>
      <c r="DY258">
        <v>2.15</v>
      </c>
    </row>
    <row r="259" spans="126:129" x14ac:dyDescent="0.25">
      <c r="DV259" s="1">
        <v>42761</v>
      </c>
      <c r="DW259">
        <v>117.29300000000001</v>
      </c>
      <c r="DX259">
        <v>117.024</v>
      </c>
      <c r="DY259">
        <v>2.177</v>
      </c>
    </row>
    <row r="260" spans="126:129" x14ac:dyDescent="0.25">
      <c r="DV260" s="1">
        <v>42762</v>
      </c>
      <c r="DW260">
        <v>117.411</v>
      </c>
      <c r="DX260">
        <v>117.142</v>
      </c>
      <c r="DY260">
        <v>2.1589999999999998</v>
      </c>
    </row>
    <row r="261" spans="126:129" x14ac:dyDescent="0.25">
      <c r="DV261" s="1">
        <v>42765</v>
      </c>
      <c r="DW261">
        <v>117.81100000000001</v>
      </c>
      <c r="DX261">
        <v>117.542</v>
      </c>
      <c r="DY261">
        <v>2.0979999999999999</v>
      </c>
    </row>
    <row r="262" spans="126:129" x14ac:dyDescent="0.25">
      <c r="DV262" s="1">
        <v>42766</v>
      </c>
      <c r="DW262">
        <v>117.61199999999999</v>
      </c>
      <c r="DX262">
        <v>117.342</v>
      </c>
      <c r="DY262">
        <v>2.1269999999999998</v>
      </c>
    </row>
    <row r="263" spans="126:129" x14ac:dyDescent="0.25">
      <c r="DV263" s="1">
        <v>42767</v>
      </c>
      <c r="DW263">
        <v>117.575</v>
      </c>
      <c r="DX263">
        <v>117.306</v>
      </c>
      <c r="DY263">
        <v>2.129</v>
      </c>
    </row>
    <row r="264" spans="126:129" x14ac:dyDescent="0.25">
      <c r="DV264" s="1">
        <v>42768</v>
      </c>
      <c r="DW264">
        <v>117.657</v>
      </c>
      <c r="DX264">
        <v>117.387</v>
      </c>
      <c r="DY264">
        <v>2.1160000000000001</v>
      </c>
    </row>
    <row r="265" spans="126:129" x14ac:dyDescent="0.25">
      <c r="DV265" s="1">
        <v>42769</v>
      </c>
      <c r="DW265">
        <v>117.872</v>
      </c>
      <c r="DX265">
        <v>117.602</v>
      </c>
      <c r="DY265">
        <v>2.0819999999999999</v>
      </c>
    </row>
    <row r="266" spans="126:129" x14ac:dyDescent="0.25">
      <c r="DV266" s="1">
        <v>42772</v>
      </c>
      <c r="DW266">
        <v>118.015</v>
      </c>
      <c r="DX266">
        <v>117.745</v>
      </c>
      <c r="DY266">
        <v>2.06</v>
      </c>
    </row>
    <row r="267" spans="126:129" x14ac:dyDescent="0.25">
      <c r="DV267" s="1">
        <v>42773</v>
      </c>
      <c r="DW267">
        <v>117.92400000000001</v>
      </c>
      <c r="DX267">
        <v>117.654</v>
      </c>
      <c r="DY267">
        <v>2.0720000000000001</v>
      </c>
    </row>
    <row r="268" spans="126:129" x14ac:dyDescent="0.25">
      <c r="DV268" s="1">
        <v>42774</v>
      </c>
      <c r="DW268">
        <v>118.337</v>
      </c>
      <c r="DX268">
        <v>118.06699999999999</v>
      </c>
      <c r="DY268">
        <v>2.0070000000000001</v>
      </c>
    </row>
    <row r="269" spans="126:129" x14ac:dyDescent="0.25">
      <c r="DV269" s="1">
        <v>42775</v>
      </c>
      <c r="DW269">
        <v>118.376</v>
      </c>
      <c r="DX269">
        <v>118.10599999999999</v>
      </c>
      <c r="DY269">
        <v>2</v>
      </c>
    </row>
    <row r="270" spans="126:129" x14ac:dyDescent="0.25">
      <c r="DV270" s="1">
        <v>42776</v>
      </c>
      <c r="DW270">
        <v>118.273</v>
      </c>
      <c r="DX270">
        <v>118.003</v>
      </c>
      <c r="DY270">
        <v>2.0139999999999998</v>
      </c>
    </row>
    <row r="271" spans="126:129" x14ac:dyDescent="0.25">
      <c r="DV271" s="1">
        <v>42779</v>
      </c>
      <c r="DW271">
        <v>118.149</v>
      </c>
      <c r="DX271">
        <v>117.88</v>
      </c>
      <c r="DY271">
        <v>2.032</v>
      </c>
    </row>
    <row r="272" spans="126:129" x14ac:dyDescent="0.25">
      <c r="DV272" s="1">
        <v>42780</v>
      </c>
      <c r="DW272">
        <v>117.66800000000001</v>
      </c>
      <c r="DX272">
        <v>117.399</v>
      </c>
      <c r="DY272">
        <v>2.1030000000000002</v>
      </c>
    </row>
    <row r="273" spans="126:129" x14ac:dyDescent="0.25">
      <c r="DV273" s="1">
        <v>42781</v>
      </c>
      <c r="DW273">
        <v>116.733</v>
      </c>
      <c r="DX273">
        <v>116.464</v>
      </c>
      <c r="DY273">
        <v>2.242</v>
      </c>
    </row>
    <row r="274" spans="126:129" x14ac:dyDescent="0.25">
      <c r="DV274" s="1">
        <v>42782</v>
      </c>
      <c r="DW274">
        <v>116.842</v>
      </c>
      <c r="DX274">
        <v>116.57299999999999</v>
      </c>
      <c r="DY274">
        <v>2.2240000000000002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/>
  </sheetViews>
  <sheetFormatPr defaultRowHeight="15" x14ac:dyDescent="0.25"/>
  <cols>
    <col min="1" max="1" width="11.42578125" customWidth="1"/>
    <col min="2" max="3" width="38" customWidth="1"/>
    <col min="4" max="4" width="76.140625" customWidth="1"/>
  </cols>
  <sheetData>
    <row r="1" spans="1:4" x14ac:dyDescent="0.25">
      <c r="A1" s="6" t="s">
        <v>8</v>
      </c>
      <c r="B1" s="6"/>
      <c r="C1" s="6"/>
      <c r="D1" s="6"/>
    </row>
    <row r="2" spans="1:4" x14ac:dyDescent="0.25">
      <c r="A2" s="5" t="s">
        <v>9</v>
      </c>
      <c r="B2" s="4"/>
      <c r="C2" s="4"/>
      <c r="D2" s="4"/>
    </row>
    <row r="3" spans="1:4" x14ac:dyDescent="0.25">
      <c r="A3" s="5"/>
      <c r="B3" s="4"/>
      <c r="C3" s="4"/>
      <c r="D3" s="4"/>
    </row>
    <row r="4" spans="1:4" x14ac:dyDescent="0.25">
      <c r="A4" s="5" t="s">
        <v>10</v>
      </c>
      <c r="B4" s="4"/>
      <c r="C4" s="4"/>
      <c r="D4" s="4"/>
    </row>
    <row r="5" spans="1:4" x14ac:dyDescent="0.25">
      <c r="A5" s="5" t="s">
        <v>11</v>
      </c>
      <c r="B5" s="4"/>
      <c r="C5" s="4"/>
      <c r="D5" s="4"/>
    </row>
    <row r="6" spans="1:4" x14ac:dyDescent="0.25">
      <c r="A6" s="5"/>
      <c r="B6" s="4"/>
      <c r="C6" s="4"/>
      <c r="D6" s="4"/>
    </row>
    <row r="7" spans="1:4" x14ac:dyDescent="0.25">
      <c r="A7" s="5"/>
      <c r="B7" s="4"/>
      <c r="C7" s="4"/>
      <c r="D7" s="4"/>
    </row>
    <row r="8" spans="1:4" x14ac:dyDescent="0.25">
      <c r="A8" s="5" t="s">
        <v>12</v>
      </c>
      <c r="B8" s="4"/>
      <c r="C8" s="4"/>
      <c r="D8" s="4"/>
    </row>
    <row r="9" spans="1:4" x14ac:dyDescent="0.25">
      <c r="A9" s="5"/>
      <c r="B9" s="4"/>
      <c r="C9" s="4"/>
      <c r="D9" s="4"/>
    </row>
    <row r="10" spans="1:4" x14ac:dyDescent="0.25">
      <c r="A10" s="3" t="s">
        <v>13</v>
      </c>
      <c r="B10" s="4"/>
      <c r="C10" s="4"/>
      <c r="D10" s="4"/>
    </row>
    <row r="11" spans="1:4" x14ac:dyDescent="0.25">
      <c r="A11" s="2" t="s">
        <v>14</v>
      </c>
      <c r="B11" s="4"/>
      <c r="C11" s="4"/>
      <c r="D11" s="4"/>
    </row>
    <row r="12" spans="1:4" x14ac:dyDescent="0.25">
      <c r="A12" s="2" t="s">
        <v>15</v>
      </c>
      <c r="B12" s="4"/>
      <c r="C12" s="4"/>
      <c r="D12" s="4"/>
    </row>
    <row r="13" spans="1:4" x14ac:dyDescent="0.25">
      <c r="A13" s="2" t="s">
        <v>16</v>
      </c>
      <c r="B13" s="4"/>
      <c r="C13" s="4"/>
      <c r="D13" s="4"/>
    </row>
    <row r="14" spans="1:4" x14ac:dyDescent="0.25">
      <c r="A14" s="7" t="s">
        <v>17</v>
      </c>
      <c r="B14" s="7" t="s">
        <v>18</v>
      </c>
      <c r="C14" s="7" t="s">
        <v>19</v>
      </c>
      <c r="D14" s="7" t="s">
        <v>20</v>
      </c>
    </row>
    <row r="15" spans="1:4" ht="30" x14ac:dyDescent="0.25">
      <c r="A15" s="7" t="s">
        <v>17</v>
      </c>
      <c r="B15" s="7" t="s">
        <v>21</v>
      </c>
      <c r="C15" s="7" t="s">
        <v>22</v>
      </c>
      <c r="D15" s="7" t="s">
        <v>23</v>
      </c>
    </row>
    <row r="16" spans="1:4" x14ac:dyDescent="0.25">
      <c r="A16" s="7" t="s">
        <v>17</v>
      </c>
      <c r="B16" s="7" t="s">
        <v>24</v>
      </c>
      <c r="C16" s="7" t="s">
        <v>25</v>
      </c>
      <c r="D16" s="7" t="s">
        <v>26</v>
      </c>
    </row>
    <row r="17" spans="1:4" x14ac:dyDescent="0.25">
      <c r="A17" s="7" t="s">
        <v>17</v>
      </c>
      <c r="B17" s="7" t="s">
        <v>27</v>
      </c>
      <c r="C17" s="7" t="s">
        <v>19</v>
      </c>
      <c r="D17" s="7" t="s">
        <v>28</v>
      </c>
    </row>
    <row r="18" spans="1:4" x14ac:dyDescent="0.25">
      <c r="A18" s="7" t="s">
        <v>17</v>
      </c>
      <c r="B18" s="7" t="s">
        <v>29</v>
      </c>
      <c r="C18" s="7" t="s">
        <v>30</v>
      </c>
      <c r="D18" s="7" t="s">
        <v>31</v>
      </c>
    </row>
    <row r="19" spans="1:4" x14ac:dyDescent="0.25">
      <c r="A19" s="7" t="s">
        <v>17</v>
      </c>
      <c r="B19" s="7" t="s">
        <v>5</v>
      </c>
      <c r="C19" s="7" t="s">
        <v>32</v>
      </c>
      <c r="D19" s="7" t="s">
        <v>33</v>
      </c>
    </row>
    <row r="20" spans="1:4" x14ac:dyDescent="0.25">
      <c r="A20" s="7" t="s">
        <v>17</v>
      </c>
      <c r="B20" s="7" t="s">
        <v>34</v>
      </c>
      <c r="C20" s="7" t="s">
        <v>35</v>
      </c>
      <c r="D20" s="7" t="s">
        <v>36</v>
      </c>
    </row>
  </sheetData>
  <mergeCells count="12">
    <mergeCell ref="A12:D12"/>
    <mergeCell ref="A13:D13"/>
    <mergeCell ref="A7:D7"/>
    <mergeCell ref="A8:D8"/>
    <mergeCell ref="A9:D9"/>
    <mergeCell ref="A10:D10"/>
    <mergeCell ref="A11:D11"/>
    <mergeCell ref="A2:D2"/>
    <mergeCell ref="A3:D3"/>
    <mergeCell ref="A4:D4"/>
    <mergeCell ref="A5:D5"/>
    <mergeCell ref="A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Municipals</vt:lpstr>
      <vt:lpstr>Sheet1</vt:lpstr>
      <vt:lpstr>Sheet2</vt:lpstr>
      <vt:lpstr>Context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Albert Hu</cp:lastModifiedBy>
  <dcterms:created xsi:type="dcterms:W3CDTF">2013-04-03T15:49:21Z</dcterms:created>
  <dcterms:modified xsi:type="dcterms:W3CDTF">2017-02-18T04:47:13Z</dcterms:modified>
</cp:coreProperties>
</file>